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trlProps/ctrlProps13.xml" ContentType="application/vnd.ms-excel.controlproperties+xml"/>
  <Override PartName="/xl/drawings/_rels/drawing11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1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false" showVerticalScroll="false" showSheetTabs="true" xWindow="0" yWindow="0" windowWidth="16384" windowHeight="8192" tabRatio="500" firstSheet="0" activeTab="0"/>
  </bookViews>
  <sheets>
    <sheet name="Swaption" sheetId="1" state="visible" r:id="rId3"/>
    <sheet name="phone" sheetId="2" state="visible" r:id="rId4"/>
    <sheet name="Skew3" sheetId="3" state="visible" r:id="rId5"/>
    <sheet name="Opt" sheetId="4" state="visible" r:id="rId6"/>
    <sheet name="Sheet1" sheetId="5" state="visible" r:id="rId7"/>
    <sheet name="Swap" sheetId="6" state="visible" r:id="rId8"/>
    <sheet name="Front" sheetId="7" state="visible" r:id="rId9"/>
  </sheets>
  <externalReferences>
    <externalReference r:id="rId10"/>
  </externalReferences>
  <definedNames>
    <definedName function="false" hidden="false" name="a" vbProcedure="false">Skew3!$D$83:$J$120</definedName>
    <definedName function="false" hidden="false" name="b" vbProcedure="false">Skew3!$B$1:$V$39</definedName>
    <definedName function="false" hidden="false" name="Call1" vbProcedure="false">Front!$C$16</definedName>
    <definedName function="false" hidden="false" name="Call2" vbProcedure="false">Front!$D$16</definedName>
    <definedName function="false" hidden="false" name="EffDate" vbProcedure="false">[1]Swap!$C$1</definedName>
    <definedName function="false" hidden="false" name="expery" vbProcedure="false">Front!$N$24:$O$383</definedName>
    <definedName function="false" hidden="false" name="exprymonth" vbProcedure="false">Front!$N$24:$N$383</definedName>
    <definedName function="false" hidden="false" name="finalprice" vbProcedure="false">#REF!</definedName>
    <definedName function="false" hidden="false" name="fly" vbProcedure="false">Swap!$A$11:$E$292</definedName>
    <definedName function="false" hidden="false" name="flymonth" vbProcedure="false">Swap!$A$11:$A$292</definedName>
    <definedName function="false" hidden="false" name="IRDate" vbProcedure="false">Swap!$AF$9</definedName>
    <definedName function="false" hidden="false" name="IRDump" vbProcedure="false">Swap!$BP$5</definedName>
    <definedName function="false" hidden="false" name="IRMonth" vbProcedure="false">Swap!$BP$11:$BP$492</definedName>
    <definedName function="false" hidden="false" name="IRTable" vbProcedure="false">Swap!$BP$11:$BS$492</definedName>
    <definedName function="false" hidden="false" name="midmarketvols" vbProcedure="false">Front!$H$24:$I$317</definedName>
    <definedName function="false" hidden="false" name="priceproduct" vbProcedure="false">#REF!</definedName>
    <definedName function="false" hidden="false" name="PriceSwitch" vbProcedure="false">Front!$H$20</definedName>
    <definedName function="false" hidden="false" name="PriceTable" vbProcedure="false">Swap!$A$11:$BG$304</definedName>
    <definedName function="false" hidden="false" name="PriceTableMonths" vbProcedure="false">Swap!$A$11:$A$304</definedName>
    <definedName function="false" hidden="false" name="Put1" vbProcedure="false">Front!$C$17</definedName>
    <definedName function="false" hidden="false" name="Put2" vbProcedure="false">Front!$D$17</definedName>
    <definedName function="false" hidden="false" name="settlecheck" vbProcedure="false">Swap!$BD$9</definedName>
    <definedName function="false" hidden="false" name="settlesdump" vbProcedure="false">Swap!$BC$11</definedName>
    <definedName function="false" hidden="false" name="skew2" vbProcedure="false">#REF!</definedName>
    <definedName function="false" hidden="false" name="skew2month" vbProcedure="false">#REF!</definedName>
    <definedName function="false" hidden="false" name="skewoffset2" vbProcedure="false">#REF!</definedName>
    <definedName function="false" hidden="false" name="Skew_Switch" vbProcedure="false">Front!$C$19</definedName>
    <definedName function="false" hidden="false" name="skew_table" vbProcedure="false">#REF!</definedName>
    <definedName function="false" hidden="false" name="startpriceadj" vbProcedure="false">#REF!</definedName>
    <definedName function="false" hidden="false" name="stopprice" vbProcedure="false">#REF!</definedName>
    <definedName function="false" hidden="false" name="Today" vbProcedure="false">Front!$C$2</definedName>
    <definedName function="false" hidden="false" name="vols" vbProcedure="false">Front!$H$24:$I$316</definedName>
    <definedName function="false" hidden="false" name="volsmonth" vbProcedure="false">Front!$H$24:$H$316</definedName>
    <definedName function="false" hidden="false" name="VolumeAdj" vbProcedure="false">#REF!</definedName>
    <definedName function="false" hidden="false" name="VolumeAdjmonth" vbProcedure="false">#REF!</definedName>
    <definedName function="false" hidden="false" name="Yr_Sprds" vbProcedure="false">Swap!$N$11:$O$38</definedName>
    <definedName function="false" hidden="false" name="yr_sprds2" vbProcedure="false">Swap!$N$15:$O$38</definedName>
    <definedName function="true" hidden="false" name="xEURO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<sst xmlns="http://schemas.openxmlformats.org/spreadsheetml/2006/main" count="375" uniqueCount="252">
  <si>
    <t xml:space="preserve">Swaption Vols</t>
  </si>
  <si>
    <t xml:space="preserve">Swptn</t>
  </si>
  <si>
    <t xml:space="preserve">Diff from</t>
  </si>
  <si>
    <t xml:space="preserve">Euro</t>
  </si>
  <si>
    <t xml:space="preserve">bid</t>
  </si>
  <si>
    <t xml:space="preserve">ask</t>
  </si>
  <si>
    <t xml:space="preserve">ATM</t>
  </si>
  <si>
    <t xml:space="preserve">Vol</t>
  </si>
  <si>
    <t xml:space="preserve">$/mmbtu</t>
  </si>
  <si>
    <t xml:space="preserve">x9-ho</t>
  </si>
  <si>
    <t xml:space="preserve">j0-vo</t>
  </si>
  <si>
    <t xml:space="preserve">x0-h1</t>
  </si>
  <si>
    <t xml:space="preserve">x9-h0</t>
  </si>
  <si>
    <t xml:space="preserve">Cal 01</t>
  </si>
  <si>
    <t xml:space="preserve">cal 00</t>
  </si>
  <si>
    <t xml:space="preserve">j0v0</t>
  </si>
  <si>
    <t xml:space="preserve">v0m1</t>
  </si>
  <si>
    <t xml:space="preserve">x0h1</t>
  </si>
  <si>
    <t xml:space="preserve">cal3</t>
  </si>
  <si>
    <t xml:space="preserve">cal01</t>
  </si>
  <si>
    <t xml:space="preserve">cal00</t>
  </si>
  <si>
    <t xml:space="preserve">cal0</t>
  </si>
  <si>
    <t xml:space="preserve">ice</t>
  </si>
  <si>
    <t xml:space="preserve">pushakr</t>
  </si>
  <si>
    <t xml:space="preserve">william</t>
  </si>
  <si>
    <t xml:space="preserve">simpson</t>
  </si>
  <si>
    <t xml:space="preserve">tomaski</t>
  </si>
  <si>
    <t xml:space="preserve">terry nymex</t>
  </si>
  <si>
    <t xml:space="preserve">augustine</t>
  </si>
  <si>
    <t xml:space="preserve">dave m</t>
  </si>
  <si>
    <t xml:space="preserve">5-3418</t>
  </si>
  <si>
    <t xml:space="preserve">lensy</t>
  </si>
  <si>
    <t xml:space="preserve">713-628-0048</t>
  </si>
  <si>
    <t xml:space="preserve">man</t>
  </si>
  <si>
    <t xml:space="preserve">201-295-4301</t>
  </si>
  <si>
    <t xml:space="preserve">phone guy</t>
  </si>
  <si>
    <t xml:space="preserve">713-853-1860</t>
  </si>
  <si>
    <t xml:space="preserve">LINEAR</t>
  </si>
  <si>
    <t xml:space="preserve">+</t>
  </si>
  <si>
    <t xml:space="preserve">-</t>
  </si>
  <si>
    <t xml:space="preserve">Options</t>
  </si>
  <si>
    <t xml:space="preserve">skew</t>
  </si>
  <si>
    <t xml:space="preserve">Delivey</t>
  </si>
  <si>
    <t xml:space="preserve">Volume</t>
  </si>
  <si>
    <t xml:space="preserve">Toggle</t>
  </si>
  <si>
    <t xml:space="preserve">Int </t>
  </si>
  <si>
    <t xml:space="preserve">DF</t>
  </si>
  <si>
    <t xml:space="preserve">Expiration</t>
  </si>
  <si>
    <t xml:space="preserve">Days to </t>
  </si>
  <si>
    <t xml:space="preserve">Mid</t>
  </si>
  <si>
    <t xml:space="preserve">Price</t>
  </si>
  <si>
    <t xml:space="preserve">new Call 1</t>
  </si>
  <si>
    <t xml:space="preserve">new Put 1 </t>
  </si>
  <si>
    <t xml:space="preserve">new Call 2</t>
  </si>
  <si>
    <t xml:space="preserve">New Put 2</t>
  </si>
  <si>
    <t xml:space="preserve">Call 1</t>
  </si>
  <si>
    <t xml:space="preserve">Put 1 </t>
  </si>
  <si>
    <t xml:space="preserve">Call 2</t>
  </si>
  <si>
    <t xml:space="preserve">Put 2</t>
  </si>
  <si>
    <t xml:space="preserve">Int Rate</t>
  </si>
  <si>
    <t xml:space="preserve">Disc</t>
  </si>
  <si>
    <t xml:space="preserve">#</t>
  </si>
  <si>
    <t xml:space="preserve">Month</t>
  </si>
  <si>
    <t xml:space="preserve">Rate</t>
  </si>
  <si>
    <t xml:space="preserve">Date</t>
  </si>
  <si>
    <t xml:space="preserve">Expiry</t>
  </si>
  <si>
    <t xml:space="preserve">Used</t>
  </si>
  <si>
    <t xml:space="preserve">Factor</t>
  </si>
  <si>
    <t xml:space="preserve">.</t>
  </si>
  <si>
    <t xml:space="preserve">hub basis</t>
  </si>
  <si>
    <t xml:space="preserve">   </t>
  </si>
  <si>
    <t xml:space="preserve">c/s</t>
  </si>
  <si>
    <t xml:space="preserve">change check</t>
  </si>
  <si>
    <t xml:space="preserve">gd index</t>
  </si>
  <si>
    <t xml:space="preserve">Do not erase</t>
  </si>
  <si>
    <t xml:space="preserve">franky</t>
  </si>
  <si>
    <t xml:space="preserve">settle check</t>
  </si>
  <si>
    <t xml:space="preserve">Effective Date</t>
  </si>
  <si>
    <t xml:space="preserve">fly</t>
  </si>
  <si>
    <t xml:space="preserve">Prompt Month</t>
  </si>
  <si>
    <t xml:space="preserve">joey</t>
  </si>
  <si>
    <t xml:space="preserve">red blue green black gold silver</t>
  </si>
  <si>
    <t xml:space="preserve">Curve Code</t>
  </si>
  <si>
    <t xml:space="preserve">NG</t>
  </si>
  <si>
    <t xml:space="preserve">INTNS</t>
  </si>
  <si>
    <t xml:space="preserve">5-4647</t>
  </si>
  <si>
    <t xml:space="preserve">x1  1 yr</t>
  </si>
  <si>
    <t xml:space="preserve">Days</t>
  </si>
  <si>
    <t xml:space="preserve">Futures</t>
  </si>
  <si>
    <t xml:space="preserve">Volume 1</t>
  </si>
  <si>
    <t xml:space="preserve">PV Vol 1</t>
  </si>
  <si>
    <t xml:space="preserve">Volume Adj</t>
  </si>
  <si>
    <t xml:space="preserve">PV Adj Vol</t>
  </si>
  <si>
    <t xml:space="preserve">IR Date</t>
  </si>
  <si>
    <t xml:space="preserve">IR w/ adj</t>
  </si>
  <si>
    <t xml:space="preserve">PV Price</t>
  </si>
  <si>
    <t xml:space="preserve">PV Settle</t>
  </si>
  <si>
    <t xml:space="preserve">blotter</t>
  </si>
  <si>
    <t xml:space="preserve">Curve Type</t>
  </si>
  <si>
    <t xml:space="preserve">PR</t>
  </si>
  <si>
    <t xml:space="preserve">VO</t>
  </si>
  <si>
    <t xml:space="preserve">AA</t>
  </si>
  <si>
    <t xml:space="preserve">x1  2 yr</t>
  </si>
  <si>
    <t xml:space="preserve">in Months</t>
  </si>
  <si>
    <t xml:space="preserve">system</t>
  </si>
  <si>
    <t xml:space="preserve">Book Code 1</t>
  </si>
  <si>
    <t xml:space="preserve">P</t>
  </si>
  <si>
    <t xml:space="preserve">R</t>
  </si>
  <si>
    <t xml:space="preserve">fuller</t>
  </si>
  <si>
    <r>
      <rPr>
        <b val="true"/>
        <sz val="11"/>
        <rFont val="Arial"/>
        <family val="2"/>
      </rPr>
      <t xml:space="preserve">x</t>
    </r>
    <r>
      <rPr>
        <b val="true"/>
        <sz val="12"/>
        <rFont val="Arial"/>
        <family val="2"/>
      </rPr>
      <t xml:space="preserve">2</t>
    </r>
    <r>
      <rPr>
        <b val="true"/>
        <sz val="11"/>
        <rFont val="Arial"/>
        <family val="2"/>
      </rPr>
      <t xml:space="preserve"> 1 yr</t>
    </r>
  </si>
  <si>
    <t xml:space="preserve">Year on Year Spreads</t>
  </si>
  <si>
    <t xml:space="preserve">cal 2</t>
  </si>
  <si>
    <t xml:space="preserve">Daily Vol</t>
  </si>
  <si>
    <t xml:space="preserve">daily</t>
  </si>
  <si>
    <t xml:space="preserve">ja settles</t>
  </si>
  <si>
    <t xml:space="preserve">check</t>
  </si>
  <si>
    <t xml:space="preserve">PGP</t>
  </si>
  <si>
    <t xml:space="preserve">Curve Shift</t>
  </si>
  <si>
    <t xml:space="preserve">Cell Location</t>
  </si>
  <si>
    <t xml:space="preserve">E11</t>
  </si>
  <si>
    <t xml:space="preserve">G11</t>
  </si>
  <si>
    <t xml:space="preserve">H11</t>
  </si>
  <si>
    <t xml:space="preserve">jv2</t>
  </si>
  <si>
    <t xml:space="preserve">2002/</t>
  </si>
  <si>
    <t xml:space="preserve">cal 3</t>
  </si>
  <si>
    <t xml:space="preserve">jv3</t>
  </si>
  <si>
    <t xml:space="preserve">2003/</t>
  </si>
  <si>
    <t xml:space="preserve">cal 4</t>
  </si>
  <si>
    <t xml:space="preserve">jv4</t>
  </si>
  <si>
    <t xml:space="preserve">2004/</t>
  </si>
  <si>
    <t xml:space="preserve">cal 5</t>
  </si>
  <si>
    <t xml:space="preserve">xh</t>
  </si>
  <si>
    <t xml:space="preserve">2005/</t>
  </si>
  <si>
    <t xml:space="preserve">cal 6</t>
  </si>
  <si>
    <t xml:space="preserve">x2h3</t>
  </si>
  <si>
    <t xml:space="preserve">2006/</t>
  </si>
  <si>
    <t xml:space="preserve">cal 7</t>
  </si>
  <si>
    <t xml:space="preserve">x3h4</t>
  </si>
  <si>
    <t xml:space="preserve">2007/</t>
  </si>
  <si>
    <t xml:space="preserve">cal 8</t>
  </si>
  <si>
    <t xml:space="preserve">x4h5</t>
  </si>
  <si>
    <t xml:space="preserve">2008/</t>
  </si>
  <si>
    <t xml:space="preserve">cal 9</t>
  </si>
  <si>
    <t xml:space="preserve">2/3</t>
  </si>
  <si>
    <t xml:space="preserve">2009/</t>
  </si>
  <si>
    <t xml:space="preserve">cal 10</t>
  </si>
  <si>
    <t xml:space="preserve">3/4</t>
  </si>
  <si>
    <t xml:space="preserve">2010/</t>
  </si>
  <si>
    <t xml:space="preserve">cal 11</t>
  </si>
  <si>
    <t xml:space="preserve">4/5</t>
  </si>
  <si>
    <t xml:space="preserve">2011/</t>
  </si>
  <si>
    <t xml:space="preserve">cal 12</t>
  </si>
  <si>
    <t xml:space="preserve">5/6</t>
  </si>
  <si>
    <t xml:space="preserve">2012/</t>
  </si>
  <si>
    <t xml:space="preserve">cal 13</t>
  </si>
  <si>
    <t xml:space="preserve">6/7</t>
  </si>
  <si>
    <t xml:space="preserve">2013/</t>
  </si>
  <si>
    <t xml:space="preserve">cal 14</t>
  </si>
  <si>
    <t xml:space="preserve">7/8</t>
  </si>
  <si>
    <t xml:space="preserve">2014/</t>
  </si>
  <si>
    <t xml:space="preserve">cal 15</t>
  </si>
  <si>
    <t xml:space="preserve">8/9</t>
  </si>
  <si>
    <t xml:space="preserve">2015/</t>
  </si>
  <si>
    <t xml:space="preserve">cal 16</t>
  </si>
  <si>
    <t xml:space="preserve">9/10</t>
  </si>
  <si>
    <t xml:space="preserve">2016/</t>
  </si>
  <si>
    <t xml:space="preserve">cal 17</t>
  </si>
  <si>
    <t xml:space="preserve">10/11</t>
  </si>
  <si>
    <t xml:space="preserve">2017/</t>
  </si>
  <si>
    <t xml:space="preserve">cal 18</t>
  </si>
  <si>
    <t xml:space="preserve">11/12</t>
  </si>
  <si>
    <t xml:space="preserve">2018/</t>
  </si>
  <si>
    <t xml:space="preserve">cal 19</t>
  </si>
  <si>
    <t xml:space="preserve">12/13</t>
  </si>
  <si>
    <t xml:space="preserve">2019/</t>
  </si>
  <si>
    <t xml:space="preserve">cal 20</t>
  </si>
  <si>
    <t xml:space="preserve">13/14</t>
  </si>
  <si>
    <t xml:space="preserve">2020/</t>
  </si>
  <si>
    <t xml:space="preserve">cal 21</t>
  </si>
  <si>
    <t xml:space="preserve">14/15</t>
  </si>
  <si>
    <t xml:space="preserve">2021/</t>
  </si>
  <si>
    <t xml:space="preserve">cal 22</t>
  </si>
  <si>
    <t xml:space="preserve">2022/</t>
  </si>
  <si>
    <t xml:space="preserve">cal 23</t>
  </si>
  <si>
    <t xml:space="preserve">sprd</t>
  </si>
  <si>
    <t xml:space="preserve">settle sprd</t>
  </si>
  <si>
    <t xml:space="preserve">2023/</t>
  </si>
  <si>
    <t xml:space="preserve">cal 24</t>
  </si>
  <si>
    <t xml:space="preserve">2024/</t>
  </si>
  <si>
    <t xml:space="preserve">cal 25</t>
  </si>
  <si>
    <t xml:space="preserve">2025/</t>
  </si>
  <si>
    <t xml:space="preserve">cal 26</t>
  </si>
  <si>
    <t xml:space="preserve">2026/</t>
  </si>
  <si>
    <t xml:space="preserve">cal 27</t>
  </si>
  <si>
    <t xml:space="preserve">2027/</t>
  </si>
  <si>
    <t xml:space="preserve">cal 28</t>
  </si>
  <si>
    <t xml:space="preserve">--------------</t>
  </si>
  <si>
    <t xml:space="preserve">………….</t>
  </si>
  <si>
    <t xml:space="preserve">Today</t>
  </si>
  <si>
    <t xml:space="preserve">Start Mo</t>
  </si>
  <si>
    <t xml:space="preserve">End Mo</t>
  </si>
  <si>
    <t xml:space="preserve">Value</t>
  </si>
  <si>
    <t xml:space="preserve">Settle</t>
  </si>
  <si>
    <t xml:space="preserve">Change</t>
  </si>
  <si>
    <t xml:space="preserve">sprd settle</t>
  </si>
  <si>
    <t xml:space="preserve">Volume Adjustment</t>
  </si>
  <si>
    <t xml:space="preserve">Swap</t>
  </si>
  <si>
    <t xml:space="preserve">Adj 0 = off</t>
  </si>
  <si>
    <t xml:space="preserve">Adj Vol</t>
  </si>
  <si>
    <t xml:space="preserve">MONTH</t>
  </si>
  <si>
    <t xml:space="preserve">VOLUME</t>
  </si>
  <si>
    <t xml:space="preserve">Diff</t>
  </si>
  <si>
    <t xml:space="preserve">Daily = 0 , Month = 1</t>
  </si>
  <si>
    <t xml:space="preserve">Start Date</t>
  </si>
  <si>
    <t xml:space="preserve">End Date</t>
  </si>
  <si>
    <t xml:space="preserve">Yest Stdl</t>
  </si>
  <si>
    <t xml:space="preserve">Book</t>
  </si>
  <si>
    <t xml:space="preserve">Strike 1</t>
  </si>
  <si>
    <t xml:space="preserve">Strike 2</t>
  </si>
  <si>
    <t xml:space="preserve">Call</t>
  </si>
  <si>
    <t xml:space="preserve">Put</t>
  </si>
  <si>
    <t xml:space="preserve">Skew</t>
  </si>
  <si>
    <t xml:space="preserve">Volatility</t>
  </si>
  <si>
    <t xml:space="preserve">1=adj </t>
  </si>
  <si>
    <t xml:space="preserve">Disc Fac</t>
  </si>
  <si>
    <t xml:space="preserve">2=override</t>
  </si>
  <si>
    <t xml:space="preserve">USED</t>
  </si>
  <si>
    <t xml:space="preserve">Perm</t>
  </si>
  <si>
    <t xml:space="preserve">Delta</t>
  </si>
  <si>
    <t xml:space="preserve">adj</t>
  </si>
  <si>
    <t xml:space="preserve">Straddle</t>
  </si>
  <si>
    <t xml:space="preserve">Fence</t>
  </si>
  <si>
    <t xml:space="preserve">Spread</t>
  </si>
  <si>
    <t xml:space="preserve">1 x 2</t>
  </si>
  <si>
    <t xml:space="preserve">SWPTN</t>
  </si>
  <si>
    <t xml:space="preserve">X</t>
  </si>
  <si>
    <t xml:space="preserve">K</t>
  </si>
  <si>
    <t xml:space="preserve">V</t>
  </si>
  <si>
    <t xml:space="preserve">T</t>
  </si>
  <si>
    <t xml:space="preserve">p=0 c=1</t>
  </si>
  <si>
    <t xml:space="preserve">value</t>
  </si>
  <si>
    <t xml:space="preserve">delta</t>
  </si>
  <si>
    <t xml:space="preserve">EXT</t>
  </si>
  <si>
    <t xml:space="preserve">Swap  1</t>
  </si>
  <si>
    <t xml:space="preserve">Swap  2</t>
  </si>
  <si>
    <t xml:space="preserve">Disc F #1</t>
  </si>
  <si>
    <t xml:space="preserve">Disc F #2</t>
  </si>
  <si>
    <t xml:space="preserve">Months x</t>
  </si>
  <si>
    <t xml:space="preserve">Months </t>
  </si>
  <si>
    <t xml:space="preserve">Strike</t>
  </si>
  <si>
    <t xml:space="preserve">PUT</t>
  </si>
  <si>
    <t xml:space="preserve">CALL</t>
  </si>
</sst>
</file>

<file path=xl/styles.xml><?xml version="1.0" encoding="utf-8"?>
<styleSheet xmlns="http://schemas.openxmlformats.org/spreadsheetml/2006/main">
  <numFmts count="33">
    <numFmt numFmtId="164" formatCode="General"/>
    <numFmt numFmtId="165" formatCode="0"/>
    <numFmt numFmtId="166" formatCode="\$#,##0_);[RED]&quot;($&quot;#,##0\)"/>
    <numFmt numFmtId="167" formatCode="[$-409]#,##0_);\(#,##0\)"/>
    <numFmt numFmtId="168" formatCode="0.00_)"/>
    <numFmt numFmtId="169" formatCode="0.00%"/>
    <numFmt numFmtId="170" formatCode="[$-409]#,##0_);[RED]\(#,##0\)"/>
    <numFmt numFmtId="171" formatCode="[$-409]#,##0.00_);[RED]\(#,##0.00\)"/>
    <numFmt numFmtId="172" formatCode="#,##0"/>
    <numFmt numFmtId="173" formatCode="0%"/>
    <numFmt numFmtId="174" formatCode="0.00"/>
    <numFmt numFmtId="175" formatCode="[$-409]d\-mmm"/>
    <numFmt numFmtId="176" formatCode="0.000"/>
    <numFmt numFmtId="177" formatCode="[&lt;=9999999]###\-####;\(###&quot;) &quot;###\-####"/>
    <numFmt numFmtId="178" formatCode="_(* #,##0.00_);_(* \(#,##0.00\);_(* \-??_);_(@_)"/>
    <numFmt numFmtId="179" formatCode="_(* #,##0_);_(* \(#,##0\);_(* \-??_);_(@_)"/>
    <numFmt numFmtId="180" formatCode="_(\$* #,##0.00_);_(\$* \(#,##0.00\);_(\$* \-??_);_(@_)"/>
    <numFmt numFmtId="181" formatCode="_(\$* #,##0_);_(\$* \(#,##0\);_(\$* \-??_);_(@_)"/>
    <numFmt numFmtId="182" formatCode="0.0"/>
    <numFmt numFmtId="183" formatCode="[$-409]mmm\-yy"/>
    <numFmt numFmtId="184" formatCode="0.0000"/>
    <numFmt numFmtId="185" formatCode="#,##0.00"/>
    <numFmt numFmtId="186" formatCode="0.000%"/>
    <numFmt numFmtId="187" formatCode="[$-409]d\-mmm\-yy"/>
    <numFmt numFmtId="188" formatCode="0_);[RED]\(0\)"/>
    <numFmt numFmtId="189" formatCode="mm/dd/yy"/>
    <numFmt numFmtId="190" formatCode="_(* #,##0.000000_);_(* \(#,##0.000000\);_(* \-??_);_(@_)"/>
    <numFmt numFmtId="191" formatCode="#,##0.000"/>
    <numFmt numFmtId="192" formatCode="[$-409]m/d/yyyy"/>
    <numFmt numFmtId="193" formatCode="#,##0.0000"/>
    <numFmt numFmtId="194" formatCode="0.00000"/>
    <numFmt numFmtId="195" formatCode="#,##0.000000"/>
    <numFmt numFmtId="196" formatCode="#,##0.0"/>
  </numFmts>
  <fonts count="5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b val="true"/>
      <sz val="10"/>
      <name val="Arial"/>
      <family val="0"/>
    </font>
    <font>
      <b val="true"/>
      <sz val="8"/>
      <name val="Arial"/>
      <family val="0"/>
    </font>
    <font>
      <sz val="11"/>
      <name val="??"/>
      <family val="3"/>
      <charset val="129"/>
    </font>
    <font>
      <u val="single"/>
      <sz val="10"/>
      <color rgb="FF80008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10"/>
      <name val="Univers"/>
      <family val="0"/>
    </font>
    <font>
      <sz val="8"/>
      <name val="Arial"/>
      <family val="0"/>
    </font>
    <font>
      <sz val="8"/>
      <color rgb="FF0000FF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0"/>
      <name val="MS Sans Serif"/>
      <family val="2"/>
    </font>
    <font>
      <sz val="10"/>
      <name val="MS Sans Serif"/>
      <family val="2"/>
    </font>
    <font>
      <b val="true"/>
      <sz val="12"/>
      <name val="Arial"/>
      <family val="2"/>
    </font>
    <font>
      <sz val="10"/>
      <color rgb="FF0000FF"/>
      <name val="MS Sans Serif"/>
      <family val="2"/>
    </font>
    <font>
      <b val="true"/>
      <sz val="8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8.25"/>
      <color rgb="FF000000"/>
      <name val="Arial"/>
      <family val="2"/>
    </font>
    <font>
      <sz val="8"/>
      <color rgb="FF000000"/>
      <name val="Arial"/>
      <family val="2"/>
    </font>
    <font>
      <b val="true"/>
      <sz val="8"/>
      <color rgb="FFFF0000"/>
      <name val="Arial"/>
      <family val="2"/>
    </font>
    <font>
      <sz val="7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FF0000"/>
      <name val="Arial"/>
      <family val="2"/>
    </font>
    <font>
      <b val="true"/>
      <sz val="11"/>
      <name val="Arial"/>
      <family val="2"/>
    </font>
    <font>
      <sz val="9"/>
      <name val="Arial"/>
      <family val="2"/>
    </font>
    <font>
      <sz val="11"/>
      <name val="Arial"/>
      <family val="0"/>
    </font>
    <font>
      <b val="true"/>
      <sz val="11"/>
      <name val="Univers"/>
      <family val="0"/>
    </font>
    <font>
      <sz val="11"/>
      <name val="Arial"/>
      <family val="2"/>
    </font>
    <font>
      <b val="true"/>
      <sz val="11"/>
      <color rgb="FF993366"/>
      <name val="Univers"/>
      <family val="0"/>
    </font>
    <font>
      <sz val="11"/>
      <color rgb="FF008000"/>
      <name val="Arial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 val="true"/>
      <sz val="11"/>
      <color rgb="FF0000FF"/>
      <name val="Arial"/>
      <family val="2"/>
    </font>
    <font>
      <b val="true"/>
      <sz val="11"/>
      <color rgb="FF003366"/>
      <name val="Arial"/>
      <family val="2"/>
    </font>
    <font>
      <b val="true"/>
      <sz val="11"/>
      <color rgb="FF008000"/>
      <name val="Arial"/>
      <family val="2"/>
    </font>
    <font>
      <b val="true"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1"/>
      <color rgb="FFFFCC00"/>
      <name val="Arial"/>
      <family val="2"/>
    </font>
    <font>
      <b val="true"/>
      <sz val="11"/>
      <color rgb="FFC0C0C0"/>
      <name val="Arial"/>
      <family val="2"/>
    </font>
    <font>
      <b val="true"/>
      <sz val="11"/>
      <color rgb="FF000080"/>
      <name val="Arial"/>
      <family val="2"/>
    </font>
    <font>
      <b val="true"/>
      <sz val="11"/>
      <color rgb="FF660066"/>
      <name val="Arial"/>
      <family val="2"/>
    </font>
    <font>
      <sz val="10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FFFF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FF9900"/>
        <bgColor rgb="FFFFCC00"/>
      </patternFill>
    </fill>
    <fill>
      <patternFill patternType="solid">
        <fgColor rgb="FF333333"/>
        <bgColor rgb="FF3333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</fills>
  <borders count="48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/>
      <top style="thin"/>
      <bottom/>
      <diagonal/>
    </border>
  </borders>
  <cellStyleXfs count="5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applyFont="true" applyBorder="false" applyAlignment="false" applyProtection="false"/>
    <xf numFmtId="164" fontId="9" fillId="3" borderId="0" applyFont="true" applyBorder="false" applyAlignment="false" applyProtection="false"/>
    <xf numFmtId="164" fontId="1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3" applyFont="true" applyBorder="true" applyAlignment="false" applyProtection="false"/>
    <xf numFmtId="164" fontId="9" fillId="4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5" borderId="0" applyFont="true" applyBorder="true" applyAlignment="false" applyProtection="false"/>
    <xf numFmtId="167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9" fillId="6" borderId="0" applyFont="true" applyBorder="false" applyAlignment="false" applyProtection="false"/>
    <xf numFmtId="167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3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4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1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1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3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8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4" fillId="0" borderId="0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1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1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4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6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9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9" fillId="11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0" fillId="11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2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19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1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1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3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5" fillId="1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35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3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5" fillId="1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8" fillId="3" borderId="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9" fillId="1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1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20" fillId="0" borderId="0" xfId="4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11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5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11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5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4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4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1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8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9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0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9" fillId="11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7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1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1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7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1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3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9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9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6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3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3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9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9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9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6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7" fillId="6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0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1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3" fillId="17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17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7" fillId="17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1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7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1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6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3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3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" xfId="20"/>
    <cellStyle name="Actual Date" xfId="21"/>
    <cellStyle name="Column_Title" xfId="22"/>
    <cellStyle name="Date" xfId="23"/>
    <cellStyle name="Fixed" xfId="24"/>
    <cellStyle name="Followe೤ Hyperlink" xfId="25"/>
    <cellStyle name="Grey" xfId="26"/>
    <cellStyle name="HEADER" xfId="27"/>
    <cellStyle name="Heading 1" xfId="28"/>
    <cellStyle name="Heading2" xfId="29"/>
    <cellStyle name="HIGHLIGHT" xfId="30"/>
    <cellStyle name="Input [yellow]" xfId="31"/>
    <cellStyle name="Milliers [0]_laroux" xfId="32"/>
    <cellStyle name="Milliers_laroux" xfId="33"/>
    <cellStyle name="Monétaire [0]_laroux" xfId="34"/>
    <cellStyle name="Monétaire_laroux" xfId="35"/>
    <cellStyle name="NewFill" xfId="36"/>
    <cellStyle name="no dec" xfId="37"/>
    <cellStyle name="Normal - Style1" xfId="38"/>
    <cellStyle name="Normal_A" xfId="39"/>
    <cellStyle name="Normal_modelmark" xfId="40"/>
    <cellStyle name="Normal_Swap" xfId="41"/>
    <cellStyle name="Normal_Swap_1" xfId="42"/>
    <cellStyle name="Percent [2]" xfId="43"/>
    <cellStyle name="Total" xfId="44"/>
    <cellStyle name="Tusental (0)_laroux" xfId="45"/>
    <cellStyle name="Tusental_laroux" xfId="46"/>
    <cellStyle name="Unprot" xfId="47"/>
    <cellStyle name="Unprot$" xfId="48"/>
    <cellStyle name="Unprotect" xfId="49"/>
    <cellStyle name="Valuta (0)_laroux" xfId="50"/>
    <cellStyle name="Valuta_laroux" xfId="51"/>
  </cellStyles>
  <dxfs count="3">
    <dxf>
      <font>
        <name val="Arial"/>
        <family val="0"/>
        <color rgb="00FFFFFF"/>
      </font>
      <fill>
        <patternFill>
          <bgColor rgb="FFFFFF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  <dxf>
      <font>
        <name val="Arial"/>
        <family val="0"/>
        <color rgb="00FFFFFF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7F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Lower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5148003526893"/>
          <c:y val="0.194566623544631"/>
          <c:w val="0.895830709157325"/>
          <c:h val="0.80543337645536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Skew3!$C$1:$D$1</c:f>
              <c:numCache>
                <c:formatCode>0</c:formatCode>
                <c:ptCount val="2"/>
                <c:pt idx="0">
                  <c:v>-5</c:v>
                </c:pt>
                <c:pt idx="1">
                  <c:v>-4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Skew3!$C$2:$D$2</c:f>
              <c:numCache>
                <c:formatCode>0.00</c:formatCode>
                <c:ptCount val="2"/>
                <c:pt idx="0">
                  <c:v>8</c:v>
                </c:pt>
                <c:pt idx="1">
                  <c:v>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1553766"/>
        <c:axId val="63624385"/>
      </c:lineChart>
      <c:catAx>
        <c:axId val="715537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24385"/>
        <c:crossesAt val="0"/>
        <c:auto val="1"/>
        <c:lblAlgn val="ctr"/>
        <c:lblOffset val="100"/>
        <c:noMultiLvlLbl val="0"/>
      </c:catAx>
      <c:valAx>
        <c:axId val="636243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55376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Upper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74171357098186"/>
          <c:y val="0.192204700981851"/>
          <c:w val="0.91031894934334"/>
          <c:h val="0.80779529901814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Skew3!$U$1:$V$1</c:f>
              <c:numCache>
                <c:formatCode>0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Skew3!$U$2:$V$2</c:f>
              <c:numCache>
                <c:formatCode>0.00</c:formatCode>
                <c:ptCount val="2"/>
                <c:pt idx="0">
                  <c:v>16.9385189113318</c:v>
                </c:pt>
                <c:pt idx="1">
                  <c:v>60.8371198664613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233659"/>
        <c:axId val="9002285"/>
      </c:lineChart>
      <c:catAx>
        <c:axId val="89233659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02285"/>
        <c:crossesAt val="0"/>
        <c:auto val="1"/>
        <c:lblAlgn val="ctr"/>
        <c:lblOffset val="100"/>
        <c:noMultiLvlLbl val="0"/>
      </c:catAx>
      <c:valAx>
        <c:axId val="90022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33659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848233464188"/>
          <c:y val="0.103910080114791"/>
          <c:w val="0.942744981853196"/>
          <c:h val="0.896089919885209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8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Skew3!$D$1:$U$1</c:f>
              <c:numCache>
                <c:formatCode>0</c:formatCode>
                <c:ptCount val="18"/>
                <c:pt idx="0">
                  <c:v>-4</c:v>
                </c:pt>
                <c:pt idx="1">
                  <c:v>-3.5</c:v>
                </c:pt>
                <c:pt idx="2">
                  <c:v>-3</c:v>
                </c:pt>
                <c:pt idx="3">
                  <c:v>-2.5</c:v>
                </c:pt>
                <c:pt idx="4">
                  <c:v>-2</c:v>
                </c:pt>
                <c:pt idx="5">
                  <c:v>-1.5</c:v>
                </c:pt>
                <c:pt idx="6">
                  <c:v>-1</c:v>
                </c:pt>
                <c:pt idx="7">
                  <c:v>-0.5</c:v>
                </c:pt>
                <c:pt idx="8">
                  <c:v>0</c:v>
                </c:pt>
                <c:pt idx="9">
                  <c:v>0.5</c:v>
                </c:pt>
                <c:pt idx="10">
                  <c:v>1</c:v>
                </c:pt>
                <c:pt idx="11">
                  <c:v>1.5</c:v>
                </c:pt>
                <c:pt idx="12">
                  <c:v>2</c:v>
                </c:pt>
                <c:pt idx="13">
                  <c:v>2.5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</c:numCache>
            </c:numRef>
          </c:xVal>
          <c:yVal>
            <c:numRef>
              <c:f>Skew3!$D$2:$U$2</c:f>
              <c:numCache>
                <c:formatCode>0.00</c:formatCode>
                <c:ptCount val="18"/>
                <c:pt idx="0">
                  <c:v>7</c:v>
                </c:pt>
                <c:pt idx="1">
                  <c:v>6</c:v>
                </c:pt>
                <c:pt idx="2">
                  <c:v>4.5</c:v>
                </c:pt>
                <c:pt idx="3">
                  <c:v>3</c:v>
                </c:pt>
                <c:pt idx="4">
                  <c:v>4</c:v>
                </c:pt>
                <c:pt idx="5">
                  <c:v>3.5</c:v>
                </c:pt>
                <c:pt idx="6">
                  <c:v>3</c:v>
                </c:pt>
                <c:pt idx="7">
                  <c:v>1.5</c:v>
                </c:pt>
                <c:pt idx="8">
                  <c:v>0</c:v>
                </c:pt>
                <c:pt idx="9">
                  <c:v>0.75</c:v>
                </c:pt>
                <c:pt idx="10">
                  <c:v>1.5</c:v>
                </c:pt>
                <c:pt idx="11">
                  <c:v>2.25</c:v>
                </c:pt>
                <c:pt idx="12">
                  <c:v>3</c:v>
                </c:pt>
                <c:pt idx="13">
                  <c:v>4</c:v>
                </c:pt>
                <c:pt idx="14">
                  <c:v>5</c:v>
                </c:pt>
                <c:pt idx="15">
                  <c:v>6</c:v>
                </c:pt>
                <c:pt idx="16">
                  <c:v>7.5</c:v>
                </c:pt>
                <c:pt idx="17">
                  <c:v>16.9385189113318</c:v>
                </c:pt>
              </c:numCache>
            </c:numRef>
          </c:yVal>
          <c:smooth val="0"/>
        </c:ser>
        <c:axId val="94920301"/>
        <c:axId val="99627675"/>
      </c:scatterChart>
      <c:valAx>
        <c:axId val="94920301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627675"/>
        <c:crossesAt val="0"/>
        <c:crossBetween val="midCat"/>
      </c:valAx>
      <c:valAx>
        <c:axId val="9962767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920301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0986310016964532"/>
          <c:y val="0.021767522855899"/>
          <c:w val="0.990136899830355"/>
          <c:h val="0.978232477144101"/>
        </c:manualLayout>
      </c:layout>
      <c:lineChart>
        <c:grouping val="standard"/>
        <c:varyColors val="0"/>
        <c:ser>
          <c:idx val="0"/>
          <c:order val="0"/>
          <c:tx>
            <c:strRef>
              <c:f>"settles"</c:f>
              <c:strCache>
                <c:ptCount val="1"/>
                <c:pt idx="0">
                  <c:v>settles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2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Oct-01</c:v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</c:strCache>
            </c:strRef>
          </c:cat>
          <c:val>
            <c:numRef>
              <c:f>Swap!$C$11:$C$85</c:f>
              <c:numCache>
                <c:formatCode>0.000</c:formatCode>
                <c:ptCount val="75"/>
                <c:pt idx="0">
                  <c:v>1.925</c:v>
                </c:pt>
                <c:pt idx="1">
                  <c:v>2.3</c:v>
                </c:pt>
                <c:pt idx="2">
                  <c:v>2.69</c:v>
                </c:pt>
                <c:pt idx="3">
                  <c:v>2.895</c:v>
                </c:pt>
                <c:pt idx="4">
                  <c:v>2.893</c:v>
                </c:pt>
                <c:pt idx="5">
                  <c:v>2.86</c:v>
                </c:pt>
                <c:pt idx="6">
                  <c:v>2.803</c:v>
                </c:pt>
                <c:pt idx="7">
                  <c:v>2.828</c:v>
                </c:pt>
                <c:pt idx="8">
                  <c:v>2.88</c:v>
                </c:pt>
                <c:pt idx="9">
                  <c:v>2.926</c:v>
                </c:pt>
                <c:pt idx="10">
                  <c:v>2.968</c:v>
                </c:pt>
                <c:pt idx="11">
                  <c:v>2.968</c:v>
                </c:pt>
                <c:pt idx="12">
                  <c:v>2.988</c:v>
                </c:pt>
                <c:pt idx="13">
                  <c:v>3.153</c:v>
                </c:pt>
                <c:pt idx="14">
                  <c:v>3.343</c:v>
                </c:pt>
                <c:pt idx="15">
                  <c:v>3.43</c:v>
                </c:pt>
                <c:pt idx="16">
                  <c:v>3.333</c:v>
                </c:pt>
                <c:pt idx="17">
                  <c:v>3.208</c:v>
                </c:pt>
                <c:pt idx="18">
                  <c:v>3.048</c:v>
                </c:pt>
                <c:pt idx="19">
                  <c:v>3.059</c:v>
                </c:pt>
                <c:pt idx="20">
                  <c:v>3.087</c:v>
                </c:pt>
                <c:pt idx="21">
                  <c:v>3.107</c:v>
                </c:pt>
                <c:pt idx="22">
                  <c:v>3.127</c:v>
                </c:pt>
                <c:pt idx="23">
                  <c:v>3.132</c:v>
                </c:pt>
                <c:pt idx="24">
                  <c:v>3.142</c:v>
                </c:pt>
                <c:pt idx="25">
                  <c:v>3.307</c:v>
                </c:pt>
                <c:pt idx="26">
                  <c:v>3.472</c:v>
                </c:pt>
                <c:pt idx="27">
                  <c:v>3.527</c:v>
                </c:pt>
                <c:pt idx="28">
                  <c:v>3.413</c:v>
                </c:pt>
                <c:pt idx="29">
                  <c:v>3.281</c:v>
                </c:pt>
                <c:pt idx="30">
                  <c:v>3.111</c:v>
                </c:pt>
                <c:pt idx="31">
                  <c:v>3.111</c:v>
                </c:pt>
                <c:pt idx="32">
                  <c:v>3.143</c:v>
                </c:pt>
                <c:pt idx="33">
                  <c:v>3.193</c:v>
                </c:pt>
                <c:pt idx="34">
                  <c:v>3.227</c:v>
                </c:pt>
                <c:pt idx="35">
                  <c:v>3.24</c:v>
                </c:pt>
                <c:pt idx="36">
                  <c:v>3.232</c:v>
                </c:pt>
                <c:pt idx="37">
                  <c:v>3.402</c:v>
                </c:pt>
                <c:pt idx="38">
                  <c:v>3.577</c:v>
                </c:pt>
                <c:pt idx="39">
                  <c:v>3.6095</c:v>
                </c:pt>
                <c:pt idx="40">
                  <c:v>3.4955</c:v>
                </c:pt>
                <c:pt idx="41">
                  <c:v>3.3635</c:v>
                </c:pt>
                <c:pt idx="42">
                  <c:v>3.1935</c:v>
                </c:pt>
                <c:pt idx="43">
                  <c:v>3.1935</c:v>
                </c:pt>
                <c:pt idx="44">
                  <c:v>3.2255</c:v>
                </c:pt>
                <c:pt idx="45">
                  <c:v>3.2755</c:v>
                </c:pt>
                <c:pt idx="46">
                  <c:v>3.3095</c:v>
                </c:pt>
                <c:pt idx="47">
                  <c:v>3.3225</c:v>
                </c:pt>
                <c:pt idx="48">
                  <c:v>3.3145</c:v>
                </c:pt>
                <c:pt idx="49">
                  <c:v>3.4845</c:v>
                </c:pt>
                <c:pt idx="50">
                  <c:v>3.6595</c:v>
                </c:pt>
                <c:pt idx="51">
                  <c:v>3.6945</c:v>
                </c:pt>
                <c:pt idx="52">
                  <c:v>3.5805</c:v>
                </c:pt>
                <c:pt idx="53">
                  <c:v>3.4485</c:v>
                </c:pt>
                <c:pt idx="54">
                  <c:v>3.2785</c:v>
                </c:pt>
                <c:pt idx="55">
                  <c:v>3.2785</c:v>
                </c:pt>
                <c:pt idx="56">
                  <c:v>3.3105</c:v>
                </c:pt>
                <c:pt idx="57">
                  <c:v>3.3605</c:v>
                </c:pt>
                <c:pt idx="58">
                  <c:v>3.3945</c:v>
                </c:pt>
                <c:pt idx="59">
                  <c:v>3.4075</c:v>
                </c:pt>
                <c:pt idx="60">
                  <c:v>3.3995</c:v>
                </c:pt>
                <c:pt idx="61">
                  <c:v>3.5695</c:v>
                </c:pt>
                <c:pt idx="62">
                  <c:v>3.7445</c:v>
                </c:pt>
                <c:pt idx="63">
                  <c:v>3.782</c:v>
                </c:pt>
                <c:pt idx="64">
                  <c:v>3.668</c:v>
                </c:pt>
                <c:pt idx="65">
                  <c:v>3.536</c:v>
                </c:pt>
                <c:pt idx="66">
                  <c:v>3.366</c:v>
                </c:pt>
                <c:pt idx="67">
                  <c:v>3.366</c:v>
                </c:pt>
                <c:pt idx="68">
                  <c:v>3.398</c:v>
                </c:pt>
                <c:pt idx="69">
                  <c:v>3.448</c:v>
                </c:pt>
                <c:pt idx="70">
                  <c:v>3.482</c:v>
                </c:pt>
                <c:pt idx="71">
                  <c:v>3.495</c:v>
                </c:pt>
                <c:pt idx="72">
                  <c:v>3.487</c:v>
                </c:pt>
                <c:pt idx="73">
                  <c:v>3.657</c:v>
                </c:pt>
                <c:pt idx="74">
                  <c:v>3.832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"Value"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Swap!$A$11:$A$85</c:f>
              <c:strCache>
                <c:ptCount val="75"/>
                <c:pt idx="0">
                  <c:v>Oct-01</c:v>
                </c:pt>
                <c:pt idx="1">
                  <c:v>Nov-01</c:v>
                </c:pt>
                <c:pt idx="2">
                  <c:v>Dec-01</c:v>
                </c:pt>
                <c:pt idx="3">
                  <c:v>Jan-02</c:v>
                </c:pt>
                <c:pt idx="4">
                  <c:v>Feb-02</c:v>
                </c:pt>
                <c:pt idx="5">
                  <c:v>Mar-02</c:v>
                </c:pt>
                <c:pt idx="6">
                  <c:v>Apr-02</c:v>
                </c:pt>
                <c:pt idx="7">
                  <c:v>May-02</c:v>
                </c:pt>
                <c:pt idx="8">
                  <c:v>Jun-02</c:v>
                </c:pt>
                <c:pt idx="9">
                  <c:v>Jul-02</c:v>
                </c:pt>
                <c:pt idx="10">
                  <c:v>Aug-02</c:v>
                </c:pt>
                <c:pt idx="11">
                  <c:v>Sep-02</c:v>
                </c:pt>
                <c:pt idx="12">
                  <c:v>Oct-02</c:v>
                </c:pt>
                <c:pt idx="13">
                  <c:v>Nov-02</c:v>
                </c:pt>
                <c:pt idx="14">
                  <c:v>Dec-02</c:v>
                </c:pt>
                <c:pt idx="15">
                  <c:v>Jan-03</c:v>
                </c:pt>
                <c:pt idx="16">
                  <c:v>Feb-03</c:v>
                </c:pt>
                <c:pt idx="17">
                  <c:v>Mar-03</c:v>
                </c:pt>
                <c:pt idx="18">
                  <c:v>Apr-03</c:v>
                </c:pt>
                <c:pt idx="19">
                  <c:v>May-03</c:v>
                </c:pt>
                <c:pt idx="20">
                  <c:v>Jun-03</c:v>
                </c:pt>
                <c:pt idx="21">
                  <c:v>Jul-03</c:v>
                </c:pt>
                <c:pt idx="22">
                  <c:v>Aug-03</c:v>
                </c:pt>
                <c:pt idx="23">
                  <c:v>Sep-03</c:v>
                </c:pt>
                <c:pt idx="24">
                  <c:v>Oct-03</c:v>
                </c:pt>
                <c:pt idx="25">
                  <c:v>Nov-03</c:v>
                </c:pt>
                <c:pt idx="26">
                  <c:v>Dec-03</c:v>
                </c:pt>
                <c:pt idx="27">
                  <c:v>Jan-04</c:v>
                </c:pt>
                <c:pt idx="28">
                  <c:v>Feb-04</c:v>
                </c:pt>
                <c:pt idx="29">
                  <c:v>Mar-04</c:v>
                </c:pt>
                <c:pt idx="30">
                  <c:v>Apr-04</c:v>
                </c:pt>
                <c:pt idx="31">
                  <c:v>May-04</c:v>
                </c:pt>
                <c:pt idx="32">
                  <c:v>Jun-04</c:v>
                </c:pt>
                <c:pt idx="33">
                  <c:v>Jul-04</c:v>
                </c:pt>
                <c:pt idx="34">
                  <c:v>Aug-04</c:v>
                </c:pt>
                <c:pt idx="35">
                  <c:v>Sep-04</c:v>
                </c:pt>
                <c:pt idx="36">
                  <c:v>Oct-04</c:v>
                </c:pt>
                <c:pt idx="37">
                  <c:v>Nov-04</c:v>
                </c:pt>
                <c:pt idx="38">
                  <c:v>Dec-04</c:v>
                </c:pt>
                <c:pt idx="39">
                  <c:v>Jan-05</c:v>
                </c:pt>
                <c:pt idx="40">
                  <c:v>Feb-05</c:v>
                </c:pt>
                <c:pt idx="41">
                  <c:v>Mar-05</c:v>
                </c:pt>
                <c:pt idx="42">
                  <c:v>Apr-05</c:v>
                </c:pt>
                <c:pt idx="43">
                  <c:v>May-05</c:v>
                </c:pt>
                <c:pt idx="44">
                  <c:v>Jun-05</c:v>
                </c:pt>
                <c:pt idx="45">
                  <c:v>Jul-05</c:v>
                </c:pt>
                <c:pt idx="46">
                  <c:v>Aug-05</c:v>
                </c:pt>
                <c:pt idx="47">
                  <c:v>Sep-05</c:v>
                </c:pt>
                <c:pt idx="48">
                  <c:v>Oct-05</c:v>
                </c:pt>
                <c:pt idx="49">
                  <c:v>Nov-05</c:v>
                </c:pt>
                <c:pt idx="50">
                  <c:v>Dec-05</c:v>
                </c:pt>
                <c:pt idx="51">
                  <c:v>Jan-06</c:v>
                </c:pt>
                <c:pt idx="52">
                  <c:v>Feb-06</c:v>
                </c:pt>
                <c:pt idx="53">
                  <c:v>Mar-06</c:v>
                </c:pt>
                <c:pt idx="54">
                  <c:v>Apr-06</c:v>
                </c:pt>
                <c:pt idx="55">
                  <c:v>May-06</c:v>
                </c:pt>
                <c:pt idx="56">
                  <c:v>Jun-06</c:v>
                </c:pt>
                <c:pt idx="57">
                  <c:v>Jul-06</c:v>
                </c:pt>
                <c:pt idx="58">
                  <c:v>Aug-06</c:v>
                </c:pt>
                <c:pt idx="59">
                  <c:v>Sep-06</c:v>
                </c:pt>
                <c:pt idx="60">
                  <c:v>Oct-06</c:v>
                </c:pt>
                <c:pt idx="61">
                  <c:v>Nov-06</c:v>
                </c:pt>
                <c:pt idx="62">
                  <c:v>Dec-06</c:v>
                </c:pt>
                <c:pt idx="63">
                  <c:v>Jan-07</c:v>
                </c:pt>
                <c:pt idx="64">
                  <c:v>Feb-07</c:v>
                </c:pt>
                <c:pt idx="65">
                  <c:v>Mar-07</c:v>
                </c:pt>
                <c:pt idx="66">
                  <c:v>Apr-07</c:v>
                </c:pt>
                <c:pt idx="67">
                  <c:v>May-07</c:v>
                </c:pt>
                <c:pt idx="68">
                  <c:v>Jun-07</c:v>
                </c:pt>
                <c:pt idx="69">
                  <c:v>Jul-07</c:v>
                </c:pt>
                <c:pt idx="70">
                  <c:v>Aug-07</c:v>
                </c:pt>
                <c:pt idx="71">
                  <c:v>Sep-07</c:v>
                </c:pt>
                <c:pt idx="72">
                  <c:v>Oct-07</c:v>
                </c:pt>
                <c:pt idx="73">
                  <c:v>Nov-07</c:v>
                </c:pt>
                <c:pt idx="74">
                  <c:v>Dec-07</c:v>
                </c:pt>
              </c:strCache>
            </c:strRef>
          </c:cat>
          <c:val>
            <c:numRef>
              <c:f>Swap!$E$11:$E$85</c:f>
              <c:numCache>
                <c:formatCode>0.000</c:formatCode>
                <c:ptCount val="75"/>
                <c:pt idx="0">
                  <c:v>1.91</c:v>
                </c:pt>
                <c:pt idx="1">
                  <c:v>2.287</c:v>
                </c:pt>
                <c:pt idx="2">
                  <c:v>2.677</c:v>
                </c:pt>
                <c:pt idx="3">
                  <c:v>2.884</c:v>
                </c:pt>
                <c:pt idx="4">
                  <c:v>2.884</c:v>
                </c:pt>
                <c:pt idx="5">
                  <c:v>2.851</c:v>
                </c:pt>
                <c:pt idx="6">
                  <c:v>2.794</c:v>
                </c:pt>
                <c:pt idx="7">
                  <c:v>2.819</c:v>
                </c:pt>
                <c:pt idx="8">
                  <c:v>2.871</c:v>
                </c:pt>
                <c:pt idx="9">
                  <c:v>2.917</c:v>
                </c:pt>
                <c:pt idx="10">
                  <c:v>2.959</c:v>
                </c:pt>
                <c:pt idx="11">
                  <c:v>2.959</c:v>
                </c:pt>
                <c:pt idx="12">
                  <c:v>2.979</c:v>
                </c:pt>
                <c:pt idx="13">
                  <c:v>3.144</c:v>
                </c:pt>
                <c:pt idx="14">
                  <c:v>3.334</c:v>
                </c:pt>
                <c:pt idx="15">
                  <c:v>3.421</c:v>
                </c:pt>
                <c:pt idx="16">
                  <c:v>3.324</c:v>
                </c:pt>
                <c:pt idx="17">
                  <c:v>3.199</c:v>
                </c:pt>
                <c:pt idx="18">
                  <c:v>3.039</c:v>
                </c:pt>
                <c:pt idx="19">
                  <c:v>3.05</c:v>
                </c:pt>
                <c:pt idx="20">
                  <c:v>3.078</c:v>
                </c:pt>
                <c:pt idx="21">
                  <c:v>3.098</c:v>
                </c:pt>
                <c:pt idx="22">
                  <c:v>3.118</c:v>
                </c:pt>
                <c:pt idx="23">
                  <c:v>3.123</c:v>
                </c:pt>
                <c:pt idx="24">
                  <c:v>3.133</c:v>
                </c:pt>
                <c:pt idx="25">
                  <c:v>3.298</c:v>
                </c:pt>
                <c:pt idx="26">
                  <c:v>3.463</c:v>
                </c:pt>
                <c:pt idx="27">
                  <c:v>3.518</c:v>
                </c:pt>
                <c:pt idx="28">
                  <c:v>3.404</c:v>
                </c:pt>
                <c:pt idx="29">
                  <c:v>3.272</c:v>
                </c:pt>
                <c:pt idx="30">
                  <c:v>3.102</c:v>
                </c:pt>
                <c:pt idx="31">
                  <c:v>3.102</c:v>
                </c:pt>
                <c:pt idx="32">
                  <c:v>3.134</c:v>
                </c:pt>
                <c:pt idx="33">
                  <c:v>3.184</c:v>
                </c:pt>
                <c:pt idx="34">
                  <c:v>3.218</c:v>
                </c:pt>
                <c:pt idx="35">
                  <c:v>3.231</c:v>
                </c:pt>
                <c:pt idx="36">
                  <c:v>3.223</c:v>
                </c:pt>
                <c:pt idx="37">
                  <c:v>3.393</c:v>
                </c:pt>
                <c:pt idx="38">
                  <c:v>3.568</c:v>
                </c:pt>
                <c:pt idx="39">
                  <c:v>3.603</c:v>
                </c:pt>
                <c:pt idx="40">
                  <c:v>3.489</c:v>
                </c:pt>
                <c:pt idx="41">
                  <c:v>3.357</c:v>
                </c:pt>
                <c:pt idx="42">
                  <c:v>3.187</c:v>
                </c:pt>
                <c:pt idx="43">
                  <c:v>3.187</c:v>
                </c:pt>
                <c:pt idx="44">
                  <c:v>3.219</c:v>
                </c:pt>
                <c:pt idx="45">
                  <c:v>3.269</c:v>
                </c:pt>
                <c:pt idx="46">
                  <c:v>3.303</c:v>
                </c:pt>
                <c:pt idx="47">
                  <c:v>3.316</c:v>
                </c:pt>
                <c:pt idx="48">
                  <c:v>3.308</c:v>
                </c:pt>
                <c:pt idx="49">
                  <c:v>3.478</c:v>
                </c:pt>
                <c:pt idx="50">
                  <c:v>3.653</c:v>
                </c:pt>
                <c:pt idx="51">
                  <c:v>3.6905</c:v>
                </c:pt>
                <c:pt idx="52">
                  <c:v>3.5765</c:v>
                </c:pt>
                <c:pt idx="53">
                  <c:v>3.4445</c:v>
                </c:pt>
                <c:pt idx="54">
                  <c:v>3.2745</c:v>
                </c:pt>
                <c:pt idx="55">
                  <c:v>3.2745</c:v>
                </c:pt>
                <c:pt idx="56">
                  <c:v>3.3065</c:v>
                </c:pt>
                <c:pt idx="57">
                  <c:v>3.3565</c:v>
                </c:pt>
                <c:pt idx="58">
                  <c:v>3.3905</c:v>
                </c:pt>
                <c:pt idx="59">
                  <c:v>3.4035</c:v>
                </c:pt>
                <c:pt idx="60">
                  <c:v>3.3955</c:v>
                </c:pt>
                <c:pt idx="61">
                  <c:v>3.5655</c:v>
                </c:pt>
                <c:pt idx="62">
                  <c:v>3.7405</c:v>
                </c:pt>
                <c:pt idx="63">
                  <c:v>3.7805</c:v>
                </c:pt>
                <c:pt idx="64">
                  <c:v>3.6665</c:v>
                </c:pt>
                <c:pt idx="65">
                  <c:v>3.5345</c:v>
                </c:pt>
                <c:pt idx="66">
                  <c:v>3.3645</c:v>
                </c:pt>
                <c:pt idx="67">
                  <c:v>3.3645</c:v>
                </c:pt>
                <c:pt idx="68">
                  <c:v>3.3965</c:v>
                </c:pt>
                <c:pt idx="69">
                  <c:v>3.4465</c:v>
                </c:pt>
                <c:pt idx="70">
                  <c:v>3.4805</c:v>
                </c:pt>
                <c:pt idx="71">
                  <c:v>3.4935</c:v>
                </c:pt>
                <c:pt idx="72">
                  <c:v>3.4855</c:v>
                </c:pt>
                <c:pt idx="73">
                  <c:v>3.6555</c:v>
                </c:pt>
                <c:pt idx="74">
                  <c:v>3.8305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886985"/>
        <c:axId val="16529081"/>
      </c:lineChart>
      <c:catAx>
        <c:axId val="36886985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529081"/>
        <c:crossesAt val="0"/>
        <c:auto val="1"/>
        <c:lblAlgn val="ctr"/>
        <c:lblOffset val="100"/>
        <c:noMultiLvlLbl val="0"/>
      </c:catAx>
      <c:valAx>
        <c:axId val="16529081"/>
        <c:scaling>
          <c:orientation val="minMax"/>
          <c:max val="5.5"/>
          <c:min val="2.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88698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6669822858721"/>
          <c:y val="0.0492816717457553"/>
          <c:w val="0.153114767033574"/>
          <c:h val="0.070613844144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46224483827572"/>
          <c:y val="0.0196417347580138"/>
          <c:w val="0.985377551617243"/>
          <c:h val="0.980358265241986"/>
        </c:manualLayout>
      </c:layout>
      <c:lineChart>
        <c:grouping val="standard"/>
        <c:varyColors val="0"/>
        <c:ser>
          <c:idx val="0"/>
          <c:order val="0"/>
          <c:tx>
            <c:strRef>
              <c:f>"Vols"</c:f>
              <c:strCache>
                <c:ptCount val="1"/>
                <c:pt idx="0">
                  <c:v>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Oct-01</c:v>
                </c:pt>
                <c:pt idx="2">
                  <c:v>Nov-01</c:v>
                </c:pt>
                <c:pt idx="3">
                  <c:v>Dec-01</c:v>
                </c:pt>
                <c:pt idx="4">
                  <c:v>Jan-02</c:v>
                </c:pt>
                <c:pt idx="5">
                  <c:v>Feb-02</c:v>
                </c:pt>
                <c:pt idx="6">
                  <c:v>Mar-02</c:v>
                </c:pt>
                <c:pt idx="7">
                  <c:v>Apr-02</c:v>
                </c:pt>
                <c:pt idx="8">
                  <c:v>May-02</c:v>
                </c:pt>
                <c:pt idx="9">
                  <c:v>Jun-02</c:v>
                </c:pt>
                <c:pt idx="10">
                  <c:v>Jul-02</c:v>
                </c:pt>
                <c:pt idx="11">
                  <c:v>Aug-02</c:v>
                </c:pt>
                <c:pt idx="12">
                  <c:v>Sep-02</c:v>
                </c:pt>
                <c:pt idx="13">
                  <c:v>Oct-02</c:v>
                </c:pt>
                <c:pt idx="14">
                  <c:v>Nov-02</c:v>
                </c:pt>
                <c:pt idx="15">
                  <c:v>Dec-02</c:v>
                </c:pt>
                <c:pt idx="16">
                  <c:v>Jan-03</c:v>
                </c:pt>
                <c:pt idx="17">
                  <c:v>Feb-03</c:v>
                </c:pt>
                <c:pt idx="18">
                  <c:v>Mar-03</c:v>
                </c:pt>
                <c:pt idx="19">
                  <c:v>Apr-03</c:v>
                </c:pt>
                <c:pt idx="20">
                  <c:v>May-03</c:v>
                </c:pt>
                <c:pt idx="21">
                  <c:v>Jun-03</c:v>
                </c:pt>
                <c:pt idx="22">
                  <c:v>Jul-03</c:v>
                </c:pt>
                <c:pt idx="23">
                  <c:v>Aug-03</c:v>
                </c:pt>
                <c:pt idx="24">
                  <c:v>Sep-03</c:v>
                </c:pt>
                <c:pt idx="25">
                  <c:v>Oct-03</c:v>
                </c:pt>
                <c:pt idx="26">
                  <c:v>Nov-03</c:v>
                </c:pt>
                <c:pt idx="27">
                  <c:v>Dec-03</c:v>
                </c:pt>
                <c:pt idx="28">
                  <c:v>Jan-04</c:v>
                </c:pt>
                <c:pt idx="29">
                  <c:v>Feb-04</c:v>
                </c:pt>
                <c:pt idx="30">
                  <c:v>Mar-04</c:v>
                </c:pt>
                <c:pt idx="31">
                  <c:v>Apr-04</c:v>
                </c:pt>
                <c:pt idx="32">
                  <c:v>May-04</c:v>
                </c:pt>
                <c:pt idx="33">
                  <c:v>Jun-04</c:v>
                </c:pt>
                <c:pt idx="34">
                  <c:v>Jul-04</c:v>
                </c:pt>
                <c:pt idx="35">
                  <c:v>Aug-04</c:v>
                </c:pt>
                <c:pt idx="36">
                  <c:v>Sep-04</c:v>
                </c:pt>
                <c:pt idx="37">
                  <c:v>Oct-04</c:v>
                </c:pt>
                <c:pt idx="38">
                  <c:v>Nov-04</c:v>
                </c:pt>
                <c:pt idx="39">
                  <c:v>Dec-04</c:v>
                </c:pt>
                <c:pt idx="40">
                  <c:v>Jan-05</c:v>
                </c:pt>
                <c:pt idx="41">
                  <c:v>Feb-05</c:v>
                </c:pt>
                <c:pt idx="42">
                  <c:v>Mar-05</c:v>
                </c:pt>
                <c:pt idx="43">
                  <c:v>Apr-05</c:v>
                </c:pt>
                <c:pt idx="44">
                  <c:v>May-05</c:v>
                </c:pt>
                <c:pt idx="45">
                  <c:v>Jun-05</c:v>
                </c:pt>
                <c:pt idx="46">
                  <c:v>Jul-05</c:v>
                </c:pt>
                <c:pt idx="47">
                  <c:v>Aug-05</c:v>
                </c:pt>
                <c:pt idx="48">
                  <c:v>Sep-05</c:v>
                </c:pt>
                <c:pt idx="49">
                  <c:v>Oct-05</c:v>
                </c:pt>
                <c:pt idx="50">
                  <c:v>Nov-05</c:v>
                </c:pt>
                <c:pt idx="51">
                  <c:v>Dec-05</c:v>
                </c:pt>
                <c:pt idx="52">
                  <c:v>Jan-06</c:v>
                </c:pt>
                <c:pt idx="53">
                  <c:v>Feb-06</c:v>
                </c:pt>
                <c:pt idx="54">
                  <c:v>Mar-06</c:v>
                </c:pt>
                <c:pt idx="55">
                  <c:v>Apr-06</c:v>
                </c:pt>
                <c:pt idx="56">
                  <c:v>May-06</c:v>
                </c:pt>
                <c:pt idx="57">
                  <c:v>Jun-06</c:v>
                </c:pt>
                <c:pt idx="58">
                  <c:v>Jul-06</c:v>
                </c:pt>
                <c:pt idx="59">
                  <c:v>Aug-06</c:v>
                </c:pt>
                <c:pt idx="60">
                  <c:v>Sep-06</c:v>
                </c:pt>
                <c:pt idx="61">
                  <c:v>Oct-06</c:v>
                </c:pt>
                <c:pt idx="62">
                  <c:v>Nov-06</c:v>
                </c:pt>
                <c:pt idx="63">
                  <c:v>Dec-06</c:v>
                </c:pt>
                <c:pt idx="64">
                  <c:v>Jan-07</c:v>
                </c:pt>
                <c:pt idx="65">
                  <c:v>Feb-07</c:v>
                </c:pt>
                <c:pt idx="66">
                  <c:v>Mar-07</c:v>
                </c:pt>
                <c:pt idx="67">
                  <c:v>Apr-07</c:v>
                </c:pt>
                <c:pt idx="68">
                  <c:v>May-07</c:v>
                </c:pt>
                <c:pt idx="69">
                  <c:v>Jun-07</c:v>
                </c:pt>
                <c:pt idx="70">
                  <c:v>Jul-07</c:v>
                </c:pt>
                <c:pt idx="71">
                  <c:v>Aug-07</c:v>
                </c:pt>
                <c:pt idx="72">
                  <c:v>Sep-07</c:v>
                </c:pt>
                <c:pt idx="73">
                  <c:v>Oct-07</c:v>
                </c:pt>
                <c:pt idx="74">
                  <c:v>Nov-07</c:v>
                </c:pt>
                <c:pt idx="75">
                  <c:v>Dec-07</c:v>
                </c:pt>
                <c:pt idx="76">
                  <c:v>Jan-08</c:v>
                </c:pt>
                <c:pt idx="77">
                  <c:v>Feb-08</c:v>
                </c:pt>
                <c:pt idx="78">
                  <c:v>Mar-08</c:v>
                </c:pt>
                <c:pt idx="79">
                  <c:v>Apr-08</c:v>
                </c:pt>
                <c:pt idx="80">
                  <c:v>May-08</c:v>
                </c:pt>
                <c:pt idx="81">
                  <c:v>Jun-08</c:v>
                </c:pt>
                <c:pt idx="82">
                  <c:v>Jul-08</c:v>
                </c:pt>
                <c:pt idx="83">
                  <c:v>Aug-08</c:v>
                </c:pt>
                <c:pt idx="84">
                  <c:v>Sep-08</c:v>
                </c:pt>
                <c:pt idx="85">
                  <c:v>Oct-08</c:v>
                </c:pt>
                <c:pt idx="86">
                  <c:v>Nov-08</c:v>
                </c:pt>
                <c:pt idx="87">
                  <c:v>Dec-08</c:v>
                </c:pt>
                <c:pt idx="88">
                  <c:v>Jan-09</c:v>
                </c:pt>
                <c:pt idx="89">
                  <c:v>Feb-09</c:v>
                </c:pt>
                <c:pt idx="90">
                  <c:v>Mar-09</c:v>
                </c:pt>
                <c:pt idx="91">
                  <c:v>Apr-09</c:v>
                </c:pt>
                <c:pt idx="92">
                  <c:v>May-09</c:v>
                </c:pt>
                <c:pt idx="93">
                  <c:v>Jun-09</c:v>
                </c:pt>
                <c:pt idx="94">
                  <c:v>Jul-09</c:v>
                </c:pt>
                <c:pt idx="95">
                  <c:v>Aug-09</c:v>
                </c:pt>
                <c:pt idx="96">
                  <c:v>Sep-09</c:v>
                </c:pt>
                <c:pt idx="97">
                  <c:v>Oct-09</c:v>
                </c:pt>
                <c:pt idx="98">
                  <c:v>Nov-09</c:v>
                </c:pt>
                <c:pt idx="99">
                  <c:v>Dec-09</c:v>
                </c:pt>
                <c:pt idx="100">
                  <c:v>Jan-10</c:v>
                </c:pt>
                <c:pt idx="101">
                  <c:v>Feb-10</c:v>
                </c:pt>
                <c:pt idx="102">
                  <c:v>Mar-10</c:v>
                </c:pt>
                <c:pt idx="103">
                  <c:v>Apr-10</c:v>
                </c:pt>
                <c:pt idx="104">
                  <c:v>May-10</c:v>
                </c:pt>
                <c:pt idx="105">
                  <c:v>Jun-10</c:v>
                </c:pt>
                <c:pt idx="106">
                  <c:v>Jul-10</c:v>
                </c:pt>
                <c:pt idx="107">
                  <c:v>Aug-10</c:v>
                </c:pt>
                <c:pt idx="108">
                  <c:v>Sep-10</c:v>
                </c:pt>
                <c:pt idx="109">
                  <c:v>Oct-10</c:v>
                </c:pt>
                <c:pt idx="110">
                  <c:v>Nov-10</c:v>
                </c:pt>
                <c:pt idx="111">
                  <c:v>Dec-10</c:v>
                </c:pt>
                <c:pt idx="112">
                  <c:v>Jan-11</c:v>
                </c:pt>
                <c:pt idx="113">
                  <c:v>Feb-11</c:v>
                </c:pt>
                <c:pt idx="114">
                  <c:v>Mar-11</c:v>
                </c:pt>
                <c:pt idx="115">
                  <c:v>Apr-11</c:v>
                </c:pt>
                <c:pt idx="116">
                  <c:v>May-11</c:v>
                </c:pt>
                <c:pt idx="117">
                  <c:v>Jun-11</c:v>
                </c:pt>
                <c:pt idx="118">
                  <c:v>Jul-11</c:v>
                </c:pt>
                <c:pt idx="119">
                  <c:v>Aug-11</c:v>
                </c:pt>
                <c:pt idx="120">
                  <c:v>Sep-11</c:v>
                </c:pt>
                <c:pt idx="121">
                  <c:v>Oct-11</c:v>
                </c:pt>
                <c:pt idx="122">
                  <c:v>Nov-11</c:v>
                </c:pt>
                <c:pt idx="123">
                  <c:v>Dec-11</c:v>
                </c:pt>
                <c:pt idx="124">
                  <c:v>Jan-12</c:v>
                </c:pt>
                <c:pt idx="125">
                  <c:v>Feb-12</c:v>
                </c:pt>
                <c:pt idx="126">
                  <c:v>Mar-12</c:v>
                </c:pt>
                <c:pt idx="127">
                  <c:v>Apr-12</c:v>
                </c:pt>
                <c:pt idx="128">
                  <c:v>May-12</c:v>
                </c:pt>
                <c:pt idx="129">
                  <c:v>Jun-12</c:v>
                </c:pt>
                <c:pt idx="130">
                  <c:v>Jul-12</c:v>
                </c:pt>
                <c:pt idx="131">
                  <c:v>Aug-12</c:v>
                </c:pt>
                <c:pt idx="132">
                  <c:v>Sep-12</c:v>
                </c:pt>
                <c:pt idx="133">
                  <c:v>Oct-12</c:v>
                </c:pt>
                <c:pt idx="134">
                  <c:v>Nov-12</c:v>
                </c:pt>
                <c:pt idx="135">
                  <c:v>Dec-12</c:v>
                </c:pt>
                <c:pt idx="136">
                  <c:v>Jan-13</c:v>
                </c:pt>
                <c:pt idx="137">
                  <c:v>Feb-13</c:v>
                </c:pt>
                <c:pt idx="138">
                  <c:v>Mar-13</c:v>
                </c:pt>
                <c:pt idx="139">
                  <c:v>Apr-13</c:v>
                </c:pt>
                <c:pt idx="140">
                  <c:v>May-13</c:v>
                </c:pt>
                <c:pt idx="141">
                  <c:v>Jun-13</c:v>
                </c:pt>
                <c:pt idx="142">
                  <c:v>Jul-13</c:v>
                </c:pt>
                <c:pt idx="143">
                  <c:v>Aug-13</c:v>
                </c:pt>
                <c:pt idx="144">
                  <c:v>Sep-13</c:v>
                </c:pt>
                <c:pt idx="145">
                  <c:v>Oct-13</c:v>
                </c:pt>
                <c:pt idx="146">
                  <c:v>Nov-13</c:v>
                </c:pt>
                <c:pt idx="147">
                  <c:v>Dec-13</c:v>
                </c:pt>
                <c:pt idx="148">
                  <c:v>Jan-14</c:v>
                </c:pt>
                <c:pt idx="149">
                  <c:v>Feb-14</c:v>
                </c:pt>
                <c:pt idx="150">
                  <c:v>Mar-14</c:v>
                </c:pt>
                <c:pt idx="151">
                  <c:v>Apr-14</c:v>
                </c:pt>
                <c:pt idx="152">
                  <c:v>May-14</c:v>
                </c:pt>
                <c:pt idx="153">
                  <c:v>Jun-14</c:v>
                </c:pt>
                <c:pt idx="154">
                  <c:v>Jul-14</c:v>
                </c:pt>
                <c:pt idx="155">
                  <c:v>Aug-14</c:v>
                </c:pt>
                <c:pt idx="156">
                  <c:v>Sep-14</c:v>
                </c:pt>
                <c:pt idx="157">
                  <c:v>Oct-14</c:v>
                </c:pt>
                <c:pt idx="158">
                  <c:v>Nov-14</c:v>
                </c:pt>
                <c:pt idx="159">
                  <c:v>Dec-14</c:v>
                </c:pt>
                <c:pt idx="160">
                  <c:v>Jan-15</c:v>
                </c:pt>
                <c:pt idx="161">
                  <c:v>Feb-15</c:v>
                </c:pt>
                <c:pt idx="162">
                  <c:v>Mar-15</c:v>
                </c:pt>
                <c:pt idx="163">
                  <c:v>Apr-15</c:v>
                </c:pt>
                <c:pt idx="164">
                  <c:v>May-15</c:v>
                </c:pt>
                <c:pt idx="165">
                  <c:v>Jun-15</c:v>
                </c:pt>
                <c:pt idx="166">
                  <c:v>Jul-15</c:v>
                </c:pt>
                <c:pt idx="167">
                  <c:v>Aug-15</c:v>
                </c:pt>
                <c:pt idx="168">
                  <c:v>Sep-15</c:v>
                </c:pt>
                <c:pt idx="169">
                  <c:v>Oct-15</c:v>
                </c:pt>
                <c:pt idx="170">
                  <c:v>Nov-15</c:v>
                </c:pt>
                <c:pt idx="171">
                  <c:v>Dec-15</c:v>
                </c:pt>
                <c:pt idx="172">
                  <c:v>Jan-16</c:v>
                </c:pt>
                <c:pt idx="173">
                  <c:v>Feb-16</c:v>
                </c:pt>
                <c:pt idx="174">
                  <c:v>Mar-16</c:v>
                </c:pt>
                <c:pt idx="175">
                  <c:v>Apr-16</c:v>
                </c:pt>
                <c:pt idx="176">
                  <c:v>May-16</c:v>
                </c:pt>
                <c:pt idx="177">
                  <c:v>Jun-16</c:v>
                </c:pt>
                <c:pt idx="178">
                  <c:v>Jul-16</c:v>
                </c:pt>
                <c:pt idx="179">
                  <c:v>Aug-16</c:v>
                </c:pt>
                <c:pt idx="180">
                  <c:v>Sep-16</c:v>
                </c:pt>
                <c:pt idx="181">
                  <c:v>Oct-16</c:v>
                </c:pt>
                <c:pt idx="182">
                  <c:v>Nov-16</c:v>
                </c:pt>
                <c:pt idx="183">
                  <c:v>Dec-16</c:v>
                </c:pt>
                <c:pt idx="184">
                  <c:v>Jan-17</c:v>
                </c:pt>
                <c:pt idx="185">
                  <c:v>Feb-17</c:v>
                </c:pt>
                <c:pt idx="186">
                  <c:v>Mar-17</c:v>
                </c:pt>
                <c:pt idx="187">
                  <c:v>Apr-17</c:v>
                </c:pt>
                <c:pt idx="188">
                  <c:v>May-17</c:v>
                </c:pt>
                <c:pt idx="189">
                  <c:v>Jun-17</c:v>
                </c:pt>
                <c:pt idx="190">
                  <c:v>Jul-17</c:v>
                </c:pt>
                <c:pt idx="191">
                  <c:v>Aug-17</c:v>
                </c:pt>
                <c:pt idx="192">
                  <c:v>Sep-17</c:v>
                </c:pt>
                <c:pt idx="193">
                  <c:v>Oct-17</c:v>
                </c:pt>
                <c:pt idx="194">
                  <c:v>Nov-17</c:v>
                </c:pt>
                <c:pt idx="195">
                  <c:v>Dec-17</c:v>
                </c:pt>
                <c:pt idx="196">
                  <c:v>Jan-18</c:v>
                </c:pt>
                <c:pt idx="197">
                  <c:v>Feb-18</c:v>
                </c:pt>
                <c:pt idx="198">
                  <c:v>Mar-18</c:v>
                </c:pt>
              </c:strCache>
            </c:strRef>
          </c:cat>
          <c:val>
            <c:numRef>
              <c:f>Front!$I$24:$I$222</c:f>
              <c:numCache>
                <c:formatCode>0.0000</c:formatCode>
                <c:ptCount val="199"/>
                <c:pt idx="1">
                  <c:v>0.85</c:v>
                </c:pt>
                <c:pt idx="2">
                  <c:v>0.73</c:v>
                </c:pt>
                <c:pt idx="3">
                  <c:v>0.63</c:v>
                </c:pt>
                <c:pt idx="4">
                  <c:v>0.6175</c:v>
                </c:pt>
                <c:pt idx="5">
                  <c:v>0.595</c:v>
                </c:pt>
                <c:pt idx="6">
                  <c:v>0.53</c:v>
                </c:pt>
                <c:pt idx="7">
                  <c:v>0.485</c:v>
                </c:pt>
                <c:pt idx="8">
                  <c:v>0.45</c:v>
                </c:pt>
                <c:pt idx="9">
                  <c:v>0.4425</c:v>
                </c:pt>
                <c:pt idx="10">
                  <c:v>0.4425</c:v>
                </c:pt>
                <c:pt idx="11">
                  <c:v>0.4425</c:v>
                </c:pt>
                <c:pt idx="12">
                  <c:v>0.445</c:v>
                </c:pt>
                <c:pt idx="13">
                  <c:v>0.4425</c:v>
                </c:pt>
                <c:pt idx="14">
                  <c:v>0.435</c:v>
                </c:pt>
                <c:pt idx="15">
                  <c:v>0.435</c:v>
                </c:pt>
                <c:pt idx="16">
                  <c:v>0.435</c:v>
                </c:pt>
                <c:pt idx="17">
                  <c:v>0.4275</c:v>
                </c:pt>
                <c:pt idx="18">
                  <c:v>0.4075</c:v>
                </c:pt>
                <c:pt idx="19">
                  <c:v>0.365</c:v>
                </c:pt>
                <c:pt idx="20">
                  <c:v>0.345</c:v>
                </c:pt>
                <c:pt idx="21">
                  <c:v>0.3375</c:v>
                </c:pt>
                <c:pt idx="22">
                  <c:v>0.3375</c:v>
                </c:pt>
                <c:pt idx="23">
                  <c:v>0.335</c:v>
                </c:pt>
                <c:pt idx="24">
                  <c:v>0.3351</c:v>
                </c:pt>
                <c:pt idx="25">
                  <c:v>0.335</c:v>
                </c:pt>
                <c:pt idx="26">
                  <c:v>0.335</c:v>
                </c:pt>
                <c:pt idx="27">
                  <c:v>0.335</c:v>
                </c:pt>
                <c:pt idx="28">
                  <c:v>0.3325</c:v>
                </c:pt>
                <c:pt idx="29">
                  <c:v>0.3275</c:v>
                </c:pt>
                <c:pt idx="30">
                  <c:v>0.315</c:v>
                </c:pt>
                <c:pt idx="31">
                  <c:v>0.2925</c:v>
                </c:pt>
                <c:pt idx="32">
                  <c:v>0.2875</c:v>
                </c:pt>
                <c:pt idx="33">
                  <c:v>0.285</c:v>
                </c:pt>
                <c:pt idx="34">
                  <c:v>0.285</c:v>
                </c:pt>
                <c:pt idx="35">
                  <c:v>0.285</c:v>
                </c:pt>
                <c:pt idx="36">
                  <c:v>0.2875</c:v>
                </c:pt>
                <c:pt idx="37">
                  <c:v>0.2875</c:v>
                </c:pt>
                <c:pt idx="38">
                  <c:v>0.285</c:v>
                </c:pt>
                <c:pt idx="39">
                  <c:v>0.2825</c:v>
                </c:pt>
                <c:pt idx="40">
                  <c:v>0.285</c:v>
                </c:pt>
                <c:pt idx="41">
                  <c:v>0.28</c:v>
                </c:pt>
                <c:pt idx="42">
                  <c:v>0.265</c:v>
                </c:pt>
                <c:pt idx="43">
                  <c:v>0.25</c:v>
                </c:pt>
                <c:pt idx="44">
                  <c:v>0.2425</c:v>
                </c:pt>
                <c:pt idx="45">
                  <c:v>0.2375</c:v>
                </c:pt>
                <c:pt idx="46">
                  <c:v>0.2375</c:v>
                </c:pt>
                <c:pt idx="47">
                  <c:v>0.2375</c:v>
                </c:pt>
                <c:pt idx="48">
                  <c:v>0.2375</c:v>
                </c:pt>
                <c:pt idx="49">
                  <c:v>0.2375</c:v>
                </c:pt>
                <c:pt idx="50">
                  <c:v>0.24</c:v>
                </c:pt>
                <c:pt idx="51">
                  <c:v>0.2425</c:v>
                </c:pt>
                <c:pt idx="52">
                  <c:v>0.2425</c:v>
                </c:pt>
                <c:pt idx="53">
                  <c:v>0.24</c:v>
                </c:pt>
                <c:pt idx="54">
                  <c:v>0.24</c:v>
                </c:pt>
                <c:pt idx="55">
                  <c:v>0.24</c:v>
                </c:pt>
                <c:pt idx="56">
                  <c:v>0.2375</c:v>
                </c:pt>
                <c:pt idx="57">
                  <c:v>0.2375</c:v>
                </c:pt>
                <c:pt idx="58">
                  <c:v>0.2375</c:v>
                </c:pt>
                <c:pt idx="59">
                  <c:v>0.2375</c:v>
                </c:pt>
                <c:pt idx="60">
                  <c:v>0.2375</c:v>
                </c:pt>
                <c:pt idx="61">
                  <c:v>0.2375</c:v>
                </c:pt>
                <c:pt idx="62">
                  <c:v>0.2375</c:v>
                </c:pt>
                <c:pt idx="63">
                  <c:v>0.24</c:v>
                </c:pt>
                <c:pt idx="64">
                  <c:v>0.2425</c:v>
                </c:pt>
                <c:pt idx="65">
                  <c:v>0.2375</c:v>
                </c:pt>
                <c:pt idx="66">
                  <c:v>0.2325</c:v>
                </c:pt>
                <c:pt idx="67">
                  <c:v>0.2325</c:v>
                </c:pt>
                <c:pt idx="68">
                  <c:v>0.2325</c:v>
                </c:pt>
                <c:pt idx="69">
                  <c:v>0.2325</c:v>
                </c:pt>
                <c:pt idx="70">
                  <c:v>0.2325</c:v>
                </c:pt>
                <c:pt idx="71">
                  <c:v>0.2325</c:v>
                </c:pt>
                <c:pt idx="72">
                  <c:v>0.2325</c:v>
                </c:pt>
                <c:pt idx="73">
                  <c:v>0.2325</c:v>
                </c:pt>
                <c:pt idx="74">
                  <c:v>0.2325</c:v>
                </c:pt>
                <c:pt idx="75">
                  <c:v>0.2325</c:v>
                </c:pt>
                <c:pt idx="76">
                  <c:v>0.2325</c:v>
                </c:pt>
                <c:pt idx="77">
                  <c:v>0.2325</c:v>
                </c:pt>
                <c:pt idx="78">
                  <c:v>0.2225</c:v>
                </c:pt>
                <c:pt idx="79">
                  <c:v>0.2225</c:v>
                </c:pt>
                <c:pt idx="80">
                  <c:v>0.2225</c:v>
                </c:pt>
                <c:pt idx="81">
                  <c:v>0.2225</c:v>
                </c:pt>
                <c:pt idx="82">
                  <c:v>0.22</c:v>
                </c:pt>
                <c:pt idx="83">
                  <c:v>0.22</c:v>
                </c:pt>
                <c:pt idx="84">
                  <c:v>0.22</c:v>
                </c:pt>
                <c:pt idx="85">
                  <c:v>0.22</c:v>
                </c:pt>
                <c:pt idx="86">
                  <c:v>0.22</c:v>
                </c:pt>
                <c:pt idx="87">
                  <c:v>0.2225</c:v>
                </c:pt>
                <c:pt idx="88">
                  <c:v>0.225</c:v>
                </c:pt>
                <c:pt idx="89">
                  <c:v>0.22</c:v>
                </c:pt>
                <c:pt idx="90">
                  <c:v>0.205</c:v>
                </c:pt>
                <c:pt idx="91">
                  <c:v>0.195</c:v>
                </c:pt>
                <c:pt idx="92">
                  <c:v>0.195</c:v>
                </c:pt>
                <c:pt idx="93">
                  <c:v>0.195</c:v>
                </c:pt>
                <c:pt idx="94">
                  <c:v>0.195</c:v>
                </c:pt>
                <c:pt idx="95">
                  <c:v>0.195</c:v>
                </c:pt>
                <c:pt idx="96">
                  <c:v>0.195</c:v>
                </c:pt>
                <c:pt idx="97">
                  <c:v>0.195</c:v>
                </c:pt>
                <c:pt idx="98">
                  <c:v>0.195</c:v>
                </c:pt>
                <c:pt idx="99">
                  <c:v>0.195</c:v>
                </c:pt>
                <c:pt idx="100">
                  <c:v>0.195</c:v>
                </c:pt>
                <c:pt idx="101">
                  <c:v>0.19</c:v>
                </c:pt>
                <c:pt idx="102">
                  <c:v>0.1875</c:v>
                </c:pt>
                <c:pt idx="103">
                  <c:v>0.185</c:v>
                </c:pt>
                <c:pt idx="104">
                  <c:v>0.185</c:v>
                </c:pt>
                <c:pt idx="105">
                  <c:v>0.185</c:v>
                </c:pt>
                <c:pt idx="106">
                  <c:v>0.185</c:v>
                </c:pt>
                <c:pt idx="107">
                  <c:v>0.185</c:v>
                </c:pt>
                <c:pt idx="108">
                  <c:v>0.185</c:v>
                </c:pt>
                <c:pt idx="109">
                  <c:v>0.185</c:v>
                </c:pt>
                <c:pt idx="110">
                  <c:v>0.185</c:v>
                </c:pt>
                <c:pt idx="111">
                  <c:v>0.185</c:v>
                </c:pt>
                <c:pt idx="112">
                  <c:v>0.185</c:v>
                </c:pt>
                <c:pt idx="113">
                  <c:v>0.185</c:v>
                </c:pt>
                <c:pt idx="114">
                  <c:v>0.18</c:v>
                </c:pt>
                <c:pt idx="115">
                  <c:v>0.18</c:v>
                </c:pt>
                <c:pt idx="116">
                  <c:v>0.18</c:v>
                </c:pt>
                <c:pt idx="117">
                  <c:v>0.18</c:v>
                </c:pt>
                <c:pt idx="118">
                  <c:v>0.18</c:v>
                </c:pt>
                <c:pt idx="119">
                  <c:v>0.18</c:v>
                </c:pt>
                <c:pt idx="120">
                  <c:v>0.18</c:v>
                </c:pt>
                <c:pt idx="121">
                  <c:v>0.18</c:v>
                </c:pt>
                <c:pt idx="122">
                  <c:v>0.18</c:v>
                </c:pt>
                <c:pt idx="123">
                  <c:v>0.18</c:v>
                </c:pt>
                <c:pt idx="124">
                  <c:v>0.18</c:v>
                </c:pt>
                <c:pt idx="125">
                  <c:v>0.175</c:v>
                </c:pt>
                <c:pt idx="126">
                  <c:v>0.17</c:v>
                </c:pt>
                <c:pt idx="127">
                  <c:v>0.17</c:v>
                </c:pt>
                <c:pt idx="128">
                  <c:v>0.17</c:v>
                </c:pt>
                <c:pt idx="129">
                  <c:v>0.17</c:v>
                </c:pt>
                <c:pt idx="130">
                  <c:v>0.17</c:v>
                </c:pt>
                <c:pt idx="131">
                  <c:v>0.17</c:v>
                </c:pt>
                <c:pt idx="132">
                  <c:v>0.17</c:v>
                </c:pt>
                <c:pt idx="133">
                  <c:v>0.17</c:v>
                </c:pt>
                <c:pt idx="134">
                  <c:v>0.17</c:v>
                </c:pt>
                <c:pt idx="135">
                  <c:v>0.17</c:v>
                </c:pt>
                <c:pt idx="136">
                  <c:v>0.17</c:v>
                </c:pt>
                <c:pt idx="137">
                  <c:v>0.17</c:v>
                </c:pt>
                <c:pt idx="138">
                  <c:v>0.17</c:v>
                </c:pt>
                <c:pt idx="139">
                  <c:v>0.17</c:v>
                </c:pt>
                <c:pt idx="140">
                  <c:v>0.17</c:v>
                </c:pt>
                <c:pt idx="141">
                  <c:v>0.17</c:v>
                </c:pt>
                <c:pt idx="142">
                  <c:v>0.17</c:v>
                </c:pt>
                <c:pt idx="143">
                  <c:v>0.17</c:v>
                </c:pt>
                <c:pt idx="144">
                  <c:v>0.17</c:v>
                </c:pt>
                <c:pt idx="145">
                  <c:v>0.17</c:v>
                </c:pt>
                <c:pt idx="146">
                  <c:v>0.17</c:v>
                </c:pt>
                <c:pt idx="147">
                  <c:v>0.17</c:v>
                </c:pt>
                <c:pt idx="148">
                  <c:v>0.17</c:v>
                </c:pt>
                <c:pt idx="149">
                  <c:v>0.17</c:v>
                </c:pt>
                <c:pt idx="150">
                  <c:v>0.17</c:v>
                </c:pt>
                <c:pt idx="151">
                  <c:v>0.17</c:v>
                </c:pt>
                <c:pt idx="152">
                  <c:v>0.17</c:v>
                </c:pt>
                <c:pt idx="153">
                  <c:v>0.17</c:v>
                </c:pt>
                <c:pt idx="154">
                  <c:v>0.17</c:v>
                </c:pt>
                <c:pt idx="155">
                  <c:v>0.17</c:v>
                </c:pt>
                <c:pt idx="156">
                  <c:v>0.17</c:v>
                </c:pt>
                <c:pt idx="157">
                  <c:v>0.17</c:v>
                </c:pt>
                <c:pt idx="158">
                  <c:v>0.17</c:v>
                </c:pt>
                <c:pt idx="159">
                  <c:v>0.17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0.17</c:v>
                </c:pt>
                <c:pt idx="164">
                  <c:v>0.17</c:v>
                </c:pt>
                <c:pt idx="165">
                  <c:v>0.17</c:v>
                </c:pt>
                <c:pt idx="166">
                  <c:v>0.17</c:v>
                </c:pt>
                <c:pt idx="167">
                  <c:v>0.17</c:v>
                </c:pt>
                <c:pt idx="168">
                  <c:v>0.17</c:v>
                </c:pt>
                <c:pt idx="169">
                  <c:v>0.17</c:v>
                </c:pt>
                <c:pt idx="170">
                  <c:v>0.17</c:v>
                </c:pt>
                <c:pt idx="171">
                  <c:v>0.17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0.17</c:v>
                </c:pt>
                <c:pt idx="176">
                  <c:v>0.17</c:v>
                </c:pt>
                <c:pt idx="177">
                  <c:v>0.17</c:v>
                </c:pt>
                <c:pt idx="178">
                  <c:v>0.17</c:v>
                </c:pt>
                <c:pt idx="179">
                  <c:v>0.17</c:v>
                </c:pt>
                <c:pt idx="180">
                  <c:v>0.17</c:v>
                </c:pt>
                <c:pt idx="181">
                  <c:v>0.17</c:v>
                </c:pt>
                <c:pt idx="182">
                  <c:v>0.17</c:v>
                </c:pt>
                <c:pt idx="183">
                  <c:v>0.17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0.17</c:v>
                </c:pt>
                <c:pt idx="188">
                  <c:v>0.17</c:v>
                </c:pt>
                <c:pt idx="189">
                  <c:v>0.17</c:v>
                </c:pt>
                <c:pt idx="190">
                  <c:v>0.17</c:v>
                </c:pt>
                <c:pt idx="191">
                  <c:v>0.17</c:v>
                </c:pt>
                <c:pt idx="192">
                  <c:v>0.17</c:v>
                </c:pt>
                <c:pt idx="193">
                  <c:v>0.17</c:v>
                </c:pt>
                <c:pt idx="194">
                  <c:v>0.17</c:v>
                </c:pt>
                <c:pt idx="195">
                  <c:v>0.17</c:v>
                </c:pt>
                <c:pt idx="196">
                  <c:v>0.17</c:v>
                </c:pt>
                <c:pt idx="197">
                  <c:v>0.17</c:v>
                </c:pt>
                <c:pt idx="198">
                  <c:v>0.17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698679"/>
        <c:axId val="10698390"/>
      </c:lineChart>
      <c:lineChart>
        <c:grouping val="standard"/>
        <c:varyColors val="0"/>
        <c:ser>
          <c:idx val="1"/>
          <c:order val="1"/>
          <c:tx>
            <c:strRef>
              <c:f>"prices"</c:f>
              <c:strCache>
                <c:ptCount val="1"/>
                <c:pt idx="0">
                  <c:v>prices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Front!$H$24:$H$222</c:f>
              <c:strCache>
                <c:ptCount val="199"/>
                <c:pt idx="0">
                  <c:v/>
                </c:pt>
                <c:pt idx="1">
                  <c:v>Oct-01</c:v>
                </c:pt>
                <c:pt idx="2">
                  <c:v>Nov-01</c:v>
                </c:pt>
                <c:pt idx="3">
                  <c:v>Dec-01</c:v>
                </c:pt>
                <c:pt idx="4">
                  <c:v>Jan-02</c:v>
                </c:pt>
                <c:pt idx="5">
                  <c:v>Feb-02</c:v>
                </c:pt>
                <c:pt idx="6">
                  <c:v>Mar-02</c:v>
                </c:pt>
                <c:pt idx="7">
                  <c:v>Apr-02</c:v>
                </c:pt>
                <c:pt idx="8">
                  <c:v>May-02</c:v>
                </c:pt>
                <c:pt idx="9">
                  <c:v>Jun-02</c:v>
                </c:pt>
                <c:pt idx="10">
                  <c:v>Jul-02</c:v>
                </c:pt>
                <c:pt idx="11">
                  <c:v>Aug-02</c:v>
                </c:pt>
                <c:pt idx="12">
                  <c:v>Sep-02</c:v>
                </c:pt>
                <c:pt idx="13">
                  <c:v>Oct-02</c:v>
                </c:pt>
                <c:pt idx="14">
                  <c:v>Nov-02</c:v>
                </c:pt>
                <c:pt idx="15">
                  <c:v>Dec-02</c:v>
                </c:pt>
                <c:pt idx="16">
                  <c:v>Jan-03</c:v>
                </c:pt>
                <c:pt idx="17">
                  <c:v>Feb-03</c:v>
                </c:pt>
                <c:pt idx="18">
                  <c:v>Mar-03</c:v>
                </c:pt>
                <c:pt idx="19">
                  <c:v>Apr-03</c:v>
                </c:pt>
                <c:pt idx="20">
                  <c:v>May-03</c:v>
                </c:pt>
                <c:pt idx="21">
                  <c:v>Jun-03</c:v>
                </c:pt>
                <c:pt idx="22">
                  <c:v>Jul-03</c:v>
                </c:pt>
                <c:pt idx="23">
                  <c:v>Aug-03</c:v>
                </c:pt>
                <c:pt idx="24">
                  <c:v>Sep-03</c:v>
                </c:pt>
                <c:pt idx="25">
                  <c:v>Oct-03</c:v>
                </c:pt>
                <c:pt idx="26">
                  <c:v>Nov-03</c:v>
                </c:pt>
                <c:pt idx="27">
                  <c:v>Dec-03</c:v>
                </c:pt>
                <c:pt idx="28">
                  <c:v>Jan-04</c:v>
                </c:pt>
                <c:pt idx="29">
                  <c:v>Feb-04</c:v>
                </c:pt>
                <c:pt idx="30">
                  <c:v>Mar-04</c:v>
                </c:pt>
                <c:pt idx="31">
                  <c:v>Apr-04</c:v>
                </c:pt>
                <c:pt idx="32">
                  <c:v>May-04</c:v>
                </c:pt>
                <c:pt idx="33">
                  <c:v>Jun-04</c:v>
                </c:pt>
                <c:pt idx="34">
                  <c:v>Jul-04</c:v>
                </c:pt>
                <c:pt idx="35">
                  <c:v>Aug-04</c:v>
                </c:pt>
                <c:pt idx="36">
                  <c:v>Sep-04</c:v>
                </c:pt>
                <c:pt idx="37">
                  <c:v>Oct-04</c:v>
                </c:pt>
                <c:pt idx="38">
                  <c:v>Nov-04</c:v>
                </c:pt>
                <c:pt idx="39">
                  <c:v>Dec-04</c:v>
                </c:pt>
                <c:pt idx="40">
                  <c:v>Jan-05</c:v>
                </c:pt>
                <c:pt idx="41">
                  <c:v>Feb-05</c:v>
                </c:pt>
                <c:pt idx="42">
                  <c:v>Mar-05</c:v>
                </c:pt>
                <c:pt idx="43">
                  <c:v>Apr-05</c:v>
                </c:pt>
                <c:pt idx="44">
                  <c:v>May-05</c:v>
                </c:pt>
                <c:pt idx="45">
                  <c:v>Jun-05</c:v>
                </c:pt>
                <c:pt idx="46">
                  <c:v>Jul-05</c:v>
                </c:pt>
                <c:pt idx="47">
                  <c:v>Aug-05</c:v>
                </c:pt>
                <c:pt idx="48">
                  <c:v>Sep-05</c:v>
                </c:pt>
                <c:pt idx="49">
                  <c:v>Oct-05</c:v>
                </c:pt>
                <c:pt idx="50">
                  <c:v>Nov-05</c:v>
                </c:pt>
                <c:pt idx="51">
                  <c:v>Dec-05</c:v>
                </c:pt>
                <c:pt idx="52">
                  <c:v>Jan-06</c:v>
                </c:pt>
                <c:pt idx="53">
                  <c:v>Feb-06</c:v>
                </c:pt>
                <c:pt idx="54">
                  <c:v>Mar-06</c:v>
                </c:pt>
                <c:pt idx="55">
                  <c:v>Apr-06</c:v>
                </c:pt>
                <c:pt idx="56">
                  <c:v>May-06</c:v>
                </c:pt>
                <c:pt idx="57">
                  <c:v>Jun-06</c:v>
                </c:pt>
                <c:pt idx="58">
                  <c:v>Jul-06</c:v>
                </c:pt>
                <c:pt idx="59">
                  <c:v>Aug-06</c:v>
                </c:pt>
                <c:pt idx="60">
                  <c:v>Sep-06</c:v>
                </c:pt>
                <c:pt idx="61">
                  <c:v>Oct-06</c:v>
                </c:pt>
                <c:pt idx="62">
                  <c:v>Nov-06</c:v>
                </c:pt>
                <c:pt idx="63">
                  <c:v>Dec-06</c:v>
                </c:pt>
                <c:pt idx="64">
                  <c:v>Jan-07</c:v>
                </c:pt>
                <c:pt idx="65">
                  <c:v>Feb-07</c:v>
                </c:pt>
                <c:pt idx="66">
                  <c:v>Mar-07</c:v>
                </c:pt>
                <c:pt idx="67">
                  <c:v>Apr-07</c:v>
                </c:pt>
                <c:pt idx="68">
                  <c:v>May-07</c:v>
                </c:pt>
                <c:pt idx="69">
                  <c:v>Jun-07</c:v>
                </c:pt>
                <c:pt idx="70">
                  <c:v>Jul-07</c:v>
                </c:pt>
                <c:pt idx="71">
                  <c:v>Aug-07</c:v>
                </c:pt>
                <c:pt idx="72">
                  <c:v>Sep-07</c:v>
                </c:pt>
                <c:pt idx="73">
                  <c:v>Oct-07</c:v>
                </c:pt>
                <c:pt idx="74">
                  <c:v>Nov-07</c:v>
                </c:pt>
                <c:pt idx="75">
                  <c:v>Dec-07</c:v>
                </c:pt>
                <c:pt idx="76">
                  <c:v>Jan-08</c:v>
                </c:pt>
                <c:pt idx="77">
                  <c:v>Feb-08</c:v>
                </c:pt>
                <c:pt idx="78">
                  <c:v>Mar-08</c:v>
                </c:pt>
                <c:pt idx="79">
                  <c:v>Apr-08</c:v>
                </c:pt>
                <c:pt idx="80">
                  <c:v>May-08</c:v>
                </c:pt>
                <c:pt idx="81">
                  <c:v>Jun-08</c:v>
                </c:pt>
                <c:pt idx="82">
                  <c:v>Jul-08</c:v>
                </c:pt>
                <c:pt idx="83">
                  <c:v>Aug-08</c:v>
                </c:pt>
                <c:pt idx="84">
                  <c:v>Sep-08</c:v>
                </c:pt>
                <c:pt idx="85">
                  <c:v>Oct-08</c:v>
                </c:pt>
                <c:pt idx="86">
                  <c:v>Nov-08</c:v>
                </c:pt>
                <c:pt idx="87">
                  <c:v>Dec-08</c:v>
                </c:pt>
                <c:pt idx="88">
                  <c:v>Jan-09</c:v>
                </c:pt>
                <c:pt idx="89">
                  <c:v>Feb-09</c:v>
                </c:pt>
                <c:pt idx="90">
                  <c:v>Mar-09</c:v>
                </c:pt>
                <c:pt idx="91">
                  <c:v>Apr-09</c:v>
                </c:pt>
                <c:pt idx="92">
                  <c:v>May-09</c:v>
                </c:pt>
                <c:pt idx="93">
                  <c:v>Jun-09</c:v>
                </c:pt>
                <c:pt idx="94">
                  <c:v>Jul-09</c:v>
                </c:pt>
                <c:pt idx="95">
                  <c:v>Aug-09</c:v>
                </c:pt>
                <c:pt idx="96">
                  <c:v>Sep-09</c:v>
                </c:pt>
                <c:pt idx="97">
                  <c:v>Oct-09</c:v>
                </c:pt>
                <c:pt idx="98">
                  <c:v>Nov-09</c:v>
                </c:pt>
                <c:pt idx="99">
                  <c:v>Dec-09</c:v>
                </c:pt>
                <c:pt idx="100">
                  <c:v>Jan-10</c:v>
                </c:pt>
                <c:pt idx="101">
                  <c:v>Feb-10</c:v>
                </c:pt>
                <c:pt idx="102">
                  <c:v>Mar-10</c:v>
                </c:pt>
                <c:pt idx="103">
                  <c:v>Apr-10</c:v>
                </c:pt>
                <c:pt idx="104">
                  <c:v>May-10</c:v>
                </c:pt>
                <c:pt idx="105">
                  <c:v>Jun-10</c:v>
                </c:pt>
                <c:pt idx="106">
                  <c:v>Jul-10</c:v>
                </c:pt>
                <c:pt idx="107">
                  <c:v>Aug-10</c:v>
                </c:pt>
                <c:pt idx="108">
                  <c:v>Sep-10</c:v>
                </c:pt>
                <c:pt idx="109">
                  <c:v>Oct-10</c:v>
                </c:pt>
                <c:pt idx="110">
                  <c:v>Nov-10</c:v>
                </c:pt>
                <c:pt idx="111">
                  <c:v>Dec-10</c:v>
                </c:pt>
                <c:pt idx="112">
                  <c:v>Jan-11</c:v>
                </c:pt>
                <c:pt idx="113">
                  <c:v>Feb-11</c:v>
                </c:pt>
                <c:pt idx="114">
                  <c:v>Mar-11</c:v>
                </c:pt>
                <c:pt idx="115">
                  <c:v>Apr-11</c:v>
                </c:pt>
                <c:pt idx="116">
                  <c:v>May-11</c:v>
                </c:pt>
                <c:pt idx="117">
                  <c:v>Jun-11</c:v>
                </c:pt>
                <c:pt idx="118">
                  <c:v>Jul-11</c:v>
                </c:pt>
                <c:pt idx="119">
                  <c:v>Aug-11</c:v>
                </c:pt>
                <c:pt idx="120">
                  <c:v>Sep-11</c:v>
                </c:pt>
                <c:pt idx="121">
                  <c:v>Oct-11</c:v>
                </c:pt>
                <c:pt idx="122">
                  <c:v>Nov-11</c:v>
                </c:pt>
                <c:pt idx="123">
                  <c:v>Dec-11</c:v>
                </c:pt>
                <c:pt idx="124">
                  <c:v>Jan-12</c:v>
                </c:pt>
                <c:pt idx="125">
                  <c:v>Feb-12</c:v>
                </c:pt>
                <c:pt idx="126">
                  <c:v>Mar-12</c:v>
                </c:pt>
                <c:pt idx="127">
                  <c:v>Apr-12</c:v>
                </c:pt>
                <c:pt idx="128">
                  <c:v>May-12</c:v>
                </c:pt>
                <c:pt idx="129">
                  <c:v>Jun-12</c:v>
                </c:pt>
                <c:pt idx="130">
                  <c:v>Jul-12</c:v>
                </c:pt>
                <c:pt idx="131">
                  <c:v>Aug-12</c:v>
                </c:pt>
                <c:pt idx="132">
                  <c:v>Sep-12</c:v>
                </c:pt>
                <c:pt idx="133">
                  <c:v>Oct-12</c:v>
                </c:pt>
                <c:pt idx="134">
                  <c:v>Nov-12</c:v>
                </c:pt>
                <c:pt idx="135">
                  <c:v>Dec-12</c:v>
                </c:pt>
                <c:pt idx="136">
                  <c:v>Jan-13</c:v>
                </c:pt>
                <c:pt idx="137">
                  <c:v>Feb-13</c:v>
                </c:pt>
                <c:pt idx="138">
                  <c:v>Mar-13</c:v>
                </c:pt>
                <c:pt idx="139">
                  <c:v>Apr-13</c:v>
                </c:pt>
                <c:pt idx="140">
                  <c:v>May-13</c:v>
                </c:pt>
                <c:pt idx="141">
                  <c:v>Jun-13</c:v>
                </c:pt>
                <c:pt idx="142">
                  <c:v>Jul-13</c:v>
                </c:pt>
                <c:pt idx="143">
                  <c:v>Aug-13</c:v>
                </c:pt>
                <c:pt idx="144">
                  <c:v>Sep-13</c:v>
                </c:pt>
                <c:pt idx="145">
                  <c:v>Oct-13</c:v>
                </c:pt>
                <c:pt idx="146">
                  <c:v>Nov-13</c:v>
                </c:pt>
                <c:pt idx="147">
                  <c:v>Dec-13</c:v>
                </c:pt>
                <c:pt idx="148">
                  <c:v>Jan-14</c:v>
                </c:pt>
                <c:pt idx="149">
                  <c:v>Feb-14</c:v>
                </c:pt>
                <c:pt idx="150">
                  <c:v>Mar-14</c:v>
                </c:pt>
                <c:pt idx="151">
                  <c:v>Apr-14</c:v>
                </c:pt>
                <c:pt idx="152">
                  <c:v>May-14</c:v>
                </c:pt>
                <c:pt idx="153">
                  <c:v>Jun-14</c:v>
                </c:pt>
                <c:pt idx="154">
                  <c:v>Jul-14</c:v>
                </c:pt>
                <c:pt idx="155">
                  <c:v>Aug-14</c:v>
                </c:pt>
                <c:pt idx="156">
                  <c:v>Sep-14</c:v>
                </c:pt>
                <c:pt idx="157">
                  <c:v>Oct-14</c:v>
                </c:pt>
                <c:pt idx="158">
                  <c:v>Nov-14</c:v>
                </c:pt>
                <c:pt idx="159">
                  <c:v>Dec-14</c:v>
                </c:pt>
                <c:pt idx="160">
                  <c:v>Jan-15</c:v>
                </c:pt>
                <c:pt idx="161">
                  <c:v>Feb-15</c:v>
                </c:pt>
                <c:pt idx="162">
                  <c:v>Mar-15</c:v>
                </c:pt>
                <c:pt idx="163">
                  <c:v>Apr-15</c:v>
                </c:pt>
                <c:pt idx="164">
                  <c:v>May-15</c:v>
                </c:pt>
                <c:pt idx="165">
                  <c:v>Jun-15</c:v>
                </c:pt>
                <c:pt idx="166">
                  <c:v>Jul-15</c:v>
                </c:pt>
                <c:pt idx="167">
                  <c:v>Aug-15</c:v>
                </c:pt>
                <c:pt idx="168">
                  <c:v>Sep-15</c:v>
                </c:pt>
                <c:pt idx="169">
                  <c:v>Oct-15</c:v>
                </c:pt>
                <c:pt idx="170">
                  <c:v>Nov-15</c:v>
                </c:pt>
                <c:pt idx="171">
                  <c:v>Dec-15</c:v>
                </c:pt>
                <c:pt idx="172">
                  <c:v>Jan-16</c:v>
                </c:pt>
                <c:pt idx="173">
                  <c:v>Feb-16</c:v>
                </c:pt>
                <c:pt idx="174">
                  <c:v>Mar-16</c:v>
                </c:pt>
                <c:pt idx="175">
                  <c:v>Apr-16</c:v>
                </c:pt>
                <c:pt idx="176">
                  <c:v>May-16</c:v>
                </c:pt>
                <c:pt idx="177">
                  <c:v>Jun-16</c:v>
                </c:pt>
                <c:pt idx="178">
                  <c:v>Jul-16</c:v>
                </c:pt>
                <c:pt idx="179">
                  <c:v>Aug-16</c:v>
                </c:pt>
                <c:pt idx="180">
                  <c:v>Sep-16</c:v>
                </c:pt>
                <c:pt idx="181">
                  <c:v>Oct-16</c:v>
                </c:pt>
                <c:pt idx="182">
                  <c:v>Nov-16</c:v>
                </c:pt>
                <c:pt idx="183">
                  <c:v>Dec-16</c:v>
                </c:pt>
                <c:pt idx="184">
                  <c:v>Jan-17</c:v>
                </c:pt>
                <c:pt idx="185">
                  <c:v>Feb-17</c:v>
                </c:pt>
                <c:pt idx="186">
                  <c:v>Mar-17</c:v>
                </c:pt>
                <c:pt idx="187">
                  <c:v>Apr-17</c:v>
                </c:pt>
                <c:pt idx="188">
                  <c:v>May-17</c:v>
                </c:pt>
                <c:pt idx="189">
                  <c:v>Jun-17</c:v>
                </c:pt>
                <c:pt idx="190">
                  <c:v>Jul-17</c:v>
                </c:pt>
                <c:pt idx="191">
                  <c:v>Aug-17</c:v>
                </c:pt>
                <c:pt idx="192">
                  <c:v>Sep-17</c:v>
                </c:pt>
                <c:pt idx="193">
                  <c:v>Oct-17</c:v>
                </c:pt>
                <c:pt idx="194">
                  <c:v>Nov-17</c:v>
                </c:pt>
                <c:pt idx="195">
                  <c:v>Dec-17</c:v>
                </c:pt>
                <c:pt idx="196">
                  <c:v>Jan-18</c:v>
                </c:pt>
                <c:pt idx="197">
                  <c:v>Feb-18</c:v>
                </c:pt>
                <c:pt idx="198">
                  <c:v>Mar-18</c:v>
                </c:pt>
              </c:strCache>
            </c:strRef>
          </c:cat>
          <c:val>
            <c:numRef>
              <c:f>Swap!$C$11:$C$304</c:f>
              <c:numCache>
                <c:formatCode>0.000</c:formatCode>
                <c:ptCount val="294"/>
                <c:pt idx="0">
                  <c:v>1.925</c:v>
                </c:pt>
                <c:pt idx="1">
                  <c:v>2.3</c:v>
                </c:pt>
                <c:pt idx="2">
                  <c:v>2.69</c:v>
                </c:pt>
                <c:pt idx="3">
                  <c:v>2.895</c:v>
                </c:pt>
                <c:pt idx="4">
                  <c:v>2.893</c:v>
                </c:pt>
                <c:pt idx="5">
                  <c:v>2.86</c:v>
                </c:pt>
                <c:pt idx="6">
                  <c:v>2.803</c:v>
                </c:pt>
                <c:pt idx="7">
                  <c:v>2.828</c:v>
                </c:pt>
                <c:pt idx="8">
                  <c:v>2.88</c:v>
                </c:pt>
                <c:pt idx="9">
                  <c:v>2.926</c:v>
                </c:pt>
                <c:pt idx="10">
                  <c:v>2.968</c:v>
                </c:pt>
                <c:pt idx="11">
                  <c:v>2.968</c:v>
                </c:pt>
                <c:pt idx="12">
                  <c:v>2.988</c:v>
                </c:pt>
                <c:pt idx="13">
                  <c:v>3.153</c:v>
                </c:pt>
                <c:pt idx="14">
                  <c:v>3.343</c:v>
                </c:pt>
                <c:pt idx="15">
                  <c:v>3.43</c:v>
                </c:pt>
                <c:pt idx="16">
                  <c:v>3.333</c:v>
                </c:pt>
                <c:pt idx="17">
                  <c:v>3.208</c:v>
                </c:pt>
                <c:pt idx="18">
                  <c:v>3.048</c:v>
                </c:pt>
                <c:pt idx="19">
                  <c:v>3.059</c:v>
                </c:pt>
                <c:pt idx="20">
                  <c:v>3.087</c:v>
                </c:pt>
                <c:pt idx="21">
                  <c:v>3.107</c:v>
                </c:pt>
                <c:pt idx="22">
                  <c:v>3.127</c:v>
                </c:pt>
                <c:pt idx="23">
                  <c:v>3.132</c:v>
                </c:pt>
                <c:pt idx="24">
                  <c:v>3.142</c:v>
                </c:pt>
                <c:pt idx="25">
                  <c:v>3.307</c:v>
                </c:pt>
                <c:pt idx="26">
                  <c:v>3.472</c:v>
                </c:pt>
                <c:pt idx="27">
                  <c:v>3.527</c:v>
                </c:pt>
                <c:pt idx="28">
                  <c:v>3.413</c:v>
                </c:pt>
                <c:pt idx="29">
                  <c:v>3.281</c:v>
                </c:pt>
                <c:pt idx="30">
                  <c:v>3.111</c:v>
                </c:pt>
                <c:pt idx="31">
                  <c:v>3.111</c:v>
                </c:pt>
                <c:pt idx="32">
                  <c:v>3.143</c:v>
                </c:pt>
                <c:pt idx="33">
                  <c:v>3.193</c:v>
                </c:pt>
                <c:pt idx="34">
                  <c:v>3.227</c:v>
                </c:pt>
                <c:pt idx="35">
                  <c:v>3.24</c:v>
                </c:pt>
                <c:pt idx="36">
                  <c:v>3.232</c:v>
                </c:pt>
                <c:pt idx="37">
                  <c:v>3.402</c:v>
                </c:pt>
                <c:pt idx="38">
                  <c:v>3.577</c:v>
                </c:pt>
                <c:pt idx="39">
                  <c:v>3.6095</c:v>
                </c:pt>
                <c:pt idx="40">
                  <c:v>3.4955</c:v>
                </c:pt>
                <c:pt idx="41">
                  <c:v>3.3635</c:v>
                </c:pt>
                <c:pt idx="42">
                  <c:v>3.1935</c:v>
                </c:pt>
                <c:pt idx="43">
                  <c:v>3.1935</c:v>
                </c:pt>
                <c:pt idx="44">
                  <c:v>3.2255</c:v>
                </c:pt>
                <c:pt idx="45">
                  <c:v>3.2755</c:v>
                </c:pt>
                <c:pt idx="46">
                  <c:v>3.3095</c:v>
                </c:pt>
                <c:pt idx="47">
                  <c:v>3.3225</c:v>
                </c:pt>
                <c:pt idx="48">
                  <c:v>3.3145</c:v>
                </c:pt>
                <c:pt idx="49">
                  <c:v>3.4845</c:v>
                </c:pt>
                <c:pt idx="50">
                  <c:v>3.6595</c:v>
                </c:pt>
                <c:pt idx="51">
                  <c:v>3.6945</c:v>
                </c:pt>
                <c:pt idx="52">
                  <c:v>3.5805</c:v>
                </c:pt>
                <c:pt idx="53">
                  <c:v>3.4485</c:v>
                </c:pt>
                <c:pt idx="54">
                  <c:v>3.2785</c:v>
                </c:pt>
                <c:pt idx="55">
                  <c:v>3.2785</c:v>
                </c:pt>
                <c:pt idx="56">
                  <c:v>3.3105</c:v>
                </c:pt>
                <c:pt idx="57">
                  <c:v>3.3605</c:v>
                </c:pt>
                <c:pt idx="58">
                  <c:v>3.3945</c:v>
                </c:pt>
                <c:pt idx="59">
                  <c:v>3.4075</c:v>
                </c:pt>
                <c:pt idx="60">
                  <c:v>3.3995</c:v>
                </c:pt>
                <c:pt idx="61">
                  <c:v>3.5695</c:v>
                </c:pt>
                <c:pt idx="62">
                  <c:v>3.7445</c:v>
                </c:pt>
                <c:pt idx="63">
                  <c:v>3.782</c:v>
                </c:pt>
                <c:pt idx="64">
                  <c:v>3.668</c:v>
                </c:pt>
                <c:pt idx="65">
                  <c:v>3.536</c:v>
                </c:pt>
                <c:pt idx="66">
                  <c:v>3.366</c:v>
                </c:pt>
                <c:pt idx="67">
                  <c:v>3.366</c:v>
                </c:pt>
                <c:pt idx="68">
                  <c:v>3.398</c:v>
                </c:pt>
                <c:pt idx="69">
                  <c:v>3.448</c:v>
                </c:pt>
                <c:pt idx="70">
                  <c:v>3.482</c:v>
                </c:pt>
                <c:pt idx="71">
                  <c:v>3.495</c:v>
                </c:pt>
                <c:pt idx="72">
                  <c:v>3.487</c:v>
                </c:pt>
                <c:pt idx="73">
                  <c:v>3.657</c:v>
                </c:pt>
                <c:pt idx="74">
                  <c:v>3.832</c:v>
                </c:pt>
                <c:pt idx="75">
                  <c:v>3.872</c:v>
                </c:pt>
                <c:pt idx="76">
                  <c:v>3.758</c:v>
                </c:pt>
                <c:pt idx="77">
                  <c:v>3.626</c:v>
                </c:pt>
                <c:pt idx="78">
                  <c:v>3.456</c:v>
                </c:pt>
                <c:pt idx="79">
                  <c:v>3.456</c:v>
                </c:pt>
                <c:pt idx="80">
                  <c:v>3.488</c:v>
                </c:pt>
                <c:pt idx="81">
                  <c:v>3.538</c:v>
                </c:pt>
                <c:pt idx="82">
                  <c:v>3.572</c:v>
                </c:pt>
                <c:pt idx="83">
                  <c:v>3.585</c:v>
                </c:pt>
                <c:pt idx="84">
                  <c:v>3.577</c:v>
                </c:pt>
                <c:pt idx="85">
                  <c:v>3.747</c:v>
                </c:pt>
                <c:pt idx="86">
                  <c:v>3.922</c:v>
                </c:pt>
                <c:pt idx="87">
                  <c:v>3.9645</c:v>
                </c:pt>
                <c:pt idx="88">
                  <c:v>3.8505</c:v>
                </c:pt>
                <c:pt idx="89">
                  <c:v>3.7185</c:v>
                </c:pt>
                <c:pt idx="90">
                  <c:v>3.5485</c:v>
                </c:pt>
                <c:pt idx="91">
                  <c:v>3.5485</c:v>
                </c:pt>
                <c:pt idx="92">
                  <c:v>3.5805</c:v>
                </c:pt>
                <c:pt idx="93">
                  <c:v>3.6305</c:v>
                </c:pt>
                <c:pt idx="94">
                  <c:v>3.6645</c:v>
                </c:pt>
                <c:pt idx="95">
                  <c:v>3.6775</c:v>
                </c:pt>
                <c:pt idx="96">
                  <c:v>3.6695</c:v>
                </c:pt>
                <c:pt idx="97">
                  <c:v>3.8395</c:v>
                </c:pt>
                <c:pt idx="98">
                  <c:v>4.0145</c:v>
                </c:pt>
                <c:pt idx="99">
                  <c:v>4.0595</c:v>
                </c:pt>
                <c:pt idx="100">
                  <c:v>3.9455</c:v>
                </c:pt>
                <c:pt idx="101">
                  <c:v>3.8135</c:v>
                </c:pt>
                <c:pt idx="102">
                  <c:v>3.6435</c:v>
                </c:pt>
                <c:pt idx="103">
                  <c:v>3.6435</c:v>
                </c:pt>
                <c:pt idx="104">
                  <c:v>3.6755</c:v>
                </c:pt>
                <c:pt idx="105">
                  <c:v>3.7255</c:v>
                </c:pt>
                <c:pt idx="106">
                  <c:v>3.7595</c:v>
                </c:pt>
                <c:pt idx="107">
                  <c:v>3.7725</c:v>
                </c:pt>
                <c:pt idx="108">
                  <c:v>3.7645</c:v>
                </c:pt>
                <c:pt idx="109">
                  <c:v>3.9345</c:v>
                </c:pt>
                <c:pt idx="110">
                  <c:v>4.1095</c:v>
                </c:pt>
                <c:pt idx="111">
                  <c:v>4.157</c:v>
                </c:pt>
                <c:pt idx="112">
                  <c:v>4.043</c:v>
                </c:pt>
                <c:pt idx="113">
                  <c:v>3.911</c:v>
                </c:pt>
                <c:pt idx="114">
                  <c:v>3.741</c:v>
                </c:pt>
                <c:pt idx="115">
                  <c:v>3.741</c:v>
                </c:pt>
                <c:pt idx="116">
                  <c:v>3.773</c:v>
                </c:pt>
                <c:pt idx="117">
                  <c:v>3.823</c:v>
                </c:pt>
                <c:pt idx="118">
                  <c:v>3.857</c:v>
                </c:pt>
                <c:pt idx="119">
                  <c:v>3.87</c:v>
                </c:pt>
                <c:pt idx="120">
                  <c:v>3.862</c:v>
                </c:pt>
                <c:pt idx="121">
                  <c:v>4.032</c:v>
                </c:pt>
                <c:pt idx="122">
                  <c:v>4.207</c:v>
                </c:pt>
                <c:pt idx="123">
                  <c:v>4.257</c:v>
                </c:pt>
                <c:pt idx="124">
                  <c:v>4.143</c:v>
                </c:pt>
                <c:pt idx="125">
                  <c:v>4.011</c:v>
                </c:pt>
                <c:pt idx="126">
                  <c:v>3.841</c:v>
                </c:pt>
                <c:pt idx="127">
                  <c:v>3.841</c:v>
                </c:pt>
                <c:pt idx="128">
                  <c:v>3.873</c:v>
                </c:pt>
                <c:pt idx="129">
                  <c:v>3.923</c:v>
                </c:pt>
                <c:pt idx="130">
                  <c:v>3.957</c:v>
                </c:pt>
                <c:pt idx="131">
                  <c:v>3.97</c:v>
                </c:pt>
                <c:pt idx="132">
                  <c:v>3.962</c:v>
                </c:pt>
                <c:pt idx="133">
                  <c:v>4.132</c:v>
                </c:pt>
                <c:pt idx="134">
                  <c:v>4.307</c:v>
                </c:pt>
                <c:pt idx="135">
                  <c:v>4.3595</c:v>
                </c:pt>
                <c:pt idx="136">
                  <c:v>4.2455</c:v>
                </c:pt>
                <c:pt idx="137">
                  <c:v>4.1135</c:v>
                </c:pt>
                <c:pt idx="138">
                  <c:v>3.9435</c:v>
                </c:pt>
                <c:pt idx="139">
                  <c:v>3.9435</c:v>
                </c:pt>
                <c:pt idx="140">
                  <c:v>3.9755</c:v>
                </c:pt>
                <c:pt idx="141">
                  <c:v>4.0255</c:v>
                </c:pt>
                <c:pt idx="142">
                  <c:v>4.0595</c:v>
                </c:pt>
                <c:pt idx="143">
                  <c:v>4.0725</c:v>
                </c:pt>
                <c:pt idx="144">
                  <c:v>4.0645</c:v>
                </c:pt>
                <c:pt idx="145">
                  <c:v>4.2345</c:v>
                </c:pt>
                <c:pt idx="146">
                  <c:v>4.4095</c:v>
                </c:pt>
                <c:pt idx="147">
                  <c:v>4.4645</c:v>
                </c:pt>
                <c:pt idx="148">
                  <c:v>4.3505</c:v>
                </c:pt>
                <c:pt idx="149">
                  <c:v>4.2185</c:v>
                </c:pt>
                <c:pt idx="150">
                  <c:v>4.0485</c:v>
                </c:pt>
                <c:pt idx="151">
                  <c:v>4.0485</c:v>
                </c:pt>
                <c:pt idx="152">
                  <c:v>4.0805</c:v>
                </c:pt>
                <c:pt idx="153">
                  <c:v>4.1305</c:v>
                </c:pt>
                <c:pt idx="154">
                  <c:v>4.1645</c:v>
                </c:pt>
                <c:pt idx="155">
                  <c:v>4.1775</c:v>
                </c:pt>
                <c:pt idx="156">
                  <c:v>4.1695</c:v>
                </c:pt>
                <c:pt idx="157">
                  <c:v>4.3395</c:v>
                </c:pt>
                <c:pt idx="158">
                  <c:v>4.5145</c:v>
                </c:pt>
                <c:pt idx="159">
                  <c:v>4.5695</c:v>
                </c:pt>
                <c:pt idx="160">
                  <c:v>4.4555</c:v>
                </c:pt>
                <c:pt idx="161">
                  <c:v>4.3235</c:v>
                </c:pt>
                <c:pt idx="162">
                  <c:v>4.1535</c:v>
                </c:pt>
                <c:pt idx="163">
                  <c:v>4.1535</c:v>
                </c:pt>
                <c:pt idx="164">
                  <c:v>4.1855</c:v>
                </c:pt>
                <c:pt idx="165">
                  <c:v>4.2355</c:v>
                </c:pt>
                <c:pt idx="166">
                  <c:v>4.2695</c:v>
                </c:pt>
                <c:pt idx="167">
                  <c:v>4.2825</c:v>
                </c:pt>
                <c:pt idx="168">
                  <c:v>4.2745</c:v>
                </c:pt>
                <c:pt idx="169">
                  <c:v>4.4445</c:v>
                </c:pt>
                <c:pt idx="170">
                  <c:v>4.6195</c:v>
                </c:pt>
                <c:pt idx="171">
                  <c:v>4.6745</c:v>
                </c:pt>
                <c:pt idx="172">
                  <c:v>4.5605</c:v>
                </c:pt>
                <c:pt idx="173">
                  <c:v>4.4285</c:v>
                </c:pt>
                <c:pt idx="174">
                  <c:v>4.2585</c:v>
                </c:pt>
                <c:pt idx="175">
                  <c:v>4.2585</c:v>
                </c:pt>
                <c:pt idx="176">
                  <c:v>4.2905</c:v>
                </c:pt>
                <c:pt idx="177">
                  <c:v>4.3405</c:v>
                </c:pt>
                <c:pt idx="178">
                  <c:v>4.3745</c:v>
                </c:pt>
                <c:pt idx="179">
                  <c:v>4.3875</c:v>
                </c:pt>
                <c:pt idx="180">
                  <c:v>4.3795</c:v>
                </c:pt>
                <c:pt idx="181">
                  <c:v>4.5495</c:v>
                </c:pt>
                <c:pt idx="182">
                  <c:v>4.7245</c:v>
                </c:pt>
                <c:pt idx="183">
                  <c:v>4.7795</c:v>
                </c:pt>
                <c:pt idx="184">
                  <c:v>4.6655</c:v>
                </c:pt>
                <c:pt idx="185">
                  <c:v>4.5335</c:v>
                </c:pt>
                <c:pt idx="186">
                  <c:v>4.3635</c:v>
                </c:pt>
                <c:pt idx="187">
                  <c:v>4.3635</c:v>
                </c:pt>
                <c:pt idx="188">
                  <c:v>4.3955</c:v>
                </c:pt>
                <c:pt idx="189">
                  <c:v>4.4455</c:v>
                </c:pt>
                <c:pt idx="190">
                  <c:v>4.4795</c:v>
                </c:pt>
                <c:pt idx="191">
                  <c:v>4.4925</c:v>
                </c:pt>
                <c:pt idx="192">
                  <c:v>4.4845</c:v>
                </c:pt>
                <c:pt idx="193">
                  <c:v>4.6545</c:v>
                </c:pt>
                <c:pt idx="194">
                  <c:v>4.8295</c:v>
                </c:pt>
                <c:pt idx="195">
                  <c:v>4.8845</c:v>
                </c:pt>
                <c:pt idx="196">
                  <c:v>4.7705</c:v>
                </c:pt>
                <c:pt idx="197">
                  <c:v>4.6385</c:v>
                </c:pt>
                <c:pt idx="198">
                  <c:v>4.4685</c:v>
                </c:pt>
                <c:pt idx="199">
                  <c:v>4.4685</c:v>
                </c:pt>
                <c:pt idx="200">
                  <c:v>4.5005</c:v>
                </c:pt>
                <c:pt idx="201">
                  <c:v>4.5505</c:v>
                </c:pt>
                <c:pt idx="202">
                  <c:v>4.5845</c:v>
                </c:pt>
                <c:pt idx="203">
                  <c:v>4.5975</c:v>
                </c:pt>
                <c:pt idx="204">
                  <c:v>4.5895</c:v>
                </c:pt>
                <c:pt idx="205">
                  <c:v>4.7595</c:v>
                </c:pt>
                <c:pt idx="206">
                  <c:v>4.9345</c:v>
                </c:pt>
                <c:pt idx="207">
                  <c:v>4.9895</c:v>
                </c:pt>
                <c:pt idx="208">
                  <c:v>4.8755</c:v>
                </c:pt>
                <c:pt idx="209">
                  <c:v>4.7435</c:v>
                </c:pt>
                <c:pt idx="210">
                  <c:v>4.5735</c:v>
                </c:pt>
                <c:pt idx="211">
                  <c:v>4.5735</c:v>
                </c:pt>
                <c:pt idx="212">
                  <c:v>4.6055</c:v>
                </c:pt>
                <c:pt idx="213">
                  <c:v>4.6555</c:v>
                </c:pt>
                <c:pt idx="214">
                  <c:v>4.6895</c:v>
                </c:pt>
                <c:pt idx="215">
                  <c:v>4.7025</c:v>
                </c:pt>
                <c:pt idx="216">
                  <c:v>4.6945</c:v>
                </c:pt>
                <c:pt idx="217">
                  <c:v>4.8645</c:v>
                </c:pt>
                <c:pt idx="218">
                  <c:v>5.0395</c:v>
                </c:pt>
                <c:pt idx="219">
                  <c:v>5.0945</c:v>
                </c:pt>
                <c:pt idx="220">
                  <c:v>4.9805</c:v>
                </c:pt>
                <c:pt idx="221">
                  <c:v>4.8485</c:v>
                </c:pt>
                <c:pt idx="222">
                  <c:v>4.6785</c:v>
                </c:pt>
                <c:pt idx="223">
                  <c:v>4.6785</c:v>
                </c:pt>
                <c:pt idx="224">
                  <c:v>4.7105</c:v>
                </c:pt>
                <c:pt idx="225">
                  <c:v>4.7605</c:v>
                </c:pt>
                <c:pt idx="226">
                  <c:v>4.7945</c:v>
                </c:pt>
                <c:pt idx="227">
                  <c:v>4.8075</c:v>
                </c:pt>
                <c:pt idx="228">
                  <c:v>4.7995</c:v>
                </c:pt>
                <c:pt idx="229">
                  <c:v>4.9695</c:v>
                </c:pt>
                <c:pt idx="230">
                  <c:v>5.1445</c:v>
                </c:pt>
                <c:pt idx="231">
                  <c:v>5.1995</c:v>
                </c:pt>
                <c:pt idx="232">
                  <c:v>5.0855</c:v>
                </c:pt>
                <c:pt idx="233">
                  <c:v>4.9535</c:v>
                </c:pt>
                <c:pt idx="234">
                  <c:v>4.7835</c:v>
                </c:pt>
                <c:pt idx="235">
                  <c:v>4.7835</c:v>
                </c:pt>
                <c:pt idx="236">
                  <c:v>4.8155</c:v>
                </c:pt>
                <c:pt idx="237">
                  <c:v>4.8655</c:v>
                </c:pt>
                <c:pt idx="238">
                  <c:v>4.8995</c:v>
                </c:pt>
                <c:pt idx="239">
                  <c:v>4.9125</c:v>
                </c:pt>
                <c:pt idx="240">
                  <c:v>4.9045</c:v>
                </c:pt>
                <c:pt idx="241">
                  <c:v>5.0745</c:v>
                </c:pt>
                <c:pt idx="242">
                  <c:v>5.2495</c:v>
                </c:pt>
                <c:pt idx="243">
                  <c:v>5.3045</c:v>
                </c:pt>
                <c:pt idx="244">
                  <c:v>5.1905</c:v>
                </c:pt>
                <c:pt idx="245">
                  <c:v>5.0585</c:v>
                </c:pt>
                <c:pt idx="246">
                  <c:v>4.8885</c:v>
                </c:pt>
                <c:pt idx="247">
                  <c:v>4.8885</c:v>
                </c:pt>
                <c:pt idx="248">
                  <c:v>4.9205</c:v>
                </c:pt>
                <c:pt idx="249">
                  <c:v>4.9705</c:v>
                </c:pt>
                <c:pt idx="250">
                  <c:v>5.0045</c:v>
                </c:pt>
                <c:pt idx="251">
                  <c:v>5.0175</c:v>
                </c:pt>
                <c:pt idx="252">
                  <c:v>5.0095</c:v>
                </c:pt>
                <c:pt idx="253">
                  <c:v>5.1795</c:v>
                </c:pt>
                <c:pt idx="254">
                  <c:v>5.3545</c:v>
                </c:pt>
                <c:pt idx="255">
                  <c:v>5.4095</c:v>
                </c:pt>
                <c:pt idx="256">
                  <c:v>5.2955</c:v>
                </c:pt>
                <c:pt idx="257">
                  <c:v>5.1635</c:v>
                </c:pt>
                <c:pt idx="258">
                  <c:v>4.9935</c:v>
                </c:pt>
                <c:pt idx="259">
                  <c:v>4.9935</c:v>
                </c:pt>
                <c:pt idx="260">
                  <c:v>5.0255</c:v>
                </c:pt>
                <c:pt idx="261">
                  <c:v>5.0755</c:v>
                </c:pt>
                <c:pt idx="262">
                  <c:v>5.1095</c:v>
                </c:pt>
                <c:pt idx="263">
                  <c:v>5.1225</c:v>
                </c:pt>
                <c:pt idx="264">
                  <c:v>5.1145</c:v>
                </c:pt>
                <c:pt idx="265">
                  <c:v>5.2845</c:v>
                </c:pt>
                <c:pt idx="266">
                  <c:v>5.4595</c:v>
                </c:pt>
                <c:pt idx="267">
                  <c:v>5.5145</c:v>
                </c:pt>
                <c:pt idx="268">
                  <c:v>5.4005</c:v>
                </c:pt>
                <c:pt idx="269">
                  <c:v>5.2685</c:v>
                </c:pt>
                <c:pt idx="270">
                  <c:v>5.0985</c:v>
                </c:pt>
                <c:pt idx="271">
                  <c:v>5.0985</c:v>
                </c:pt>
                <c:pt idx="272">
                  <c:v>5.1305</c:v>
                </c:pt>
                <c:pt idx="273">
                  <c:v>5.1805</c:v>
                </c:pt>
                <c:pt idx="274">
                  <c:v>5.2145</c:v>
                </c:pt>
                <c:pt idx="275">
                  <c:v>5.2275</c:v>
                </c:pt>
                <c:pt idx="276">
                  <c:v>5.2195</c:v>
                </c:pt>
                <c:pt idx="277">
                  <c:v>5.3895</c:v>
                </c:pt>
                <c:pt idx="278">
                  <c:v>5.5645</c:v>
                </c:pt>
                <c:pt idx="279">
                  <c:v>5.6195</c:v>
                </c:pt>
                <c:pt idx="280">
                  <c:v>5.5055</c:v>
                </c:pt>
                <c:pt idx="281">
                  <c:v>5.3735</c:v>
                </c:pt>
                <c:pt idx="282">
                  <c:v>5.2035</c:v>
                </c:pt>
                <c:pt idx="283">
                  <c:v>5.2035</c:v>
                </c:pt>
                <c:pt idx="284">
                  <c:v>5.2355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13003"/>
        <c:axId val="81026800"/>
      </c:lineChart>
      <c:catAx>
        <c:axId val="15698679"/>
        <c:scaling>
          <c:orientation val="minMax"/>
        </c:scaling>
        <c:delete val="0"/>
        <c:axPos val="b"/>
        <c:numFmt formatCode="[$-409]mmm\-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698390"/>
        <c:crossesAt val="0"/>
        <c:auto val="1"/>
        <c:lblAlgn val="ctr"/>
        <c:lblOffset val="100"/>
        <c:noMultiLvlLbl val="0"/>
      </c:catAx>
      <c:valAx>
        <c:axId val="10698390"/>
        <c:scaling>
          <c:orientation val="minMax"/>
        </c:scaling>
        <c:delete val="0"/>
        <c:axPos val="l"/>
        <c:numFmt formatCode="0.0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698679"/>
        <c:crossesAt val="1"/>
        <c:crossBetween val="midCat"/>
      </c:valAx>
      <c:catAx>
        <c:axId val="331300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026800"/>
        <c:auto val="1"/>
        <c:lblAlgn val="ctr"/>
        <c:lblOffset val="100"/>
        <c:noMultiLvlLbl val="0"/>
      </c:catAx>
      <c:valAx>
        <c:axId val="81026800"/>
        <c:scaling>
          <c:orientation val="minMax"/>
        </c:scaling>
        <c:delete val="0"/>
        <c:axPos val="r"/>
        <c:numFmt formatCode="0.000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13003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86401123004036"/>
          <c:y val="0.01532055311125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573480</xdr:colOff>
          <xdr:row>15</xdr:row>
          <xdr:rowOff>142920</xdr:rowOff>
        </xdr:from>
        <xdr:to>
          <xdr:col>27</xdr:col>
          <xdr:colOff>634320</xdr:colOff>
          <xdr:row>17</xdr:row>
          <xdr:rowOff>37800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191160</xdr:colOff>
          <xdr:row>16</xdr:row>
          <xdr:rowOff>123840</xdr:rowOff>
        </xdr:from>
        <xdr:to>
          <xdr:col>32</xdr:col>
          <xdr:colOff>101160</xdr:colOff>
          <xdr:row>19</xdr:row>
          <xdr:rowOff>57240</xdr:rowOff>
        </xdr:to>
        <xdr:sp>
          <xdr:nvSpPr>
            <xdr:cNvPr id="1001" name="Button 2" descr="Update Func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Function</a:t>
              </a:r>
            </a:p>
          </xdr:txBody>
        </xdr:sp>
        <xdr:clientData/>
      </xdr:twoCellAnchor>
    </mc:Choice>
  </mc:AlternateContent>
  <xdr:twoCellAnchor editAs="oneCell">
    <xdr:from>
      <xdr:col>33</xdr:col>
      <xdr:colOff>473040</xdr:colOff>
      <xdr:row>30</xdr:row>
      <xdr:rowOff>75960</xdr:rowOff>
    </xdr:from>
    <xdr:to>
      <xdr:col>38</xdr:col>
      <xdr:colOff>111240</xdr:colOff>
      <xdr:row>38</xdr:row>
      <xdr:rowOff>171720</xdr:rowOff>
    </xdr:to>
    <xdr:graphicFrame>
      <xdr:nvGraphicFramePr>
        <xdr:cNvPr id="0" name="Chart 3"/>
        <xdr:cNvGraphicFramePr/>
      </xdr:nvGraphicFramePr>
      <xdr:xfrm>
        <a:off x="17466840" y="4962240"/>
        <a:ext cx="2857680" cy="139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33</xdr:col>
      <xdr:colOff>473040</xdr:colOff>
      <xdr:row>20</xdr:row>
      <xdr:rowOff>86040</xdr:rowOff>
    </xdr:from>
    <xdr:to>
      <xdr:col>38</xdr:col>
      <xdr:colOff>131400</xdr:colOff>
      <xdr:row>27</xdr:row>
      <xdr:rowOff>162000</xdr:rowOff>
    </xdr:to>
    <xdr:graphicFrame>
      <xdr:nvGraphicFramePr>
        <xdr:cNvPr id="1" name="Chart 4"/>
        <xdr:cNvGraphicFramePr/>
      </xdr:nvGraphicFramePr>
      <xdr:xfrm>
        <a:off x="17466840" y="3353040"/>
        <a:ext cx="2877840" cy="120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191160</xdr:colOff>
      <xdr:row>20</xdr:row>
      <xdr:rowOff>66600</xdr:rowOff>
    </xdr:from>
    <xdr:to>
      <xdr:col>31</xdr:col>
      <xdr:colOff>543960</xdr:colOff>
      <xdr:row>38</xdr:row>
      <xdr:rowOff>162360</xdr:rowOff>
    </xdr:to>
    <xdr:graphicFrame>
      <xdr:nvGraphicFramePr>
        <xdr:cNvPr id="2" name="Chart 5"/>
        <xdr:cNvGraphicFramePr/>
      </xdr:nvGraphicFramePr>
      <xdr:xfrm>
        <a:off x="11390040" y="3333600"/>
        <a:ext cx="486000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211320</xdr:colOff>
          <xdr:row>13</xdr:row>
          <xdr:rowOff>66240</xdr:rowOff>
        </xdr:from>
        <xdr:to>
          <xdr:col>32</xdr:col>
          <xdr:colOff>70920</xdr:colOff>
          <xdr:row>16</xdr:row>
          <xdr:rowOff>19080</xdr:rowOff>
        </xdr:to>
        <xdr:sp>
          <xdr:nvSpPr>
            <xdr:cNvPr id="1002" name="Button 6" descr="Back To Tab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Back To Table</a:t>
              </a:r>
            </a:p>
          </xdr:txBody>
        </xdr:sp>
        <xdr:clientData/>
      </xdr:twoCellAnchor>
    </mc:Choice>
  </mc:AlternateContent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39600</xdr:colOff>
      <xdr:row>17</xdr:row>
      <xdr:rowOff>76320</xdr:rowOff>
    </xdr:from>
    <xdr:to>
      <xdr:col>29</xdr:col>
      <xdr:colOff>439200</xdr:colOff>
      <xdr:row>41</xdr:row>
      <xdr:rowOff>114840</xdr:rowOff>
    </xdr:to>
    <xdr:graphicFrame>
      <xdr:nvGraphicFramePr>
        <xdr:cNvPr id="4" name="Chart 1"/>
        <xdr:cNvGraphicFramePr/>
      </xdr:nvGraphicFramePr>
      <xdr:xfrm>
        <a:off x="12952440" y="3210120"/>
        <a:ext cx="6154560" cy="4581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30600</xdr:colOff>
          <xdr:row>20</xdr:row>
          <xdr:rowOff>47520</xdr:rowOff>
        </xdr:from>
        <xdr:to>
          <xdr:col>10</xdr:col>
          <xdr:colOff>161280</xdr:colOff>
          <xdr:row>21</xdr:row>
          <xdr:rowOff>114120</xdr:rowOff>
        </xdr:to>
        <xdr:sp>
          <xdr:nvSpPr>
            <xdr:cNvPr id="1001" name="Button 397" descr="Get Vo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Vols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10440</xdr:colOff>
          <xdr:row>20</xdr:row>
          <xdr:rowOff>76320</xdr:rowOff>
        </xdr:from>
        <xdr:to>
          <xdr:col>12</xdr:col>
          <xdr:colOff>212400</xdr:colOff>
          <xdr:row>21</xdr:row>
          <xdr:rowOff>142920</xdr:rowOff>
        </xdr:to>
        <xdr:sp>
          <xdr:nvSpPr>
            <xdr:cNvPr id="1002" name="Button 426" descr="Vol 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Vol Settles</a:t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14</xdr:col>
      <xdr:colOff>190080</xdr:colOff>
      <xdr:row>25</xdr:row>
      <xdr:rowOff>86040</xdr:rowOff>
    </xdr:to>
    <xdr:graphicFrame>
      <xdr:nvGraphicFramePr>
        <xdr:cNvPr id="3" name="Chart 1"/>
        <xdr:cNvGraphicFramePr/>
      </xdr:nvGraphicFramePr>
      <xdr:xfrm>
        <a:off x="0" y="0"/>
        <a:ext cx="9124560" cy="4134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10080</xdr:colOff>
          <xdr:row>2</xdr:row>
          <xdr:rowOff>47160</xdr:rowOff>
        </xdr:from>
        <xdr:to>
          <xdr:col>12</xdr:col>
          <xdr:colOff>20520</xdr:colOff>
          <xdr:row>4</xdr:row>
          <xdr:rowOff>133560</xdr:rowOff>
        </xdr:to>
        <xdr:sp>
          <xdr:nvSpPr>
            <xdr:cNvPr id="1001" name="Button 525" descr="Get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
Settles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321840</xdr:colOff>
          <xdr:row>0</xdr:row>
          <xdr:rowOff>0</xdr:rowOff>
        </xdr:from>
        <xdr:to>
          <xdr:col>3</xdr:col>
          <xdr:colOff>251640</xdr:colOff>
          <xdr:row>1</xdr:row>
          <xdr:rowOff>133560</xdr:rowOff>
        </xdr:to>
        <xdr:sp>
          <xdr:nvSpPr>
            <xdr:cNvPr id="1002" name="Button 526" descr="C/S Po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C/S Pos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20160</xdr:colOff>
          <xdr:row>0</xdr:row>
          <xdr:rowOff>0</xdr:rowOff>
        </xdr:from>
        <xdr:to>
          <xdr:col>2</xdr:col>
          <xdr:colOff>302400</xdr:colOff>
          <xdr:row>1</xdr:row>
          <xdr:rowOff>133560</xdr:rowOff>
        </xdr:to>
        <xdr:sp>
          <xdr:nvSpPr>
            <xdr:cNvPr id="1003" name="Button 533" descr="Int. R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Int. Rate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10080</xdr:colOff>
          <xdr:row>0</xdr:row>
          <xdr:rowOff>0</xdr:rowOff>
        </xdr:from>
        <xdr:to>
          <xdr:col>12</xdr:col>
          <xdr:colOff>20520</xdr:colOff>
          <xdr:row>2</xdr:row>
          <xdr:rowOff>18720</xdr:rowOff>
        </xdr:to>
        <xdr:sp>
          <xdr:nvSpPr>
            <xdr:cNvPr id="1004" name="Button 534" descr="Link To&#10;Joh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Link To
John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7</xdr:col>
          <xdr:colOff>0</xdr:colOff>
          <xdr:row>9</xdr:row>
          <xdr:rowOff>152640</xdr:rowOff>
        </xdr:to>
        <xdr:sp>
          <xdr:nvSpPr>
            <xdr:cNvPr id="1005" name="Button 640" descr="Send&#10;Settl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Send
Settles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odeljoh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OL"/>
      <sheetName val="Swaption"/>
      <sheetName val="Skew3"/>
      <sheetName val="Opt"/>
      <sheetName val="Swap"/>
      <sheetName val="Front"/>
    </sheetNames>
    <sheetDataSet>
      <sheetData sheetId="0"/>
      <sheetData sheetId="1"/>
      <sheetData sheetId="2"/>
      <sheetData sheetId="3"/>
      <sheetData sheetId="4">
        <row r="17">
          <cell r="P17">
            <v>0.25</v>
          </cell>
        </row>
        <row r="18">
          <cell r="P18">
            <v>0.0875</v>
          </cell>
        </row>
        <row r="19">
          <cell r="P19">
            <v>0.085</v>
          </cell>
        </row>
        <row r="20">
          <cell r="P20">
            <v>0.0875</v>
          </cell>
        </row>
        <row r="21">
          <cell r="P21">
            <v>0.09</v>
          </cell>
        </row>
        <row r="22">
          <cell r="P22">
            <v>0.0925</v>
          </cell>
        </row>
        <row r="23">
          <cell r="P23">
            <v>0.095</v>
          </cell>
        </row>
        <row r="24">
          <cell r="P24">
            <v>0.0975</v>
          </cell>
        </row>
        <row r="25">
          <cell r="P25">
            <v>0.1</v>
          </cell>
        </row>
        <row r="26">
          <cell r="P26">
            <v>0.1025</v>
          </cell>
        </row>
        <row r="27">
          <cell r="P27">
            <v>0.105</v>
          </cell>
        </row>
        <row r="28">
          <cell r="P28">
            <v>0.1075</v>
          </cell>
        </row>
        <row r="29">
          <cell r="P29">
            <v>0.1075</v>
          </cell>
        </row>
        <row r="30">
          <cell r="P30">
            <v>0.1075</v>
          </cell>
        </row>
        <row r="31">
          <cell r="P31">
            <v>0.1075</v>
          </cell>
        </row>
        <row r="32">
          <cell r="P32">
            <v>0.1075</v>
          </cell>
        </row>
        <row r="33">
          <cell r="P33">
            <v>0.1075</v>
          </cell>
        </row>
        <row r="34">
          <cell r="P34">
            <v>0.1075</v>
          </cell>
        </row>
        <row r="35">
          <cell r="P35">
            <v>0.1075</v>
          </cell>
        </row>
        <row r="36">
          <cell r="P36">
            <v>0.1075</v>
          </cell>
        </row>
        <row r="37">
          <cell r="P37">
            <v>0.1075</v>
          </cell>
        </row>
        <row r="38">
          <cell r="P38">
            <v>0.1075</v>
          </cell>
        </row>
        <row r="39">
          <cell r="P39">
            <v>0.1075</v>
          </cell>
        </row>
        <row r="40">
          <cell r="P40">
            <v>0.1075</v>
          </cell>
        </row>
        <row r="41">
          <cell r="P41">
            <v>0.1075</v>
          </cell>
        </row>
        <row r="42">
          <cell r="P42">
            <v>0.1075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<Relationship Id="rId6" Type="http://schemas.openxmlformats.org/officeDocument/2006/relationships/ctrlProp" Target="../ctrlProps/ctrlProps9.xml"/><Relationship Id="rId7" Type="http://schemas.openxmlformats.org/officeDocument/2006/relationships/ctrlProp" Target="../ctrlProps/ctrlProps10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2.x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28"/>
  </cols>
  <sheetData>
    <row r="1" customFormat="false" ht="18" hidden="false" customHeight="false" outlineLevel="0" collapsed="false">
      <c r="A1" s="1" t="s">
        <v>0</v>
      </c>
    </row>
    <row r="2" customFormat="false" ht="12.75" hidden="false" customHeight="false" outlineLevel="0" collapsed="false">
      <c r="D2" s="2" t="s">
        <v>1</v>
      </c>
      <c r="E2" s="2" t="s">
        <v>1</v>
      </c>
      <c r="F2" s="2" t="s">
        <v>2</v>
      </c>
      <c r="G2" s="2" t="s">
        <v>3</v>
      </c>
    </row>
    <row r="3" customFormat="false" ht="12.75" hidden="false" customHeight="false" outlineLevel="0" collapsed="false">
      <c r="D3" s="2" t="s">
        <v>4</v>
      </c>
      <c r="E3" s="2" t="s">
        <v>5</v>
      </c>
      <c r="F3" s="2" t="s">
        <v>6</v>
      </c>
      <c r="G3" s="2" t="s">
        <v>7</v>
      </c>
    </row>
    <row r="4" customFormat="false" ht="12.75" hidden="false" customHeight="false" outlineLevel="0" collapsed="false">
      <c r="F4" s="0" t="s">
        <v>8</v>
      </c>
    </row>
    <row r="5" customFormat="false" ht="12.75" hidden="false" customHeight="false" outlineLevel="0" collapsed="false">
      <c r="D5" s="3"/>
      <c r="E5" s="3"/>
      <c r="F5" s="4"/>
      <c r="G5" s="3"/>
    </row>
    <row r="6" customFormat="false" ht="12.75" hidden="false" customHeight="false" outlineLevel="0" collapsed="false">
      <c r="A6" s="5" t="n">
        <v>36397</v>
      </c>
      <c r="B6" s="0" t="s">
        <v>9</v>
      </c>
      <c r="D6" s="3" t="n">
        <v>0.34</v>
      </c>
      <c r="E6" s="3" t="n">
        <v>0.38</v>
      </c>
      <c r="F6" s="4" t="n">
        <v>-0.17</v>
      </c>
      <c r="G6" s="3" t="n">
        <v>0.53</v>
      </c>
      <c r="I6" s="0" t="n">
        <f aca="false">AVERAGE(D6:E6)/G6</f>
        <v>0.679245283018868</v>
      </c>
    </row>
    <row r="7" customFormat="false" ht="12.75" hidden="false" customHeight="false" outlineLevel="0" collapsed="false">
      <c r="A7" s="5" t="n">
        <v>36402</v>
      </c>
      <c r="B7" s="0" t="s">
        <v>10</v>
      </c>
      <c r="D7" s="3" t="n">
        <v>0.16</v>
      </c>
      <c r="E7" s="3" t="n">
        <v>0.2</v>
      </c>
      <c r="F7" s="4" t="n">
        <v>0.1</v>
      </c>
      <c r="G7" s="3" t="n">
        <v>0.26</v>
      </c>
      <c r="I7" s="0" t="n">
        <f aca="false">AVERAGE(D7:E7)/G7</f>
        <v>0.692307692307692</v>
      </c>
    </row>
    <row r="8" customFormat="false" ht="12.75" hidden="false" customHeight="false" outlineLevel="0" collapsed="false">
      <c r="A8" s="5" t="n">
        <v>36402</v>
      </c>
      <c r="B8" s="0" t="s">
        <v>11</v>
      </c>
      <c r="D8" s="3" t="n">
        <v>0.1725</v>
      </c>
      <c r="E8" s="3" t="n">
        <v>0.1875</v>
      </c>
      <c r="F8" s="4" t="n">
        <v>0.2</v>
      </c>
      <c r="G8" s="3" t="n">
        <v>0.2465</v>
      </c>
      <c r="I8" s="0" t="n">
        <f aca="false">AVERAGE(D8:E8)/G8</f>
        <v>0.730223123732252</v>
      </c>
    </row>
    <row r="9" customFormat="false" ht="12.75" hidden="false" customHeight="false" outlineLevel="0" collapsed="false">
      <c r="F9" s="4"/>
      <c r="G9" s="3"/>
    </row>
    <row r="10" customFormat="false" ht="12.75" hidden="false" customHeight="false" outlineLevel="0" collapsed="false">
      <c r="F10" s="4"/>
      <c r="G10" s="3"/>
    </row>
    <row r="11" customFormat="false" ht="12.75" hidden="false" customHeight="false" outlineLevel="0" collapsed="false">
      <c r="A11" s="5" t="n">
        <v>36430</v>
      </c>
      <c r="B11" s="0" t="s">
        <v>12</v>
      </c>
      <c r="D11" s="0" t="n">
        <v>0.525</v>
      </c>
      <c r="E11" s="0" t="n">
        <v>0.535</v>
      </c>
      <c r="F11" s="4" t="n">
        <v>0</v>
      </c>
      <c r="G11" s="3"/>
    </row>
    <row r="12" customFormat="false" ht="12.75" hidden="false" customHeight="false" outlineLevel="0" collapsed="false">
      <c r="A12" s="5" t="n">
        <v>36431</v>
      </c>
      <c r="F12" s="4"/>
      <c r="G12" s="3"/>
    </row>
    <row r="13" customFormat="false" ht="12.75" hidden="false" customHeight="false" outlineLevel="0" collapsed="false">
      <c r="F13" s="4"/>
      <c r="G13" s="3"/>
    </row>
    <row r="14" customFormat="false" ht="12.75" hidden="false" customHeight="false" outlineLevel="0" collapsed="false">
      <c r="A14" s="5" t="n">
        <v>36432</v>
      </c>
      <c r="B14" s="0" t="s">
        <v>13</v>
      </c>
      <c r="D14" s="0" t="n">
        <v>0.155</v>
      </c>
      <c r="E14" s="0" t="n">
        <v>0.175</v>
      </c>
      <c r="F14" s="4" t="n">
        <v>0.4</v>
      </c>
      <c r="G14" s="3" t="n">
        <v>0.215</v>
      </c>
      <c r="I14" s="0" t="n">
        <f aca="false">AVERAGE(D14:E14)/G14</f>
        <v>0.767441860465116</v>
      </c>
    </row>
    <row r="15" customFormat="false" ht="12.75" hidden="false" customHeight="false" outlineLevel="0" collapsed="false">
      <c r="A15" s="5" t="n">
        <v>36433</v>
      </c>
      <c r="B15" s="0" t="s">
        <v>14</v>
      </c>
      <c r="D15" s="0" t="n">
        <v>0.29</v>
      </c>
      <c r="E15" s="0" t="n">
        <v>0.29</v>
      </c>
      <c r="F15" s="4" t="n">
        <v>0</v>
      </c>
      <c r="G15" s="3" t="n">
        <v>0.36</v>
      </c>
      <c r="I15" s="0" t="n">
        <f aca="false">AVERAGE(D15:E15)/G15</f>
        <v>0.805555555555556</v>
      </c>
    </row>
    <row r="16" customFormat="false" ht="12.75" hidden="false" customHeight="false" outlineLevel="0" collapsed="false">
      <c r="A16" s="5" t="n">
        <v>36433</v>
      </c>
      <c r="B16" s="0" t="s">
        <v>15</v>
      </c>
      <c r="D16" s="0" t="n">
        <v>0.195</v>
      </c>
      <c r="E16" s="0" t="n">
        <v>0.21</v>
      </c>
      <c r="F16" s="4" t="n">
        <v>0.3</v>
      </c>
      <c r="G16" s="3" t="n">
        <v>0.29</v>
      </c>
      <c r="I16" s="0" t="n">
        <f aca="false">AVERAGE(D16:E16)/G16</f>
        <v>0.698275862068966</v>
      </c>
    </row>
    <row r="17" customFormat="false" ht="12.75" hidden="false" customHeight="false" outlineLevel="0" collapsed="false">
      <c r="A17" s="5"/>
      <c r="F17" s="4"/>
      <c r="G17" s="3"/>
    </row>
    <row r="18" customFormat="false" ht="12.75" hidden="false" customHeight="false" outlineLevel="0" collapsed="false">
      <c r="A18" s="5" t="n">
        <v>36440</v>
      </c>
      <c r="B18" s="6" t="s">
        <v>15</v>
      </c>
      <c r="C18" s="6"/>
      <c r="D18" s="6" t="n">
        <v>0.24</v>
      </c>
      <c r="E18" s="6" t="n">
        <v>0.24</v>
      </c>
      <c r="F18" s="4" t="n">
        <v>-0.25</v>
      </c>
      <c r="G18" s="3" t="n">
        <v>0.29</v>
      </c>
      <c r="I18" s="0" t="n">
        <f aca="false">AVERAGE(D18:E18)/G18</f>
        <v>0.827586206896552</v>
      </c>
    </row>
    <row r="19" customFormat="false" ht="12.75" hidden="false" customHeight="false" outlineLevel="0" collapsed="false">
      <c r="A19" s="5" t="n">
        <v>36440</v>
      </c>
      <c r="B19" s="7" t="s">
        <v>15</v>
      </c>
      <c r="C19" s="7"/>
      <c r="D19" s="7" t="n">
        <v>0.245</v>
      </c>
      <c r="E19" s="7" t="n">
        <v>0.255</v>
      </c>
      <c r="F19" s="4" t="n">
        <v>0.35</v>
      </c>
      <c r="G19" s="3" t="n">
        <v>0.3</v>
      </c>
      <c r="I19" s="0" t="n">
        <f aca="false">AVERAGE(D19:E19)/G19</f>
        <v>0.833333333333333</v>
      </c>
    </row>
    <row r="20" customFormat="false" ht="12.75" hidden="false" customHeight="false" outlineLevel="0" collapsed="false">
      <c r="A20" s="5" t="n">
        <v>36440</v>
      </c>
      <c r="B20" s="0" t="s">
        <v>16</v>
      </c>
      <c r="D20" s="0" t="n">
        <v>0.19</v>
      </c>
      <c r="E20" s="0" t="n">
        <v>0.205</v>
      </c>
      <c r="F20" s="4" t="n">
        <v>0.2</v>
      </c>
      <c r="G20" s="3" t="n">
        <v>0.24</v>
      </c>
      <c r="I20" s="0" t="n">
        <f aca="false">AVERAGE(D20:E20)/G20</f>
        <v>0.822916666666667</v>
      </c>
    </row>
    <row r="21" customFormat="false" ht="12.75" hidden="false" customHeight="false" outlineLevel="0" collapsed="false">
      <c r="A21" s="5" t="n">
        <v>36440</v>
      </c>
      <c r="B21" s="0" t="s">
        <v>17</v>
      </c>
      <c r="D21" s="0" t="n">
        <v>0.21</v>
      </c>
      <c r="E21" s="0" t="n">
        <v>0.26</v>
      </c>
      <c r="F21" s="4" t="n">
        <v>1</v>
      </c>
      <c r="G21" s="3" t="n">
        <f aca="false">0.2675+0.025</f>
        <v>0.2925</v>
      </c>
      <c r="I21" s="0" t="n">
        <f aca="false">AVERAGE(D21:E21)/G21</f>
        <v>0.803418803418803</v>
      </c>
    </row>
    <row r="22" customFormat="false" ht="12.75" hidden="false" customHeight="false" outlineLevel="0" collapsed="false">
      <c r="A22" s="5"/>
      <c r="G22" s="3"/>
    </row>
    <row r="23" customFormat="false" ht="12.75" hidden="false" customHeight="false" outlineLevel="0" collapsed="false">
      <c r="A23" s="5" t="n">
        <v>36441</v>
      </c>
      <c r="B23" s="0" t="s">
        <v>18</v>
      </c>
      <c r="D23" s="0" t="n">
        <v>0.12</v>
      </c>
      <c r="E23" s="0" t="n">
        <v>0.13</v>
      </c>
      <c r="F23" s="0" t="n">
        <v>0.35</v>
      </c>
      <c r="G23" s="3" t="n">
        <f aca="false">0.1675+0.0035</f>
        <v>0.171</v>
      </c>
      <c r="I23" s="0" t="n">
        <f aca="false">AVERAGE(D23:E23)/G23</f>
        <v>0.730994152046784</v>
      </c>
    </row>
    <row r="24" customFormat="false" ht="12.75" hidden="false" customHeight="false" outlineLevel="0" collapsed="false">
      <c r="A24" s="5"/>
      <c r="G24" s="3"/>
    </row>
    <row r="25" customFormat="false" ht="12.75" hidden="false" customHeight="false" outlineLevel="0" collapsed="false">
      <c r="A25" s="5" t="n">
        <v>36444</v>
      </c>
      <c r="B25" s="0" t="s">
        <v>15</v>
      </c>
      <c r="D25" s="0" t="n">
        <v>0.24</v>
      </c>
      <c r="E25" s="0" t="n">
        <v>0.255</v>
      </c>
      <c r="F25" s="0" t="n">
        <v>0.45</v>
      </c>
      <c r="G25" s="3" t="n">
        <f aca="false">0.295+0.0015</f>
        <v>0.2965</v>
      </c>
      <c r="I25" s="0" t="n">
        <f aca="false">AVERAGE(D25:E25)/G25</f>
        <v>0.834738617200675</v>
      </c>
    </row>
    <row r="26" customFormat="false" ht="12.75" hidden="false" customHeight="false" outlineLevel="0" collapsed="false">
      <c r="A26" s="5" t="n">
        <v>36445</v>
      </c>
      <c r="B26" s="0" t="s">
        <v>19</v>
      </c>
      <c r="D26" s="0" t="n">
        <v>0.16</v>
      </c>
      <c r="E26" s="0" t="n">
        <v>0.18</v>
      </c>
      <c r="F26" s="0" t="n">
        <v>0.2</v>
      </c>
      <c r="G26" s="3" t="n">
        <v>0.2175</v>
      </c>
      <c r="I26" s="0" t="n">
        <f aca="false">AVERAGE(D26:E26)/G26</f>
        <v>0.781609195402299</v>
      </c>
    </row>
    <row r="27" customFormat="false" ht="12.75" hidden="false" customHeight="false" outlineLevel="0" collapsed="false">
      <c r="A27" s="5" t="n">
        <v>36446</v>
      </c>
      <c r="B27" s="0" t="s">
        <v>20</v>
      </c>
      <c r="D27" s="0" t="n">
        <v>0.29</v>
      </c>
      <c r="E27" s="0" t="n">
        <v>0.34</v>
      </c>
      <c r="F27" s="0" t="n">
        <v>-0.2</v>
      </c>
      <c r="G27" s="3" t="n">
        <v>0.38</v>
      </c>
      <c r="I27" s="0" t="n">
        <f aca="false">AVERAGE(D27:E27)/G27</f>
        <v>0.828947368421053</v>
      </c>
    </row>
    <row r="28" customFormat="false" ht="12.75" hidden="false" customHeight="false" outlineLevel="0" collapsed="false">
      <c r="B28" s="0" t="s">
        <v>15</v>
      </c>
      <c r="D28" s="0" t="n">
        <v>0.25</v>
      </c>
      <c r="E28" s="0" t="n">
        <v>0.28</v>
      </c>
      <c r="F28" s="0" t="n">
        <v>0.4</v>
      </c>
      <c r="G28" s="3"/>
    </row>
    <row r="29" customFormat="false" ht="12.75" hidden="false" customHeight="false" outlineLevel="0" collapsed="false">
      <c r="G29" s="3"/>
    </row>
    <row r="30" customFormat="false" ht="12.75" hidden="false" customHeight="false" outlineLevel="0" collapsed="false">
      <c r="A30" s="5" t="n">
        <v>36466</v>
      </c>
      <c r="B30" s="0" t="s">
        <v>21</v>
      </c>
      <c r="D30" s="0" t="n">
        <v>0.29</v>
      </c>
      <c r="E30" s="0" t="n">
        <v>0.32</v>
      </c>
      <c r="F30" s="0" t="n">
        <v>0</v>
      </c>
      <c r="G30" s="3" t="n">
        <v>0.365</v>
      </c>
      <c r="I30" s="0" t="n">
        <f aca="false">AVERAGE(D30:E30)/G30</f>
        <v>0.835616438356164</v>
      </c>
    </row>
    <row r="31" customFormat="false" ht="12.75" hidden="false" customHeight="false" outlineLevel="0" collapsed="false">
      <c r="G31" s="3"/>
    </row>
    <row r="32" customFormat="false" ht="12.75" hidden="false" customHeight="false" outlineLevel="0" collapsed="false">
      <c r="G32" s="3"/>
    </row>
    <row r="33" customFormat="false" ht="12.75" hidden="false" customHeight="false" outlineLevel="0" collapsed="false">
      <c r="G33" s="3"/>
    </row>
    <row r="34" customFormat="false" ht="12.75" hidden="false" customHeight="false" outlineLevel="0" collapsed="false">
      <c r="G34" s="3"/>
    </row>
    <row r="35" customFormat="false" ht="12.75" hidden="false" customHeight="false" outlineLevel="0" collapsed="false">
      <c r="G35" s="3"/>
    </row>
    <row r="36" customFormat="false" ht="12.75" hidden="false" customHeight="false" outlineLevel="0" collapsed="false">
      <c r="G36" s="3"/>
    </row>
    <row r="37" customFormat="false" ht="12.75" hidden="false" customHeight="false" outlineLevel="0" collapsed="false">
      <c r="G37" s="3"/>
    </row>
    <row r="38" customFormat="false" ht="12.75" hidden="false" customHeight="false" outlineLevel="0" collapsed="false">
      <c r="G38" s="3"/>
    </row>
    <row r="39" customFormat="false" ht="12.75" hidden="false" customHeight="false" outlineLevel="0" collapsed="false">
      <c r="G39" s="3"/>
    </row>
    <row r="40" customFormat="false" ht="12.75" hidden="false" customHeight="false" outlineLevel="0" collapsed="false">
      <c r="G40" s="3"/>
    </row>
    <row r="41" customFormat="false" ht="12.75" hidden="false" customHeight="false" outlineLevel="0" collapsed="false">
      <c r="G41" s="3"/>
    </row>
    <row r="42" customFormat="false" ht="12.75" hidden="false" customHeight="false" outlineLevel="0" collapsed="false">
      <c r="G42" s="3"/>
    </row>
    <row r="43" customFormat="false" ht="12.75" hidden="false" customHeight="false" outlineLevel="0" collapsed="false">
      <c r="G43" s="3"/>
    </row>
    <row r="44" customFormat="false" ht="12.75" hidden="false" customHeight="false" outlineLevel="0" collapsed="false">
      <c r="G44" s="3"/>
    </row>
    <row r="45" customFormat="false" ht="12.75" hidden="false" customHeight="false" outlineLevel="0" collapsed="false">
      <c r="G45" s="3"/>
    </row>
    <row r="46" customFormat="false" ht="12.75" hidden="false" customHeight="false" outlineLevel="0" collapsed="false">
      <c r="G46" s="3"/>
    </row>
    <row r="47" customFormat="false" ht="12.75" hidden="false" customHeight="false" outlineLevel="0" collapsed="false">
      <c r="G47" s="3"/>
    </row>
    <row r="48" customFormat="false" ht="12.75" hidden="false" customHeight="false" outlineLevel="0" collapsed="false">
      <c r="G48" s="3"/>
    </row>
    <row r="49" customFormat="false" ht="12.75" hidden="false" customHeight="false" outlineLevel="0" collapsed="false">
      <c r="G49" s="3"/>
    </row>
    <row r="50" customFormat="false" ht="12.75" hidden="false" customHeight="false" outlineLevel="0" collapsed="false">
      <c r="G50" s="3"/>
    </row>
    <row r="51" customFormat="false" ht="12.75" hidden="false" customHeight="false" outlineLevel="0" collapsed="false">
      <c r="G51" s="3"/>
    </row>
    <row r="52" customFormat="false" ht="12.75" hidden="false" customHeight="false" outlineLevel="0" collapsed="false">
      <c r="G52" s="3"/>
    </row>
    <row r="53" customFormat="false" ht="12.75" hidden="false" customHeight="false" outlineLevel="0" collapsed="false">
      <c r="G53" s="3"/>
    </row>
    <row r="54" customFormat="false" ht="12.75" hidden="false" customHeight="false" outlineLevel="0" collapsed="false">
      <c r="G54" s="3"/>
    </row>
    <row r="55" customFormat="false" ht="12.75" hidden="false" customHeight="false" outlineLevel="0" collapsed="false">
      <c r="G55" s="3"/>
    </row>
    <row r="56" customFormat="false" ht="12.75" hidden="false" customHeight="false" outlineLevel="0" collapsed="false">
      <c r="G56" s="3"/>
    </row>
    <row r="57" customFormat="false" ht="12.75" hidden="false" customHeight="false" outlineLevel="0" collapsed="false">
      <c r="G57" s="3"/>
    </row>
    <row r="58" customFormat="false" ht="12.75" hidden="false" customHeight="false" outlineLevel="0" collapsed="false">
      <c r="G58" s="3"/>
    </row>
    <row r="59" customFormat="false" ht="12.75" hidden="false" customHeight="false" outlineLevel="0" collapsed="false">
      <c r="G59" s="3"/>
    </row>
    <row r="60" customFormat="false" ht="12.75" hidden="false" customHeight="false" outlineLevel="0" collapsed="false">
      <c r="G60" s="3"/>
    </row>
    <row r="61" customFormat="false" ht="12.75" hidden="false" customHeight="false" outlineLevel="0" collapsed="false">
      <c r="G61" s="3"/>
    </row>
    <row r="62" customFormat="false" ht="12.75" hidden="false" customHeight="false" outlineLevel="0" collapsed="false">
      <c r="G62" s="3"/>
    </row>
    <row r="63" customFormat="false" ht="12.75" hidden="false" customHeight="false" outlineLevel="0" collapsed="false">
      <c r="G63" s="3"/>
    </row>
    <row r="64" customFormat="false" ht="12.75" hidden="false" customHeight="false" outlineLevel="0" collapsed="false">
      <c r="G64" s="3"/>
    </row>
    <row r="65" customFormat="false" ht="12.75" hidden="false" customHeight="false" outlineLevel="0" collapsed="false">
      <c r="G65" s="3"/>
    </row>
    <row r="66" customFormat="false" ht="12.75" hidden="false" customHeight="false" outlineLevel="0" collapsed="false">
      <c r="G66" s="3"/>
    </row>
    <row r="67" customFormat="false" ht="12.75" hidden="false" customHeight="false" outlineLevel="0" collapsed="false">
      <c r="G67" s="3"/>
    </row>
    <row r="68" customFormat="false" ht="12.75" hidden="false" customHeight="false" outlineLevel="0" collapsed="false">
      <c r="G68" s="3"/>
    </row>
    <row r="69" customFormat="false" ht="12.75" hidden="false" customHeight="false" outlineLevel="0" collapsed="false">
      <c r="G69" s="3"/>
    </row>
    <row r="70" customFormat="false" ht="12.75" hidden="false" customHeight="false" outlineLevel="0" collapsed="false">
      <c r="G70" s="3"/>
    </row>
    <row r="71" customFormat="false" ht="12.75" hidden="false" customHeight="false" outlineLevel="0" collapsed="false">
      <c r="G71" s="3"/>
    </row>
    <row r="72" customFormat="false" ht="12.75" hidden="false" customHeight="false" outlineLevel="0" collapsed="false">
      <c r="G72" s="3"/>
    </row>
    <row r="73" customFormat="false" ht="12.75" hidden="false" customHeight="false" outlineLevel="0" collapsed="false">
      <c r="G73" s="3"/>
    </row>
    <row r="74" customFormat="false" ht="12.75" hidden="false" customHeight="false" outlineLevel="0" collapsed="false">
      <c r="G74" s="3"/>
    </row>
    <row r="75" customFormat="false" ht="12.75" hidden="false" customHeight="false" outlineLevel="0" collapsed="false">
      <c r="G75" s="3"/>
    </row>
    <row r="76" customFormat="false" ht="12.75" hidden="false" customHeight="false" outlineLevel="0" collapsed="false">
      <c r="G76" s="3"/>
    </row>
    <row r="77" customFormat="false" ht="12.75" hidden="false" customHeight="false" outlineLevel="0" collapsed="false">
      <c r="G77" s="3"/>
    </row>
    <row r="78" customFormat="false" ht="12.75" hidden="false" customHeight="false" outlineLevel="0" collapsed="false">
      <c r="G78" s="3"/>
    </row>
    <row r="79" customFormat="false" ht="12.75" hidden="false" customHeight="false" outlineLevel="0" collapsed="false">
      <c r="G79" s="3"/>
    </row>
    <row r="80" customFormat="false" ht="12.75" hidden="false" customHeight="false" outlineLevel="0" collapsed="false">
      <c r="G80" s="3"/>
    </row>
    <row r="81" customFormat="false" ht="12.75" hidden="false" customHeight="false" outlineLevel="0" collapsed="false">
      <c r="G81" s="3"/>
    </row>
    <row r="82" customFormat="false" ht="12.75" hidden="false" customHeight="false" outlineLevel="0" collapsed="false">
      <c r="G82" s="3"/>
    </row>
    <row r="83" customFormat="false" ht="12.75" hidden="false" customHeight="false" outlineLevel="0" collapsed="false">
      <c r="G83" s="3"/>
    </row>
    <row r="84" customFormat="false" ht="12.75" hidden="false" customHeight="false" outlineLevel="0" collapsed="false">
      <c r="G84" s="3"/>
    </row>
    <row r="85" customFormat="false" ht="12.75" hidden="false" customHeight="false" outlineLevel="0" collapsed="false">
      <c r="G85" s="3"/>
    </row>
    <row r="86" customFormat="false" ht="12.75" hidden="false" customHeight="false" outlineLevel="0" collapsed="false">
      <c r="G86" s="3"/>
    </row>
    <row r="87" customFormat="false" ht="12.75" hidden="false" customHeight="false" outlineLevel="0" collapsed="false">
      <c r="G87" s="3"/>
    </row>
    <row r="88" customFormat="false" ht="12.75" hidden="false" customHeight="false" outlineLevel="0" collapsed="false">
      <c r="G88" s="3"/>
    </row>
    <row r="89" customFormat="false" ht="12.75" hidden="false" customHeight="false" outlineLevel="0" collapsed="false">
      <c r="G89" s="3"/>
    </row>
    <row r="90" customFormat="false" ht="12.75" hidden="false" customHeight="false" outlineLevel="0" collapsed="false">
      <c r="G90" s="3"/>
    </row>
    <row r="91" customFormat="false" ht="12.75" hidden="false" customHeight="false" outlineLevel="0" collapsed="false">
      <c r="G91" s="3"/>
    </row>
    <row r="92" customFormat="false" ht="12.75" hidden="false" customHeight="false" outlineLevel="0" collapsed="false">
      <c r="G92" s="3"/>
    </row>
    <row r="93" customFormat="false" ht="12.75" hidden="false" customHeight="false" outlineLevel="0" collapsed="false">
      <c r="G93" s="3"/>
    </row>
    <row r="94" customFormat="false" ht="12.75" hidden="false" customHeight="false" outlineLevel="0" collapsed="false">
      <c r="G94" s="3"/>
    </row>
    <row r="95" customFormat="false" ht="12.75" hidden="false" customHeight="false" outlineLevel="0" collapsed="false">
      <c r="G95" s="3"/>
    </row>
    <row r="96" customFormat="false" ht="12.75" hidden="false" customHeight="false" outlineLevel="0" collapsed="false">
      <c r="G96" s="3"/>
    </row>
    <row r="97" customFormat="false" ht="12.75" hidden="false" customHeight="false" outlineLevel="0" collapsed="false">
      <c r="G97" s="3"/>
    </row>
    <row r="98" customFormat="false" ht="12.75" hidden="false" customHeight="false" outlineLevel="0" collapsed="false">
      <c r="G98" s="3"/>
    </row>
    <row r="99" customFormat="false" ht="12.75" hidden="false" customHeight="false" outlineLevel="0" collapsed="false">
      <c r="G99" s="3"/>
    </row>
    <row r="100" customFormat="false" ht="12.75" hidden="false" customHeight="false" outlineLevel="0" collapsed="false">
      <c r="G100" s="3"/>
    </row>
    <row r="101" customFormat="false" ht="12.75" hidden="false" customHeight="false" outlineLevel="0" collapsed="false">
      <c r="G101" s="3"/>
    </row>
    <row r="102" customFormat="false" ht="12.75" hidden="false" customHeight="false" outlineLevel="0" collapsed="false">
      <c r="G102" s="3"/>
    </row>
    <row r="103" customFormat="false" ht="12.75" hidden="false" customHeight="false" outlineLevel="0" collapsed="false">
      <c r="G103" s="3"/>
    </row>
    <row r="104" customFormat="false" ht="12.75" hidden="false" customHeight="false" outlineLevel="0" collapsed="false">
      <c r="G104" s="3"/>
    </row>
    <row r="105" customFormat="false" ht="12.75" hidden="false" customHeight="false" outlineLevel="0" collapsed="false">
      <c r="G105" s="3"/>
    </row>
    <row r="106" customFormat="false" ht="12.75" hidden="false" customHeight="false" outlineLevel="0" collapsed="false">
      <c r="G106" s="3"/>
    </row>
    <row r="107" customFormat="false" ht="12.75" hidden="false" customHeight="false" outlineLevel="0" collapsed="false">
      <c r="G107" s="3"/>
    </row>
    <row r="108" customFormat="false" ht="12.75" hidden="false" customHeight="false" outlineLevel="0" collapsed="false">
      <c r="G108" s="3"/>
    </row>
    <row r="109" customFormat="false" ht="12.75" hidden="false" customHeight="false" outlineLevel="0" collapsed="false">
      <c r="G109" s="3"/>
    </row>
    <row r="110" customFormat="false" ht="12.75" hidden="false" customHeight="false" outlineLevel="0" collapsed="false">
      <c r="G110" s="3"/>
    </row>
    <row r="111" customFormat="false" ht="12.75" hidden="false" customHeight="false" outlineLevel="0" collapsed="false">
      <c r="G111" s="3"/>
    </row>
    <row r="112" customFormat="false" ht="12.75" hidden="false" customHeight="false" outlineLevel="0" collapsed="false">
      <c r="G112" s="3"/>
    </row>
    <row r="113" customFormat="false" ht="12.75" hidden="false" customHeight="false" outlineLevel="0" collapsed="false">
      <c r="G113" s="3"/>
    </row>
    <row r="114" customFormat="false" ht="12.75" hidden="false" customHeight="false" outlineLevel="0" collapsed="false">
      <c r="G114" s="3"/>
    </row>
    <row r="115" customFormat="false" ht="12.75" hidden="false" customHeight="false" outlineLevel="0" collapsed="false">
      <c r="G115" s="3"/>
    </row>
    <row r="116" customFormat="false" ht="12.75" hidden="false" customHeight="false" outlineLevel="0" collapsed="false">
      <c r="G116" s="3"/>
    </row>
    <row r="117" customFormat="false" ht="12.75" hidden="false" customHeight="false" outlineLevel="0" collapsed="false">
      <c r="G117" s="3"/>
    </row>
    <row r="118" customFormat="false" ht="12.75" hidden="false" customHeight="false" outlineLevel="0" collapsed="false">
      <c r="G118" s="3"/>
    </row>
    <row r="119" customFormat="false" ht="12.75" hidden="false" customHeight="false" outlineLevel="0" collapsed="false">
      <c r="G119" s="3"/>
    </row>
    <row r="120" customFormat="false" ht="12.75" hidden="false" customHeight="false" outlineLevel="0" collapsed="false">
      <c r="G120" s="3"/>
    </row>
    <row r="121" customFormat="false" ht="12.75" hidden="false" customHeight="false" outlineLevel="0" collapsed="false">
      <c r="G121" s="3"/>
    </row>
    <row r="122" customFormat="false" ht="12.75" hidden="false" customHeight="false" outlineLevel="0" collapsed="false">
      <c r="G122" s="3"/>
    </row>
    <row r="123" customFormat="false" ht="12.75" hidden="false" customHeight="false" outlineLevel="0" collapsed="false">
      <c r="G123" s="3"/>
    </row>
    <row r="124" customFormat="false" ht="12.75" hidden="false" customHeight="false" outlineLevel="0" collapsed="false">
      <c r="G124" s="3"/>
    </row>
    <row r="125" customFormat="false" ht="12.75" hidden="false" customHeight="false" outlineLevel="0" collapsed="false">
      <c r="G125" s="3"/>
    </row>
    <row r="126" customFormat="false" ht="12.75" hidden="false" customHeight="false" outlineLevel="0" collapsed="false">
      <c r="G126" s="3"/>
    </row>
    <row r="127" customFormat="false" ht="12.75" hidden="false" customHeight="false" outlineLevel="0" collapsed="false">
      <c r="G127" s="3"/>
    </row>
    <row r="128" customFormat="false" ht="12.75" hidden="false" customHeight="false" outlineLevel="0" collapsed="false">
      <c r="G128" s="3"/>
    </row>
    <row r="129" customFormat="false" ht="12.75" hidden="false" customHeight="false" outlineLevel="0" collapsed="false">
      <c r="G129" s="3"/>
    </row>
    <row r="130" customFormat="false" ht="12.75" hidden="false" customHeight="false" outlineLevel="0" collapsed="false">
      <c r="G130" s="3"/>
    </row>
    <row r="131" customFormat="false" ht="12.75" hidden="false" customHeight="false" outlineLevel="0" collapsed="false">
      <c r="G131" s="3"/>
    </row>
    <row r="132" customFormat="false" ht="12.75" hidden="false" customHeight="false" outlineLevel="0" collapsed="false">
      <c r="G132" s="3"/>
    </row>
    <row r="133" customFormat="false" ht="12.75" hidden="false" customHeight="false" outlineLevel="0" collapsed="false">
      <c r="G133" s="3"/>
    </row>
    <row r="134" customFormat="false" ht="12.75" hidden="false" customHeight="false" outlineLevel="0" collapsed="false">
      <c r="G134" s="3"/>
    </row>
    <row r="135" customFormat="false" ht="12.75" hidden="false" customHeight="false" outlineLevel="0" collapsed="false">
      <c r="G135" s="3"/>
    </row>
    <row r="136" customFormat="false" ht="12.75" hidden="false" customHeight="false" outlineLevel="0" collapsed="false">
      <c r="G136" s="3"/>
    </row>
    <row r="137" customFormat="false" ht="12.75" hidden="false" customHeight="false" outlineLevel="0" collapsed="false">
      <c r="G137" s="3"/>
    </row>
    <row r="138" customFormat="false" ht="12.75" hidden="false" customHeight="false" outlineLevel="0" collapsed="false">
      <c r="G138" s="3"/>
    </row>
    <row r="139" customFormat="false" ht="12.75" hidden="false" customHeight="false" outlineLevel="0" collapsed="false">
      <c r="G139" s="3"/>
    </row>
    <row r="140" customFormat="false" ht="12.75" hidden="false" customHeight="false" outlineLevel="0" collapsed="false">
      <c r="G140" s="3"/>
    </row>
    <row r="141" customFormat="false" ht="12.75" hidden="false" customHeight="false" outlineLevel="0" collapsed="false">
      <c r="G141" s="3"/>
    </row>
    <row r="142" customFormat="false" ht="12.75" hidden="false" customHeight="false" outlineLevel="0" collapsed="false">
      <c r="G142" s="3"/>
    </row>
    <row r="143" customFormat="false" ht="12.75" hidden="false" customHeight="false" outlineLevel="0" collapsed="false">
      <c r="G143" s="3"/>
    </row>
    <row r="144" customFormat="false" ht="12.75" hidden="false" customHeight="false" outlineLevel="0" collapsed="false">
      <c r="G144" s="3"/>
    </row>
    <row r="145" customFormat="false" ht="12.75" hidden="false" customHeight="false" outlineLevel="0" collapsed="false">
      <c r="G145" s="3"/>
    </row>
    <row r="146" customFormat="false" ht="12.75" hidden="false" customHeight="false" outlineLevel="0" collapsed="false">
      <c r="G146" s="3"/>
    </row>
    <row r="147" customFormat="false" ht="12.75" hidden="false" customHeight="false" outlineLevel="0" collapsed="false">
      <c r="G147" s="3"/>
    </row>
    <row r="148" customFormat="false" ht="12.75" hidden="false" customHeight="false" outlineLevel="0" collapsed="false">
      <c r="G148" s="3"/>
    </row>
    <row r="149" customFormat="false" ht="12.75" hidden="false" customHeight="false" outlineLevel="0" collapsed="false">
      <c r="G149" s="3"/>
    </row>
    <row r="150" customFormat="false" ht="12.75" hidden="false" customHeight="false" outlineLevel="0" collapsed="false">
      <c r="G150" s="3"/>
    </row>
    <row r="151" customFormat="false" ht="12.75" hidden="false" customHeight="false" outlineLevel="0" collapsed="false">
      <c r="G151" s="3"/>
    </row>
    <row r="152" customFormat="false" ht="12.75" hidden="false" customHeight="false" outlineLevel="0" collapsed="false">
      <c r="G152" s="3"/>
    </row>
    <row r="153" customFormat="false" ht="12.75" hidden="false" customHeight="false" outlineLevel="0" collapsed="false">
      <c r="G153" s="3"/>
    </row>
    <row r="154" customFormat="false" ht="12.75" hidden="false" customHeight="false" outlineLevel="0" collapsed="false">
      <c r="G154" s="3"/>
    </row>
    <row r="155" customFormat="false" ht="12.75" hidden="false" customHeight="false" outlineLevel="0" collapsed="false">
      <c r="G155" s="3"/>
    </row>
    <row r="156" customFormat="false" ht="12.75" hidden="false" customHeight="false" outlineLevel="0" collapsed="false">
      <c r="G156" s="3"/>
    </row>
    <row r="157" customFormat="false" ht="12.75" hidden="false" customHeight="false" outlineLevel="0" collapsed="false">
      <c r="G157" s="3"/>
    </row>
    <row r="158" customFormat="false" ht="12.75" hidden="false" customHeight="false" outlineLevel="0" collapsed="false">
      <c r="G158" s="3"/>
    </row>
    <row r="159" customFormat="false" ht="12.75" hidden="false" customHeight="false" outlineLevel="0" collapsed="false">
      <c r="G159" s="3"/>
    </row>
    <row r="160" customFormat="false" ht="12.75" hidden="false" customHeight="false" outlineLevel="0" collapsed="false">
      <c r="G160" s="3"/>
    </row>
    <row r="161" customFormat="false" ht="12.75" hidden="false" customHeight="false" outlineLevel="0" collapsed="false">
      <c r="G161" s="3"/>
    </row>
    <row r="162" customFormat="false" ht="12.75" hidden="false" customHeight="false" outlineLevel="0" collapsed="false">
      <c r="G162" s="3"/>
    </row>
    <row r="163" customFormat="false" ht="12.75" hidden="false" customHeight="false" outlineLevel="0" collapsed="false">
      <c r="G163" s="3"/>
    </row>
    <row r="164" customFormat="false" ht="12.75" hidden="false" customHeight="false" outlineLevel="0" collapsed="false">
      <c r="G164" s="3"/>
    </row>
    <row r="165" customFormat="false" ht="12.75" hidden="false" customHeight="false" outlineLevel="0" collapsed="false">
      <c r="G165" s="3"/>
    </row>
    <row r="166" customFormat="false" ht="12.75" hidden="false" customHeight="false" outlineLevel="0" collapsed="false">
      <c r="G166" s="3"/>
    </row>
    <row r="167" customFormat="false" ht="12.75" hidden="false" customHeight="false" outlineLevel="0" collapsed="false">
      <c r="G167" s="3"/>
    </row>
    <row r="168" customFormat="false" ht="12.75" hidden="false" customHeight="false" outlineLevel="0" collapsed="false">
      <c r="G168" s="3"/>
    </row>
    <row r="169" customFormat="false" ht="12.75" hidden="false" customHeight="false" outlineLevel="0" collapsed="false">
      <c r="G169" s="3"/>
    </row>
    <row r="170" customFormat="false" ht="12.75" hidden="false" customHeight="false" outlineLevel="0" collapsed="false">
      <c r="G170" s="3"/>
    </row>
    <row r="171" customFormat="false" ht="12.75" hidden="false" customHeight="false" outlineLevel="0" collapsed="false">
      <c r="G171" s="3"/>
    </row>
    <row r="172" customFormat="false" ht="12.75" hidden="false" customHeight="false" outlineLevel="0" collapsed="false">
      <c r="G172" s="3"/>
    </row>
    <row r="173" customFormat="false" ht="12.75" hidden="false" customHeight="false" outlineLevel="0" collapsed="false">
      <c r="G173" s="3"/>
    </row>
    <row r="174" customFormat="false" ht="12.75" hidden="false" customHeight="false" outlineLevel="0" collapsed="false">
      <c r="G174" s="3"/>
    </row>
    <row r="175" customFormat="false" ht="12.75" hidden="false" customHeight="false" outlineLevel="0" collapsed="false">
      <c r="G175" s="3"/>
    </row>
    <row r="176" customFormat="false" ht="12.75" hidden="false" customHeight="false" outlineLevel="0" collapsed="false">
      <c r="G176" s="3"/>
    </row>
    <row r="177" customFormat="false" ht="12.75" hidden="false" customHeight="false" outlineLevel="0" collapsed="false">
      <c r="G177" s="3"/>
    </row>
    <row r="178" customFormat="false" ht="12.75" hidden="false" customHeight="false" outlineLevel="0" collapsed="false">
      <c r="G178" s="3"/>
    </row>
    <row r="179" customFormat="false" ht="12.75" hidden="false" customHeight="false" outlineLevel="0" collapsed="false">
      <c r="G179" s="3"/>
    </row>
    <row r="180" customFormat="false" ht="12.75" hidden="false" customHeight="false" outlineLevel="0" collapsed="false">
      <c r="G180" s="3"/>
    </row>
    <row r="181" customFormat="false" ht="12.75" hidden="false" customHeight="false" outlineLevel="0" collapsed="false">
      <c r="G181" s="3"/>
    </row>
    <row r="182" customFormat="false" ht="12.75" hidden="false" customHeight="false" outlineLevel="0" collapsed="false">
      <c r="G182" s="3"/>
    </row>
    <row r="183" customFormat="false" ht="12.75" hidden="false" customHeight="false" outlineLevel="0" collapsed="false">
      <c r="G183" s="3"/>
    </row>
    <row r="184" customFormat="false" ht="12.75" hidden="false" customHeight="false" outlineLevel="0" collapsed="false">
      <c r="G184" s="3"/>
    </row>
    <row r="185" customFormat="false" ht="12.75" hidden="false" customHeight="false" outlineLevel="0" collapsed="false">
      <c r="G185" s="3"/>
    </row>
    <row r="186" customFormat="false" ht="12.75" hidden="false" customHeight="false" outlineLevel="0" collapsed="false">
      <c r="G186" s="3"/>
    </row>
    <row r="187" customFormat="false" ht="12.75" hidden="false" customHeight="false" outlineLevel="0" collapsed="false">
      <c r="G187" s="3"/>
    </row>
    <row r="188" customFormat="false" ht="12.75" hidden="false" customHeight="false" outlineLevel="0" collapsed="false">
      <c r="G188" s="3"/>
    </row>
    <row r="189" customFormat="false" ht="12.75" hidden="false" customHeight="false" outlineLevel="0" collapsed="false">
      <c r="G189" s="3"/>
    </row>
    <row r="190" customFormat="false" ht="12.75" hidden="false" customHeight="false" outlineLevel="0" collapsed="false">
      <c r="G190" s="3"/>
    </row>
    <row r="191" customFormat="false" ht="12.75" hidden="false" customHeight="false" outlineLevel="0" collapsed="false">
      <c r="G191" s="3"/>
    </row>
    <row r="192" customFormat="false" ht="12.75" hidden="false" customHeight="false" outlineLevel="0" collapsed="false">
      <c r="G192" s="3"/>
    </row>
    <row r="193" customFormat="false" ht="12.75" hidden="false" customHeight="false" outlineLevel="0" collapsed="false">
      <c r="G193" s="3"/>
    </row>
    <row r="194" customFormat="false" ht="12.75" hidden="false" customHeight="false" outlineLevel="0" collapsed="false">
      <c r="G194" s="3"/>
    </row>
    <row r="195" customFormat="false" ht="12.75" hidden="false" customHeight="false" outlineLevel="0" collapsed="false">
      <c r="G195" s="3"/>
    </row>
    <row r="196" customFormat="false" ht="12.75" hidden="false" customHeight="false" outlineLevel="0" collapsed="false">
      <c r="G196" s="3"/>
    </row>
    <row r="197" customFormat="false" ht="12.75" hidden="false" customHeight="false" outlineLevel="0" collapsed="false">
      <c r="G197" s="3"/>
    </row>
    <row r="198" customFormat="false" ht="12.75" hidden="false" customHeight="false" outlineLevel="0" collapsed="false">
      <c r="G198" s="3"/>
    </row>
    <row r="199" customFormat="false" ht="12.75" hidden="false" customHeight="false" outlineLevel="0" collapsed="false">
      <c r="G199" s="3"/>
    </row>
    <row r="200" customFormat="false" ht="12.75" hidden="false" customHeight="false" outlineLevel="0" collapsed="false">
      <c r="G200" s="3"/>
    </row>
    <row r="201" customFormat="false" ht="12.75" hidden="false" customHeight="false" outlineLevel="0" collapsed="false">
      <c r="G201" s="3"/>
    </row>
    <row r="202" customFormat="false" ht="12.75" hidden="false" customHeight="false" outlineLevel="0" collapsed="false">
      <c r="G202" s="3"/>
    </row>
    <row r="203" customFormat="false" ht="12.75" hidden="false" customHeight="false" outlineLevel="0" collapsed="false">
      <c r="G203" s="3"/>
    </row>
    <row r="204" customFormat="false" ht="12.75" hidden="false" customHeight="false" outlineLevel="0" collapsed="false">
      <c r="G204" s="3"/>
    </row>
    <row r="205" customFormat="false" ht="12.75" hidden="false" customHeight="false" outlineLevel="0" collapsed="false">
      <c r="G205" s="3"/>
    </row>
    <row r="206" customFormat="false" ht="12.75" hidden="false" customHeight="false" outlineLevel="0" collapsed="false">
      <c r="G206" s="3"/>
    </row>
    <row r="207" customFormat="false" ht="12.75" hidden="false" customHeight="false" outlineLevel="0" collapsed="false">
      <c r="G207" s="3"/>
    </row>
    <row r="208" customFormat="false" ht="12.75" hidden="false" customHeight="false" outlineLevel="0" collapsed="false">
      <c r="G208" s="3"/>
    </row>
    <row r="209" customFormat="false" ht="12.75" hidden="false" customHeight="false" outlineLevel="0" collapsed="false">
      <c r="G209" s="3"/>
    </row>
    <row r="210" customFormat="false" ht="12.75" hidden="false" customHeight="false" outlineLevel="0" collapsed="false">
      <c r="G210" s="3"/>
    </row>
    <row r="211" customFormat="false" ht="12.75" hidden="false" customHeight="false" outlineLevel="0" collapsed="false">
      <c r="G211" s="3"/>
    </row>
    <row r="212" customFormat="false" ht="12.75" hidden="false" customHeight="false" outlineLevel="0" collapsed="false">
      <c r="G212" s="3"/>
    </row>
    <row r="213" customFormat="false" ht="12.75" hidden="false" customHeight="false" outlineLevel="0" collapsed="false">
      <c r="G213" s="3"/>
    </row>
    <row r="214" customFormat="false" ht="12.75" hidden="false" customHeight="false" outlineLevel="0" collapsed="false">
      <c r="G214" s="3"/>
    </row>
    <row r="215" customFormat="false" ht="12.75" hidden="false" customHeight="false" outlineLevel="0" collapsed="false">
      <c r="G215" s="3"/>
    </row>
    <row r="216" customFormat="false" ht="12.75" hidden="false" customHeight="false" outlineLevel="0" collapsed="false">
      <c r="G216" s="3"/>
    </row>
    <row r="217" customFormat="false" ht="12.75" hidden="false" customHeight="false" outlineLevel="0" collapsed="false">
      <c r="G217" s="3"/>
    </row>
    <row r="218" customFormat="false" ht="12.75" hidden="false" customHeight="false" outlineLevel="0" collapsed="false">
      <c r="G218" s="3"/>
    </row>
    <row r="219" customFormat="false" ht="12.75" hidden="false" customHeight="false" outlineLevel="0" collapsed="false">
      <c r="G219" s="3"/>
    </row>
    <row r="220" customFormat="false" ht="12.75" hidden="false" customHeight="false" outlineLevel="0" collapsed="false">
      <c r="G220" s="3"/>
    </row>
    <row r="221" customFormat="false" ht="12.75" hidden="false" customHeight="false" outlineLevel="0" collapsed="false">
      <c r="G221" s="3"/>
    </row>
    <row r="222" customFormat="false" ht="12.75" hidden="false" customHeight="false" outlineLevel="0" collapsed="false">
      <c r="G222" s="3"/>
    </row>
    <row r="223" customFormat="false" ht="12.75" hidden="false" customHeight="false" outlineLevel="0" collapsed="false">
      <c r="G223" s="3"/>
    </row>
    <row r="224" customFormat="false" ht="12.75" hidden="false" customHeight="false" outlineLevel="0" collapsed="false">
      <c r="G224" s="3"/>
    </row>
    <row r="225" customFormat="false" ht="12.75" hidden="false" customHeight="false" outlineLevel="0" collapsed="false">
      <c r="G225" s="3"/>
    </row>
    <row r="226" customFormat="false" ht="12.75" hidden="false" customHeight="false" outlineLevel="0" collapsed="false">
      <c r="G226" s="3"/>
    </row>
    <row r="227" customFormat="false" ht="12.75" hidden="false" customHeight="false" outlineLevel="0" collapsed="false">
      <c r="G227" s="3"/>
    </row>
    <row r="228" customFormat="false" ht="12.75" hidden="false" customHeight="false" outlineLevel="0" collapsed="false">
      <c r="G228" s="3"/>
    </row>
    <row r="229" customFormat="false" ht="12.75" hidden="false" customHeight="false" outlineLevel="0" collapsed="false">
      <c r="G229" s="3"/>
    </row>
    <row r="230" customFormat="false" ht="12.75" hidden="false" customHeight="false" outlineLevel="0" collapsed="false">
      <c r="G230" s="3"/>
    </row>
    <row r="231" customFormat="false" ht="12.75" hidden="false" customHeight="false" outlineLevel="0" collapsed="false">
      <c r="G231" s="3"/>
    </row>
    <row r="232" customFormat="false" ht="12.75" hidden="false" customHeight="false" outlineLevel="0" collapsed="false">
      <c r="G232" s="3"/>
    </row>
    <row r="233" customFormat="false" ht="12.75" hidden="false" customHeight="false" outlineLevel="0" collapsed="false">
      <c r="G233" s="3"/>
    </row>
    <row r="234" customFormat="false" ht="12.75" hidden="false" customHeight="false" outlineLevel="0" collapsed="false">
      <c r="G234" s="3"/>
    </row>
    <row r="235" customFormat="false" ht="12.75" hidden="false" customHeight="false" outlineLevel="0" collapsed="false">
      <c r="G235" s="3"/>
    </row>
    <row r="236" customFormat="false" ht="12.75" hidden="false" customHeight="false" outlineLevel="0" collapsed="false">
      <c r="G236" s="3"/>
    </row>
    <row r="237" customFormat="false" ht="12.75" hidden="false" customHeight="false" outlineLevel="0" collapsed="false">
      <c r="G237" s="3"/>
    </row>
    <row r="238" customFormat="false" ht="12.75" hidden="false" customHeight="false" outlineLevel="0" collapsed="false">
      <c r="G238" s="3"/>
    </row>
    <row r="239" customFormat="false" ht="12.75" hidden="false" customHeight="false" outlineLevel="0" collapsed="false">
      <c r="G239" s="3"/>
    </row>
    <row r="240" customFormat="false" ht="12.75" hidden="false" customHeight="false" outlineLevel="0" collapsed="false">
      <c r="G240" s="3"/>
    </row>
    <row r="241" customFormat="false" ht="12.75" hidden="false" customHeight="false" outlineLevel="0" collapsed="false">
      <c r="G241" s="3"/>
    </row>
    <row r="242" customFormat="false" ht="12.75" hidden="false" customHeight="false" outlineLevel="0" collapsed="false">
      <c r="G242" s="3"/>
    </row>
    <row r="243" customFormat="false" ht="12.75" hidden="false" customHeight="false" outlineLevel="0" collapsed="false">
      <c r="G243" s="3"/>
    </row>
    <row r="244" customFormat="false" ht="12.75" hidden="false" customHeight="false" outlineLevel="0" collapsed="false">
      <c r="G244" s="3"/>
    </row>
    <row r="245" customFormat="false" ht="12.75" hidden="false" customHeight="false" outlineLevel="0" collapsed="false">
      <c r="G245" s="3"/>
    </row>
    <row r="246" customFormat="false" ht="12.75" hidden="false" customHeight="false" outlineLevel="0" collapsed="false">
      <c r="G246" s="3"/>
    </row>
    <row r="247" customFormat="false" ht="12.75" hidden="false" customHeight="false" outlineLevel="0" collapsed="false">
      <c r="G247" s="3"/>
    </row>
    <row r="248" customFormat="false" ht="12.75" hidden="false" customHeight="false" outlineLevel="0" collapsed="false">
      <c r="G248" s="3"/>
    </row>
    <row r="249" customFormat="false" ht="12.75" hidden="false" customHeight="false" outlineLevel="0" collapsed="false">
      <c r="G249" s="3"/>
    </row>
    <row r="250" customFormat="false" ht="12.75" hidden="false" customHeight="false" outlineLevel="0" collapsed="false">
      <c r="G250" s="3"/>
    </row>
    <row r="251" customFormat="false" ht="12.75" hidden="false" customHeight="false" outlineLevel="0" collapsed="false">
      <c r="G251" s="3"/>
    </row>
    <row r="252" customFormat="false" ht="12.75" hidden="false" customHeight="false" outlineLevel="0" collapsed="false">
      <c r="G252" s="3"/>
    </row>
    <row r="253" customFormat="false" ht="12.75" hidden="false" customHeight="false" outlineLevel="0" collapsed="false">
      <c r="G253" s="3"/>
    </row>
    <row r="254" customFormat="false" ht="12.75" hidden="false" customHeight="false" outlineLevel="0" collapsed="false">
      <c r="G254" s="3"/>
    </row>
    <row r="255" customFormat="false" ht="12.75" hidden="false" customHeight="false" outlineLevel="0" collapsed="false">
      <c r="G255" s="3"/>
    </row>
    <row r="256" customFormat="false" ht="12.75" hidden="false" customHeight="false" outlineLevel="0" collapsed="false">
      <c r="G256" s="3"/>
    </row>
    <row r="257" customFormat="false" ht="12.75" hidden="false" customHeight="false" outlineLevel="0" collapsed="false">
      <c r="G257" s="3"/>
    </row>
    <row r="258" customFormat="false" ht="12.75" hidden="false" customHeight="false" outlineLevel="0" collapsed="false">
      <c r="G258" s="3"/>
    </row>
    <row r="259" customFormat="false" ht="12.75" hidden="false" customHeight="false" outlineLevel="0" collapsed="false">
      <c r="G259" s="3"/>
    </row>
    <row r="260" customFormat="false" ht="12.75" hidden="false" customHeight="false" outlineLevel="0" collapsed="false">
      <c r="G260" s="3"/>
    </row>
    <row r="261" customFormat="false" ht="12.75" hidden="false" customHeight="false" outlineLevel="0" collapsed="false">
      <c r="G261" s="3"/>
    </row>
    <row r="262" customFormat="false" ht="12.75" hidden="false" customHeight="false" outlineLevel="0" collapsed="false">
      <c r="G262" s="3"/>
    </row>
    <row r="263" customFormat="false" ht="12.75" hidden="false" customHeight="false" outlineLevel="0" collapsed="false">
      <c r="G263" s="3"/>
    </row>
    <row r="264" customFormat="false" ht="12.75" hidden="false" customHeight="false" outlineLevel="0" collapsed="false">
      <c r="G264" s="3"/>
    </row>
    <row r="265" customFormat="false" ht="12.75" hidden="false" customHeight="false" outlineLevel="0" collapsed="false">
      <c r="G265" s="3"/>
    </row>
    <row r="266" customFormat="false" ht="12.75" hidden="false" customHeight="false" outlineLevel="0" collapsed="false">
      <c r="G266" s="3"/>
    </row>
    <row r="267" customFormat="false" ht="12.75" hidden="false" customHeight="false" outlineLevel="0" collapsed="false">
      <c r="G267" s="3"/>
    </row>
    <row r="268" customFormat="false" ht="12.75" hidden="false" customHeight="false" outlineLevel="0" collapsed="false">
      <c r="G268" s="3"/>
    </row>
    <row r="269" customFormat="false" ht="12.75" hidden="false" customHeight="false" outlineLevel="0" collapsed="false">
      <c r="G269" s="3"/>
    </row>
    <row r="270" customFormat="false" ht="12.75" hidden="false" customHeight="false" outlineLevel="0" collapsed="false">
      <c r="G270" s="3"/>
    </row>
    <row r="271" customFormat="false" ht="12.75" hidden="false" customHeight="false" outlineLevel="0" collapsed="false">
      <c r="G271" s="3"/>
    </row>
    <row r="272" customFormat="false" ht="12.75" hidden="false" customHeight="false" outlineLevel="0" collapsed="false">
      <c r="G272" s="3"/>
    </row>
    <row r="273" customFormat="false" ht="12.75" hidden="false" customHeight="false" outlineLevel="0" collapsed="false">
      <c r="G273" s="3"/>
    </row>
    <row r="274" customFormat="false" ht="12.75" hidden="false" customHeight="false" outlineLevel="0" collapsed="false">
      <c r="G274" s="3"/>
    </row>
    <row r="275" customFormat="false" ht="12.75" hidden="false" customHeight="false" outlineLevel="0" collapsed="false">
      <c r="G275" s="3"/>
    </row>
    <row r="276" customFormat="false" ht="12.75" hidden="false" customHeight="false" outlineLevel="0" collapsed="false">
      <c r="G276" s="3"/>
    </row>
    <row r="277" customFormat="false" ht="12.75" hidden="false" customHeight="false" outlineLevel="0" collapsed="false">
      <c r="G277" s="3"/>
    </row>
    <row r="278" customFormat="false" ht="12.75" hidden="false" customHeight="false" outlineLevel="0" collapsed="false">
      <c r="G278" s="3"/>
    </row>
    <row r="279" customFormat="false" ht="12.75" hidden="false" customHeight="false" outlineLevel="0" collapsed="false">
      <c r="G279" s="3"/>
    </row>
    <row r="280" customFormat="false" ht="12.75" hidden="false" customHeight="false" outlineLevel="0" collapsed="false">
      <c r="G280" s="3"/>
    </row>
    <row r="281" customFormat="false" ht="12.75" hidden="false" customHeight="false" outlineLevel="0" collapsed="false">
      <c r="G281" s="3"/>
    </row>
    <row r="282" customFormat="false" ht="12.75" hidden="false" customHeight="false" outlineLevel="0" collapsed="false">
      <c r="G282" s="3"/>
    </row>
    <row r="283" customFormat="false" ht="12.75" hidden="false" customHeight="false" outlineLevel="0" collapsed="false">
      <c r="G283" s="3"/>
    </row>
    <row r="284" customFormat="false" ht="12.75" hidden="false" customHeight="false" outlineLevel="0" collapsed="false">
      <c r="G284" s="3"/>
    </row>
    <row r="285" customFormat="false" ht="12.75" hidden="false" customHeight="false" outlineLevel="0" collapsed="false">
      <c r="G285" s="3"/>
    </row>
    <row r="286" customFormat="false" ht="12.75" hidden="false" customHeight="false" outlineLevel="0" collapsed="false">
      <c r="G286" s="3"/>
    </row>
    <row r="287" customFormat="false" ht="12.75" hidden="false" customHeight="false" outlineLevel="0" collapsed="false">
      <c r="G287" s="3"/>
    </row>
    <row r="288" customFormat="false" ht="12.75" hidden="false" customHeight="false" outlineLevel="0" collapsed="false">
      <c r="G288" s="3"/>
    </row>
    <row r="289" customFormat="false" ht="12.75" hidden="false" customHeight="false" outlineLevel="0" collapsed="false">
      <c r="G289" s="3"/>
    </row>
    <row r="290" customFormat="false" ht="12.75" hidden="false" customHeight="false" outlineLevel="0" collapsed="false">
      <c r="G290" s="3"/>
    </row>
    <row r="291" customFormat="false" ht="12.75" hidden="false" customHeight="false" outlineLevel="0" collapsed="false">
      <c r="G291" s="3"/>
    </row>
    <row r="292" customFormat="false" ht="12.75" hidden="false" customHeight="false" outlineLevel="0" collapsed="false">
      <c r="G292" s="3"/>
    </row>
    <row r="293" customFormat="false" ht="12.75" hidden="false" customHeight="false" outlineLevel="0" collapsed="false">
      <c r="G293" s="3"/>
    </row>
    <row r="294" customFormat="false" ht="12.75" hidden="false" customHeight="false" outlineLevel="0" collapsed="false">
      <c r="G294" s="3"/>
    </row>
    <row r="295" customFormat="false" ht="12.75" hidden="false" customHeight="false" outlineLevel="0" collapsed="false">
      <c r="G295" s="3"/>
    </row>
    <row r="296" customFormat="false" ht="12.75" hidden="false" customHeight="false" outlineLevel="0" collapsed="false">
      <c r="G296" s="3"/>
    </row>
    <row r="297" customFormat="false" ht="12.75" hidden="false" customHeight="false" outlineLevel="0" collapsed="false">
      <c r="G297" s="3"/>
    </row>
    <row r="298" customFormat="false" ht="12.75" hidden="false" customHeight="false" outlineLevel="0" collapsed="false">
      <c r="G298" s="3"/>
    </row>
    <row r="299" customFormat="false" ht="12.75" hidden="false" customHeight="false" outlineLevel="0" collapsed="false">
      <c r="G299" s="3"/>
    </row>
    <row r="300" customFormat="false" ht="12.75" hidden="false" customHeight="false" outlineLevel="0" collapsed="false">
      <c r="G300" s="3"/>
    </row>
    <row r="301" customFormat="false" ht="12.75" hidden="false" customHeight="false" outlineLevel="0" collapsed="false">
      <c r="G301" s="3"/>
    </row>
    <row r="302" customFormat="false" ht="12.75" hidden="false" customHeight="false" outlineLevel="0" collapsed="false">
      <c r="G302" s="3"/>
    </row>
    <row r="303" customFormat="false" ht="12.75" hidden="false" customHeight="false" outlineLevel="0" collapsed="false">
      <c r="G303" s="3"/>
    </row>
    <row r="304" customFormat="false" ht="12.75" hidden="false" customHeight="false" outlineLevel="0" collapsed="false">
      <c r="G304" s="3"/>
    </row>
    <row r="305" customFormat="false" ht="12.75" hidden="false" customHeight="false" outlineLevel="0" collapsed="false">
      <c r="G305" s="3"/>
    </row>
    <row r="306" customFormat="false" ht="12.75" hidden="false" customHeight="false" outlineLevel="0" collapsed="false">
      <c r="G306" s="3"/>
    </row>
    <row r="307" customFormat="false" ht="12.75" hidden="false" customHeight="false" outlineLevel="0" collapsed="false">
      <c r="G307" s="3"/>
    </row>
    <row r="308" customFormat="false" ht="12.75" hidden="false" customHeight="false" outlineLevel="0" collapsed="false">
      <c r="G308" s="3"/>
    </row>
    <row r="309" customFormat="false" ht="12.75" hidden="false" customHeight="false" outlineLevel="0" collapsed="false">
      <c r="G309" s="3"/>
    </row>
    <row r="310" customFormat="false" ht="12.75" hidden="false" customHeight="false" outlineLevel="0" collapsed="false">
      <c r="G310" s="3"/>
    </row>
    <row r="311" customFormat="false" ht="12.75" hidden="false" customHeight="false" outlineLevel="0" collapsed="false">
      <c r="G311" s="3"/>
    </row>
    <row r="312" customFormat="false" ht="12.75" hidden="false" customHeight="false" outlineLevel="0" collapsed="false">
      <c r="G312" s="3"/>
    </row>
    <row r="313" customFormat="false" ht="12.75" hidden="false" customHeight="false" outlineLevel="0" collapsed="false">
      <c r="G313" s="3"/>
    </row>
    <row r="314" customFormat="false" ht="12.75" hidden="false" customHeight="false" outlineLevel="0" collapsed="false">
      <c r="G314" s="3"/>
    </row>
    <row r="315" customFormat="false" ht="12.75" hidden="false" customHeight="false" outlineLevel="0" collapsed="false">
      <c r="G315" s="3"/>
    </row>
    <row r="316" customFormat="false" ht="12.75" hidden="false" customHeight="false" outlineLevel="0" collapsed="false">
      <c r="G316" s="3"/>
    </row>
    <row r="317" customFormat="false" ht="12.75" hidden="false" customHeight="false" outlineLevel="0" collapsed="false">
      <c r="G317" s="3"/>
    </row>
    <row r="318" customFormat="false" ht="12.75" hidden="false" customHeight="false" outlineLevel="0" collapsed="false">
      <c r="G318" s="3"/>
    </row>
    <row r="319" customFormat="false" ht="12.75" hidden="false" customHeight="false" outlineLevel="0" collapsed="false">
      <c r="G319" s="3"/>
    </row>
    <row r="320" customFormat="false" ht="12.75" hidden="false" customHeight="false" outlineLevel="0" collapsed="false">
      <c r="G320" s="3"/>
    </row>
    <row r="321" customFormat="false" ht="12.75" hidden="false" customHeight="false" outlineLevel="0" collapsed="false">
      <c r="G321" s="3"/>
    </row>
    <row r="322" customFormat="false" ht="12.75" hidden="false" customHeight="false" outlineLevel="0" collapsed="false">
      <c r="G322" s="3"/>
    </row>
    <row r="323" customFormat="false" ht="12.75" hidden="false" customHeight="false" outlineLevel="0" collapsed="false">
      <c r="G323" s="3"/>
    </row>
    <row r="324" customFormat="false" ht="12.75" hidden="false" customHeight="false" outlineLevel="0" collapsed="false">
      <c r="G324" s="3"/>
    </row>
    <row r="325" customFormat="false" ht="12.75" hidden="false" customHeight="false" outlineLevel="0" collapsed="false">
      <c r="G325" s="3"/>
    </row>
    <row r="326" customFormat="false" ht="12.75" hidden="false" customHeight="false" outlineLevel="0" collapsed="false">
      <c r="G326" s="3"/>
    </row>
    <row r="327" customFormat="false" ht="12.75" hidden="false" customHeight="false" outlineLevel="0" collapsed="false">
      <c r="G327" s="3"/>
    </row>
    <row r="328" customFormat="false" ht="12.75" hidden="false" customHeight="false" outlineLevel="0" collapsed="false">
      <c r="G328" s="3"/>
    </row>
    <row r="329" customFormat="false" ht="12.75" hidden="false" customHeight="false" outlineLevel="0" collapsed="false">
      <c r="G329" s="3"/>
    </row>
    <row r="330" customFormat="false" ht="12.75" hidden="false" customHeight="false" outlineLevel="0" collapsed="false">
      <c r="G330" s="3"/>
    </row>
    <row r="331" customFormat="false" ht="12.75" hidden="false" customHeight="false" outlineLevel="0" collapsed="false">
      <c r="G331" s="3"/>
    </row>
    <row r="332" customFormat="false" ht="12.75" hidden="false" customHeight="false" outlineLevel="0" collapsed="false">
      <c r="G332" s="3"/>
    </row>
    <row r="333" customFormat="false" ht="12.75" hidden="false" customHeight="false" outlineLevel="0" collapsed="false">
      <c r="G333" s="3"/>
    </row>
    <row r="334" customFormat="false" ht="12.75" hidden="false" customHeight="false" outlineLevel="0" collapsed="false">
      <c r="G334" s="3"/>
    </row>
    <row r="335" customFormat="false" ht="12.75" hidden="false" customHeight="false" outlineLevel="0" collapsed="false">
      <c r="G335" s="3"/>
    </row>
    <row r="336" customFormat="false" ht="12.75" hidden="false" customHeight="false" outlineLevel="0" collapsed="false">
      <c r="G336" s="3"/>
    </row>
    <row r="337" customFormat="false" ht="12.75" hidden="false" customHeight="false" outlineLevel="0" collapsed="false">
      <c r="G337" s="3"/>
    </row>
    <row r="338" customFormat="false" ht="12.75" hidden="false" customHeight="false" outlineLevel="0" collapsed="false">
      <c r="G338" s="3"/>
    </row>
    <row r="339" customFormat="false" ht="12.75" hidden="false" customHeight="false" outlineLevel="0" collapsed="false">
      <c r="G339" s="3"/>
    </row>
    <row r="340" customFormat="false" ht="12.75" hidden="false" customHeight="false" outlineLevel="0" collapsed="false">
      <c r="G340" s="3"/>
    </row>
    <row r="341" customFormat="false" ht="12.75" hidden="false" customHeight="false" outlineLevel="0" collapsed="false">
      <c r="G341" s="3"/>
    </row>
    <row r="342" customFormat="false" ht="12.75" hidden="false" customHeight="false" outlineLevel="0" collapsed="false">
      <c r="G342" s="3"/>
    </row>
    <row r="343" customFormat="false" ht="12.75" hidden="false" customHeight="false" outlineLevel="0" collapsed="false">
      <c r="G343" s="3"/>
    </row>
    <row r="344" customFormat="false" ht="12.75" hidden="false" customHeight="false" outlineLevel="0" collapsed="false">
      <c r="G344" s="3"/>
    </row>
    <row r="345" customFormat="false" ht="12.75" hidden="false" customHeight="false" outlineLevel="0" collapsed="false">
      <c r="G345" s="3"/>
    </row>
    <row r="346" customFormat="false" ht="12.75" hidden="false" customHeight="false" outlineLevel="0" collapsed="false">
      <c r="G346" s="3"/>
    </row>
    <row r="347" customFormat="false" ht="12.75" hidden="false" customHeight="false" outlineLevel="0" collapsed="false">
      <c r="G347" s="3"/>
    </row>
    <row r="348" customFormat="false" ht="12.75" hidden="false" customHeight="false" outlineLevel="0" collapsed="false">
      <c r="G348" s="3"/>
    </row>
    <row r="349" customFormat="false" ht="12.75" hidden="false" customHeight="false" outlineLevel="0" collapsed="false">
      <c r="G349" s="3"/>
    </row>
    <row r="350" customFormat="false" ht="12.75" hidden="false" customHeight="false" outlineLevel="0" collapsed="false">
      <c r="G350" s="3"/>
    </row>
    <row r="351" customFormat="false" ht="12.75" hidden="false" customHeight="false" outlineLevel="0" collapsed="false">
      <c r="G351" s="3"/>
    </row>
    <row r="352" customFormat="false" ht="12.75" hidden="false" customHeight="false" outlineLevel="0" collapsed="false">
      <c r="G352" s="3"/>
    </row>
    <row r="353" customFormat="false" ht="12.75" hidden="false" customHeight="false" outlineLevel="0" collapsed="false">
      <c r="G353" s="3"/>
    </row>
    <row r="354" customFormat="false" ht="12.75" hidden="false" customHeight="false" outlineLevel="0" collapsed="false">
      <c r="G354" s="3"/>
    </row>
    <row r="355" customFormat="false" ht="12.75" hidden="false" customHeight="false" outlineLevel="0" collapsed="false">
      <c r="G355" s="3"/>
    </row>
    <row r="356" customFormat="false" ht="12.75" hidden="false" customHeight="false" outlineLevel="0" collapsed="false">
      <c r="G356" s="3"/>
    </row>
    <row r="357" customFormat="false" ht="12.75" hidden="false" customHeight="false" outlineLevel="0" collapsed="false">
      <c r="G357" s="3"/>
    </row>
    <row r="358" customFormat="false" ht="12.75" hidden="false" customHeight="false" outlineLevel="0" collapsed="false">
      <c r="G358" s="3"/>
    </row>
    <row r="359" customFormat="false" ht="12.75" hidden="false" customHeight="false" outlineLevel="0" collapsed="false">
      <c r="G359" s="3"/>
    </row>
    <row r="360" customFormat="false" ht="12.75" hidden="false" customHeight="false" outlineLevel="0" collapsed="false">
      <c r="G360" s="3"/>
    </row>
    <row r="361" customFormat="false" ht="12.75" hidden="false" customHeight="false" outlineLevel="0" collapsed="false">
      <c r="G361" s="3"/>
    </row>
    <row r="362" customFormat="false" ht="12.75" hidden="false" customHeight="false" outlineLevel="0" collapsed="false">
      <c r="G362" s="3"/>
    </row>
    <row r="363" customFormat="false" ht="12.75" hidden="false" customHeight="false" outlineLevel="0" collapsed="false">
      <c r="G363" s="3"/>
    </row>
    <row r="364" customFormat="false" ht="12.75" hidden="false" customHeight="false" outlineLevel="0" collapsed="false">
      <c r="G364" s="3"/>
    </row>
    <row r="365" customFormat="false" ht="12.75" hidden="false" customHeight="false" outlineLevel="0" collapsed="false">
      <c r="G365" s="3"/>
    </row>
    <row r="366" customFormat="false" ht="12.75" hidden="false" customHeight="false" outlineLevel="0" collapsed="false">
      <c r="G366" s="3"/>
    </row>
    <row r="367" customFormat="false" ht="12.75" hidden="false" customHeight="false" outlineLevel="0" collapsed="false">
      <c r="G367" s="3"/>
    </row>
    <row r="368" customFormat="false" ht="12.75" hidden="false" customHeight="false" outlineLevel="0" collapsed="false">
      <c r="G368" s="3"/>
    </row>
    <row r="369" customFormat="false" ht="12.75" hidden="false" customHeight="false" outlineLevel="0" collapsed="false">
      <c r="G369" s="3"/>
    </row>
    <row r="370" customFormat="false" ht="12.75" hidden="false" customHeight="false" outlineLevel="0" collapsed="false">
      <c r="G370" s="3"/>
    </row>
    <row r="371" customFormat="false" ht="12.75" hidden="false" customHeight="false" outlineLevel="0" collapsed="false">
      <c r="G371" s="3"/>
    </row>
    <row r="372" customFormat="false" ht="12.75" hidden="false" customHeight="false" outlineLevel="0" collapsed="false">
      <c r="G372" s="3"/>
    </row>
    <row r="373" customFormat="false" ht="12.75" hidden="false" customHeight="false" outlineLevel="0" collapsed="false">
      <c r="G373" s="3"/>
    </row>
    <row r="374" customFormat="false" ht="12.75" hidden="false" customHeight="false" outlineLevel="0" collapsed="false">
      <c r="G374" s="3"/>
    </row>
    <row r="375" customFormat="false" ht="12.75" hidden="false" customHeight="false" outlineLevel="0" collapsed="false">
      <c r="G375" s="3"/>
    </row>
    <row r="376" customFormat="false" ht="12.75" hidden="false" customHeight="false" outlineLevel="0" collapsed="false">
      <c r="G376" s="3"/>
    </row>
    <row r="377" customFormat="false" ht="12.75" hidden="false" customHeight="false" outlineLevel="0" collapsed="false">
      <c r="G377" s="3"/>
    </row>
    <row r="378" customFormat="false" ht="12.75" hidden="false" customHeight="false" outlineLevel="0" collapsed="false">
      <c r="G378" s="3"/>
    </row>
    <row r="379" customFormat="false" ht="12.75" hidden="false" customHeight="false" outlineLevel="0" collapsed="false">
      <c r="G379" s="3"/>
    </row>
    <row r="380" customFormat="false" ht="12.75" hidden="false" customHeight="false" outlineLevel="0" collapsed="false">
      <c r="G380" s="3"/>
    </row>
    <row r="381" customFormat="false" ht="12.75" hidden="false" customHeight="false" outlineLevel="0" collapsed="false">
      <c r="G381" s="3"/>
    </row>
    <row r="382" customFormat="false" ht="12.75" hidden="false" customHeight="false" outlineLevel="0" collapsed="false">
      <c r="G382" s="3"/>
    </row>
    <row r="383" customFormat="false" ht="12.75" hidden="false" customHeight="false" outlineLevel="0" collapsed="false">
      <c r="G383" s="3"/>
    </row>
    <row r="384" customFormat="false" ht="12.75" hidden="false" customHeight="false" outlineLevel="0" collapsed="false">
      <c r="G384" s="3"/>
    </row>
    <row r="385" customFormat="false" ht="12.75" hidden="false" customHeight="false" outlineLevel="0" collapsed="false">
      <c r="G385" s="3"/>
    </row>
    <row r="386" customFormat="false" ht="12.75" hidden="false" customHeight="false" outlineLevel="0" collapsed="false">
      <c r="G386" s="3"/>
    </row>
    <row r="387" customFormat="false" ht="12.75" hidden="false" customHeight="false" outlineLevel="0" collapsed="false">
      <c r="G387" s="3"/>
    </row>
    <row r="388" customFormat="false" ht="12.75" hidden="false" customHeight="false" outlineLevel="0" collapsed="false">
      <c r="G388" s="3"/>
    </row>
    <row r="389" customFormat="false" ht="12.75" hidden="false" customHeight="false" outlineLevel="0" collapsed="false">
      <c r="G389" s="3"/>
    </row>
    <row r="390" customFormat="false" ht="12.75" hidden="false" customHeight="false" outlineLevel="0" collapsed="false">
      <c r="G390" s="3"/>
    </row>
    <row r="391" customFormat="false" ht="12.75" hidden="false" customHeight="false" outlineLevel="0" collapsed="false">
      <c r="G391" s="3"/>
    </row>
    <row r="392" customFormat="false" ht="12.75" hidden="false" customHeight="false" outlineLevel="0" collapsed="false">
      <c r="G392" s="3"/>
    </row>
    <row r="393" customFormat="false" ht="12.75" hidden="false" customHeight="false" outlineLevel="0" collapsed="false">
      <c r="G393" s="3"/>
    </row>
    <row r="394" customFormat="false" ht="12.75" hidden="false" customHeight="false" outlineLevel="0" collapsed="false">
      <c r="G394" s="3"/>
    </row>
    <row r="395" customFormat="false" ht="12.75" hidden="false" customHeight="false" outlineLevel="0" collapsed="false">
      <c r="G395" s="3"/>
    </row>
    <row r="396" customFormat="false" ht="12.75" hidden="false" customHeight="false" outlineLevel="0" collapsed="false">
      <c r="G396" s="3"/>
    </row>
    <row r="397" customFormat="false" ht="12.75" hidden="false" customHeight="false" outlineLevel="0" collapsed="false">
      <c r="G397" s="3"/>
    </row>
    <row r="398" customFormat="false" ht="12.75" hidden="false" customHeight="false" outlineLevel="0" collapsed="false">
      <c r="G398" s="3"/>
    </row>
    <row r="399" customFormat="false" ht="12.75" hidden="false" customHeight="false" outlineLevel="0" collapsed="false">
      <c r="G399" s="3"/>
    </row>
    <row r="400" customFormat="false" ht="12.75" hidden="false" customHeight="false" outlineLevel="0" collapsed="false">
      <c r="G400" s="3"/>
    </row>
    <row r="401" customFormat="false" ht="12.75" hidden="false" customHeight="false" outlineLevel="0" collapsed="false">
      <c r="G401" s="3"/>
    </row>
    <row r="402" customFormat="false" ht="12.75" hidden="false" customHeight="false" outlineLevel="0" collapsed="false">
      <c r="G402" s="3"/>
    </row>
    <row r="403" customFormat="false" ht="12.75" hidden="false" customHeight="false" outlineLevel="0" collapsed="false">
      <c r="G403" s="3"/>
    </row>
    <row r="404" customFormat="false" ht="12.75" hidden="false" customHeight="false" outlineLevel="0" collapsed="false">
      <c r="G404" s="3"/>
    </row>
    <row r="405" customFormat="false" ht="12.75" hidden="false" customHeight="false" outlineLevel="0" collapsed="false">
      <c r="G405" s="3"/>
    </row>
    <row r="406" customFormat="false" ht="12.75" hidden="false" customHeight="false" outlineLevel="0" collapsed="false">
      <c r="G406" s="3"/>
    </row>
    <row r="407" customFormat="false" ht="12.75" hidden="false" customHeight="false" outlineLevel="0" collapsed="false">
      <c r="G407" s="3"/>
    </row>
    <row r="408" customFormat="false" ht="12.75" hidden="false" customHeight="false" outlineLevel="0" collapsed="false">
      <c r="G408" s="3"/>
    </row>
    <row r="409" customFormat="false" ht="12.75" hidden="false" customHeight="false" outlineLevel="0" collapsed="false">
      <c r="G409" s="3"/>
    </row>
    <row r="410" customFormat="false" ht="12.75" hidden="false" customHeight="false" outlineLevel="0" collapsed="false">
      <c r="G410" s="3"/>
    </row>
    <row r="411" customFormat="false" ht="12.75" hidden="false" customHeight="false" outlineLevel="0" collapsed="false">
      <c r="G411" s="3"/>
    </row>
    <row r="412" customFormat="false" ht="12.75" hidden="false" customHeight="false" outlineLevel="0" collapsed="false">
      <c r="G412" s="3"/>
    </row>
    <row r="413" customFormat="false" ht="12.75" hidden="false" customHeight="false" outlineLevel="0" collapsed="false">
      <c r="G413" s="3"/>
    </row>
    <row r="414" customFormat="false" ht="12.75" hidden="false" customHeight="false" outlineLevel="0" collapsed="false">
      <c r="G414" s="3"/>
    </row>
    <row r="415" customFormat="false" ht="12.75" hidden="false" customHeight="false" outlineLevel="0" collapsed="false">
      <c r="G415" s="3"/>
    </row>
    <row r="416" customFormat="false" ht="12.75" hidden="false" customHeight="false" outlineLevel="0" collapsed="false">
      <c r="G416" s="3"/>
    </row>
    <row r="417" customFormat="false" ht="12.75" hidden="false" customHeight="false" outlineLevel="0" collapsed="false">
      <c r="G417" s="3"/>
    </row>
    <row r="418" customFormat="false" ht="12.75" hidden="false" customHeight="false" outlineLevel="0" collapsed="false">
      <c r="G418" s="3"/>
    </row>
    <row r="419" customFormat="false" ht="12.75" hidden="false" customHeight="false" outlineLevel="0" collapsed="false">
      <c r="G419" s="3"/>
    </row>
    <row r="420" customFormat="false" ht="12.75" hidden="false" customHeight="false" outlineLevel="0" collapsed="false">
      <c r="G420" s="3"/>
    </row>
    <row r="421" customFormat="false" ht="12.75" hidden="false" customHeight="false" outlineLevel="0" collapsed="false">
      <c r="G421" s="3"/>
    </row>
    <row r="422" customFormat="false" ht="12.75" hidden="false" customHeight="false" outlineLevel="0" collapsed="false">
      <c r="G422" s="3"/>
    </row>
    <row r="423" customFormat="false" ht="12.75" hidden="false" customHeight="false" outlineLevel="0" collapsed="false">
      <c r="G423" s="3"/>
    </row>
    <row r="424" customFormat="false" ht="12.75" hidden="false" customHeight="false" outlineLevel="0" collapsed="false">
      <c r="G424" s="3"/>
    </row>
    <row r="425" customFormat="false" ht="12.75" hidden="false" customHeight="false" outlineLevel="0" collapsed="false">
      <c r="G425" s="3"/>
    </row>
    <row r="426" customFormat="false" ht="12.75" hidden="false" customHeight="false" outlineLevel="0" collapsed="false">
      <c r="G426" s="3"/>
    </row>
    <row r="427" customFormat="false" ht="12.75" hidden="false" customHeight="false" outlineLevel="0" collapsed="false">
      <c r="G427" s="3"/>
    </row>
    <row r="428" customFormat="false" ht="12.75" hidden="false" customHeight="false" outlineLevel="0" collapsed="false">
      <c r="G428" s="3"/>
    </row>
    <row r="429" customFormat="false" ht="12.75" hidden="false" customHeight="false" outlineLevel="0" collapsed="false">
      <c r="G429" s="3"/>
    </row>
    <row r="430" customFormat="false" ht="12.75" hidden="false" customHeight="false" outlineLevel="0" collapsed="false">
      <c r="G430" s="3"/>
    </row>
    <row r="431" customFormat="false" ht="12.75" hidden="false" customHeight="false" outlineLevel="0" collapsed="false">
      <c r="G431" s="3"/>
    </row>
    <row r="432" customFormat="false" ht="12.75" hidden="false" customHeight="false" outlineLevel="0" collapsed="false">
      <c r="G432" s="3"/>
    </row>
    <row r="433" customFormat="false" ht="12.75" hidden="false" customHeight="false" outlineLevel="0" collapsed="false">
      <c r="G433" s="3"/>
    </row>
    <row r="434" customFormat="false" ht="12.75" hidden="false" customHeight="false" outlineLevel="0" collapsed="false">
      <c r="G434" s="3"/>
    </row>
    <row r="435" customFormat="false" ht="12.75" hidden="false" customHeight="false" outlineLevel="0" collapsed="false">
      <c r="G435" s="3"/>
    </row>
    <row r="436" customFormat="false" ht="12.75" hidden="false" customHeight="false" outlineLevel="0" collapsed="false">
      <c r="G436" s="3"/>
    </row>
    <row r="437" customFormat="false" ht="12.75" hidden="false" customHeight="false" outlineLevel="0" collapsed="false">
      <c r="G437" s="3"/>
    </row>
    <row r="438" customFormat="false" ht="12.75" hidden="false" customHeight="false" outlineLevel="0" collapsed="false">
      <c r="G438" s="3"/>
    </row>
    <row r="439" customFormat="false" ht="12.75" hidden="false" customHeight="false" outlineLevel="0" collapsed="false">
      <c r="G439" s="3"/>
    </row>
    <row r="440" customFormat="false" ht="12.75" hidden="false" customHeight="false" outlineLevel="0" collapsed="false">
      <c r="G440" s="3"/>
    </row>
    <row r="441" customFormat="false" ht="12.75" hidden="false" customHeight="false" outlineLevel="0" collapsed="false">
      <c r="G441" s="3"/>
    </row>
    <row r="442" customFormat="false" ht="12.75" hidden="false" customHeight="false" outlineLevel="0" collapsed="false">
      <c r="G442" s="3"/>
    </row>
    <row r="443" customFormat="false" ht="12.75" hidden="false" customHeight="false" outlineLevel="0" collapsed="false">
      <c r="G443" s="3"/>
    </row>
    <row r="444" customFormat="false" ht="12.75" hidden="false" customHeight="false" outlineLevel="0" collapsed="false">
      <c r="G444" s="3"/>
    </row>
    <row r="445" customFormat="false" ht="12.75" hidden="false" customHeight="false" outlineLevel="0" collapsed="false">
      <c r="G445" s="3"/>
    </row>
    <row r="446" customFormat="false" ht="12.75" hidden="false" customHeight="false" outlineLevel="0" collapsed="false">
      <c r="G446" s="3"/>
    </row>
    <row r="447" customFormat="false" ht="12.75" hidden="false" customHeight="false" outlineLevel="0" collapsed="false">
      <c r="G447" s="3"/>
    </row>
    <row r="448" customFormat="false" ht="12.75" hidden="false" customHeight="false" outlineLevel="0" collapsed="false">
      <c r="G448" s="3"/>
    </row>
    <row r="449" customFormat="false" ht="12.75" hidden="false" customHeight="false" outlineLevel="0" collapsed="false">
      <c r="G449" s="3"/>
    </row>
    <row r="450" customFormat="false" ht="12.75" hidden="false" customHeight="false" outlineLevel="0" collapsed="false">
      <c r="G450" s="3"/>
    </row>
    <row r="451" customFormat="false" ht="12.75" hidden="false" customHeight="false" outlineLevel="0" collapsed="false">
      <c r="G451" s="3"/>
    </row>
    <row r="452" customFormat="false" ht="12.75" hidden="false" customHeight="false" outlineLevel="0" collapsed="false">
      <c r="G452" s="3"/>
    </row>
    <row r="453" customFormat="false" ht="12.75" hidden="false" customHeight="false" outlineLevel="0" collapsed="false">
      <c r="G453" s="3"/>
    </row>
    <row r="454" customFormat="false" ht="12.75" hidden="false" customHeight="false" outlineLevel="0" collapsed="false">
      <c r="G454" s="3"/>
    </row>
    <row r="455" customFormat="false" ht="12.75" hidden="false" customHeight="false" outlineLevel="0" collapsed="false">
      <c r="G455" s="3"/>
    </row>
    <row r="456" customFormat="false" ht="12.75" hidden="false" customHeight="false" outlineLevel="0" collapsed="false">
      <c r="G456" s="3"/>
    </row>
    <row r="457" customFormat="false" ht="12.75" hidden="false" customHeight="false" outlineLevel="0" collapsed="false">
      <c r="G457" s="3"/>
    </row>
    <row r="458" customFormat="false" ht="12.75" hidden="false" customHeight="false" outlineLevel="0" collapsed="false">
      <c r="G458" s="3"/>
    </row>
    <row r="459" customFormat="false" ht="12.75" hidden="false" customHeight="false" outlineLevel="0" collapsed="false">
      <c r="G459" s="3"/>
    </row>
    <row r="460" customFormat="false" ht="12.75" hidden="false" customHeight="false" outlineLevel="0" collapsed="false">
      <c r="G460" s="3"/>
    </row>
    <row r="461" customFormat="false" ht="12.75" hidden="false" customHeight="false" outlineLevel="0" collapsed="false">
      <c r="G461" s="3"/>
    </row>
    <row r="462" customFormat="false" ht="12.75" hidden="false" customHeight="false" outlineLevel="0" collapsed="false">
      <c r="G462" s="3"/>
    </row>
    <row r="463" customFormat="false" ht="12.75" hidden="false" customHeight="false" outlineLevel="0" collapsed="false">
      <c r="G463" s="3"/>
    </row>
    <row r="464" customFormat="false" ht="12.75" hidden="false" customHeight="false" outlineLevel="0" collapsed="false">
      <c r="G464" s="3"/>
    </row>
    <row r="465" customFormat="false" ht="12.75" hidden="false" customHeight="false" outlineLevel="0" collapsed="false">
      <c r="G465" s="3"/>
    </row>
    <row r="466" customFormat="false" ht="12.75" hidden="false" customHeight="false" outlineLevel="0" collapsed="false">
      <c r="G466" s="3"/>
    </row>
    <row r="467" customFormat="false" ht="12.75" hidden="false" customHeight="false" outlineLevel="0" collapsed="false">
      <c r="G467" s="3"/>
    </row>
    <row r="468" customFormat="false" ht="12.75" hidden="false" customHeight="false" outlineLevel="0" collapsed="false">
      <c r="G468" s="3"/>
    </row>
    <row r="469" customFormat="false" ht="12.75" hidden="false" customHeight="false" outlineLevel="0" collapsed="false">
      <c r="G469" s="3"/>
    </row>
    <row r="470" customFormat="false" ht="12.75" hidden="false" customHeight="false" outlineLevel="0" collapsed="false">
      <c r="G470" s="3"/>
    </row>
    <row r="471" customFormat="false" ht="12.75" hidden="false" customHeight="false" outlineLevel="0" collapsed="false">
      <c r="G471" s="3"/>
    </row>
    <row r="472" customFormat="false" ht="12.75" hidden="false" customHeight="false" outlineLevel="0" collapsed="false">
      <c r="G472" s="3"/>
    </row>
    <row r="473" customFormat="false" ht="12.75" hidden="false" customHeight="false" outlineLevel="0" collapsed="false">
      <c r="G473" s="3"/>
    </row>
    <row r="474" customFormat="false" ht="12.75" hidden="false" customHeight="false" outlineLevel="0" collapsed="false">
      <c r="G474" s="3"/>
    </row>
    <row r="475" customFormat="false" ht="12.75" hidden="false" customHeight="false" outlineLevel="0" collapsed="false">
      <c r="G475" s="3"/>
    </row>
    <row r="476" customFormat="false" ht="12.75" hidden="false" customHeight="false" outlineLevel="0" collapsed="false">
      <c r="G476" s="3"/>
    </row>
    <row r="477" customFormat="false" ht="12.75" hidden="false" customHeight="false" outlineLevel="0" collapsed="false">
      <c r="G477" s="3"/>
    </row>
    <row r="478" customFormat="false" ht="12.75" hidden="false" customHeight="false" outlineLevel="0" collapsed="false">
      <c r="G478" s="3"/>
    </row>
    <row r="479" customFormat="false" ht="12.75" hidden="false" customHeight="false" outlineLevel="0" collapsed="false">
      <c r="G479" s="3"/>
    </row>
    <row r="480" customFormat="false" ht="12.75" hidden="false" customHeight="false" outlineLevel="0" collapsed="false">
      <c r="G480" s="3"/>
    </row>
    <row r="481" customFormat="false" ht="12.75" hidden="false" customHeight="false" outlineLevel="0" collapsed="false">
      <c r="G481" s="3"/>
    </row>
    <row r="482" customFormat="false" ht="12.75" hidden="false" customHeight="false" outlineLevel="0" collapsed="false">
      <c r="G482" s="3"/>
    </row>
    <row r="483" customFormat="false" ht="12.75" hidden="false" customHeight="false" outlineLevel="0" collapsed="false">
      <c r="G483" s="3"/>
    </row>
    <row r="484" customFormat="false" ht="12.75" hidden="false" customHeight="false" outlineLevel="0" collapsed="false">
      <c r="G484" s="3"/>
    </row>
    <row r="485" customFormat="false" ht="12.75" hidden="false" customHeight="false" outlineLevel="0" collapsed="false">
      <c r="G485" s="3"/>
    </row>
    <row r="486" customFormat="false" ht="12.75" hidden="false" customHeight="false" outlineLevel="0" collapsed="false">
      <c r="G486" s="3"/>
    </row>
    <row r="487" customFormat="false" ht="12.75" hidden="false" customHeight="false" outlineLevel="0" collapsed="false">
      <c r="G487" s="3"/>
    </row>
    <row r="488" customFormat="false" ht="12.75" hidden="false" customHeight="false" outlineLevel="0" collapsed="false">
      <c r="G488" s="3"/>
    </row>
    <row r="489" customFormat="false" ht="12.75" hidden="false" customHeight="false" outlineLevel="0" collapsed="false">
      <c r="G489" s="3"/>
    </row>
    <row r="490" customFormat="false" ht="12.75" hidden="false" customHeight="false" outlineLevel="0" collapsed="false">
      <c r="G490" s="3"/>
    </row>
    <row r="491" customFormat="false" ht="12.75" hidden="false" customHeight="false" outlineLevel="0" collapsed="false">
      <c r="G491" s="3"/>
    </row>
    <row r="492" customFormat="false" ht="12.75" hidden="false" customHeight="false" outlineLevel="0" collapsed="false">
      <c r="G492" s="3"/>
    </row>
    <row r="493" customFormat="false" ht="12.75" hidden="false" customHeight="false" outlineLevel="0" collapsed="false">
      <c r="G493" s="3"/>
    </row>
    <row r="494" customFormat="false" ht="12.75" hidden="false" customHeight="false" outlineLevel="0" collapsed="false">
      <c r="G494" s="3"/>
    </row>
    <row r="495" customFormat="false" ht="12.75" hidden="false" customHeight="false" outlineLevel="0" collapsed="false">
      <c r="G495" s="3"/>
    </row>
    <row r="496" customFormat="false" ht="12.75" hidden="false" customHeight="false" outlineLevel="0" collapsed="false">
      <c r="G496" s="3"/>
    </row>
    <row r="497" customFormat="false" ht="12.75" hidden="false" customHeight="false" outlineLevel="0" collapsed="false">
      <c r="G497" s="3"/>
    </row>
    <row r="498" customFormat="false" ht="12.75" hidden="false" customHeight="false" outlineLevel="0" collapsed="false">
      <c r="G498" s="3"/>
    </row>
    <row r="499" customFormat="false" ht="12.75" hidden="false" customHeight="false" outlineLevel="0" collapsed="false">
      <c r="G499" s="3"/>
    </row>
    <row r="500" customFormat="false" ht="12.75" hidden="false" customHeight="false" outlineLevel="0" collapsed="false">
      <c r="G500" s="3"/>
    </row>
    <row r="501" customFormat="false" ht="12.75" hidden="false" customHeight="false" outlineLevel="0" collapsed="false">
      <c r="G501" s="3"/>
    </row>
    <row r="502" customFormat="false" ht="12.75" hidden="false" customHeight="false" outlineLevel="0" collapsed="false">
      <c r="G502" s="3"/>
    </row>
    <row r="503" customFormat="false" ht="12.75" hidden="false" customHeight="false" outlineLevel="0" collapsed="false">
      <c r="G503" s="3"/>
    </row>
    <row r="504" customFormat="false" ht="12.75" hidden="false" customHeight="false" outlineLevel="0" collapsed="false">
      <c r="G504" s="3"/>
    </row>
    <row r="505" customFormat="false" ht="12.75" hidden="false" customHeight="false" outlineLevel="0" collapsed="false">
      <c r="G505" s="3"/>
    </row>
    <row r="506" customFormat="false" ht="12.75" hidden="false" customHeight="false" outlineLevel="0" collapsed="false">
      <c r="G506" s="3"/>
    </row>
    <row r="507" customFormat="false" ht="12.75" hidden="false" customHeight="false" outlineLevel="0" collapsed="false">
      <c r="G507" s="3"/>
    </row>
    <row r="508" customFormat="false" ht="12.75" hidden="false" customHeight="false" outlineLevel="0" collapsed="false">
      <c r="G508" s="3"/>
    </row>
    <row r="509" customFormat="false" ht="12.75" hidden="false" customHeight="false" outlineLevel="0" collapsed="false">
      <c r="G509" s="3"/>
    </row>
    <row r="510" customFormat="false" ht="12.75" hidden="false" customHeight="false" outlineLevel="0" collapsed="false">
      <c r="G510" s="3"/>
    </row>
    <row r="511" customFormat="false" ht="12.75" hidden="false" customHeight="false" outlineLevel="0" collapsed="false">
      <c r="G511" s="3"/>
    </row>
    <row r="512" customFormat="false" ht="12.75" hidden="false" customHeight="false" outlineLevel="0" collapsed="false">
      <c r="G512" s="3"/>
    </row>
    <row r="513" customFormat="false" ht="12.75" hidden="false" customHeight="false" outlineLevel="0" collapsed="false">
      <c r="G513" s="3"/>
    </row>
    <row r="514" customFormat="false" ht="12.75" hidden="false" customHeight="false" outlineLevel="0" collapsed="false">
      <c r="G514" s="3"/>
    </row>
    <row r="515" customFormat="false" ht="12.75" hidden="false" customHeight="false" outlineLevel="0" collapsed="false">
      <c r="G515" s="3"/>
    </row>
    <row r="516" customFormat="false" ht="12.75" hidden="false" customHeight="false" outlineLevel="0" collapsed="false">
      <c r="G516" s="3"/>
    </row>
    <row r="517" customFormat="false" ht="12.75" hidden="false" customHeight="false" outlineLevel="0" collapsed="false">
      <c r="G517" s="3"/>
    </row>
    <row r="518" customFormat="false" ht="12.75" hidden="false" customHeight="false" outlineLevel="0" collapsed="false">
      <c r="G518" s="3"/>
    </row>
    <row r="519" customFormat="false" ht="12.75" hidden="false" customHeight="false" outlineLevel="0" collapsed="false">
      <c r="G519" s="3"/>
    </row>
    <row r="520" customFormat="false" ht="12.75" hidden="false" customHeight="false" outlineLevel="0" collapsed="false">
      <c r="G520" s="3"/>
    </row>
    <row r="521" customFormat="false" ht="12.75" hidden="false" customHeight="false" outlineLevel="0" collapsed="false">
      <c r="G521" s="3"/>
    </row>
    <row r="522" customFormat="false" ht="12.75" hidden="false" customHeight="false" outlineLevel="0" collapsed="false">
      <c r="G522" s="3"/>
    </row>
    <row r="523" customFormat="false" ht="12.75" hidden="false" customHeight="false" outlineLevel="0" collapsed="false">
      <c r="G523" s="3"/>
    </row>
    <row r="524" customFormat="false" ht="12.75" hidden="false" customHeight="false" outlineLevel="0" collapsed="false">
      <c r="G524" s="3"/>
    </row>
    <row r="525" customFormat="false" ht="12.75" hidden="false" customHeight="false" outlineLevel="0" collapsed="false">
      <c r="G525" s="3"/>
    </row>
    <row r="526" customFormat="false" ht="12.75" hidden="false" customHeight="false" outlineLevel="0" collapsed="false">
      <c r="G526" s="3"/>
    </row>
    <row r="527" customFormat="false" ht="12.75" hidden="false" customHeight="false" outlineLevel="0" collapsed="false">
      <c r="G527" s="3"/>
    </row>
    <row r="528" customFormat="false" ht="12.75" hidden="false" customHeight="false" outlineLevel="0" collapsed="false">
      <c r="G528" s="3"/>
    </row>
    <row r="529" customFormat="false" ht="12.75" hidden="false" customHeight="false" outlineLevel="0" collapsed="false">
      <c r="G529" s="3"/>
    </row>
    <row r="530" customFormat="false" ht="12.75" hidden="false" customHeight="false" outlineLevel="0" collapsed="false">
      <c r="G530" s="3"/>
    </row>
    <row r="531" customFormat="false" ht="12.75" hidden="false" customHeight="false" outlineLevel="0" collapsed="false">
      <c r="G531" s="3"/>
    </row>
    <row r="532" customFormat="false" ht="12.75" hidden="false" customHeight="false" outlineLevel="0" collapsed="false">
      <c r="G532" s="3"/>
    </row>
    <row r="533" customFormat="false" ht="12.75" hidden="false" customHeight="false" outlineLevel="0" collapsed="false">
      <c r="G533" s="3"/>
    </row>
    <row r="534" customFormat="false" ht="12.75" hidden="false" customHeight="false" outlineLevel="0" collapsed="false">
      <c r="G534" s="3"/>
    </row>
    <row r="535" customFormat="false" ht="12.75" hidden="false" customHeight="false" outlineLevel="0" collapsed="false">
      <c r="G535" s="3"/>
    </row>
    <row r="536" customFormat="false" ht="12.75" hidden="false" customHeight="false" outlineLevel="0" collapsed="false">
      <c r="G536" s="3"/>
    </row>
    <row r="537" customFormat="false" ht="12.75" hidden="false" customHeight="false" outlineLevel="0" collapsed="false">
      <c r="G537" s="3"/>
    </row>
    <row r="538" customFormat="false" ht="12.75" hidden="false" customHeight="false" outlineLevel="0" collapsed="false">
      <c r="G538" s="3"/>
    </row>
    <row r="539" customFormat="false" ht="12.75" hidden="false" customHeight="false" outlineLevel="0" collapsed="false">
      <c r="G539" s="3"/>
    </row>
    <row r="540" customFormat="false" ht="12.75" hidden="false" customHeight="false" outlineLevel="0" collapsed="false">
      <c r="G540" s="3"/>
    </row>
    <row r="541" customFormat="false" ht="12.75" hidden="false" customHeight="false" outlineLevel="0" collapsed="false">
      <c r="G541" s="3"/>
    </row>
    <row r="542" customFormat="false" ht="12.75" hidden="false" customHeight="false" outlineLevel="0" collapsed="false">
      <c r="G542" s="3"/>
    </row>
    <row r="543" customFormat="false" ht="12.75" hidden="false" customHeight="false" outlineLevel="0" collapsed="false">
      <c r="G543" s="3"/>
    </row>
    <row r="544" customFormat="false" ht="12.75" hidden="false" customHeight="false" outlineLevel="0" collapsed="false">
      <c r="G544" s="3"/>
    </row>
    <row r="545" customFormat="false" ht="12.75" hidden="false" customHeight="false" outlineLevel="0" collapsed="false">
      <c r="G545" s="3"/>
    </row>
    <row r="546" customFormat="false" ht="12.75" hidden="false" customHeight="false" outlineLevel="0" collapsed="false">
      <c r="G546" s="3"/>
    </row>
    <row r="547" customFormat="false" ht="12.75" hidden="false" customHeight="false" outlineLevel="0" collapsed="false">
      <c r="G547" s="3"/>
    </row>
    <row r="548" customFormat="false" ht="12.75" hidden="false" customHeight="false" outlineLevel="0" collapsed="false">
      <c r="G548" s="3"/>
    </row>
    <row r="549" customFormat="false" ht="12.75" hidden="false" customHeight="false" outlineLevel="0" collapsed="false">
      <c r="G549" s="3"/>
    </row>
    <row r="550" customFormat="false" ht="12.75" hidden="false" customHeight="false" outlineLevel="0" collapsed="false">
      <c r="G550" s="3"/>
    </row>
    <row r="551" customFormat="false" ht="12.75" hidden="false" customHeight="false" outlineLevel="0" collapsed="false">
      <c r="G551" s="3"/>
    </row>
    <row r="552" customFormat="false" ht="12.75" hidden="false" customHeight="false" outlineLevel="0" collapsed="false">
      <c r="G552" s="3"/>
    </row>
    <row r="553" customFormat="false" ht="12.75" hidden="false" customHeight="false" outlineLevel="0" collapsed="false">
      <c r="G553" s="3"/>
    </row>
    <row r="554" customFormat="false" ht="12.75" hidden="false" customHeight="false" outlineLevel="0" collapsed="false">
      <c r="G554" s="3"/>
    </row>
    <row r="555" customFormat="false" ht="12.75" hidden="false" customHeight="false" outlineLevel="0" collapsed="false">
      <c r="G555" s="3"/>
    </row>
    <row r="556" customFormat="false" ht="12.75" hidden="false" customHeight="false" outlineLevel="0" collapsed="false">
      <c r="G556" s="3"/>
    </row>
    <row r="557" customFormat="false" ht="12.75" hidden="false" customHeight="false" outlineLevel="0" collapsed="false">
      <c r="G557" s="3"/>
    </row>
    <row r="558" customFormat="false" ht="12.75" hidden="false" customHeight="false" outlineLevel="0" collapsed="false">
      <c r="G558" s="3"/>
    </row>
    <row r="559" customFormat="false" ht="12.75" hidden="false" customHeight="false" outlineLevel="0" collapsed="false">
      <c r="G559" s="3"/>
    </row>
    <row r="560" customFormat="false" ht="12.75" hidden="false" customHeight="false" outlineLevel="0" collapsed="false">
      <c r="G560" s="3"/>
    </row>
    <row r="561" customFormat="false" ht="12.75" hidden="false" customHeight="false" outlineLevel="0" collapsed="false">
      <c r="G561" s="3"/>
    </row>
    <row r="562" customFormat="false" ht="12.75" hidden="false" customHeight="false" outlineLevel="0" collapsed="false">
      <c r="G562" s="3"/>
    </row>
    <row r="563" customFormat="false" ht="12.75" hidden="false" customHeight="false" outlineLevel="0" collapsed="false">
      <c r="G563" s="3"/>
    </row>
    <row r="564" customFormat="false" ht="12.75" hidden="false" customHeight="false" outlineLevel="0" collapsed="false">
      <c r="G564" s="3"/>
    </row>
    <row r="565" customFormat="false" ht="12.75" hidden="false" customHeight="false" outlineLevel="0" collapsed="false">
      <c r="G565" s="3"/>
    </row>
    <row r="566" customFormat="false" ht="12.75" hidden="false" customHeight="false" outlineLevel="0" collapsed="false">
      <c r="G566" s="3"/>
    </row>
    <row r="567" customFormat="false" ht="12.75" hidden="false" customHeight="false" outlineLevel="0" collapsed="false">
      <c r="G567" s="3"/>
    </row>
    <row r="568" customFormat="false" ht="12.75" hidden="false" customHeight="false" outlineLevel="0" collapsed="false">
      <c r="G568" s="3"/>
    </row>
    <row r="569" customFormat="false" ht="12.75" hidden="false" customHeight="false" outlineLevel="0" collapsed="false">
      <c r="G569" s="3"/>
    </row>
    <row r="570" customFormat="false" ht="12.75" hidden="false" customHeight="false" outlineLevel="0" collapsed="false">
      <c r="G570" s="3"/>
    </row>
    <row r="571" customFormat="false" ht="12.75" hidden="false" customHeight="false" outlineLevel="0" collapsed="false">
      <c r="G571" s="3"/>
    </row>
    <row r="572" customFormat="false" ht="12.75" hidden="false" customHeight="false" outlineLevel="0" collapsed="false">
      <c r="G572" s="3"/>
    </row>
    <row r="573" customFormat="false" ht="12.75" hidden="false" customHeight="false" outlineLevel="0" collapsed="false">
      <c r="G573" s="3"/>
    </row>
    <row r="574" customFormat="false" ht="12.75" hidden="false" customHeight="false" outlineLevel="0" collapsed="false">
      <c r="G574" s="3"/>
    </row>
    <row r="575" customFormat="false" ht="12.75" hidden="false" customHeight="false" outlineLevel="0" collapsed="false">
      <c r="G575" s="3"/>
    </row>
    <row r="576" customFormat="false" ht="12.75" hidden="false" customHeight="false" outlineLevel="0" collapsed="false">
      <c r="G576" s="3"/>
    </row>
    <row r="577" customFormat="false" ht="12.75" hidden="false" customHeight="false" outlineLevel="0" collapsed="false">
      <c r="G577" s="3"/>
    </row>
    <row r="578" customFormat="false" ht="12.75" hidden="false" customHeight="false" outlineLevel="0" collapsed="false">
      <c r="G578" s="3"/>
    </row>
    <row r="579" customFormat="false" ht="12.75" hidden="false" customHeight="false" outlineLevel="0" collapsed="false">
      <c r="G579" s="3"/>
    </row>
    <row r="580" customFormat="false" ht="12.75" hidden="false" customHeight="false" outlineLevel="0" collapsed="false">
      <c r="G580" s="3"/>
    </row>
    <row r="581" customFormat="false" ht="12.75" hidden="false" customHeight="false" outlineLevel="0" collapsed="false">
      <c r="G581" s="3"/>
    </row>
    <row r="582" customFormat="false" ht="12.75" hidden="false" customHeight="false" outlineLevel="0" collapsed="false">
      <c r="G582" s="3"/>
    </row>
    <row r="583" customFormat="false" ht="12.75" hidden="false" customHeight="false" outlineLevel="0" collapsed="false">
      <c r="G583" s="3"/>
    </row>
    <row r="584" customFormat="false" ht="12.75" hidden="false" customHeight="false" outlineLevel="0" collapsed="false">
      <c r="G584" s="3"/>
    </row>
    <row r="585" customFormat="false" ht="12.75" hidden="false" customHeight="false" outlineLevel="0" collapsed="false">
      <c r="G585" s="3"/>
    </row>
    <row r="586" customFormat="false" ht="12.75" hidden="false" customHeight="false" outlineLevel="0" collapsed="false">
      <c r="G586" s="3"/>
    </row>
    <row r="587" customFormat="false" ht="12.75" hidden="false" customHeight="false" outlineLevel="0" collapsed="false">
      <c r="G587" s="3"/>
    </row>
    <row r="588" customFormat="false" ht="12.75" hidden="false" customHeight="false" outlineLevel="0" collapsed="false">
      <c r="G588" s="3"/>
    </row>
    <row r="589" customFormat="false" ht="12.75" hidden="false" customHeight="false" outlineLevel="0" collapsed="false">
      <c r="G589" s="3"/>
    </row>
    <row r="590" customFormat="false" ht="12.75" hidden="false" customHeight="false" outlineLevel="0" collapsed="false">
      <c r="G590" s="3"/>
    </row>
    <row r="591" customFormat="false" ht="12.75" hidden="false" customHeight="false" outlineLevel="0" collapsed="false">
      <c r="G591" s="3"/>
    </row>
    <row r="592" customFormat="false" ht="12.75" hidden="false" customHeight="false" outlineLevel="0" collapsed="false">
      <c r="G592" s="3"/>
    </row>
    <row r="593" customFormat="false" ht="12.75" hidden="false" customHeight="false" outlineLevel="0" collapsed="false">
      <c r="G593" s="3"/>
    </row>
    <row r="594" customFormat="false" ht="12.75" hidden="false" customHeight="false" outlineLevel="0" collapsed="false">
      <c r="G594" s="3"/>
    </row>
    <row r="595" customFormat="false" ht="12.75" hidden="false" customHeight="false" outlineLevel="0" collapsed="false">
      <c r="G595" s="3"/>
    </row>
    <row r="596" customFormat="false" ht="12.75" hidden="false" customHeight="false" outlineLevel="0" collapsed="false">
      <c r="G596" s="3"/>
    </row>
    <row r="597" customFormat="false" ht="12.75" hidden="false" customHeight="false" outlineLevel="0" collapsed="false">
      <c r="G597" s="3"/>
    </row>
    <row r="598" customFormat="false" ht="12.75" hidden="false" customHeight="false" outlineLevel="0" collapsed="false">
      <c r="G598" s="3"/>
    </row>
    <row r="599" customFormat="false" ht="12.75" hidden="false" customHeight="false" outlineLevel="0" collapsed="false">
      <c r="G599" s="3"/>
    </row>
    <row r="600" customFormat="false" ht="12.75" hidden="false" customHeight="false" outlineLevel="0" collapsed="false">
      <c r="G600" s="3"/>
    </row>
    <row r="601" customFormat="false" ht="12.75" hidden="false" customHeight="false" outlineLevel="0" collapsed="false">
      <c r="G601" s="3"/>
    </row>
    <row r="602" customFormat="false" ht="12.75" hidden="false" customHeight="false" outlineLevel="0" collapsed="false">
      <c r="G602" s="3"/>
    </row>
    <row r="603" customFormat="false" ht="12.75" hidden="false" customHeight="false" outlineLevel="0" collapsed="false">
      <c r="G603" s="3"/>
    </row>
    <row r="604" customFormat="false" ht="12.75" hidden="false" customHeight="false" outlineLevel="0" collapsed="false">
      <c r="G604" s="3"/>
    </row>
    <row r="605" customFormat="false" ht="12.75" hidden="false" customHeight="false" outlineLevel="0" collapsed="false">
      <c r="G605" s="3"/>
    </row>
    <row r="606" customFormat="false" ht="12.75" hidden="false" customHeight="false" outlineLevel="0" collapsed="false">
      <c r="G606" s="3"/>
    </row>
    <row r="607" customFormat="false" ht="12.75" hidden="false" customHeight="false" outlineLevel="0" collapsed="false">
      <c r="G607" s="3"/>
    </row>
    <row r="608" customFormat="false" ht="12.75" hidden="false" customHeight="false" outlineLevel="0" collapsed="false">
      <c r="G608" s="3"/>
    </row>
    <row r="609" customFormat="false" ht="12.75" hidden="false" customHeight="false" outlineLevel="0" collapsed="false">
      <c r="G609" s="3"/>
    </row>
    <row r="610" customFormat="false" ht="12.75" hidden="false" customHeight="false" outlineLevel="0" collapsed="false">
      <c r="G610" s="3"/>
    </row>
    <row r="611" customFormat="false" ht="12.75" hidden="false" customHeight="false" outlineLevel="0" collapsed="false">
      <c r="G611" s="3"/>
    </row>
    <row r="612" customFormat="false" ht="12.75" hidden="false" customHeight="false" outlineLevel="0" collapsed="false">
      <c r="G612" s="3"/>
    </row>
    <row r="613" customFormat="false" ht="12.75" hidden="false" customHeight="false" outlineLevel="0" collapsed="false">
      <c r="G613" s="3"/>
    </row>
    <row r="614" customFormat="false" ht="12.75" hidden="false" customHeight="false" outlineLevel="0" collapsed="false">
      <c r="G614" s="3"/>
    </row>
    <row r="615" customFormat="false" ht="12.75" hidden="false" customHeight="false" outlineLevel="0" collapsed="false">
      <c r="G615" s="3"/>
    </row>
    <row r="616" customFormat="false" ht="12.75" hidden="false" customHeight="false" outlineLevel="0" collapsed="false">
      <c r="G616" s="3"/>
    </row>
    <row r="617" customFormat="false" ht="12.75" hidden="false" customHeight="false" outlineLevel="0" collapsed="false">
      <c r="G617" s="3"/>
    </row>
    <row r="618" customFormat="false" ht="12.75" hidden="false" customHeight="false" outlineLevel="0" collapsed="false">
      <c r="G618" s="3"/>
    </row>
    <row r="619" customFormat="false" ht="12.75" hidden="false" customHeight="false" outlineLevel="0" collapsed="false">
      <c r="G619" s="3"/>
    </row>
    <row r="620" customFormat="false" ht="12.75" hidden="false" customHeight="false" outlineLevel="0" collapsed="false">
      <c r="G620" s="3"/>
    </row>
    <row r="621" customFormat="false" ht="12.75" hidden="false" customHeight="false" outlineLevel="0" collapsed="false">
      <c r="G621" s="3"/>
    </row>
    <row r="622" customFormat="false" ht="12.75" hidden="false" customHeight="false" outlineLevel="0" collapsed="false">
      <c r="G622" s="3"/>
    </row>
    <row r="623" customFormat="false" ht="12.75" hidden="false" customHeight="false" outlineLevel="0" collapsed="false">
      <c r="G623" s="3"/>
    </row>
    <row r="624" customFormat="false" ht="12.75" hidden="false" customHeight="false" outlineLevel="0" collapsed="false">
      <c r="G624" s="3"/>
    </row>
    <row r="625" customFormat="false" ht="12.75" hidden="false" customHeight="false" outlineLevel="0" collapsed="false">
      <c r="G625" s="3"/>
    </row>
    <row r="626" customFormat="false" ht="12.75" hidden="false" customHeight="false" outlineLevel="0" collapsed="false">
      <c r="G626" s="3"/>
    </row>
    <row r="627" customFormat="false" ht="12.75" hidden="false" customHeight="false" outlineLevel="0" collapsed="false">
      <c r="G627" s="3"/>
    </row>
    <row r="628" customFormat="false" ht="12.75" hidden="false" customHeight="false" outlineLevel="0" collapsed="false">
      <c r="G628" s="3"/>
    </row>
    <row r="629" customFormat="false" ht="12.75" hidden="false" customHeight="false" outlineLevel="0" collapsed="false">
      <c r="G629" s="3"/>
    </row>
    <row r="630" customFormat="false" ht="12.75" hidden="false" customHeight="false" outlineLevel="0" collapsed="false">
      <c r="G630" s="3"/>
    </row>
    <row r="631" customFormat="false" ht="12.75" hidden="false" customHeight="false" outlineLevel="0" collapsed="false">
      <c r="G631" s="3"/>
    </row>
    <row r="632" customFormat="false" ht="12.75" hidden="false" customHeight="false" outlineLevel="0" collapsed="false">
      <c r="G632" s="3"/>
    </row>
    <row r="633" customFormat="false" ht="12.75" hidden="false" customHeight="false" outlineLevel="0" collapsed="false">
      <c r="G633" s="3"/>
    </row>
    <row r="634" customFormat="false" ht="12.75" hidden="false" customHeight="false" outlineLevel="0" collapsed="false">
      <c r="G634" s="3"/>
    </row>
    <row r="635" customFormat="false" ht="12.75" hidden="false" customHeight="false" outlineLevel="0" collapsed="false">
      <c r="G635" s="3"/>
    </row>
    <row r="636" customFormat="false" ht="12.75" hidden="false" customHeight="false" outlineLevel="0" collapsed="false">
      <c r="G636" s="3"/>
    </row>
    <row r="637" customFormat="false" ht="12.75" hidden="false" customHeight="false" outlineLevel="0" collapsed="false">
      <c r="G637" s="3"/>
    </row>
    <row r="638" customFormat="false" ht="12.75" hidden="false" customHeight="false" outlineLevel="0" collapsed="false">
      <c r="G638" s="3"/>
    </row>
    <row r="639" customFormat="false" ht="12.75" hidden="false" customHeight="false" outlineLevel="0" collapsed="false">
      <c r="G639" s="3"/>
    </row>
    <row r="640" customFormat="false" ht="12.75" hidden="false" customHeight="false" outlineLevel="0" collapsed="false">
      <c r="G640" s="3"/>
    </row>
    <row r="641" customFormat="false" ht="12.75" hidden="false" customHeight="false" outlineLevel="0" collapsed="false">
      <c r="G641" s="3"/>
    </row>
    <row r="642" customFormat="false" ht="12.75" hidden="false" customHeight="false" outlineLevel="0" collapsed="false">
      <c r="G642" s="3"/>
    </row>
    <row r="643" customFormat="false" ht="12.75" hidden="false" customHeight="false" outlineLevel="0" collapsed="false">
      <c r="G643" s="3"/>
    </row>
    <row r="644" customFormat="false" ht="12.75" hidden="false" customHeight="false" outlineLevel="0" collapsed="false">
      <c r="G644" s="3"/>
    </row>
    <row r="645" customFormat="false" ht="12.75" hidden="false" customHeight="false" outlineLevel="0" collapsed="false">
      <c r="G645" s="3"/>
    </row>
    <row r="646" customFormat="false" ht="12.75" hidden="false" customHeight="false" outlineLevel="0" collapsed="false">
      <c r="G646" s="3"/>
    </row>
    <row r="647" customFormat="false" ht="12.75" hidden="false" customHeight="false" outlineLevel="0" collapsed="false">
      <c r="G647" s="3"/>
    </row>
    <row r="648" customFormat="false" ht="12.75" hidden="false" customHeight="false" outlineLevel="0" collapsed="false">
      <c r="G648" s="3"/>
    </row>
    <row r="649" customFormat="false" ht="12.75" hidden="false" customHeight="false" outlineLevel="0" collapsed="false">
      <c r="G649" s="3"/>
    </row>
    <row r="650" customFormat="false" ht="12.75" hidden="false" customHeight="false" outlineLevel="0" collapsed="false">
      <c r="G650" s="3"/>
    </row>
    <row r="651" customFormat="false" ht="12.75" hidden="false" customHeight="false" outlineLevel="0" collapsed="false">
      <c r="G651" s="3"/>
    </row>
    <row r="652" customFormat="false" ht="12.75" hidden="false" customHeight="false" outlineLevel="0" collapsed="false">
      <c r="G652" s="3"/>
    </row>
    <row r="653" customFormat="false" ht="12.75" hidden="false" customHeight="false" outlineLevel="0" collapsed="false">
      <c r="G653" s="3"/>
    </row>
    <row r="654" customFormat="false" ht="12.75" hidden="false" customHeight="false" outlineLevel="0" collapsed="false">
      <c r="G654" s="3"/>
    </row>
    <row r="655" customFormat="false" ht="12.75" hidden="false" customHeight="false" outlineLevel="0" collapsed="false">
      <c r="G655" s="3"/>
    </row>
    <row r="656" customFormat="false" ht="12.75" hidden="false" customHeight="false" outlineLevel="0" collapsed="false">
      <c r="G656" s="3"/>
    </row>
    <row r="657" customFormat="false" ht="12.75" hidden="false" customHeight="false" outlineLevel="0" collapsed="false">
      <c r="G657" s="3"/>
    </row>
    <row r="658" customFormat="false" ht="12.75" hidden="false" customHeight="false" outlineLevel="0" collapsed="false">
      <c r="G658" s="3"/>
    </row>
    <row r="659" customFormat="false" ht="12.75" hidden="false" customHeight="false" outlineLevel="0" collapsed="false">
      <c r="G659" s="3"/>
    </row>
    <row r="660" customFormat="false" ht="12.75" hidden="false" customHeight="false" outlineLevel="0" collapsed="false">
      <c r="G660" s="3"/>
    </row>
    <row r="661" customFormat="false" ht="12.75" hidden="false" customHeight="false" outlineLevel="0" collapsed="false">
      <c r="G661" s="3"/>
    </row>
    <row r="662" customFormat="false" ht="12.75" hidden="false" customHeight="false" outlineLevel="0" collapsed="false">
      <c r="G662" s="3"/>
    </row>
    <row r="663" customFormat="false" ht="12.75" hidden="false" customHeight="false" outlineLevel="0" collapsed="false">
      <c r="G663" s="3"/>
    </row>
    <row r="664" customFormat="false" ht="12.75" hidden="false" customHeight="false" outlineLevel="0" collapsed="false">
      <c r="G664" s="3"/>
    </row>
    <row r="665" customFormat="false" ht="12.75" hidden="false" customHeight="false" outlineLevel="0" collapsed="false">
      <c r="G665" s="3"/>
    </row>
    <row r="666" customFormat="false" ht="12.75" hidden="false" customHeight="false" outlineLevel="0" collapsed="false">
      <c r="G666" s="3"/>
    </row>
    <row r="667" customFormat="false" ht="12.75" hidden="false" customHeight="false" outlineLevel="0" collapsed="false">
      <c r="G667" s="3"/>
    </row>
    <row r="668" customFormat="false" ht="12.75" hidden="false" customHeight="false" outlineLevel="0" collapsed="false">
      <c r="G668" s="3"/>
    </row>
    <row r="669" customFormat="false" ht="12.75" hidden="false" customHeight="false" outlineLevel="0" collapsed="false">
      <c r="G669" s="3"/>
    </row>
    <row r="670" customFormat="false" ht="12.75" hidden="false" customHeight="false" outlineLevel="0" collapsed="false">
      <c r="G670" s="3"/>
    </row>
    <row r="671" customFormat="false" ht="12.75" hidden="false" customHeight="false" outlineLevel="0" collapsed="false">
      <c r="G671" s="3"/>
    </row>
    <row r="672" customFormat="false" ht="12.75" hidden="false" customHeight="false" outlineLevel="0" collapsed="false">
      <c r="G672" s="3"/>
    </row>
    <row r="673" customFormat="false" ht="12.75" hidden="false" customHeight="false" outlineLevel="0" collapsed="false">
      <c r="G673" s="3"/>
    </row>
    <row r="674" customFormat="false" ht="12.75" hidden="false" customHeight="false" outlineLevel="0" collapsed="false">
      <c r="G674" s="3"/>
    </row>
    <row r="675" customFormat="false" ht="12.75" hidden="false" customHeight="false" outlineLevel="0" collapsed="false">
      <c r="G675" s="3"/>
    </row>
    <row r="676" customFormat="false" ht="12.75" hidden="false" customHeight="false" outlineLevel="0" collapsed="false">
      <c r="G676" s="3"/>
    </row>
    <row r="677" customFormat="false" ht="12.75" hidden="false" customHeight="false" outlineLevel="0" collapsed="false">
      <c r="G677" s="3"/>
    </row>
    <row r="678" customFormat="false" ht="12.75" hidden="false" customHeight="false" outlineLevel="0" collapsed="false">
      <c r="G678" s="3"/>
    </row>
    <row r="679" customFormat="false" ht="12.75" hidden="false" customHeight="false" outlineLevel="0" collapsed="false">
      <c r="G679" s="3"/>
    </row>
    <row r="680" customFormat="false" ht="12.75" hidden="false" customHeight="false" outlineLevel="0" collapsed="false">
      <c r="G680" s="3"/>
    </row>
    <row r="681" customFormat="false" ht="12.75" hidden="false" customHeight="false" outlineLevel="0" collapsed="false">
      <c r="G681" s="3"/>
    </row>
    <row r="682" customFormat="false" ht="12.75" hidden="false" customHeight="false" outlineLevel="0" collapsed="false">
      <c r="G682" s="3"/>
    </row>
    <row r="683" customFormat="false" ht="12.75" hidden="false" customHeight="false" outlineLevel="0" collapsed="false">
      <c r="G683" s="3"/>
    </row>
    <row r="684" customFormat="false" ht="12.75" hidden="false" customHeight="false" outlineLevel="0" collapsed="false">
      <c r="G684" s="3"/>
    </row>
    <row r="685" customFormat="false" ht="12.75" hidden="false" customHeight="false" outlineLevel="0" collapsed="false">
      <c r="G685" s="3"/>
    </row>
    <row r="686" customFormat="false" ht="12.75" hidden="false" customHeight="false" outlineLevel="0" collapsed="false">
      <c r="G686" s="3"/>
    </row>
    <row r="687" customFormat="false" ht="12.75" hidden="false" customHeight="false" outlineLevel="0" collapsed="false">
      <c r="G687" s="3"/>
    </row>
    <row r="688" customFormat="false" ht="12.75" hidden="false" customHeight="false" outlineLevel="0" collapsed="false">
      <c r="G688" s="3"/>
    </row>
    <row r="689" customFormat="false" ht="12.75" hidden="false" customHeight="false" outlineLevel="0" collapsed="false">
      <c r="G689" s="3"/>
    </row>
    <row r="690" customFormat="false" ht="12.75" hidden="false" customHeight="false" outlineLevel="0" collapsed="false">
      <c r="G690" s="3"/>
    </row>
    <row r="691" customFormat="false" ht="12.75" hidden="false" customHeight="false" outlineLevel="0" collapsed="false">
      <c r="G691" s="3"/>
    </row>
    <row r="692" customFormat="false" ht="12.75" hidden="false" customHeight="false" outlineLevel="0" collapsed="false">
      <c r="G692" s="3"/>
    </row>
    <row r="693" customFormat="false" ht="12.75" hidden="false" customHeight="false" outlineLevel="0" collapsed="false">
      <c r="G693" s="3"/>
    </row>
    <row r="694" customFormat="false" ht="12.75" hidden="false" customHeight="false" outlineLevel="0" collapsed="false">
      <c r="G694" s="3"/>
    </row>
    <row r="695" customFormat="false" ht="12.75" hidden="false" customHeight="false" outlineLevel="0" collapsed="false">
      <c r="G695" s="3"/>
    </row>
    <row r="696" customFormat="false" ht="12.75" hidden="false" customHeight="false" outlineLevel="0" collapsed="false">
      <c r="G696" s="3"/>
    </row>
    <row r="697" customFormat="false" ht="12.75" hidden="false" customHeight="false" outlineLevel="0" collapsed="false">
      <c r="G697" s="3"/>
    </row>
    <row r="698" customFormat="false" ht="12.75" hidden="false" customHeight="false" outlineLevel="0" collapsed="false">
      <c r="G698" s="3"/>
    </row>
    <row r="699" customFormat="false" ht="12.75" hidden="false" customHeight="false" outlineLevel="0" collapsed="false">
      <c r="G699" s="3"/>
    </row>
    <row r="700" customFormat="false" ht="12.75" hidden="false" customHeight="false" outlineLevel="0" collapsed="false">
      <c r="G700" s="3"/>
    </row>
    <row r="701" customFormat="false" ht="12.75" hidden="false" customHeight="false" outlineLevel="0" collapsed="false">
      <c r="G701" s="3"/>
    </row>
    <row r="702" customFormat="false" ht="12.75" hidden="false" customHeight="false" outlineLevel="0" collapsed="false">
      <c r="G702" s="3"/>
    </row>
    <row r="703" customFormat="false" ht="12.75" hidden="false" customHeight="false" outlineLevel="0" collapsed="false">
      <c r="G703" s="3"/>
    </row>
    <row r="704" customFormat="false" ht="12.75" hidden="false" customHeight="false" outlineLevel="0" collapsed="false">
      <c r="G704" s="3"/>
    </row>
    <row r="705" customFormat="false" ht="12.75" hidden="false" customHeight="false" outlineLevel="0" collapsed="false">
      <c r="G705" s="3"/>
    </row>
    <row r="706" customFormat="false" ht="12.75" hidden="false" customHeight="false" outlineLevel="0" collapsed="false">
      <c r="G706" s="3"/>
    </row>
    <row r="707" customFormat="false" ht="12.75" hidden="false" customHeight="false" outlineLevel="0" collapsed="false">
      <c r="G707" s="3"/>
    </row>
    <row r="708" customFormat="false" ht="12.75" hidden="false" customHeight="false" outlineLevel="0" collapsed="false">
      <c r="G708" s="3"/>
    </row>
    <row r="709" customFormat="false" ht="12.75" hidden="false" customHeight="false" outlineLevel="0" collapsed="false">
      <c r="G709" s="3"/>
    </row>
    <row r="710" customFormat="false" ht="12.75" hidden="false" customHeight="false" outlineLevel="0" collapsed="false">
      <c r="G710" s="3"/>
    </row>
    <row r="711" customFormat="false" ht="12.75" hidden="false" customHeight="false" outlineLevel="0" collapsed="false">
      <c r="G711" s="3"/>
    </row>
    <row r="712" customFormat="false" ht="12.75" hidden="false" customHeight="false" outlineLevel="0" collapsed="false">
      <c r="G712" s="3"/>
    </row>
    <row r="713" customFormat="false" ht="12.75" hidden="false" customHeight="false" outlineLevel="0" collapsed="false">
      <c r="G713" s="3"/>
    </row>
    <row r="714" customFormat="false" ht="12.75" hidden="false" customHeight="false" outlineLevel="0" collapsed="false">
      <c r="G714" s="3"/>
    </row>
    <row r="715" customFormat="false" ht="12.75" hidden="false" customHeight="false" outlineLevel="0" collapsed="false">
      <c r="G715" s="3"/>
    </row>
    <row r="716" customFormat="false" ht="12.75" hidden="false" customHeight="false" outlineLevel="0" collapsed="false">
      <c r="G716" s="3"/>
    </row>
    <row r="717" customFormat="false" ht="12.75" hidden="false" customHeight="false" outlineLevel="0" collapsed="false">
      <c r="G717" s="3"/>
    </row>
    <row r="718" customFormat="false" ht="12.75" hidden="false" customHeight="false" outlineLevel="0" collapsed="false">
      <c r="G718" s="3"/>
    </row>
    <row r="719" customFormat="false" ht="12.75" hidden="false" customHeight="false" outlineLevel="0" collapsed="false">
      <c r="G719" s="3"/>
    </row>
    <row r="720" customFormat="false" ht="12.75" hidden="false" customHeight="false" outlineLevel="0" collapsed="false">
      <c r="G720" s="3"/>
    </row>
    <row r="721" customFormat="false" ht="12.75" hidden="false" customHeight="false" outlineLevel="0" collapsed="false">
      <c r="G721" s="3"/>
    </row>
    <row r="722" customFormat="false" ht="12.75" hidden="false" customHeight="false" outlineLevel="0" collapsed="false">
      <c r="G722" s="3"/>
    </row>
    <row r="723" customFormat="false" ht="12.75" hidden="false" customHeight="false" outlineLevel="0" collapsed="false">
      <c r="G723" s="3"/>
    </row>
    <row r="724" customFormat="false" ht="12.75" hidden="false" customHeight="false" outlineLevel="0" collapsed="false">
      <c r="G724" s="3"/>
    </row>
    <row r="725" customFormat="false" ht="12.75" hidden="false" customHeight="false" outlineLevel="0" collapsed="false">
      <c r="G725" s="3"/>
    </row>
    <row r="726" customFormat="false" ht="12.75" hidden="false" customHeight="false" outlineLevel="0" collapsed="false">
      <c r="G726" s="3"/>
    </row>
    <row r="727" customFormat="false" ht="12.75" hidden="false" customHeight="false" outlineLevel="0" collapsed="false">
      <c r="G727" s="3"/>
    </row>
    <row r="728" customFormat="false" ht="12.75" hidden="false" customHeight="false" outlineLevel="0" collapsed="false">
      <c r="G728" s="3"/>
    </row>
    <row r="729" customFormat="false" ht="12.75" hidden="false" customHeight="false" outlineLevel="0" collapsed="false">
      <c r="G729" s="3"/>
    </row>
    <row r="730" customFormat="false" ht="12.75" hidden="false" customHeight="false" outlineLevel="0" collapsed="false">
      <c r="G730" s="3"/>
    </row>
    <row r="731" customFormat="false" ht="12.75" hidden="false" customHeight="false" outlineLevel="0" collapsed="false">
      <c r="G731" s="3"/>
    </row>
    <row r="732" customFormat="false" ht="12.75" hidden="false" customHeight="false" outlineLevel="0" collapsed="false">
      <c r="G732" s="3"/>
    </row>
    <row r="733" customFormat="false" ht="12.75" hidden="false" customHeight="false" outlineLevel="0" collapsed="false">
      <c r="G733" s="3"/>
    </row>
    <row r="734" customFormat="false" ht="12.75" hidden="false" customHeight="false" outlineLevel="0" collapsed="false">
      <c r="G734" s="3"/>
    </row>
    <row r="735" customFormat="false" ht="12.75" hidden="false" customHeight="false" outlineLevel="0" collapsed="false">
      <c r="G735" s="3"/>
    </row>
    <row r="736" customFormat="false" ht="12.75" hidden="false" customHeight="false" outlineLevel="0" collapsed="false">
      <c r="G736" s="3"/>
    </row>
    <row r="737" customFormat="false" ht="12.75" hidden="false" customHeight="false" outlineLevel="0" collapsed="false">
      <c r="G737" s="3"/>
    </row>
    <row r="738" customFormat="false" ht="12.75" hidden="false" customHeight="false" outlineLevel="0" collapsed="false">
      <c r="G738" s="3"/>
    </row>
    <row r="739" customFormat="false" ht="12.75" hidden="false" customHeight="false" outlineLevel="0" collapsed="false">
      <c r="G739" s="3"/>
    </row>
    <row r="740" customFormat="false" ht="12.75" hidden="false" customHeight="false" outlineLevel="0" collapsed="false">
      <c r="G740" s="3"/>
    </row>
    <row r="741" customFormat="false" ht="12.75" hidden="false" customHeight="false" outlineLevel="0" collapsed="false">
      <c r="G741" s="3"/>
    </row>
    <row r="742" customFormat="false" ht="12.75" hidden="false" customHeight="false" outlineLevel="0" collapsed="false">
      <c r="G742" s="3"/>
    </row>
    <row r="743" customFormat="false" ht="12.75" hidden="false" customHeight="false" outlineLevel="0" collapsed="false">
      <c r="G743" s="3"/>
    </row>
    <row r="744" customFormat="false" ht="12.75" hidden="false" customHeight="false" outlineLevel="0" collapsed="false">
      <c r="G744" s="3"/>
    </row>
    <row r="745" customFormat="false" ht="12.75" hidden="false" customHeight="false" outlineLevel="0" collapsed="false">
      <c r="G745" s="3"/>
    </row>
    <row r="746" customFormat="false" ht="12.75" hidden="false" customHeight="false" outlineLevel="0" collapsed="false">
      <c r="G746" s="3"/>
    </row>
    <row r="747" customFormat="false" ht="12.75" hidden="false" customHeight="false" outlineLevel="0" collapsed="false">
      <c r="G747" s="3"/>
    </row>
    <row r="748" customFormat="false" ht="12.75" hidden="false" customHeight="false" outlineLevel="0" collapsed="false">
      <c r="G748" s="3"/>
    </row>
    <row r="749" customFormat="false" ht="12.75" hidden="false" customHeight="false" outlineLevel="0" collapsed="false">
      <c r="G749" s="3"/>
    </row>
    <row r="750" customFormat="false" ht="12.75" hidden="false" customHeight="false" outlineLevel="0" collapsed="false">
      <c r="G750" s="3"/>
    </row>
    <row r="751" customFormat="false" ht="12.75" hidden="false" customHeight="false" outlineLevel="0" collapsed="false">
      <c r="G751" s="3"/>
    </row>
    <row r="752" customFormat="false" ht="12.75" hidden="false" customHeight="false" outlineLevel="0" collapsed="false">
      <c r="G752" s="3"/>
    </row>
    <row r="753" customFormat="false" ht="12.75" hidden="false" customHeight="false" outlineLevel="0" collapsed="false">
      <c r="G753" s="3"/>
    </row>
    <row r="754" customFormat="false" ht="12.75" hidden="false" customHeight="false" outlineLevel="0" collapsed="false">
      <c r="G754" s="3"/>
    </row>
    <row r="755" customFormat="false" ht="12.75" hidden="false" customHeight="false" outlineLevel="0" collapsed="false">
      <c r="G755" s="3"/>
    </row>
    <row r="756" customFormat="false" ht="12.75" hidden="false" customHeight="false" outlineLevel="0" collapsed="false">
      <c r="G756" s="3"/>
    </row>
    <row r="757" customFormat="false" ht="12.75" hidden="false" customHeight="false" outlineLevel="0" collapsed="false">
      <c r="G757" s="3"/>
    </row>
    <row r="758" customFormat="false" ht="12.75" hidden="false" customHeight="false" outlineLevel="0" collapsed="false">
      <c r="G758" s="3"/>
    </row>
    <row r="759" customFormat="false" ht="12.75" hidden="false" customHeight="false" outlineLevel="0" collapsed="false">
      <c r="G759" s="3"/>
    </row>
    <row r="760" customFormat="false" ht="12.75" hidden="false" customHeight="false" outlineLevel="0" collapsed="false">
      <c r="G760" s="3"/>
    </row>
    <row r="761" customFormat="false" ht="12.75" hidden="false" customHeight="false" outlineLevel="0" collapsed="false">
      <c r="G761" s="3"/>
    </row>
    <row r="762" customFormat="false" ht="12.75" hidden="false" customHeight="false" outlineLevel="0" collapsed="false">
      <c r="G762" s="3"/>
    </row>
    <row r="763" customFormat="false" ht="12.75" hidden="false" customHeight="false" outlineLevel="0" collapsed="false">
      <c r="G763" s="3"/>
    </row>
    <row r="764" customFormat="false" ht="12.75" hidden="false" customHeight="false" outlineLevel="0" collapsed="false">
      <c r="G764" s="3"/>
    </row>
    <row r="765" customFormat="false" ht="12.75" hidden="false" customHeight="false" outlineLevel="0" collapsed="false">
      <c r="G765" s="3"/>
    </row>
    <row r="766" customFormat="false" ht="12.75" hidden="false" customHeight="false" outlineLevel="0" collapsed="false">
      <c r="G766" s="3"/>
    </row>
    <row r="767" customFormat="false" ht="12.75" hidden="false" customHeight="false" outlineLevel="0" collapsed="false">
      <c r="G767" s="3"/>
    </row>
    <row r="768" customFormat="false" ht="12.75" hidden="false" customHeight="false" outlineLevel="0" collapsed="false">
      <c r="G768" s="3"/>
    </row>
    <row r="769" customFormat="false" ht="12.75" hidden="false" customHeight="false" outlineLevel="0" collapsed="false">
      <c r="G769" s="3"/>
    </row>
    <row r="770" customFormat="false" ht="12.75" hidden="false" customHeight="false" outlineLevel="0" collapsed="false">
      <c r="G770" s="3"/>
    </row>
    <row r="771" customFormat="false" ht="12.75" hidden="false" customHeight="false" outlineLevel="0" collapsed="false">
      <c r="G771" s="3"/>
    </row>
    <row r="772" customFormat="false" ht="12.75" hidden="false" customHeight="false" outlineLevel="0" collapsed="false">
      <c r="G772" s="3"/>
    </row>
    <row r="773" customFormat="false" ht="12.75" hidden="false" customHeight="false" outlineLevel="0" collapsed="false">
      <c r="G773" s="3"/>
    </row>
    <row r="774" customFormat="false" ht="12.75" hidden="false" customHeight="false" outlineLevel="0" collapsed="false">
      <c r="G774" s="3"/>
    </row>
    <row r="775" customFormat="false" ht="12.75" hidden="false" customHeight="false" outlineLevel="0" collapsed="false">
      <c r="G775" s="3"/>
    </row>
    <row r="776" customFormat="false" ht="12.75" hidden="false" customHeight="false" outlineLevel="0" collapsed="false">
      <c r="G776" s="3"/>
    </row>
    <row r="777" customFormat="false" ht="12.75" hidden="false" customHeight="false" outlineLevel="0" collapsed="false">
      <c r="G777" s="3"/>
    </row>
    <row r="778" customFormat="false" ht="12.75" hidden="false" customHeight="false" outlineLevel="0" collapsed="false">
      <c r="G778" s="3"/>
    </row>
    <row r="779" customFormat="false" ht="12.75" hidden="false" customHeight="false" outlineLevel="0" collapsed="false">
      <c r="G779" s="3"/>
    </row>
    <row r="780" customFormat="false" ht="12.75" hidden="false" customHeight="false" outlineLevel="0" collapsed="false">
      <c r="G780" s="3"/>
    </row>
    <row r="781" customFormat="false" ht="12.75" hidden="false" customHeight="false" outlineLevel="0" collapsed="false">
      <c r="G781" s="3"/>
    </row>
    <row r="782" customFormat="false" ht="12.75" hidden="false" customHeight="false" outlineLevel="0" collapsed="false">
      <c r="G782" s="3"/>
    </row>
    <row r="783" customFormat="false" ht="12.75" hidden="false" customHeight="false" outlineLevel="0" collapsed="false">
      <c r="G783" s="3"/>
    </row>
    <row r="784" customFormat="false" ht="12.75" hidden="false" customHeight="false" outlineLevel="0" collapsed="false">
      <c r="G784" s="3"/>
    </row>
    <row r="785" customFormat="false" ht="12.75" hidden="false" customHeight="false" outlineLevel="0" collapsed="false">
      <c r="G785" s="3"/>
    </row>
    <row r="786" customFormat="false" ht="12.75" hidden="false" customHeight="false" outlineLevel="0" collapsed="false">
      <c r="G786" s="3"/>
    </row>
    <row r="787" customFormat="false" ht="12.75" hidden="false" customHeight="false" outlineLevel="0" collapsed="false">
      <c r="G787" s="3"/>
    </row>
    <row r="788" customFormat="false" ht="12.75" hidden="false" customHeight="false" outlineLevel="0" collapsed="false">
      <c r="G788" s="3"/>
    </row>
    <row r="789" customFormat="false" ht="12.75" hidden="false" customHeight="false" outlineLevel="0" collapsed="false">
      <c r="G789" s="3"/>
    </row>
    <row r="790" customFormat="false" ht="12.75" hidden="false" customHeight="false" outlineLevel="0" collapsed="false">
      <c r="G790" s="3"/>
    </row>
    <row r="791" customFormat="false" ht="12.75" hidden="false" customHeight="false" outlineLevel="0" collapsed="false">
      <c r="G791" s="3"/>
    </row>
    <row r="792" customFormat="false" ht="12.75" hidden="false" customHeight="false" outlineLevel="0" collapsed="false">
      <c r="G792" s="3"/>
    </row>
    <row r="793" customFormat="false" ht="12.75" hidden="false" customHeight="false" outlineLevel="0" collapsed="false">
      <c r="G793" s="3"/>
    </row>
    <row r="794" customFormat="false" ht="12.75" hidden="false" customHeight="false" outlineLevel="0" collapsed="false">
      <c r="G794" s="3"/>
    </row>
    <row r="795" customFormat="false" ht="12.75" hidden="false" customHeight="false" outlineLevel="0" collapsed="false">
      <c r="G795" s="3"/>
    </row>
    <row r="796" customFormat="false" ht="12.75" hidden="false" customHeight="false" outlineLevel="0" collapsed="false">
      <c r="G796" s="3"/>
    </row>
    <row r="797" customFormat="false" ht="12.75" hidden="false" customHeight="false" outlineLevel="0" collapsed="false">
      <c r="G797" s="3"/>
    </row>
    <row r="798" customFormat="false" ht="12.75" hidden="false" customHeight="false" outlineLevel="0" collapsed="false">
      <c r="G798" s="3"/>
    </row>
    <row r="799" customFormat="false" ht="12.75" hidden="false" customHeight="false" outlineLevel="0" collapsed="false">
      <c r="G799" s="3"/>
    </row>
    <row r="800" customFormat="false" ht="12.75" hidden="false" customHeight="false" outlineLevel="0" collapsed="false">
      <c r="G800" s="3"/>
    </row>
    <row r="801" customFormat="false" ht="12.75" hidden="false" customHeight="false" outlineLevel="0" collapsed="false">
      <c r="G801" s="3"/>
    </row>
    <row r="802" customFormat="false" ht="12.75" hidden="false" customHeight="false" outlineLevel="0" collapsed="false">
      <c r="G802" s="3"/>
    </row>
    <row r="803" customFormat="false" ht="12.75" hidden="false" customHeight="false" outlineLevel="0" collapsed="false">
      <c r="G803" s="3"/>
    </row>
    <row r="804" customFormat="false" ht="12.75" hidden="false" customHeight="false" outlineLevel="0" collapsed="false">
      <c r="G804" s="3"/>
    </row>
    <row r="805" customFormat="false" ht="12.75" hidden="false" customHeight="false" outlineLevel="0" collapsed="false">
      <c r="G805" s="3"/>
    </row>
    <row r="806" customFormat="false" ht="12.75" hidden="false" customHeight="false" outlineLevel="0" collapsed="false">
      <c r="G806" s="3"/>
    </row>
    <row r="807" customFormat="false" ht="12.75" hidden="false" customHeight="false" outlineLevel="0" collapsed="false">
      <c r="G807" s="3"/>
    </row>
    <row r="808" customFormat="false" ht="12.75" hidden="false" customHeight="false" outlineLevel="0" collapsed="false">
      <c r="G808" s="3"/>
    </row>
    <row r="809" customFormat="false" ht="12.75" hidden="false" customHeight="false" outlineLevel="0" collapsed="false">
      <c r="G809" s="3"/>
    </row>
    <row r="810" customFormat="false" ht="12.75" hidden="false" customHeight="false" outlineLevel="0" collapsed="false">
      <c r="G810" s="3"/>
    </row>
    <row r="811" customFormat="false" ht="12.75" hidden="false" customHeight="false" outlineLevel="0" collapsed="false">
      <c r="G811" s="3"/>
    </row>
    <row r="812" customFormat="false" ht="12.75" hidden="false" customHeight="false" outlineLevel="0" collapsed="false">
      <c r="G812" s="3"/>
    </row>
    <row r="813" customFormat="false" ht="12.75" hidden="false" customHeight="false" outlineLevel="0" collapsed="false">
      <c r="G813" s="3"/>
    </row>
    <row r="814" customFormat="false" ht="12.75" hidden="false" customHeight="false" outlineLevel="0" collapsed="false">
      <c r="G814" s="3"/>
    </row>
    <row r="815" customFormat="false" ht="12.75" hidden="false" customHeight="false" outlineLevel="0" collapsed="false">
      <c r="G815" s="3"/>
    </row>
    <row r="816" customFormat="false" ht="12.75" hidden="false" customHeight="false" outlineLevel="0" collapsed="false">
      <c r="G816" s="3"/>
    </row>
    <row r="817" customFormat="false" ht="12.75" hidden="false" customHeight="false" outlineLevel="0" collapsed="false">
      <c r="G817" s="3"/>
    </row>
    <row r="818" customFormat="false" ht="12.75" hidden="false" customHeight="false" outlineLevel="0" collapsed="false">
      <c r="G818" s="3"/>
    </row>
    <row r="819" customFormat="false" ht="12.75" hidden="false" customHeight="false" outlineLevel="0" collapsed="false">
      <c r="G819" s="3"/>
    </row>
    <row r="820" customFormat="false" ht="12.75" hidden="false" customHeight="false" outlineLevel="0" collapsed="false">
      <c r="G820" s="3"/>
    </row>
    <row r="821" customFormat="false" ht="12.75" hidden="false" customHeight="false" outlineLevel="0" collapsed="false">
      <c r="G821" s="3"/>
    </row>
    <row r="822" customFormat="false" ht="12.75" hidden="false" customHeight="false" outlineLevel="0" collapsed="false">
      <c r="G822" s="3"/>
    </row>
    <row r="823" customFormat="false" ht="12.75" hidden="false" customHeight="false" outlineLevel="0" collapsed="false">
      <c r="G823" s="3"/>
    </row>
    <row r="824" customFormat="false" ht="12.75" hidden="false" customHeight="false" outlineLevel="0" collapsed="false">
      <c r="G824" s="3"/>
    </row>
    <row r="825" customFormat="false" ht="12.75" hidden="false" customHeight="false" outlineLevel="0" collapsed="false">
      <c r="G825" s="3"/>
    </row>
    <row r="826" customFormat="false" ht="12.75" hidden="false" customHeight="false" outlineLevel="0" collapsed="false">
      <c r="G826" s="3"/>
    </row>
    <row r="827" customFormat="false" ht="12.75" hidden="false" customHeight="false" outlineLevel="0" collapsed="false">
      <c r="G827" s="3"/>
    </row>
    <row r="828" customFormat="false" ht="12.75" hidden="false" customHeight="false" outlineLevel="0" collapsed="false">
      <c r="G828" s="3"/>
    </row>
    <row r="829" customFormat="false" ht="12.75" hidden="false" customHeight="false" outlineLevel="0" collapsed="false">
      <c r="G829" s="3"/>
    </row>
    <row r="830" customFormat="false" ht="12.75" hidden="false" customHeight="false" outlineLevel="0" collapsed="false">
      <c r="G830" s="3"/>
    </row>
    <row r="831" customFormat="false" ht="12.75" hidden="false" customHeight="false" outlineLevel="0" collapsed="false">
      <c r="G831" s="3"/>
    </row>
    <row r="832" customFormat="false" ht="12.75" hidden="false" customHeight="false" outlineLevel="0" collapsed="false">
      <c r="G832" s="3"/>
    </row>
    <row r="833" customFormat="false" ht="12.75" hidden="false" customHeight="false" outlineLevel="0" collapsed="false">
      <c r="G833" s="3"/>
    </row>
    <row r="834" customFormat="false" ht="12.75" hidden="false" customHeight="false" outlineLevel="0" collapsed="false">
      <c r="G834" s="3"/>
    </row>
    <row r="835" customFormat="false" ht="12.75" hidden="false" customHeight="false" outlineLevel="0" collapsed="false">
      <c r="G835" s="3"/>
    </row>
    <row r="836" customFormat="false" ht="12.75" hidden="false" customHeight="false" outlineLevel="0" collapsed="false">
      <c r="G836" s="3"/>
    </row>
    <row r="837" customFormat="false" ht="12.75" hidden="false" customHeight="false" outlineLevel="0" collapsed="false">
      <c r="G837" s="3"/>
    </row>
    <row r="838" customFormat="false" ht="12.75" hidden="false" customHeight="false" outlineLevel="0" collapsed="false">
      <c r="G838" s="3"/>
    </row>
    <row r="839" customFormat="false" ht="12.75" hidden="false" customHeight="false" outlineLevel="0" collapsed="false">
      <c r="G839" s="3"/>
    </row>
    <row r="840" customFormat="false" ht="12.75" hidden="false" customHeight="false" outlineLevel="0" collapsed="false">
      <c r="G840" s="3"/>
    </row>
    <row r="841" customFormat="false" ht="12.75" hidden="false" customHeight="false" outlineLevel="0" collapsed="false">
      <c r="G841" s="3"/>
    </row>
    <row r="842" customFormat="false" ht="12.75" hidden="false" customHeight="false" outlineLevel="0" collapsed="false">
      <c r="G842" s="3"/>
    </row>
    <row r="843" customFormat="false" ht="12.75" hidden="false" customHeight="false" outlineLevel="0" collapsed="false">
      <c r="G843" s="3"/>
    </row>
    <row r="844" customFormat="false" ht="12.75" hidden="false" customHeight="false" outlineLevel="0" collapsed="false">
      <c r="G844" s="3"/>
    </row>
    <row r="845" customFormat="false" ht="12.75" hidden="false" customHeight="false" outlineLevel="0" collapsed="false">
      <c r="G845" s="3"/>
    </row>
    <row r="846" customFormat="false" ht="12.75" hidden="false" customHeight="false" outlineLevel="0" collapsed="false">
      <c r="G846" s="3"/>
    </row>
    <row r="847" customFormat="false" ht="12.75" hidden="false" customHeight="false" outlineLevel="0" collapsed="false">
      <c r="G847" s="3"/>
    </row>
    <row r="848" customFormat="false" ht="12.75" hidden="false" customHeight="false" outlineLevel="0" collapsed="false">
      <c r="G848" s="3"/>
    </row>
    <row r="849" customFormat="false" ht="12.75" hidden="false" customHeight="false" outlineLevel="0" collapsed="false">
      <c r="G849" s="3"/>
    </row>
    <row r="850" customFormat="false" ht="12.75" hidden="false" customHeight="false" outlineLevel="0" collapsed="false">
      <c r="G850" s="3"/>
    </row>
    <row r="851" customFormat="false" ht="12.75" hidden="false" customHeight="false" outlineLevel="0" collapsed="false">
      <c r="G851" s="3"/>
    </row>
    <row r="852" customFormat="false" ht="12.75" hidden="false" customHeight="false" outlineLevel="0" collapsed="false">
      <c r="G852" s="3"/>
    </row>
    <row r="853" customFormat="false" ht="12.75" hidden="false" customHeight="false" outlineLevel="0" collapsed="false">
      <c r="G853" s="3"/>
    </row>
    <row r="854" customFormat="false" ht="12.75" hidden="false" customHeight="false" outlineLevel="0" collapsed="false">
      <c r="G854" s="3"/>
    </row>
    <row r="855" customFormat="false" ht="12.75" hidden="false" customHeight="false" outlineLevel="0" collapsed="false">
      <c r="G855" s="3"/>
    </row>
    <row r="856" customFormat="false" ht="12.75" hidden="false" customHeight="false" outlineLevel="0" collapsed="false">
      <c r="G856" s="3"/>
    </row>
    <row r="857" customFormat="false" ht="12.75" hidden="false" customHeight="false" outlineLevel="0" collapsed="false">
      <c r="G857" s="3"/>
    </row>
    <row r="858" customFormat="false" ht="12.75" hidden="false" customHeight="false" outlineLevel="0" collapsed="false">
      <c r="G858" s="3"/>
    </row>
    <row r="859" customFormat="false" ht="12.75" hidden="false" customHeight="false" outlineLevel="0" collapsed="false">
      <c r="G859" s="3"/>
    </row>
    <row r="860" customFormat="false" ht="12.75" hidden="false" customHeight="false" outlineLevel="0" collapsed="false">
      <c r="G860" s="3"/>
    </row>
    <row r="861" customFormat="false" ht="12.75" hidden="false" customHeight="false" outlineLevel="0" collapsed="false">
      <c r="G861" s="3"/>
    </row>
    <row r="862" customFormat="false" ht="12.75" hidden="false" customHeight="false" outlineLevel="0" collapsed="false">
      <c r="G862" s="3"/>
    </row>
    <row r="863" customFormat="false" ht="12.75" hidden="false" customHeight="false" outlineLevel="0" collapsed="false">
      <c r="G863" s="3"/>
    </row>
    <row r="864" customFormat="false" ht="12.75" hidden="false" customHeight="false" outlineLevel="0" collapsed="false">
      <c r="G864" s="3"/>
    </row>
    <row r="865" customFormat="false" ht="12.75" hidden="false" customHeight="false" outlineLevel="0" collapsed="false">
      <c r="G865" s="3"/>
    </row>
    <row r="866" customFormat="false" ht="12.75" hidden="false" customHeight="false" outlineLevel="0" collapsed="false">
      <c r="G866" s="3"/>
    </row>
    <row r="867" customFormat="false" ht="12.75" hidden="false" customHeight="false" outlineLevel="0" collapsed="false">
      <c r="G867" s="3"/>
    </row>
    <row r="868" customFormat="false" ht="12.75" hidden="false" customHeight="false" outlineLevel="0" collapsed="false">
      <c r="G868" s="3"/>
    </row>
    <row r="869" customFormat="false" ht="12.75" hidden="false" customHeight="false" outlineLevel="0" collapsed="false">
      <c r="G869" s="3"/>
    </row>
    <row r="870" customFormat="false" ht="12.75" hidden="false" customHeight="false" outlineLevel="0" collapsed="false">
      <c r="G870" s="3"/>
    </row>
    <row r="871" customFormat="false" ht="12.75" hidden="false" customHeight="false" outlineLevel="0" collapsed="false">
      <c r="G871" s="3"/>
    </row>
    <row r="872" customFormat="false" ht="12.75" hidden="false" customHeight="false" outlineLevel="0" collapsed="false">
      <c r="G872" s="3"/>
    </row>
    <row r="873" customFormat="false" ht="12.75" hidden="false" customHeight="false" outlineLevel="0" collapsed="false">
      <c r="G873" s="3"/>
    </row>
    <row r="874" customFormat="false" ht="12.75" hidden="false" customHeight="false" outlineLevel="0" collapsed="false">
      <c r="G874" s="3"/>
    </row>
    <row r="875" customFormat="false" ht="12.75" hidden="false" customHeight="false" outlineLevel="0" collapsed="false">
      <c r="G875" s="3"/>
    </row>
    <row r="876" customFormat="false" ht="12.75" hidden="false" customHeight="false" outlineLevel="0" collapsed="false">
      <c r="G876" s="3"/>
    </row>
    <row r="877" customFormat="false" ht="12.75" hidden="false" customHeight="false" outlineLevel="0" collapsed="false">
      <c r="G877" s="3"/>
    </row>
    <row r="878" customFormat="false" ht="12.75" hidden="false" customHeight="false" outlineLevel="0" collapsed="false">
      <c r="G878" s="3"/>
    </row>
    <row r="879" customFormat="false" ht="12.75" hidden="false" customHeight="false" outlineLevel="0" collapsed="false">
      <c r="G879" s="3"/>
    </row>
    <row r="880" customFormat="false" ht="12.75" hidden="false" customHeight="false" outlineLevel="0" collapsed="false">
      <c r="G880" s="3"/>
    </row>
    <row r="881" customFormat="false" ht="12.75" hidden="false" customHeight="false" outlineLevel="0" collapsed="false">
      <c r="G881" s="3"/>
    </row>
    <row r="882" customFormat="false" ht="12.75" hidden="false" customHeight="false" outlineLevel="0" collapsed="false">
      <c r="G882" s="3"/>
    </row>
    <row r="883" customFormat="false" ht="12.75" hidden="false" customHeight="false" outlineLevel="0" collapsed="false">
      <c r="G883" s="3"/>
    </row>
    <row r="884" customFormat="false" ht="12.75" hidden="false" customHeight="false" outlineLevel="0" collapsed="false">
      <c r="G884" s="3"/>
    </row>
    <row r="885" customFormat="false" ht="12.75" hidden="false" customHeight="false" outlineLevel="0" collapsed="false">
      <c r="G885" s="3"/>
    </row>
    <row r="886" customFormat="false" ht="12.75" hidden="false" customHeight="false" outlineLevel="0" collapsed="false">
      <c r="G886" s="3"/>
    </row>
    <row r="887" customFormat="false" ht="12.75" hidden="false" customHeight="false" outlineLevel="0" collapsed="false">
      <c r="G887" s="3"/>
    </row>
    <row r="888" customFormat="false" ht="12.75" hidden="false" customHeight="false" outlineLevel="0" collapsed="false">
      <c r="G888" s="3"/>
    </row>
    <row r="889" customFormat="false" ht="12.75" hidden="false" customHeight="false" outlineLevel="0" collapsed="false">
      <c r="G889" s="3"/>
    </row>
    <row r="890" customFormat="false" ht="12.75" hidden="false" customHeight="false" outlineLevel="0" collapsed="false">
      <c r="G890" s="3"/>
    </row>
    <row r="891" customFormat="false" ht="12.75" hidden="false" customHeight="false" outlineLevel="0" collapsed="false">
      <c r="G891" s="3"/>
    </row>
    <row r="892" customFormat="false" ht="12.75" hidden="false" customHeight="false" outlineLevel="0" collapsed="false">
      <c r="G892" s="3"/>
    </row>
    <row r="893" customFormat="false" ht="12.75" hidden="false" customHeight="false" outlineLevel="0" collapsed="false">
      <c r="G893" s="3"/>
    </row>
    <row r="894" customFormat="false" ht="12.75" hidden="false" customHeight="false" outlineLevel="0" collapsed="false">
      <c r="G894" s="3"/>
    </row>
    <row r="895" customFormat="false" ht="12.75" hidden="false" customHeight="false" outlineLevel="0" collapsed="false">
      <c r="G895" s="3"/>
    </row>
    <row r="896" customFormat="false" ht="12.75" hidden="false" customHeight="false" outlineLevel="0" collapsed="false">
      <c r="G896" s="3"/>
    </row>
    <row r="897" customFormat="false" ht="12.75" hidden="false" customHeight="false" outlineLevel="0" collapsed="false">
      <c r="G897" s="3"/>
    </row>
    <row r="898" customFormat="false" ht="12.75" hidden="false" customHeight="false" outlineLevel="0" collapsed="false">
      <c r="G898" s="3"/>
    </row>
    <row r="899" customFormat="false" ht="12.75" hidden="false" customHeight="false" outlineLevel="0" collapsed="false">
      <c r="G899" s="3"/>
    </row>
    <row r="900" customFormat="false" ht="12.75" hidden="false" customHeight="false" outlineLevel="0" collapsed="false">
      <c r="G900" s="3"/>
    </row>
    <row r="901" customFormat="false" ht="12.75" hidden="false" customHeight="false" outlineLevel="0" collapsed="false">
      <c r="G901" s="3"/>
    </row>
    <row r="902" customFormat="false" ht="12.75" hidden="false" customHeight="false" outlineLevel="0" collapsed="false">
      <c r="G902" s="3"/>
    </row>
    <row r="903" customFormat="false" ht="12.75" hidden="false" customHeight="false" outlineLevel="0" collapsed="false">
      <c r="G903" s="3"/>
    </row>
    <row r="904" customFormat="false" ht="12.75" hidden="false" customHeight="false" outlineLevel="0" collapsed="false">
      <c r="G904" s="3"/>
    </row>
    <row r="905" customFormat="false" ht="12.75" hidden="false" customHeight="false" outlineLevel="0" collapsed="false">
      <c r="G905" s="3"/>
    </row>
    <row r="906" customFormat="false" ht="12.75" hidden="false" customHeight="false" outlineLevel="0" collapsed="false">
      <c r="G906" s="3"/>
    </row>
    <row r="907" customFormat="false" ht="12.75" hidden="false" customHeight="false" outlineLevel="0" collapsed="false">
      <c r="G907" s="3"/>
    </row>
    <row r="908" customFormat="false" ht="12.75" hidden="false" customHeight="false" outlineLevel="0" collapsed="false">
      <c r="G908" s="3"/>
    </row>
    <row r="909" customFormat="false" ht="12.75" hidden="false" customHeight="false" outlineLevel="0" collapsed="false">
      <c r="G909" s="3"/>
    </row>
    <row r="910" customFormat="false" ht="12.75" hidden="false" customHeight="false" outlineLevel="0" collapsed="false">
      <c r="G910" s="3"/>
    </row>
    <row r="911" customFormat="false" ht="12.75" hidden="false" customHeight="false" outlineLevel="0" collapsed="false">
      <c r="G911" s="3"/>
    </row>
    <row r="912" customFormat="false" ht="12.75" hidden="false" customHeight="false" outlineLevel="0" collapsed="false">
      <c r="G912" s="3"/>
    </row>
    <row r="913" customFormat="false" ht="12.75" hidden="false" customHeight="false" outlineLevel="0" collapsed="false">
      <c r="G913" s="3"/>
    </row>
    <row r="914" customFormat="false" ht="12.75" hidden="false" customHeight="false" outlineLevel="0" collapsed="false">
      <c r="G914" s="3"/>
    </row>
    <row r="915" customFormat="false" ht="12.75" hidden="false" customHeight="false" outlineLevel="0" collapsed="false">
      <c r="G915" s="3"/>
    </row>
    <row r="916" customFormat="false" ht="12.75" hidden="false" customHeight="false" outlineLevel="0" collapsed="false">
      <c r="G916" s="3"/>
    </row>
    <row r="917" customFormat="false" ht="12.75" hidden="false" customHeight="false" outlineLevel="0" collapsed="false">
      <c r="G917" s="3"/>
    </row>
    <row r="918" customFormat="false" ht="12.75" hidden="false" customHeight="false" outlineLevel="0" collapsed="false">
      <c r="G918" s="3"/>
    </row>
    <row r="919" customFormat="false" ht="12.75" hidden="false" customHeight="false" outlineLevel="0" collapsed="false">
      <c r="G919" s="3"/>
    </row>
    <row r="920" customFormat="false" ht="12.75" hidden="false" customHeight="false" outlineLevel="0" collapsed="false">
      <c r="G920" s="3"/>
    </row>
    <row r="921" customFormat="false" ht="12.75" hidden="false" customHeight="false" outlineLevel="0" collapsed="false">
      <c r="G921" s="3"/>
    </row>
    <row r="922" customFormat="false" ht="12.75" hidden="false" customHeight="false" outlineLevel="0" collapsed="false">
      <c r="G922" s="3"/>
    </row>
    <row r="923" customFormat="false" ht="12.75" hidden="false" customHeight="false" outlineLevel="0" collapsed="false">
      <c r="G923" s="3"/>
    </row>
    <row r="924" customFormat="false" ht="12.75" hidden="false" customHeight="false" outlineLevel="0" collapsed="false">
      <c r="G924" s="3"/>
    </row>
    <row r="925" customFormat="false" ht="12.75" hidden="false" customHeight="false" outlineLevel="0" collapsed="false">
      <c r="G925" s="3"/>
    </row>
    <row r="926" customFormat="false" ht="12.75" hidden="false" customHeight="false" outlineLevel="0" collapsed="false">
      <c r="G926" s="3"/>
    </row>
    <row r="927" customFormat="false" ht="12.75" hidden="false" customHeight="false" outlineLevel="0" collapsed="false">
      <c r="G927" s="3"/>
    </row>
    <row r="928" customFormat="false" ht="12.75" hidden="false" customHeight="false" outlineLevel="0" collapsed="false">
      <c r="G928" s="3"/>
    </row>
    <row r="929" customFormat="false" ht="12.75" hidden="false" customHeight="false" outlineLevel="0" collapsed="false">
      <c r="G929" s="3"/>
    </row>
    <row r="930" customFormat="false" ht="12.75" hidden="false" customHeight="false" outlineLevel="0" collapsed="false">
      <c r="G930" s="3"/>
    </row>
    <row r="931" customFormat="false" ht="12.75" hidden="false" customHeight="false" outlineLevel="0" collapsed="false">
      <c r="G931" s="3"/>
    </row>
    <row r="932" customFormat="false" ht="12.75" hidden="false" customHeight="false" outlineLevel="0" collapsed="false">
      <c r="G932" s="3"/>
    </row>
    <row r="933" customFormat="false" ht="12.75" hidden="false" customHeight="false" outlineLevel="0" collapsed="false">
      <c r="G933" s="3"/>
    </row>
    <row r="934" customFormat="false" ht="12.75" hidden="false" customHeight="false" outlineLevel="0" collapsed="false">
      <c r="G934" s="3"/>
    </row>
    <row r="935" customFormat="false" ht="12.75" hidden="false" customHeight="false" outlineLevel="0" collapsed="false">
      <c r="G935" s="3"/>
    </row>
    <row r="936" customFormat="false" ht="12.75" hidden="false" customHeight="false" outlineLevel="0" collapsed="false">
      <c r="G936" s="3"/>
    </row>
    <row r="937" customFormat="false" ht="12.75" hidden="false" customHeight="false" outlineLevel="0" collapsed="false">
      <c r="G937" s="3"/>
    </row>
    <row r="938" customFormat="false" ht="12.75" hidden="false" customHeight="false" outlineLevel="0" collapsed="false">
      <c r="G938" s="3"/>
    </row>
    <row r="939" customFormat="false" ht="12.75" hidden="false" customHeight="false" outlineLevel="0" collapsed="false">
      <c r="G939" s="3"/>
    </row>
    <row r="940" customFormat="false" ht="12.75" hidden="false" customHeight="false" outlineLevel="0" collapsed="false">
      <c r="G940" s="3"/>
    </row>
    <row r="941" customFormat="false" ht="12.75" hidden="false" customHeight="false" outlineLevel="0" collapsed="false">
      <c r="G941" s="3"/>
    </row>
    <row r="942" customFormat="false" ht="12.75" hidden="false" customHeight="false" outlineLevel="0" collapsed="false">
      <c r="G942" s="3"/>
    </row>
    <row r="943" customFormat="false" ht="12.75" hidden="false" customHeight="false" outlineLevel="0" collapsed="false">
      <c r="G943" s="3"/>
    </row>
    <row r="944" customFormat="false" ht="12.75" hidden="false" customHeight="false" outlineLevel="0" collapsed="false">
      <c r="G944" s="3"/>
    </row>
    <row r="945" customFormat="false" ht="12.75" hidden="false" customHeight="false" outlineLevel="0" collapsed="false">
      <c r="G945" s="3"/>
    </row>
    <row r="946" customFormat="false" ht="12.75" hidden="false" customHeight="false" outlineLevel="0" collapsed="false">
      <c r="G946" s="3"/>
    </row>
    <row r="947" customFormat="false" ht="12.75" hidden="false" customHeight="false" outlineLevel="0" collapsed="false">
      <c r="G947" s="3"/>
    </row>
    <row r="948" customFormat="false" ht="12.75" hidden="false" customHeight="false" outlineLevel="0" collapsed="false">
      <c r="G948" s="3"/>
    </row>
    <row r="949" customFormat="false" ht="12.75" hidden="false" customHeight="false" outlineLevel="0" collapsed="false">
      <c r="G949" s="3"/>
    </row>
    <row r="950" customFormat="false" ht="12.75" hidden="false" customHeight="false" outlineLevel="0" collapsed="false">
      <c r="G950" s="3"/>
    </row>
    <row r="951" customFormat="false" ht="12.75" hidden="false" customHeight="false" outlineLevel="0" collapsed="false">
      <c r="G951" s="3"/>
    </row>
    <row r="952" customFormat="false" ht="12.75" hidden="false" customHeight="false" outlineLevel="0" collapsed="false">
      <c r="G952" s="3"/>
    </row>
    <row r="953" customFormat="false" ht="12.75" hidden="false" customHeight="false" outlineLevel="0" collapsed="false">
      <c r="G953" s="3"/>
    </row>
    <row r="954" customFormat="false" ht="12.75" hidden="false" customHeight="false" outlineLevel="0" collapsed="false">
      <c r="G954" s="3"/>
    </row>
    <row r="955" customFormat="false" ht="12.75" hidden="false" customHeight="false" outlineLevel="0" collapsed="false">
      <c r="G955" s="3"/>
    </row>
    <row r="956" customFormat="false" ht="12.75" hidden="false" customHeight="false" outlineLevel="0" collapsed="false">
      <c r="G956" s="3"/>
    </row>
    <row r="957" customFormat="false" ht="12.75" hidden="false" customHeight="false" outlineLevel="0" collapsed="false">
      <c r="G957" s="3"/>
    </row>
    <row r="958" customFormat="false" ht="12.75" hidden="false" customHeight="false" outlineLevel="0" collapsed="false">
      <c r="G958" s="3"/>
    </row>
    <row r="959" customFormat="false" ht="12.75" hidden="false" customHeight="false" outlineLevel="0" collapsed="false">
      <c r="G959" s="3"/>
    </row>
    <row r="960" customFormat="false" ht="12.75" hidden="false" customHeight="false" outlineLevel="0" collapsed="false">
      <c r="G960" s="3"/>
    </row>
    <row r="961" customFormat="false" ht="12.75" hidden="false" customHeight="false" outlineLevel="0" collapsed="false">
      <c r="G961" s="3"/>
    </row>
    <row r="962" customFormat="false" ht="12.75" hidden="false" customHeight="false" outlineLevel="0" collapsed="false">
      <c r="G962" s="3"/>
    </row>
    <row r="963" customFormat="false" ht="12.75" hidden="false" customHeight="false" outlineLevel="0" collapsed="false">
      <c r="G963" s="3"/>
    </row>
    <row r="964" customFormat="false" ht="12.75" hidden="false" customHeight="false" outlineLevel="0" collapsed="false">
      <c r="G964" s="3"/>
    </row>
    <row r="965" customFormat="false" ht="12.75" hidden="false" customHeight="false" outlineLevel="0" collapsed="false">
      <c r="G965" s="3"/>
    </row>
    <row r="966" customFormat="false" ht="12.75" hidden="false" customHeight="false" outlineLevel="0" collapsed="false">
      <c r="G966" s="3"/>
    </row>
    <row r="967" customFormat="false" ht="12.75" hidden="false" customHeight="false" outlineLevel="0" collapsed="false">
      <c r="G967" s="3"/>
    </row>
    <row r="968" customFormat="false" ht="12.75" hidden="false" customHeight="false" outlineLevel="0" collapsed="false">
      <c r="G968" s="3"/>
    </row>
    <row r="969" customFormat="false" ht="12.75" hidden="false" customHeight="false" outlineLevel="0" collapsed="false">
      <c r="G969" s="3"/>
    </row>
    <row r="970" customFormat="false" ht="12.75" hidden="false" customHeight="false" outlineLevel="0" collapsed="false">
      <c r="G970" s="3"/>
    </row>
    <row r="971" customFormat="false" ht="12.75" hidden="false" customHeight="false" outlineLevel="0" collapsed="false">
      <c r="G971" s="3"/>
    </row>
    <row r="972" customFormat="false" ht="12.75" hidden="false" customHeight="false" outlineLevel="0" collapsed="false">
      <c r="G972" s="3"/>
    </row>
    <row r="973" customFormat="false" ht="12.75" hidden="false" customHeight="false" outlineLevel="0" collapsed="false">
      <c r="G973" s="3"/>
    </row>
    <row r="974" customFormat="false" ht="12.75" hidden="false" customHeight="false" outlineLevel="0" collapsed="false">
      <c r="G974" s="3"/>
    </row>
    <row r="975" customFormat="false" ht="12.75" hidden="false" customHeight="false" outlineLevel="0" collapsed="false">
      <c r="G975" s="3"/>
    </row>
    <row r="976" customFormat="false" ht="12.75" hidden="false" customHeight="false" outlineLevel="0" collapsed="false">
      <c r="G976" s="3"/>
    </row>
    <row r="977" customFormat="false" ht="12.75" hidden="false" customHeight="false" outlineLevel="0" collapsed="false">
      <c r="G977" s="3"/>
    </row>
    <row r="978" customFormat="false" ht="12.75" hidden="false" customHeight="false" outlineLevel="0" collapsed="false">
      <c r="G978" s="3"/>
    </row>
    <row r="979" customFormat="false" ht="12.75" hidden="false" customHeight="false" outlineLevel="0" collapsed="false">
      <c r="G979" s="3"/>
    </row>
    <row r="980" customFormat="false" ht="12.75" hidden="false" customHeight="false" outlineLevel="0" collapsed="false">
      <c r="G980" s="3"/>
    </row>
    <row r="981" customFormat="false" ht="12.75" hidden="false" customHeight="false" outlineLevel="0" collapsed="false">
      <c r="G981" s="3"/>
    </row>
    <row r="982" customFormat="false" ht="12.75" hidden="false" customHeight="false" outlineLevel="0" collapsed="false">
      <c r="G982" s="3"/>
    </row>
    <row r="983" customFormat="false" ht="12.75" hidden="false" customHeight="false" outlineLevel="0" collapsed="false">
      <c r="G983" s="3"/>
    </row>
    <row r="984" customFormat="false" ht="12.75" hidden="false" customHeight="false" outlineLevel="0" collapsed="false">
      <c r="G984" s="3"/>
    </row>
    <row r="985" customFormat="false" ht="12.75" hidden="false" customHeight="false" outlineLevel="0" collapsed="false">
      <c r="G985" s="3"/>
    </row>
    <row r="986" customFormat="false" ht="12.75" hidden="false" customHeight="false" outlineLevel="0" collapsed="false">
      <c r="G986" s="3"/>
    </row>
    <row r="987" customFormat="false" ht="12.75" hidden="false" customHeight="false" outlineLevel="0" collapsed="false">
      <c r="G987" s="3"/>
    </row>
    <row r="988" customFormat="false" ht="12.75" hidden="false" customHeight="false" outlineLevel="0" collapsed="false">
      <c r="G988" s="3"/>
    </row>
    <row r="989" customFormat="false" ht="12.75" hidden="false" customHeight="false" outlineLevel="0" collapsed="false">
      <c r="G989" s="3"/>
    </row>
    <row r="990" customFormat="false" ht="12.75" hidden="false" customHeight="false" outlineLevel="0" collapsed="false">
      <c r="G990" s="3"/>
    </row>
    <row r="991" customFormat="false" ht="12.75" hidden="false" customHeight="false" outlineLevel="0" collapsed="false">
      <c r="G991" s="3"/>
    </row>
    <row r="992" customFormat="false" ht="12.75" hidden="false" customHeight="false" outlineLevel="0" collapsed="false">
      <c r="G992" s="3"/>
    </row>
    <row r="993" customFormat="false" ht="12.75" hidden="false" customHeight="false" outlineLevel="0" collapsed="false">
      <c r="G993" s="3"/>
    </row>
    <row r="994" customFormat="false" ht="12.75" hidden="false" customHeight="false" outlineLevel="0" collapsed="false">
      <c r="G994" s="3"/>
    </row>
    <row r="995" customFormat="false" ht="12.75" hidden="false" customHeight="false" outlineLevel="0" collapsed="false">
      <c r="G995" s="3"/>
    </row>
    <row r="996" customFormat="false" ht="12.75" hidden="false" customHeight="false" outlineLevel="0" collapsed="false">
      <c r="G996" s="3"/>
    </row>
    <row r="997" customFormat="false" ht="12.75" hidden="false" customHeight="false" outlineLevel="0" collapsed="false">
      <c r="G997" s="3"/>
    </row>
    <row r="998" customFormat="false" ht="12.75" hidden="false" customHeight="false" outlineLevel="0" collapsed="false">
      <c r="G998" s="3"/>
    </row>
    <row r="999" customFormat="false" ht="12.75" hidden="false" customHeight="false" outlineLevel="0" collapsed="false">
      <c r="G999" s="3"/>
    </row>
    <row r="1000" customFormat="false" ht="12.75" hidden="false" customHeight="false" outlineLevel="0" collapsed="false">
      <c r="G1000" s="3"/>
    </row>
    <row r="1001" customFormat="false" ht="12.75" hidden="false" customHeight="false" outlineLevel="0" collapsed="false">
      <c r="G1001" s="3"/>
    </row>
    <row r="1002" customFormat="false" ht="12.75" hidden="false" customHeight="false" outlineLevel="0" collapsed="false">
      <c r="G1002" s="3"/>
    </row>
    <row r="1003" customFormat="false" ht="12.75" hidden="false" customHeight="false" outlineLevel="0" collapsed="false">
      <c r="G1003" s="3"/>
    </row>
    <row r="1004" customFormat="false" ht="12.75" hidden="false" customHeight="false" outlineLevel="0" collapsed="false">
      <c r="G1004" s="3"/>
    </row>
    <row r="1005" customFormat="false" ht="12.75" hidden="false" customHeight="false" outlineLevel="0" collapsed="false">
      <c r="G1005" s="3"/>
    </row>
    <row r="1006" customFormat="false" ht="12.75" hidden="false" customHeight="false" outlineLevel="0" collapsed="false">
      <c r="G1006" s="3"/>
    </row>
    <row r="1007" customFormat="false" ht="12.75" hidden="false" customHeight="false" outlineLevel="0" collapsed="false">
      <c r="G1007" s="3"/>
    </row>
    <row r="1008" customFormat="false" ht="12.75" hidden="false" customHeight="false" outlineLevel="0" collapsed="false">
      <c r="G1008" s="3"/>
    </row>
    <row r="1009" customFormat="false" ht="12.75" hidden="false" customHeight="false" outlineLevel="0" collapsed="false">
      <c r="G1009" s="3"/>
    </row>
    <row r="1010" customFormat="false" ht="12.75" hidden="false" customHeight="false" outlineLevel="0" collapsed="false">
      <c r="G1010" s="3"/>
    </row>
    <row r="1011" customFormat="false" ht="12.75" hidden="false" customHeight="false" outlineLevel="0" collapsed="false">
      <c r="G1011" s="3"/>
    </row>
    <row r="1012" customFormat="false" ht="12.75" hidden="false" customHeight="false" outlineLevel="0" collapsed="false">
      <c r="G1012" s="3"/>
    </row>
    <row r="1013" customFormat="false" ht="12.75" hidden="false" customHeight="false" outlineLevel="0" collapsed="false">
      <c r="G1013" s="3"/>
    </row>
    <row r="1014" customFormat="false" ht="12.75" hidden="false" customHeight="false" outlineLevel="0" collapsed="false">
      <c r="G1014" s="3"/>
    </row>
    <row r="1015" customFormat="false" ht="12.75" hidden="false" customHeight="false" outlineLevel="0" collapsed="false">
      <c r="G1015" s="3"/>
    </row>
    <row r="1016" customFormat="false" ht="12.75" hidden="false" customHeight="false" outlineLevel="0" collapsed="false">
      <c r="G1016" s="3"/>
    </row>
    <row r="1017" customFormat="false" ht="12.75" hidden="false" customHeight="false" outlineLevel="0" collapsed="false">
      <c r="G1017" s="3"/>
    </row>
    <row r="1018" customFormat="false" ht="12.75" hidden="false" customHeight="false" outlineLevel="0" collapsed="false">
      <c r="G1018" s="3"/>
    </row>
    <row r="1019" customFormat="false" ht="12.75" hidden="false" customHeight="false" outlineLevel="0" collapsed="false">
      <c r="G1019" s="3"/>
    </row>
    <row r="1020" customFormat="false" ht="12.75" hidden="false" customHeight="false" outlineLevel="0" collapsed="false">
      <c r="G1020" s="3"/>
    </row>
    <row r="1021" customFormat="false" ht="12.75" hidden="false" customHeight="false" outlineLevel="0" collapsed="false">
      <c r="G1021" s="3"/>
    </row>
    <row r="1022" customFormat="false" ht="12.75" hidden="false" customHeight="false" outlineLevel="0" collapsed="false">
      <c r="G1022" s="3"/>
    </row>
    <row r="1023" customFormat="false" ht="12.75" hidden="false" customHeight="false" outlineLevel="0" collapsed="false">
      <c r="G1023" s="3"/>
    </row>
    <row r="1024" customFormat="false" ht="12.75" hidden="false" customHeight="false" outlineLevel="0" collapsed="false">
      <c r="G1024" s="3"/>
    </row>
    <row r="1025" customFormat="false" ht="12.75" hidden="false" customHeight="false" outlineLevel="0" collapsed="false">
      <c r="G1025" s="3"/>
    </row>
    <row r="1026" customFormat="false" ht="12.75" hidden="false" customHeight="false" outlineLevel="0" collapsed="false">
      <c r="G1026" s="3"/>
    </row>
    <row r="1027" customFormat="false" ht="12.75" hidden="false" customHeight="false" outlineLevel="0" collapsed="false">
      <c r="G1027" s="3"/>
    </row>
    <row r="1028" customFormat="false" ht="12.75" hidden="false" customHeight="false" outlineLevel="0" collapsed="false">
      <c r="G1028" s="3"/>
    </row>
    <row r="1029" customFormat="false" ht="12.75" hidden="false" customHeight="false" outlineLevel="0" collapsed="false">
      <c r="G1029" s="3"/>
    </row>
    <row r="1030" customFormat="false" ht="12.75" hidden="false" customHeight="false" outlineLevel="0" collapsed="false">
      <c r="G10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0" activeCellId="0" sqref="B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3.41"/>
    <col collapsed="false" customWidth="true" hidden="false" outlineLevel="0" max="3" min="3" style="0" width="4.7"/>
    <col collapsed="false" customWidth="true" hidden="false" outlineLevel="0" max="6" min="6" style="0" width="10.13"/>
    <col collapsed="false" customWidth="true" hidden="false" outlineLevel="0" max="7" min="7" style="0" width="6.7"/>
    <col collapsed="false" customWidth="true" hidden="false" outlineLevel="0" max="8" min="8" style="0" width="5.56"/>
  </cols>
  <sheetData>
    <row r="1" customFormat="false" ht="12.75" hidden="false" customHeight="false" outlineLevel="0" collapsed="false">
      <c r="H1" s="8"/>
    </row>
    <row r="3" customFormat="false" ht="12.75" hidden="false" customHeight="false" outlineLevel="0" collapsed="false">
      <c r="A3" s="0" t="s">
        <v>22</v>
      </c>
      <c r="B3" s="9" t="n">
        <v>7707382101</v>
      </c>
      <c r="C3" s="9"/>
    </row>
    <row r="4" customFormat="false" ht="12.75" hidden="false" customHeight="false" outlineLevel="0" collapsed="false">
      <c r="A4" s="0" t="s">
        <v>23</v>
      </c>
      <c r="B4" s="0" t="n">
        <v>39199</v>
      </c>
      <c r="D4" s="10"/>
      <c r="E4" s="10"/>
    </row>
    <row r="5" customFormat="false" ht="12.75" hidden="false" customHeight="false" outlineLevel="0" collapsed="false">
      <c r="A5" s="0" t="s">
        <v>24</v>
      </c>
      <c r="B5" s="0" t="n">
        <v>31507</v>
      </c>
      <c r="D5" s="10"/>
      <c r="E5" s="10"/>
      <c r="F5" s="11"/>
      <c r="G5" s="11"/>
    </row>
    <row r="6" customFormat="false" ht="12.75" hidden="false" customHeight="false" outlineLevel="0" collapsed="false">
      <c r="A6" s="0" t="s">
        <v>25</v>
      </c>
      <c r="B6" s="9" t="n">
        <v>3125411230</v>
      </c>
      <c r="D6" s="10"/>
      <c r="E6" s="10"/>
      <c r="F6" s="11"/>
      <c r="G6" s="11"/>
    </row>
    <row r="7" customFormat="false" ht="12.75" hidden="false" customHeight="false" outlineLevel="0" collapsed="false">
      <c r="A7" s="0" t="s">
        <v>26</v>
      </c>
      <c r="B7" s="9" t="n">
        <v>3125411231</v>
      </c>
      <c r="D7" s="10"/>
      <c r="E7" s="10"/>
      <c r="F7" s="11"/>
      <c r="G7" s="11"/>
    </row>
    <row r="8" customFormat="false" ht="12.75" hidden="false" customHeight="false" outlineLevel="0" collapsed="false">
      <c r="A8" s="0" t="s">
        <v>27</v>
      </c>
      <c r="B8" s="9" t="n">
        <v>2122992902</v>
      </c>
      <c r="D8" s="10"/>
      <c r="E8" s="10"/>
      <c r="F8" s="11"/>
      <c r="G8" s="10"/>
    </row>
    <row r="9" customFormat="false" ht="12.75" hidden="false" customHeight="false" outlineLevel="0" collapsed="false">
      <c r="A9" s="0" t="s">
        <v>28</v>
      </c>
      <c r="B9" s="9" t="n">
        <v>81522413</v>
      </c>
      <c r="D9" s="10"/>
      <c r="E9" s="10"/>
      <c r="F9" s="11"/>
      <c r="G9" s="10"/>
    </row>
    <row r="10" customFormat="false" ht="12.75" hidden="false" customHeight="false" outlineLevel="0" collapsed="false">
      <c r="A10" s="0" t="s">
        <v>29</v>
      </c>
      <c r="B10" s="0" t="s">
        <v>30</v>
      </c>
      <c r="D10" s="10"/>
      <c r="E10" s="10"/>
      <c r="F10" s="10"/>
      <c r="G10" s="10"/>
    </row>
    <row r="11" customFormat="false" ht="12.75" hidden="false" customHeight="false" outlineLevel="0" collapsed="false">
      <c r="A11" s="0" t="s">
        <v>31</v>
      </c>
      <c r="B11" s="9" t="s">
        <v>32</v>
      </c>
      <c r="D11" s="10"/>
      <c r="E11" s="10"/>
      <c r="F11" s="10"/>
      <c r="G11" s="10"/>
    </row>
    <row r="12" customFormat="false" ht="12.75" hidden="false" customHeight="false" outlineLevel="0" collapsed="false">
      <c r="A12" s="0" t="s">
        <v>33</v>
      </c>
      <c r="B12" s="9" t="s">
        <v>34</v>
      </c>
      <c r="F12" s="10"/>
      <c r="G12" s="10"/>
    </row>
    <row r="13" customFormat="false" ht="12.75" hidden="false" customHeight="false" outlineLevel="0" collapsed="false">
      <c r="A13" s="0" t="s">
        <v>35</v>
      </c>
      <c r="B13" s="9" t="s">
        <v>36</v>
      </c>
    </row>
    <row r="15" customFormat="false" ht="12.75" hidden="false" customHeight="false" outlineLevel="0" collapsed="false">
      <c r="D15" s="10"/>
      <c r="E15" s="10"/>
    </row>
    <row r="16" customFormat="false" ht="12.75" hidden="false" customHeight="false" outlineLevel="0" collapsed="false">
      <c r="D16" s="10"/>
      <c r="E16" s="10"/>
      <c r="F16" s="10"/>
      <c r="G16" s="10"/>
    </row>
    <row r="17" customFormat="false" ht="12.75" hidden="false" customHeight="false" outlineLevel="0" collapsed="false">
      <c r="D17" s="10"/>
      <c r="E17" s="10"/>
      <c r="F17" s="10"/>
      <c r="G17" s="10"/>
    </row>
    <row r="18" customFormat="false" ht="12.75" hidden="false" customHeight="false" outlineLevel="0" collapsed="false">
      <c r="F18" s="10"/>
      <c r="G18" s="10"/>
    </row>
    <row r="20" customFormat="false" ht="12.75" hidden="false" customHeight="false" outlineLevel="0" collapsed="false">
      <c r="D20" s="10"/>
      <c r="E20" s="10"/>
    </row>
    <row r="21" customFormat="false" ht="12.75" hidden="false" customHeight="false" outlineLevel="0" collapsed="false">
      <c r="D21" s="10"/>
      <c r="E21" s="10"/>
      <c r="F21" s="10"/>
      <c r="G21" s="10"/>
      <c r="H21" s="12"/>
    </row>
    <row r="22" customFormat="false" ht="12.75" hidden="false" customHeight="false" outlineLevel="0" collapsed="false">
      <c r="F22" s="10"/>
      <c r="G22" s="10"/>
      <c r="H22" s="1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" width="2.84"/>
    <col collapsed="false" customWidth="false" hidden="false" outlineLevel="0" max="2" min="2" style="14" width="9.14"/>
    <col collapsed="false" customWidth="true" hidden="false" outlineLevel="0" max="3" min="3" style="14" width="7.14"/>
    <col collapsed="false" customWidth="true" hidden="false" outlineLevel="0" max="4" min="4" style="14" width="6.41"/>
    <col collapsed="false" customWidth="true" hidden="false" outlineLevel="0" max="5" min="5" style="14" width="6.99"/>
    <col collapsed="false" customWidth="true" hidden="false" outlineLevel="0" max="6" min="6" style="14" width="6.41"/>
    <col collapsed="false" customWidth="true" hidden="false" outlineLevel="0" max="7" min="7" style="14" width="6.99"/>
    <col collapsed="false" customWidth="true" hidden="false" outlineLevel="0" max="9" min="8" style="14" width="6.41"/>
    <col collapsed="false" customWidth="true" hidden="false" outlineLevel="0" max="10" min="10" style="14" width="6.99"/>
    <col collapsed="false" customWidth="true" hidden="false" outlineLevel="0" max="11" min="11" style="14" width="6.13"/>
    <col collapsed="false" customWidth="true" hidden="false" outlineLevel="0" max="13" min="12" style="14" width="5.71"/>
    <col collapsed="false" customWidth="true" hidden="false" outlineLevel="0" max="14" min="14" style="14" width="6.28"/>
    <col collapsed="false" customWidth="true" hidden="false" outlineLevel="0" max="16" min="15" style="14" width="5.71"/>
    <col collapsed="false" customWidth="true" hidden="false" outlineLevel="0" max="18" min="17" style="14" width="6.41"/>
    <col collapsed="false" customWidth="true" hidden="false" outlineLevel="0" max="19" min="19" style="14" width="5.99"/>
    <col collapsed="false" customWidth="true" hidden="false" outlineLevel="0" max="20" min="20" style="14" width="6.41"/>
    <col collapsed="false" customWidth="true" hidden="false" outlineLevel="0" max="21" min="21" style="14" width="6.85"/>
    <col collapsed="false" customWidth="true" hidden="false" outlineLevel="0" max="22" min="22" style="14" width="7.56"/>
    <col collapsed="false" customWidth="false" hidden="false" outlineLevel="0" max="257" min="23" style="14" width="9.14"/>
  </cols>
  <sheetData>
    <row r="1" customFormat="false" ht="13.5" hidden="false" customHeight="false" outlineLevel="0" collapsed="false">
      <c r="A1" s="15"/>
      <c r="B1" s="16"/>
      <c r="C1" s="17" t="n">
        <v>-5</v>
      </c>
      <c r="D1" s="18" t="n">
        <v>-4</v>
      </c>
      <c r="E1" s="19" t="n">
        <v>-3.5</v>
      </c>
      <c r="F1" s="19" t="n">
        <v>-3</v>
      </c>
      <c r="G1" s="19" t="n">
        <v>-2.5</v>
      </c>
      <c r="H1" s="19" t="n">
        <v>-2</v>
      </c>
      <c r="I1" s="19" t="n">
        <v>-1.5</v>
      </c>
      <c r="J1" s="19" t="n">
        <v>-1</v>
      </c>
      <c r="K1" s="19" t="n">
        <v>-0.5</v>
      </c>
      <c r="L1" s="19" t="n">
        <v>0</v>
      </c>
      <c r="M1" s="19" t="n">
        <v>0.5</v>
      </c>
      <c r="N1" s="19" t="n">
        <v>1</v>
      </c>
      <c r="O1" s="19" t="n">
        <v>1.5</v>
      </c>
      <c r="P1" s="19" t="n">
        <v>2</v>
      </c>
      <c r="Q1" s="19" t="n">
        <v>2.5</v>
      </c>
      <c r="R1" s="19" t="n">
        <v>3</v>
      </c>
      <c r="S1" s="19" t="n">
        <v>4</v>
      </c>
      <c r="T1" s="19" t="n">
        <v>5</v>
      </c>
      <c r="U1" s="20" t="n">
        <v>10</v>
      </c>
      <c r="V1" s="21" t="n">
        <v>40</v>
      </c>
      <c r="W1" s="0"/>
      <c r="X1" s="4" t="n">
        <v>0.5</v>
      </c>
      <c r="Y1" s="5" t="n">
        <v>36982</v>
      </c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22"/>
      <c r="B2" s="23" t="n">
        <v>37073</v>
      </c>
      <c r="C2" s="24" t="n">
        <v>8</v>
      </c>
      <c r="D2" s="25" t="n">
        <v>7</v>
      </c>
      <c r="E2" s="26" t="n">
        <v>6</v>
      </c>
      <c r="F2" s="27" t="n">
        <v>4.5</v>
      </c>
      <c r="G2" s="28" t="n">
        <v>3</v>
      </c>
      <c r="H2" s="28" t="n">
        <v>4</v>
      </c>
      <c r="I2" s="27" t="n">
        <v>3.5</v>
      </c>
      <c r="J2" s="28" t="n">
        <v>3</v>
      </c>
      <c r="K2" s="27" t="n">
        <v>1.5</v>
      </c>
      <c r="L2" s="27" t="n">
        <v>0</v>
      </c>
      <c r="M2" s="27" t="n">
        <v>0.75</v>
      </c>
      <c r="N2" s="28" t="n">
        <v>1.5</v>
      </c>
      <c r="O2" s="28" t="n">
        <v>2.25</v>
      </c>
      <c r="P2" s="27" t="n">
        <v>3</v>
      </c>
      <c r="Q2" s="28" t="n">
        <v>4</v>
      </c>
      <c r="R2" s="27" t="n">
        <v>5</v>
      </c>
      <c r="S2" s="28" t="n">
        <v>6</v>
      </c>
      <c r="T2" s="29" t="n">
        <v>7.5</v>
      </c>
      <c r="U2" s="30" t="n">
        <v>16.9385189113318</v>
      </c>
      <c r="V2" s="25" t="n">
        <v>60.8371198664613</v>
      </c>
      <c r="W2" s="0"/>
      <c r="X2" s="31" t="e">
        <f aca="false">calcskew($X$1,$Y$1,a,b)</f>
        <v>#VALUE!</v>
      </c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22"/>
      <c r="B3" s="32" t="n">
        <v>37104</v>
      </c>
      <c r="C3" s="33" t="n">
        <v>7</v>
      </c>
      <c r="D3" s="34" t="n">
        <v>6</v>
      </c>
      <c r="E3" s="35" t="n">
        <v>5</v>
      </c>
      <c r="F3" s="36" t="n">
        <v>3.5</v>
      </c>
      <c r="G3" s="37" t="n">
        <v>2.5</v>
      </c>
      <c r="H3" s="37" t="n">
        <v>2</v>
      </c>
      <c r="I3" s="36" t="n">
        <v>1.5</v>
      </c>
      <c r="J3" s="37" t="n">
        <v>1</v>
      </c>
      <c r="K3" s="36" t="n">
        <v>0.5</v>
      </c>
      <c r="L3" s="36" t="n">
        <v>0</v>
      </c>
      <c r="M3" s="36" t="n">
        <v>0.75</v>
      </c>
      <c r="N3" s="37" t="n">
        <v>1.5</v>
      </c>
      <c r="O3" s="37" t="n">
        <v>2.25</v>
      </c>
      <c r="P3" s="36" t="n">
        <v>3</v>
      </c>
      <c r="Q3" s="37" t="n">
        <v>4</v>
      </c>
      <c r="R3" s="36" t="n">
        <v>5</v>
      </c>
      <c r="S3" s="37" t="n">
        <v>6</v>
      </c>
      <c r="T3" s="38" t="n">
        <v>7.5</v>
      </c>
      <c r="U3" s="39" t="n">
        <v>16.9385189113318</v>
      </c>
      <c r="V3" s="34" t="n">
        <v>60.8371198664613</v>
      </c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22"/>
      <c r="B4" s="32" t="n">
        <v>37135</v>
      </c>
      <c r="C4" s="33" t="n">
        <v>6.5</v>
      </c>
      <c r="D4" s="34" t="n">
        <v>5.5</v>
      </c>
      <c r="E4" s="35" t="n">
        <v>4</v>
      </c>
      <c r="F4" s="36" t="n">
        <v>2.5</v>
      </c>
      <c r="G4" s="37" t="n">
        <v>2.25</v>
      </c>
      <c r="H4" s="37" t="n">
        <v>1.5</v>
      </c>
      <c r="I4" s="36" t="n">
        <v>0.75</v>
      </c>
      <c r="J4" s="37" t="n">
        <v>0.25</v>
      </c>
      <c r="K4" s="36" t="n">
        <v>0</v>
      </c>
      <c r="L4" s="36" t="n">
        <v>0</v>
      </c>
      <c r="M4" s="36" t="n">
        <v>1</v>
      </c>
      <c r="N4" s="37" t="n">
        <v>1.75</v>
      </c>
      <c r="O4" s="37" t="n">
        <v>2.5</v>
      </c>
      <c r="P4" s="36" t="n">
        <v>3.25</v>
      </c>
      <c r="Q4" s="37" t="n">
        <v>4</v>
      </c>
      <c r="R4" s="36" t="n">
        <v>4.75</v>
      </c>
      <c r="S4" s="37" t="n">
        <v>6</v>
      </c>
      <c r="T4" s="38" t="n">
        <v>7.25</v>
      </c>
      <c r="U4" s="39" t="n">
        <v>16.2609781548785</v>
      </c>
      <c r="V4" s="34" t="n">
        <v>58.4036350718027</v>
      </c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22"/>
      <c r="B5" s="32" t="n">
        <v>37165</v>
      </c>
      <c r="C5" s="33" t="n">
        <v>4.75</v>
      </c>
      <c r="D5" s="34" t="n">
        <v>3.75</v>
      </c>
      <c r="E5" s="35" t="n">
        <v>2.75</v>
      </c>
      <c r="F5" s="36" t="n">
        <v>1.75</v>
      </c>
      <c r="G5" s="37" t="n">
        <v>0.75</v>
      </c>
      <c r="H5" s="37" t="n">
        <v>0.25</v>
      </c>
      <c r="I5" s="36" t="n">
        <v>-0.25</v>
      </c>
      <c r="J5" s="37" t="n">
        <v>-0.5</v>
      </c>
      <c r="K5" s="36" t="n">
        <v>-0.25</v>
      </c>
      <c r="L5" s="36" t="n">
        <v>0</v>
      </c>
      <c r="M5" s="36" t="n">
        <v>1</v>
      </c>
      <c r="N5" s="37" t="n">
        <v>1.75</v>
      </c>
      <c r="O5" s="37" t="n">
        <v>2.5</v>
      </c>
      <c r="P5" s="36" t="n">
        <v>3.25</v>
      </c>
      <c r="Q5" s="37" t="n">
        <v>4</v>
      </c>
      <c r="R5" s="36" t="n">
        <v>4.75</v>
      </c>
      <c r="S5" s="37" t="n">
        <v>6</v>
      </c>
      <c r="T5" s="38" t="n">
        <v>7.25</v>
      </c>
      <c r="U5" s="39" t="n">
        <v>16.2609781548785</v>
      </c>
      <c r="V5" s="34" t="n">
        <v>58.4036350718027</v>
      </c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</row>
    <row r="6" customFormat="false" ht="12.75" hidden="false" customHeight="false" outlineLevel="0" collapsed="false">
      <c r="A6" s="22"/>
      <c r="B6" s="32" t="n">
        <v>37196</v>
      </c>
      <c r="C6" s="33" t="n">
        <v>4.5</v>
      </c>
      <c r="D6" s="34" t="n">
        <v>3.5</v>
      </c>
      <c r="E6" s="35" t="n">
        <v>2.5</v>
      </c>
      <c r="F6" s="36" t="n">
        <v>1.5</v>
      </c>
      <c r="G6" s="37" t="n">
        <v>0.5</v>
      </c>
      <c r="H6" s="37" t="n">
        <v>0</v>
      </c>
      <c r="I6" s="36" t="n">
        <v>-0.4</v>
      </c>
      <c r="J6" s="37" t="n">
        <v>-0.75</v>
      </c>
      <c r="K6" s="36" t="n">
        <v>-0.5</v>
      </c>
      <c r="L6" s="36" t="n">
        <v>0</v>
      </c>
      <c r="M6" s="36" t="n">
        <v>1</v>
      </c>
      <c r="N6" s="37" t="n">
        <v>1.75</v>
      </c>
      <c r="O6" s="37" t="n">
        <v>2.5</v>
      </c>
      <c r="P6" s="36" t="n">
        <v>3.25</v>
      </c>
      <c r="Q6" s="37" t="n">
        <v>4</v>
      </c>
      <c r="R6" s="36" t="n">
        <v>4.75</v>
      </c>
      <c r="S6" s="37" t="n">
        <v>6</v>
      </c>
      <c r="T6" s="38" t="n">
        <v>7.25</v>
      </c>
      <c r="U6" s="39" t="n">
        <v>12</v>
      </c>
      <c r="V6" s="34" t="n">
        <v>44</v>
      </c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</row>
    <row r="7" customFormat="false" ht="12.75" hidden="false" customHeight="false" outlineLevel="0" collapsed="false">
      <c r="A7" s="22"/>
      <c r="B7" s="32" t="n">
        <v>37226</v>
      </c>
      <c r="C7" s="33" t="n">
        <v>4.5</v>
      </c>
      <c r="D7" s="34" t="n">
        <v>3.5</v>
      </c>
      <c r="E7" s="35" t="n">
        <v>2.5</v>
      </c>
      <c r="F7" s="36" t="n">
        <v>1.5</v>
      </c>
      <c r="G7" s="37" t="n">
        <v>0.5</v>
      </c>
      <c r="H7" s="37" t="n">
        <v>0</v>
      </c>
      <c r="I7" s="36" t="n">
        <v>-0.4</v>
      </c>
      <c r="J7" s="37" t="n">
        <v>-0.75</v>
      </c>
      <c r="K7" s="36" t="n">
        <v>-0.5</v>
      </c>
      <c r="L7" s="36" t="n">
        <v>0</v>
      </c>
      <c r="M7" s="36" t="n">
        <v>1</v>
      </c>
      <c r="N7" s="37" t="n">
        <v>1.75</v>
      </c>
      <c r="O7" s="37" t="n">
        <v>2.5</v>
      </c>
      <c r="P7" s="36" t="n">
        <v>3.25</v>
      </c>
      <c r="Q7" s="37" t="n">
        <v>4</v>
      </c>
      <c r="R7" s="36" t="n">
        <v>4.75</v>
      </c>
      <c r="S7" s="37" t="n">
        <v>6</v>
      </c>
      <c r="T7" s="38" t="n">
        <v>7.25</v>
      </c>
      <c r="U7" s="39" t="n">
        <v>12</v>
      </c>
      <c r="V7" s="34" t="n">
        <v>44</v>
      </c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22"/>
      <c r="B8" s="32" t="n">
        <v>37257</v>
      </c>
      <c r="C8" s="33" t="n">
        <v>4.5</v>
      </c>
      <c r="D8" s="34" t="n">
        <v>3.5</v>
      </c>
      <c r="E8" s="35" t="n">
        <v>2.5</v>
      </c>
      <c r="F8" s="36" t="n">
        <v>1.5</v>
      </c>
      <c r="G8" s="37" t="n">
        <v>0.5</v>
      </c>
      <c r="H8" s="37" t="n">
        <v>0</v>
      </c>
      <c r="I8" s="36" t="n">
        <v>-0.4</v>
      </c>
      <c r="J8" s="37" t="n">
        <v>-0.75</v>
      </c>
      <c r="K8" s="36" t="n">
        <v>-0.5</v>
      </c>
      <c r="L8" s="36" t="n">
        <v>0</v>
      </c>
      <c r="M8" s="36" t="n">
        <v>1</v>
      </c>
      <c r="N8" s="37" t="n">
        <v>1.75</v>
      </c>
      <c r="O8" s="37" t="n">
        <v>2.5</v>
      </c>
      <c r="P8" s="36" t="n">
        <v>3.25</v>
      </c>
      <c r="Q8" s="37" t="n">
        <v>4</v>
      </c>
      <c r="R8" s="36" t="n">
        <v>4.75</v>
      </c>
      <c r="S8" s="37" t="n">
        <v>6</v>
      </c>
      <c r="T8" s="38" t="n">
        <v>7.25</v>
      </c>
      <c r="U8" s="39" t="n">
        <v>12</v>
      </c>
      <c r="V8" s="34" t="n">
        <v>44</v>
      </c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22"/>
      <c r="B9" s="32" t="n">
        <v>37288</v>
      </c>
      <c r="C9" s="40" t="n">
        <v>4.5</v>
      </c>
      <c r="D9" s="41" t="n">
        <v>3.5</v>
      </c>
      <c r="E9" s="35" t="n">
        <v>2.5</v>
      </c>
      <c r="F9" s="36" t="n">
        <v>1.5</v>
      </c>
      <c r="G9" s="37" t="n">
        <v>0.5</v>
      </c>
      <c r="H9" s="37" t="n">
        <v>0</v>
      </c>
      <c r="I9" s="42" t="n">
        <v>-0.4</v>
      </c>
      <c r="J9" s="37" t="n">
        <v>-0.75</v>
      </c>
      <c r="K9" s="42" t="n">
        <v>-0.5</v>
      </c>
      <c r="L9" s="42" t="n">
        <v>0</v>
      </c>
      <c r="M9" s="42" t="n">
        <v>1</v>
      </c>
      <c r="N9" s="37" t="n">
        <v>1.75</v>
      </c>
      <c r="O9" s="37" t="n">
        <v>2.5</v>
      </c>
      <c r="P9" s="42" t="n">
        <v>3.25</v>
      </c>
      <c r="Q9" s="37" t="n">
        <v>4</v>
      </c>
      <c r="R9" s="42" t="n">
        <v>4.75</v>
      </c>
      <c r="S9" s="37" t="n">
        <v>6</v>
      </c>
      <c r="T9" s="43" t="n">
        <v>7.25</v>
      </c>
      <c r="U9" s="44" t="n">
        <v>12</v>
      </c>
      <c r="V9" s="41" t="n">
        <v>44</v>
      </c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3.5" hidden="false" customHeight="false" outlineLevel="0" collapsed="false">
      <c r="A10" s="22"/>
      <c r="B10" s="32" t="n">
        <v>37316</v>
      </c>
      <c r="C10" s="40" t="n">
        <v>4.5</v>
      </c>
      <c r="D10" s="41" t="n">
        <v>3.5</v>
      </c>
      <c r="E10" s="35" t="n">
        <v>2.5</v>
      </c>
      <c r="F10" s="36" t="n">
        <v>1.5</v>
      </c>
      <c r="G10" s="37" t="n">
        <v>0.5</v>
      </c>
      <c r="H10" s="37" t="n">
        <v>0</v>
      </c>
      <c r="I10" s="42" t="n">
        <v>-0.4</v>
      </c>
      <c r="J10" s="37" t="n">
        <v>-0.75</v>
      </c>
      <c r="K10" s="42" t="n">
        <v>-0.5</v>
      </c>
      <c r="L10" s="42" t="n">
        <v>0</v>
      </c>
      <c r="M10" s="42" t="n">
        <v>0.95</v>
      </c>
      <c r="N10" s="37" t="n">
        <v>1.7</v>
      </c>
      <c r="O10" s="37" t="n">
        <v>2.34</v>
      </c>
      <c r="P10" s="42" t="n">
        <v>3.2</v>
      </c>
      <c r="Q10" s="37" t="n">
        <v>4</v>
      </c>
      <c r="R10" s="42" t="n">
        <v>4.66</v>
      </c>
      <c r="S10" s="37" t="n">
        <v>5.8</v>
      </c>
      <c r="T10" s="43" t="n">
        <v>7</v>
      </c>
      <c r="U10" s="44" t="n">
        <v>12</v>
      </c>
      <c r="V10" s="41" t="n">
        <v>44</v>
      </c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3.5" hidden="false" customHeight="true" outlineLevel="0" collapsed="false">
      <c r="A11" s="22"/>
      <c r="B11" s="32" t="n">
        <v>37347</v>
      </c>
      <c r="C11" s="40" t="n">
        <v>4</v>
      </c>
      <c r="D11" s="41" t="n">
        <v>3</v>
      </c>
      <c r="E11" s="35" t="n">
        <v>2</v>
      </c>
      <c r="F11" s="36" t="n">
        <v>1</v>
      </c>
      <c r="G11" s="37" t="n">
        <v>0.35</v>
      </c>
      <c r="H11" s="37" t="n">
        <v>0</v>
      </c>
      <c r="I11" s="42" t="n">
        <v>-0.35</v>
      </c>
      <c r="J11" s="37" t="n">
        <v>-0.65</v>
      </c>
      <c r="K11" s="42" t="n">
        <v>-0.4</v>
      </c>
      <c r="L11" s="42" t="n">
        <v>0</v>
      </c>
      <c r="M11" s="42" t="n">
        <v>0.65</v>
      </c>
      <c r="N11" s="37" t="n">
        <v>1.13</v>
      </c>
      <c r="O11" s="37" t="n">
        <v>1.62</v>
      </c>
      <c r="P11" s="42" t="n">
        <v>2.15</v>
      </c>
      <c r="Q11" s="37" t="n">
        <v>2.68</v>
      </c>
      <c r="R11" s="42" t="n">
        <v>3.14</v>
      </c>
      <c r="S11" s="37" t="n">
        <v>3.98</v>
      </c>
      <c r="T11" s="43" t="n">
        <v>4.74</v>
      </c>
      <c r="U11" s="44" t="n">
        <v>8.2</v>
      </c>
      <c r="V11" s="41" t="n">
        <v>29</v>
      </c>
      <c r="W11" s="0"/>
      <c r="X11" s="0"/>
      <c r="Y11" s="0"/>
      <c r="Z11" s="0"/>
      <c r="AA11" s="0"/>
      <c r="AB11" s="0"/>
      <c r="AC11" s="0"/>
      <c r="AD11" s="0"/>
      <c r="AE11" s="45" t="n">
        <v>37257</v>
      </c>
      <c r="AF11" s="45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22"/>
      <c r="B12" s="32" t="n">
        <v>37377</v>
      </c>
      <c r="C12" s="40" t="n">
        <v>3</v>
      </c>
      <c r="D12" s="41" t="n">
        <v>2</v>
      </c>
      <c r="E12" s="35" t="n">
        <v>1</v>
      </c>
      <c r="F12" s="36" t="n">
        <v>0.75</v>
      </c>
      <c r="G12" s="37" t="n">
        <v>0.25</v>
      </c>
      <c r="H12" s="37" t="n">
        <v>0</v>
      </c>
      <c r="I12" s="42" t="n">
        <v>-0.3</v>
      </c>
      <c r="J12" s="37" t="n">
        <v>-0.6</v>
      </c>
      <c r="K12" s="42" t="n">
        <v>-0.4</v>
      </c>
      <c r="L12" s="42" t="n">
        <v>0</v>
      </c>
      <c r="M12" s="42" t="n">
        <v>0.65</v>
      </c>
      <c r="N12" s="37" t="n">
        <v>1.13</v>
      </c>
      <c r="O12" s="37" t="n">
        <v>1.62</v>
      </c>
      <c r="P12" s="42" t="n">
        <v>2.15</v>
      </c>
      <c r="Q12" s="37" t="n">
        <v>2.68</v>
      </c>
      <c r="R12" s="42" t="n">
        <v>3.14</v>
      </c>
      <c r="S12" s="37" t="n">
        <v>3.98</v>
      </c>
      <c r="T12" s="43" t="n">
        <v>4.74</v>
      </c>
      <c r="U12" s="46" t="n">
        <v>8.2</v>
      </c>
      <c r="V12" s="47" t="n">
        <v>29</v>
      </c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22"/>
      <c r="B13" s="32" t="n">
        <v>37408</v>
      </c>
      <c r="C13" s="40" t="n">
        <v>3</v>
      </c>
      <c r="D13" s="41" t="n">
        <v>2</v>
      </c>
      <c r="E13" s="35" t="n">
        <v>1</v>
      </c>
      <c r="F13" s="36" t="n">
        <v>0.75</v>
      </c>
      <c r="G13" s="37" t="n">
        <v>0.25</v>
      </c>
      <c r="H13" s="37" t="n">
        <v>0</v>
      </c>
      <c r="I13" s="42" t="n">
        <v>-0.3</v>
      </c>
      <c r="J13" s="37" t="n">
        <v>-0.6</v>
      </c>
      <c r="K13" s="42" t="n">
        <v>-0.4</v>
      </c>
      <c r="L13" s="42" t="n">
        <v>0</v>
      </c>
      <c r="M13" s="42" t="n">
        <v>0.65</v>
      </c>
      <c r="N13" s="37" t="n">
        <v>1.13</v>
      </c>
      <c r="O13" s="37" t="n">
        <v>1.62</v>
      </c>
      <c r="P13" s="42" t="n">
        <v>2.15</v>
      </c>
      <c r="Q13" s="37" t="n">
        <v>2.68</v>
      </c>
      <c r="R13" s="42" t="n">
        <v>3.14</v>
      </c>
      <c r="S13" s="37" t="n">
        <v>3.98</v>
      </c>
      <c r="T13" s="43" t="n">
        <v>4.74</v>
      </c>
      <c r="U13" s="44" t="n">
        <v>8.2</v>
      </c>
      <c r="V13" s="41" t="n">
        <v>29</v>
      </c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22"/>
      <c r="B14" s="32" t="n">
        <v>37438</v>
      </c>
      <c r="C14" s="40" t="n">
        <v>3</v>
      </c>
      <c r="D14" s="41" t="n">
        <v>2</v>
      </c>
      <c r="E14" s="35" t="n">
        <v>1</v>
      </c>
      <c r="F14" s="36" t="n">
        <v>0.75</v>
      </c>
      <c r="G14" s="37" t="n">
        <v>0.25</v>
      </c>
      <c r="H14" s="37" t="n">
        <v>0</v>
      </c>
      <c r="I14" s="42" t="n">
        <v>-0.3</v>
      </c>
      <c r="J14" s="37" t="n">
        <v>-0.6</v>
      </c>
      <c r="K14" s="42" t="n">
        <v>-0.4</v>
      </c>
      <c r="L14" s="42" t="n">
        <v>0</v>
      </c>
      <c r="M14" s="42" t="n">
        <v>0.65</v>
      </c>
      <c r="N14" s="37" t="n">
        <v>1.13</v>
      </c>
      <c r="O14" s="37" t="n">
        <v>1.62</v>
      </c>
      <c r="P14" s="42" t="n">
        <v>2.15</v>
      </c>
      <c r="Q14" s="37" t="n">
        <v>2.68</v>
      </c>
      <c r="R14" s="42" t="n">
        <v>3.14</v>
      </c>
      <c r="S14" s="37" t="n">
        <v>3.98</v>
      </c>
      <c r="T14" s="43" t="n">
        <v>4.74</v>
      </c>
      <c r="U14" s="44" t="n">
        <v>8.2</v>
      </c>
      <c r="V14" s="41" t="n">
        <v>29</v>
      </c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22"/>
      <c r="B15" s="32" t="n">
        <v>37469</v>
      </c>
      <c r="C15" s="40" t="n">
        <v>3</v>
      </c>
      <c r="D15" s="41" t="n">
        <v>2</v>
      </c>
      <c r="E15" s="35" t="n">
        <v>1</v>
      </c>
      <c r="F15" s="36" t="n">
        <v>0.75</v>
      </c>
      <c r="G15" s="37" t="n">
        <v>0.25</v>
      </c>
      <c r="H15" s="37" t="n">
        <v>0</v>
      </c>
      <c r="I15" s="42" t="n">
        <v>-0.3</v>
      </c>
      <c r="J15" s="37" t="n">
        <v>-0.6</v>
      </c>
      <c r="K15" s="42" t="n">
        <v>-0.4</v>
      </c>
      <c r="L15" s="42" t="n">
        <v>0</v>
      </c>
      <c r="M15" s="42" t="n">
        <v>0.65</v>
      </c>
      <c r="N15" s="37" t="n">
        <v>1.13</v>
      </c>
      <c r="O15" s="37" t="n">
        <v>1.62</v>
      </c>
      <c r="P15" s="42" t="n">
        <v>2.15</v>
      </c>
      <c r="Q15" s="37" t="n">
        <v>2.68</v>
      </c>
      <c r="R15" s="42" t="n">
        <v>3.14</v>
      </c>
      <c r="S15" s="37" t="n">
        <v>3.98</v>
      </c>
      <c r="T15" s="43" t="n">
        <v>4.74</v>
      </c>
      <c r="U15" s="44" t="n">
        <v>8.2</v>
      </c>
      <c r="V15" s="41" t="n">
        <v>29</v>
      </c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22"/>
      <c r="B16" s="32" t="n">
        <v>37500</v>
      </c>
      <c r="C16" s="40" t="n">
        <v>3</v>
      </c>
      <c r="D16" s="41" t="n">
        <v>2</v>
      </c>
      <c r="E16" s="35" t="n">
        <v>1</v>
      </c>
      <c r="F16" s="36" t="n">
        <v>0.75</v>
      </c>
      <c r="G16" s="37" t="n">
        <v>0.25</v>
      </c>
      <c r="H16" s="37" t="n">
        <v>0</v>
      </c>
      <c r="I16" s="42" t="n">
        <v>-0.3</v>
      </c>
      <c r="J16" s="37" t="n">
        <v>-0.6</v>
      </c>
      <c r="K16" s="42" t="n">
        <v>-0.4</v>
      </c>
      <c r="L16" s="42" t="n">
        <v>0</v>
      </c>
      <c r="M16" s="42" t="n">
        <v>0.65</v>
      </c>
      <c r="N16" s="37" t="n">
        <v>1.13</v>
      </c>
      <c r="O16" s="37" t="n">
        <v>1.62</v>
      </c>
      <c r="P16" s="42" t="n">
        <v>2.15</v>
      </c>
      <c r="Q16" s="37" t="n">
        <v>2.68</v>
      </c>
      <c r="R16" s="42" t="n">
        <v>3.14</v>
      </c>
      <c r="S16" s="37" t="n">
        <v>3.98</v>
      </c>
      <c r="T16" s="43" t="n">
        <v>4.74</v>
      </c>
      <c r="U16" s="44" t="n">
        <v>8.2</v>
      </c>
      <c r="V16" s="41" t="n">
        <v>29</v>
      </c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22"/>
      <c r="B17" s="48" t="n">
        <v>37530</v>
      </c>
      <c r="C17" s="49" t="n">
        <v>3</v>
      </c>
      <c r="D17" s="50" t="n">
        <v>2</v>
      </c>
      <c r="E17" s="51" t="n">
        <v>1</v>
      </c>
      <c r="F17" s="52" t="n">
        <v>0.75</v>
      </c>
      <c r="G17" s="53" t="n">
        <v>0.25</v>
      </c>
      <c r="H17" s="53" t="n">
        <v>0</v>
      </c>
      <c r="I17" s="52" t="n">
        <v>-0.3</v>
      </c>
      <c r="J17" s="53" t="n">
        <v>-0.6</v>
      </c>
      <c r="K17" s="52" t="n">
        <v>-0.4</v>
      </c>
      <c r="L17" s="52" t="n">
        <v>0</v>
      </c>
      <c r="M17" s="52" t="n">
        <v>0.65</v>
      </c>
      <c r="N17" s="53" t="n">
        <v>1.13</v>
      </c>
      <c r="O17" s="53" t="n">
        <v>1.62</v>
      </c>
      <c r="P17" s="52" t="n">
        <v>2.15</v>
      </c>
      <c r="Q17" s="53" t="n">
        <v>2.68</v>
      </c>
      <c r="R17" s="52" t="n">
        <v>3.14</v>
      </c>
      <c r="S17" s="53" t="n">
        <v>3.98</v>
      </c>
      <c r="T17" s="50" t="n">
        <v>4.74</v>
      </c>
      <c r="U17" s="54" t="n">
        <v>8.2</v>
      </c>
      <c r="V17" s="55" t="n">
        <v>29</v>
      </c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56"/>
      <c r="B18" s="48" t="n">
        <v>37561</v>
      </c>
      <c r="C18" s="49" t="n">
        <v>3</v>
      </c>
      <c r="D18" s="50" t="n">
        <v>2</v>
      </c>
      <c r="E18" s="51" t="n">
        <v>1</v>
      </c>
      <c r="F18" s="52" t="n">
        <v>0.75</v>
      </c>
      <c r="G18" s="53" t="n">
        <v>0.25</v>
      </c>
      <c r="H18" s="53" t="n">
        <v>0</v>
      </c>
      <c r="I18" s="52" t="n">
        <v>-0.3</v>
      </c>
      <c r="J18" s="53" t="n">
        <v>-0.6</v>
      </c>
      <c r="K18" s="52" t="n">
        <v>-0.4</v>
      </c>
      <c r="L18" s="52" t="n">
        <v>0</v>
      </c>
      <c r="M18" s="52" t="n">
        <v>0.65</v>
      </c>
      <c r="N18" s="53" t="n">
        <v>1.13</v>
      </c>
      <c r="O18" s="53" t="n">
        <v>1.62</v>
      </c>
      <c r="P18" s="52" t="n">
        <v>2.15</v>
      </c>
      <c r="Q18" s="53" t="n">
        <v>2.68</v>
      </c>
      <c r="R18" s="52" t="n">
        <v>3.14</v>
      </c>
      <c r="S18" s="53" t="n">
        <v>3.98</v>
      </c>
      <c r="T18" s="50" t="n">
        <v>4.74</v>
      </c>
      <c r="U18" s="54" t="n">
        <v>8.2</v>
      </c>
      <c r="V18" s="55" t="n">
        <v>29</v>
      </c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57"/>
      <c r="B19" s="48" t="n">
        <v>37591</v>
      </c>
      <c r="C19" s="49" t="n">
        <v>3</v>
      </c>
      <c r="D19" s="50" t="n">
        <v>2</v>
      </c>
      <c r="E19" s="51" t="n">
        <v>1</v>
      </c>
      <c r="F19" s="52" t="n">
        <v>0.75</v>
      </c>
      <c r="G19" s="53" t="n">
        <v>0.25</v>
      </c>
      <c r="H19" s="53" t="n">
        <v>0</v>
      </c>
      <c r="I19" s="52" t="n">
        <v>-0.3</v>
      </c>
      <c r="J19" s="53" t="n">
        <v>-0.6</v>
      </c>
      <c r="K19" s="52" t="n">
        <v>-0.4</v>
      </c>
      <c r="L19" s="52" t="n">
        <v>0</v>
      </c>
      <c r="M19" s="52" t="n">
        <v>0.65</v>
      </c>
      <c r="N19" s="53" t="n">
        <v>1.13</v>
      </c>
      <c r="O19" s="53" t="n">
        <v>1.62</v>
      </c>
      <c r="P19" s="52" t="n">
        <v>2.15</v>
      </c>
      <c r="Q19" s="53" t="n">
        <v>2.68</v>
      </c>
      <c r="R19" s="52" t="n">
        <v>3.14</v>
      </c>
      <c r="S19" s="53" t="n">
        <v>3.98</v>
      </c>
      <c r="T19" s="50" t="n">
        <v>4.74</v>
      </c>
      <c r="U19" s="54" t="n">
        <v>8.2</v>
      </c>
      <c r="V19" s="55" t="n">
        <v>29</v>
      </c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57"/>
      <c r="B20" s="48" t="n">
        <v>37622</v>
      </c>
      <c r="C20" s="49" t="n">
        <v>3</v>
      </c>
      <c r="D20" s="50" t="n">
        <v>2</v>
      </c>
      <c r="E20" s="51" t="n">
        <v>1</v>
      </c>
      <c r="F20" s="52" t="n">
        <v>0.75</v>
      </c>
      <c r="G20" s="53" t="n">
        <v>0.25</v>
      </c>
      <c r="H20" s="53" t="n">
        <v>0</v>
      </c>
      <c r="I20" s="52" t="n">
        <v>-0.3</v>
      </c>
      <c r="J20" s="53" t="n">
        <v>-0.6</v>
      </c>
      <c r="K20" s="52" t="n">
        <v>-0.4</v>
      </c>
      <c r="L20" s="52" t="n">
        <v>0</v>
      </c>
      <c r="M20" s="52" t="n">
        <v>0.65</v>
      </c>
      <c r="N20" s="53" t="n">
        <v>1.13</v>
      </c>
      <c r="O20" s="53" t="n">
        <v>1.62</v>
      </c>
      <c r="P20" s="52" t="n">
        <v>2.15</v>
      </c>
      <c r="Q20" s="53" t="n">
        <v>2.68</v>
      </c>
      <c r="R20" s="52" t="n">
        <v>3.14</v>
      </c>
      <c r="S20" s="53" t="n">
        <v>3.98</v>
      </c>
      <c r="T20" s="50" t="n">
        <v>4.74</v>
      </c>
      <c r="U20" s="54" t="n">
        <v>8.2</v>
      </c>
      <c r="V20" s="55" t="n">
        <v>29</v>
      </c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58"/>
      <c r="B21" s="48" t="n">
        <v>37653</v>
      </c>
      <c r="C21" s="49" t="n">
        <v>3</v>
      </c>
      <c r="D21" s="50" t="n">
        <v>2</v>
      </c>
      <c r="E21" s="51" t="n">
        <v>1</v>
      </c>
      <c r="F21" s="52" t="n">
        <v>0.75</v>
      </c>
      <c r="G21" s="53" t="n">
        <v>0.25</v>
      </c>
      <c r="H21" s="53" t="n">
        <v>0</v>
      </c>
      <c r="I21" s="52" t="n">
        <v>-0.3</v>
      </c>
      <c r="J21" s="53" t="n">
        <v>-0.6</v>
      </c>
      <c r="K21" s="52" t="n">
        <v>-0.4</v>
      </c>
      <c r="L21" s="52" t="n">
        <v>0</v>
      </c>
      <c r="M21" s="52" t="n">
        <v>0.65</v>
      </c>
      <c r="N21" s="53" t="n">
        <v>1.13</v>
      </c>
      <c r="O21" s="53" t="n">
        <v>1.62</v>
      </c>
      <c r="P21" s="52" t="n">
        <v>2.15</v>
      </c>
      <c r="Q21" s="53" t="n">
        <v>2.68</v>
      </c>
      <c r="R21" s="52" t="n">
        <v>3.14</v>
      </c>
      <c r="S21" s="53" t="n">
        <v>3.98</v>
      </c>
      <c r="T21" s="50" t="n">
        <v>4.74</v>
      </c>
      <c r="U21" s="54" t="n">
        <v>8.2</v>
      </c>
      <c r="V21" s="55" t="n">
        <v>29</v>
      </c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58"/>
      <c r="B22" s="48" t="n">
        <v>37681</v>
      </c>
      <c r="C22" s="49" t="n">
        <v>3</v>
      </c>
      <c r="D22" s="50" t="n">
        <v>2</v>
      </c>
      <c r="E22" s="51" t="n">
        <v>1</v>
      </c>
      <c r="F22" s="52" t="n">
        <v>0.75</v>
      </c>
      <c r="G22" s="53" t="n">
        <v>0.25</v>
      </c>
      <c r="H22" s="53" t="n">
        <v>0</v>
      </c>
      <c r="I22" s="52" t="n">
        <v>-0.3</v>
      </c>
      <c r="J22" s="53" t="n">
        <v>-0.6</v>
      </c>
      <c r="K22" s="52" t="n">
        <v>-0.4</v>
      </c>
      <c r="L22" s="52" t="n">
        <v>0</v>
      </c>
      <c r="M22" s="52" t="n">
        <v>0.65</v>
      </c>
      <c r="N22" s="53" t="n">
        <v>1.13</v>
      </c>
      <c r="O22" s="53" t="n">
        <v>1.62</v>
      </c>
      <c r="P22" s="52" t="n">
        <v>2.15</v>
      </c>
      <c r="Q22" s="53" t="n">
        <v>2.68</v>
      </c>
      <c r="R22" s="52" t="n">
        <v>3.14</v>
      </c>
      <c r="S22" s="53" t="n">
        <v>3.98</v>
      </c>
      <c r="T22" s="50" t="n">
        <v>4.74</v>
      </c>
      <c r="U22" s="54" t="n">
        <v>8.2</v>
      </c>
      <c r="V22" s="55" t="n">
        <v>29</v>
      </c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58"/>
      <c r="B23" s="48" t="n">
        <v>37712</v>
      </c>
      <c r="C23" s="49" t="n">
        <v>3</v>
      </c>
      <c r="D23" s="50" t="n">
        <v>2</v>
      </c>
      <c r="E23" s="51" t="n">
        <v>0.75</v>
      </c>
      <c r="F23" s="52" t="n">
        <v>0.5</v>
      </c>
      <c r="G23" s="53" t="n">
        <v>0.25</v>
      </c>
      <c r="H23" s="53" t="n">
        <v>0</v>
      </c>
      <c r="I23" s="52" t="n">
        <v>-0.25</v>
      </c>
      <c r="J23" s="53" t="n">
        <v>-0.5</v>
      </c>
      <c r="K23" s="52" t="n">
        <v>-0.35</v>
      </c>
      <c r="L23" s="52" t="n">
        <v>0</v>
      </c>
      <c r="M23" s="52" t="n">
        <v>0.65</v>
      </c>
      <c r="N23" s="53" t="n">
        <v>1.13</v>
      </c>
      <c r="O23" s="53" t="n">
        <v>1.62</v>
      </c>
      <c r="P23" s="52" t="n">
        <v>2.15</v>
      </c>
      <c r="Q23" s="53" t="n">
        <v>2.68</v>
      </c>
      <c r="R23" s="52" t="n">
        <v>3.14</v>
      </c>
      <c r="S23" s="53" t="n">
        <v>3.98</v>
      </c>
      <c r="T23" s="50" t="n">
        <v>4.74</v>
      </c>
      <c r="U23" s="54" t="n">
        <v>8.2</v>
      </c>
      <c r="V23" s="55" t="n">
        <v>29</v>
      </c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57"/>
      <c r="B24" s="48" t="n">
        <v>37742</v>
      </c>
      <c r="C24" s="49" t="n">
        <v>3</v>
      </c>
      <c r="D24" s="50" t="n">
        <v>2</v>
      </c>
      <c r="E24" s="51" t="n">
        <v>0.75</v>
      </c>
      <c r="F24" s="52" t="n">
        <v>0.5</v>
      </c>
      <c r="G24" s="53" t="n">
        <v>0.25</v>
      </c>
      <c r="H24" s="53" t="n">
        <v>0</v>
      </c>
      <c r="I24" s="52" t="n">
        <v>-0.25</v>
      </c>
      <c r="J24" s="53" t="n">
        <v>-0.5</v>
      </c>
      <c r="K24" s="52" t="n">
        <v>-0.35</v>
      </c>
      <c r="L24" s="52" t="n">
        <v>0</v>
      </c>
      <c r="M24" s="52" t="n">
        <v>0.65</v>
      </c>
      <c r="N24" s="53" t="n">
        <v>1.13</v>
      </c>
      <c r="O24" s="53" t="n">
        <v>1.62</v>
      </c>
      <c r="P24" s="52" t="n">
        <v>2.15</v>
      </c>
      <c r="Q24" s="53" t="n">
        <v>2.68</v>
      </c>
      <c r="R24" s="52" t="n">
        <v>3.14</v>
      </c>
      <c r="S24" s="53" t="n">
        <v>3.98</v>
      </c>
      <c r="T24" s="50" t="n">
        <v>4.74</v>
      </c>
      <c r="U24" s="54" t="n">
        <v>8.2</v>
      </c>
      <c r="V24" s="55" t="n">
        <v>29</v>
      </c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57"/>
      <c r="B25" s="48" t="n">
        <v>37773</v>
      </c>
      <c r="C25" s="49" t="n">
        <v>3</v>
      </c>
      <c r="D25" s="50" t="n">
        <v>2</v>
      </c>
      <c r="E25" s="51" t="n">
        <v>0.75</v>
      </c>
      <c r="F25" s="52" t="n">
        <v>0.5</v>
      </c>
      <c r="G25" s="53" t="n">
        <v>0.25</v>
      </c>
      <c r="H25" s="53" t="n">
        <v>0</v>
      </c>
      <c r="I25" s="52" t="n">
        <v>-0.25</v>
      </c>
      <c r="J25" s="53" t="n">
        <v>-0.5</v>
      </c>
      <c r="K25" s="52" t="n">
        <v>-0.35</v>
      </c>
      <c r="L25" s="52" t="n">
        <v>0</v>
      </c>
      <c r="M25" s="52" t="n">
        <v>0.65</v>
      </c>
      <c r="N25" s="53" t="n">
        <v>1.13</v>
      </c>
      <c r="O25" s="53" t="n">
        <v>1.62</v>
      </c>
      <c r="P25" s="52" t="n">
        <v>2.15</v>
      </c>
      <c r="Q25" s="53" t="n">
        <v>2.68</v>
      </c>
      <c r="R25" s="52" t="n">
        <v>3.14</v>
      </c>
      <c r="S25" s="53" t="n">
        <v>3.98</v>
      </c>
      <c r="T25" s="50" t="n">
        <v>4.74</v>
      </c>
      <c r="U25" s="54" t="n">
        <v>8.2</v>
      </c>
      <c r="V25" s="55" t="n">
        <v>29</v>
      </c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57"/>
      <c r="B26" s="48" t="n">
        <v>37803</v>
      </c>
      <c r="C26" s="49" t="n">
        <v>3</v>
      </c>
      <c r="D26" s="50" t="n">
        <v>2</v>
      </c>
      <c r="E26" s="51" t="n">
        <v>0.75</v>
      </c>
      <c r="F26" s="52" t="n">
        <v>0.5</v>
      </c>
      <c r="G26" s="53" t="n">
        <v>0.25</v>
      </c>
      <c r="H26" s="53" t="n">
        <v>0</v>
      </c>
      <c r="I26" s="52" t="n">
        <v>-0.25</v>
      </c>
      <c r="J26" s="53" t="n">
        <v>-0.5</v>
      </c>
      <c r="K26" s="52" t="n">
        <v>-0.35</v>
      </c>
      <c r="L26" s="52" t="n">
        <v>0</v>
      </c>
      <c r="M26" s="52" t="n">
        <v>0.65</v>
      </c>
      <c r="N26" s="53" t="n">
        <v>1.13</v>
      </c>
      <c r="O26" s="53" t="n">
        <v>1.62</v>
      </c>
      <c r="P26" s="52" t="n">
        <v>2.15</v>
      </c>
      <c r="Q26" s="53" t="n">
        <v>2.68</v>
      </c>
      <c r="R26" s="52" t="n">
        <v>3.14</v>
      </c>
      <c r="S26" s="53" t="n">
        <v>3.98</v>
      </c>
      <c r="T26" s="50" t="n">
        <v>4.74</v>
      </c>
      <c r="U26" s="54" t="n">
        <v>8.2</v>
      </c>
      <c r="V26" s="55" t="n">
        <v>29</v>
      </c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57"/>
      <c r="B27" s="48" t="n">
        <v>37834</v>
      </c>
      <c r="C27" s="49" t="n">
        <v>3</v>
      </c>
      <c r="D27" s="50" t="n">
        <v>2</v>
      </c>
      <c r="E27" s="51" t="n">
        <v>0.75</v>
      </c>
      <c r="F27" s="52" t="n">
        <v>0.5</v>
      </c>
      <c r="G27" s="53" t="n">
        <v>0.25</v>
      </c>
      <c r="H27" s="53" t="n">
        <v>0</v>
      </c>
      <c r="I27" s="52" t="n">
        <v>-0.25</v>
      </c>
      <c r="J27" s="53" t="n">
        <v>-0.5</v>
      </c>
      <c r="K27" s="52" t="n">
        <v>-0.35</v>
      </c>
      <c r="L27" s="52" t="n">
        <v>0</v>
      </c>
      <c r="M27" s="52" t="n">
        <v>0.65</v>
      </c>
      <c r="N27" s="53" t="n">
        <v>1.13</v>
      </c>
      <c r="O27" s="53" t="n">
        <v>1.62</v>
      </c>
      <c r="P27" s="52" t="n">
        <v>2.15</v>
      </c>
      <c r="Q27" s="53" t="n">
        <v>2.68</v>
      </c>
      <c r="R27" s="52" t="n">
        <v>3.14</v>
      </c>
      <c r="S27" s="53" t="n">
        <v>3.98</v>
      </c>
      <c r="T27" s="50" t="n">
        <v>4.74</v>
      </c>
      <c r="U27" s="54" t="n">
        <v>8.2</v>
      </c>
      <c r="V27" s="55" t="n">
        <v>29</v>
      </c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57"/>
      <c r="B28" s="48" t="n">
        <v>37865</v>
      </c>
      <c r="C28" s="49" t="n">
        <v>3</v>
      </c>
      <c r="D28" s="50" t="n">
        <v>2</v>
      </c>
      <c r="E28" s="51" t="n">
        <v>0.75</v>
      </c>
      <c r="F28" s="52" t="n">
        <v>0.5</v>
      </c>
      <c r="G28" s="53" t="n">
        <v>0.25</v>
      </c>
      <c r="H28" s="53" t="n">
        <v>0</v>
      </c>
      <c r="I28" s="52" t="n">
        <v>-0.25</v>
      </c>
      <c r="J28" s="53" t="n">
        <v>-0.5</v>
      </c>
      <c r="K28" s="52" t="n">
        <v>-0.35</v>
      </c>
      <c r="L28" s="52" t="n">
        <v>0</v>
      </c>
      <c r="M28" s="52" t="n">
        <v>0.65</v>
      </c>
      <c r="N28" s="53" t="n">
        <v>1.13</v>
      </c>
      <c r="O28" s="53" t="n">
        <v>1.62</v>
      </c>
      <c r="P28" s="52" t="n">
        <v>2.15</v>
      </c>
      <c r="Q28" s="53" t="n">
        <v>2.68</v>
      </c>
      <c r="R28" s="52" t="n">
        <v>3.14</v>
      </c>
      <c r="S28" s="53" t="n">
        <v>3.98</v>
      </c>
      <c r="T28" s="50" t="n">
        <v>4.74</v>
      </c>
      <c r="U28" s="54" t="n">
        <v>8.2</v>
      </c>
      <c r="V28" s="55" t="n">
        <v>29</v>
      </c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57"/>
      <c r="B29" s="48" t="n">
        <v>37895</v>
      </c>
      <c r="C29" s="49" t="n">
        <v>3</v>
      </c>
      <c r="D29" s="50" t="n">
        <v>2</v>
      </c>
      <c r="E29" s="51" t="n">
        <v>0.75</v>
      </c>
      <c r="F29" s="52" t="n">
        <v>0.5</v>
      </c>
      <c r="G29" s="53" t="n">
        <v>0.25</v>
      </c>
      <c r="H29" s="53" t="n">
        <v>0</v>
      </c>
      <c r="I29" s="52" t="n">
        <v>-0.25</v>
      </c>
      <c r="J29" s="53" t="n">
        <v>-0.5</v>
      </c>
      <c r="K29" s="52" t="n">
        <v>-0.35</v>
      </c>
      <c r="L29" s="52" t="n">
        <v>0</v>
      </c>
      <c r="M29" s="52" t="n">
        <v>0.65</v>
      </c>
      <c r="N29" s="53" t="n">
        <v>1.13</v>
      </c>
      <c r="O29" s="53" t="n">
        <v>1.62</v>
      </c>
      <c r="P29" s="52" t="n">
        <v>2.15</v>
      </c>
      <c r="Q29" s="53" t="n">
        <v>2.68</v>
      </c>
      <c r="R29" s="52" t="n">
        <v>3.14</v>
      </c>
      <c r="S29" s="53" t="n">
        <v>3.98</v>
      </c>
      <c r="T29" s="50" t="n">
        <v>4.74</v>
      </c>
      <c r="U29" s="54" t="n">
        <v>8.2</v>
      </c>
      <c r="V29" s="55" t="n">
        <v>29</v>
      </c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57"/>
      <c r="B30" s="48" t="n">
        <v>37926</v>
      </c>
      <c r="C30" s="49" t="n">
        <v>3</v>
      </c>
      <c r="D30" s="50" t="n">
        <v>2</v>
      </c>
      <c r="E30" s="51" t="n">
        <v>0.75</v>
      </c>
      <c r="F30" s="52" t="n">
        <v>0.5</v>
      </c>
      <c r="G30" s="53" t="n">
        <v>0.25</v>
      </c>
      <c r="H30" s="53" t="n">
        <v>0</v>
      </c>
      <c r="I30" s="52" t="n">
        <v>-0.25</v>
      </c>
      <c r="J30" s="53" t="n">
        <v>-0.5</v>
      </c>
      <c r="K30" s="52" t="n">
        <v>-0.35</v>
      </c>
      <c r="L30" s="52" t="n">
        <v>0</v>
      </c>
      <c r="M30" s="52" t="n">
        <v>0.65</v>
      </c>
      <c r="N30" s="53" t="n">
        <v>1.13</v>
      </c>
      <c r="O30" s="53" t="n">
        <v>1.62</v>
      </c>
      <c r="P30" s="52" t="n">
        <v>2.15</v>
      </c>
      <c r="Q30" s="53" t="n">
        <v>2.68</v>
      </c>
      <c r="R30" s="52" t="n">
        <v>3.14</v>
      </c>
      <c r="S30" s="53" t="n">
        <v>3.98</v>
      </c>
      <c r="T30" s="50" t="n">
        <v>4.74</v>
      </c>
      <c r="U30" s="54" t="n">
        <v>8.2</v>
      </c>
      <c r="V30" s="55" t="n">
        <v>29</v>
      </c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57"/>
      <c r="B31" s="48" t="n">
        <v>37956</v>
      </c>
      <c r="C31" s="49" t="n">
        <v>3</v>
      </c>
      <c r="D31" s="50" t="n">
        <v>2</v>
      </c>
      <c r="E31" s="51" t="n">
        <v>0.75</v>
      </c>
      <c r="F31" s="52" t="n">
        <v>0.5</v>
      </c>
      <c r="G31" s="53" t="n">
        <v>0.25</v>
      </c>
      <c r="H31" s="53" t="n">
        <v>0</v>
      </c>
      <c r="I31" s="52" t="n">
        <v>-0.25</v>
      </c>
      <c r="J31" s="53" t="n">
        <v>-0.5</v>
      </c>
      <c r="K31" s="52" t="n">
        <v>-0.35</v>
      </c>
      <c r="L31" s="52" t="n">
        <v>0</v>
      </c>
      <c r="M31" s="52" t="n">
        <v>0.65</v>
      </c>
      <c r="N31" s="53" t="n">
        <v>1.13</v>
      </c>
      <c r="O31" s="53" t="n">
        <v>1.62</v>
      </c>
      <c r="P31" s="52" t="n">
        <v>2.15</v>
      </c>
      <c r="Q31" s="53" t="n">
        <v>2.68</v>
      </c>
      <c r="R31" s="52" t="n">
        <v>3.14</v>
      </c>
      <c r="S31" s="53" t="n">
        <v>3.98</v>
      </c>
      <c r="T31" s="50" t="n">
        <v>4.74</v>
      </c>
      <c r="U31" s="54" t="n">
        <v>8.2</v>
      </c>
      <c r="V31" s="55" t="n">
        <v>29</v>
      </c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57"/>
      <c r="B32" s="48" t="n">
        <v>37987</v>
      </c>
      <c r="C32" s="49" t="n">
        <v>3</v>
      </c>
      <c r="D32" s="50" t="n">
        <v>2</v>
      </c>
      <c r="E32" s="51" t="n">
        <v>0.75</v>
      </c>
      <c r="F32" s="52" t="n">
        <v>0.5</v>
      </c>
      <c r="G32" s="53" t="n">
        <v>0.25</v>
      </c>
      <c r="H32" s="53" t="n">
        <v>0</v>
      </c>
      <c r="I32" s="52" t="n">
        <v>-0.25</v>
      </c>
      <c r="J32" s="53" t="n">
        <v>-0.5</v>
      </c>
      <c r="K32" s="52" t="n">
        <v>-0.35</v>
      </c>
      <c r="L32" s="52" t="n">
        <v>0</v>
      </c>
      <c r="M32" s="52" t="n">
        <v>0.65</v>
      </c>
      <c r="N32" s="53" t="n">
        <v>1.13</v>
      </c>
      <c r="O32" s="53" t="n">
        <v>1.62</v>
      </c>
      <c r="P32" s="52" t="n">
        <v>2.15</v>
      </c>
      <c r="Q32" s="53" t="n">
        <v>2.68</v>
      </c>
      <c r="R32" s="52" t="n">
        <v>3.14</v>
      </c>
      <c r="S32" s="53" t="n">
        <v>3.98</v>
      </c>
      <c r="T32" s="50" t="n">
        <v>4.74</v>
      </c>
      <c r="U32" s="54" t="n">
        <v>8.2</v>
      </c>
      <c r="V32" s="55" t="n">
        <v>29</v>
      </c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57"/>
      <c r="B33" s="48" t="n">
        <v>38018</v>
      </c>
      <c r="C33" s="49" t="n">
        <v>3</v>
      </c>
      <c r="D33" s="50" t="n">
        <v>2</v>
      </c>
      <c r="E33" s="51" t="n">
        <v>0.75</v>
      </c>
      <c r="F33" s="52" t="n">
        <v>0.5</v>
      </c>
      <c r="G33" s="53" t="n">
        <v>0.25</v>
      </c>
      <c r="H33" s="53" t="n">
        <v>0</v>
      </c>
      <c r="I33" s="52" t="n">
        <v>-0.25</v>
      </c>
      <c r="J33" s="53" t="n">
        <v>-0.5</v>
      </c>
      <c r="K33" s="52" t="n">
        <v>-0.35</v>
      </c>
      <c r="L33" s="52" t="n">
        <v>0</v>
      </c>
      <c r="M33" s="52" t="n">
        <v>0.65</v>
      </c>
      <c r="N33" s="53" t="n">
        <v>1.13</v>
      </c>
      <c r="O33" s="53" t="n">
        <v>1.62</v>
      </c>
      <c r="P33" s="52" t="n">
        <v>2.15</v>
      </c>
      <c r="Q33" s="53" t="n">
        <v>2.68</v>
      </c>
      <c r="R33" s="52" t="n">
        <v>3.14</v>
      </c>
      <c r="S33" s="53" t="n">
        <v>3.98</v>
      </c>
      <c r="T33" s="50" t="n">
        <v>4.74</v>
      </c>
      <c r="U33" s="54" t="n">
        <v>8.2</v>
      </c>
      <c r="V33" s="55" t="n">
        <v>29</v>
      </c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57"/>
      <c r="B34" s="48" t="n">
        <v>38047</v>
      </c>
      <c r="C34" s="49" t="n">
        <v>3</v>
      </c>
      <c r="D34" s="50" t="n">
        <v>2</v>
      </c>
      <c r="E34" s="51" t="n">
        <v>0.75</v>
      </c>
      <c r="F34" s="52" t="n">
        <v>0.5</v>
      </c>
      <c r="G34" s="53" t="n">
        <v>0.25</v>
      </c>
      <c r="H34" s="53" t="n">
        <v>0</v>
      </c>
      <c r="I34" s="52" t="n">
        <v>-0.25</v>
      </c>
      <c r="J34" s="53" t="n">
        <v>-0.5</v>
      </c>
      <c r="K34" s="52" t="n">
        <v>-0.35</v>
      </c>
      <c r="L34" s="52" t="n">
        <v>0</v>
      </c>
      <c r="M34" s="52" t="n">
        <v>0.65</v>
      </c>
      <c r="N34" s="53" t="n">
        <v>1.13</v>
      </c>
      <c r="O34" s="53" t="n">
        <v>1.62</v>
      </c>
      <c r="P34" s="52" t="n">
        <v>2.15</v>
      </c>
      <c r="Q34" s="53" t="n">
        <v>2.68</v>
      </c>
      <c r="R34" s="52" t="n">
        <v>3.14</v>
      </c>
      <c r="S34" s="53" t="n">
        <v>3.98</v>
      </c>
      <c r="T34" s="50" t="n">
        <v>4.74</v>
      </c>
      <c r="U34" s="54" t="n">
        <v>8.2</v>
      </c>
      <c r="V34" s="55" t="n">
        <v>29</v>
      </c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57"/>
      <c r="B35" s="48" t="n">
        <v>38078</v>
      </c>
      <c r="C35" s="49" t="n">
        <v>3</v>
      </c>
      <c r="D35" s="50" t="n">
        <v>2</v>
      </c>
      <c r="E35" s="51" t="n">
        <v>0.75</v>
      </c>
      <c r="F35" s="52" t="n">
        <v>0.5</v>
      </c>
      <c r="G35" s="53" t="n">
        <v>0.25</v>
      </c>
      <c r="H35" s="53" t="n">
        <v>0</v>
      </c>
      <c r="I35" s="52" t="n">
        <v>-0.25</v>
      </c>
      <c r="J35" s="53" t="n">
        <v>-0.5</v>
      </c>
      <c r="K35" s="52" t="n">
        <v>-0.35</v>
      </c>
      <c r="L35" s="52" t="n">
        <v>0</v>
      </c>
      <c r="M35" s="52" t="n">
        <v>0.65</v>
      </c>
      <c r="N35" s="53" t="n">
        <v>1.13</v>
      </c>
      <c r="O35" s="53" t="n">
        <v>1.62</v>
      </c>
      <c r="P35" s="52" t="n">
        <v>2.15</v>
      </c>
      <c r="Q35" s="53" t="n">
        <v>2.68</v>
      </c>
      <c r="R35" s="52" t="n">
        <v>3.14</v>
      </c>
      <c r="S35" s="53" t="n">
        <v>3.98</v>
      </c>
      <c r="T35" s="50" t="n">
        <v>4.74</v>
      </c>
      <c r="U35" s="54" t="n">
        <v>8.2</v>
      </c>
      <c r="V35" s="55" t="n">
        <v>29</v>
      </c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57"/>
      <c r="B36" s="48" t="n">
        <v>38108</v>
      </c>
      <c r="C36" s="49" t="n">
        <v>3</v>
      </c>
      <c r="D36" s="50" t="n">
        <v>2</v>
      </c>
      <c r="E36" s="51" t="n">
        <v>0.75</v>
      </c>
      <c r="F36" s="52" t="n">
        <v>0.5</v>
      </c>
      <c r="G36" s="53" t="n">
        <v>0.25</v>
      </c>
      <c r="H36" s="53" t="n">
        <v>0</v>
      </c>
      <c r="I36" s="52" t="n">
        <v>-0.25</v>
      </c>
      <c r="J36" s="53" t="n">
        <v>-0.5</v>
      </c>
      <c r="K36" s="52" t="n">
        <v>-0.35</v>
      </c>
      <c r="L36" s="52" t="n">
        <v>0</v>
      </c>
      <c r="M36" s="52" t="n">
        <v>0.65</v>
      </c>
      <c r="N36" s="53" t="n">
        <v>1.13</v>
      </c>
      <c r="O36" s="53" t="n">
        <v>1.62</v>
      </c>
      <c r="P36" s="52" t="n">
        <v>2.15</v>
      </c>
      <c r="Q36" s="53" t="n">
        <v>2.68</v>
      </c>
      <c r="R36" s="52" t="n">
        <v>3.14</v>
      </c>
      <c r="S36" s="53" t="n">
        <v>3.98</v>
      </c>
      <c r="T36" s="50" t="n">
        <v>4.74</v>
      </c>
      <c r="U36" s="54" t="n">
        <v>8.2</v>
      </c>
      <c r="V36" s="55" t="n">
        <v>29</v>
      </c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57"/>
      <c r="B37" s="48" t="n">
        <v>38139</v>
      </c>
      <c r="C37" s="49" t="n">
        <v>3</v>
      </c>
      <c r="D37" s="50" t="n">
        <v>2</v>
      </c>
      <c r="E37" s="51" t="n">
        <v>0.75</v>
      </c>
      <c r="F37" s="52" t="n">
        <v>0.5</v>
      </c>
      <c r="G37" s="53" t="n">
        <v>0.25</v>
      </c>
      <c r="H37" s="53" t="n">
        <v>0</v>
      </c>
      <c r="I37" s="52" t="n">
        <v>-0.25</v>
      </c>
      <c r="J37" s="53" t="n">
        <v>-0.5</v>
      </c>
      <c r="K37" s="52" t="n">
        <v>-0.35</v>
      </c>
      <c r="L37" s="52" t="n">
        <v>0</v>
      </c>
      <c r="M37" s="52" t="n">
        <v>0.65</v>
      </c>
      <c r="N37" s="53" t="n">
        <v>1.13</v>
      </c>
      <c r="O37" s="53" t="n">
        <v>1.62</v>
      </c>
      <c r="P37" s="52" t="n">
        <v>2.15</v>
      </c>
      <c r="Q37" s="53" t="n">
        <v>2.68</v>
      </c>
      <c r="R37" s="52" t="n">
        <v>3.14</v>
      </c>
      <c r="S37" s="53" t="n">
        <v>3.98</v>
      </c>
      <c r="T37" s="50" t="n">
        <v>4.74</v>
      </c>
      <c r="U37" s="54" t="n">
        <v>8.2</v>
      </c>
      <c r="V37" s="55" t="n">
        <v>29</v>
      </c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57"/>
      <c r="B38" s="48" t="n">
        <v>40513</v>
      </c>
      <c r="C38" s="49" t="n">
        <v>3</v>
      </c>
      <c r="D38" s="50" t="n">
        <v>2</v>
      </c>
      <c r="E38" s="51" t="n">
        <v>0.75</v>
      </c>
      <c r="F38" s="52" t="n">
        <v>0.5</v>
      </c>
      <c r="G38" s="53" t="n">
        <v>0.25</v>
      </c>
      <c r="H38" s="53" t="n">
        <v>0</v>
      </c>
      <c r="I38" s="52" t="n">
        <v>-0.25</v>
      </c>
      <c r="J38" s="53" t="n">
        <v>-0.5</v>
      </c>
      <c r="K38" s="52" t="n">
        <v>-0.35</v>
      </c>
      <c r="L38" s="52" t="n">
        <v>0</v>
      </c>
      <c r="M38" s="52" t="n">
        <v>0.65</v>
      </c>
      <c r="N38" s="53" t="n">
        <v>1.13</v>
      </c>
      <c r="O38" s="53" t="n">
        <v>1.62</v>
      </c>
      <c r="P38" s="52" t="n">
        <v>2.15</v>
      </c>
      <c r="Q38" s="53" t="n">
        <v>2.68</v>
      </c>
      <c r="R38" s="52" t="n">
        <v>3.14</v>
      </c>
      <c r="S38" s="53" t="n">
        <v>3.98</v>
      </c>
      <c r="T38" s="50" t="n">
        <v>4.74</v>
      </c>
      <c r="U38" s="54" t="n">
        <v>8.2</v>
      </c>
      <c r="V38" s="55" t="n">
        <v>29</v>
      </c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3.5" hidden="false" customHeight="false" outlineLevel="0" collapsed="false">
      <c r="A39" s="57"/>
      <c r="B39" s="59" t="n">
        <v>44531</v>
      </c>
      <c r="C39" s="60" t="n">
        <v>3</v>
      </c>
      <c r="D39" s="61" t="n">
        <v>2</v>
      </c>
      <c r="E39" s="62" t="n">
        <v>0.75</v>
      </c>
      <c r="F39" s="63" t="n">
        <v>0.5</v>
      </c>
      <c r="G39" s="64" t="n">
        <v>0.25</v>
      </c>
      <c r="H39" s="65" t="n">
        <v>0</v>
      </c>
      <c r="I39" s="63" t="n">
        <v>-0.25</v>
      </c>
      <c r="J39" s="64" t="n">
        <v>-0.5</v>
      </c>
      <c r="K39" s="63" t="n">
        <v>-0.35</v>
      </c>
      <c r="L39" s="63" t="n">
        <v>0</v>
      </c>
      <c r="M39" s="63" t="n">
        <v>0.65</v>
      </c>
      <c r="N39" s="64" t="n">
        <v>1.13</v>
      </c>
      <c r="O39" s="65" t="n">
        <v>1.62</v>
      </c>
      <c r="P39" s="63" t="n">
        <v>2.15</v>
      </c>
      <c r="Q39" s="65" t="n">
        <v>2.68</v>
      </c>
      <c r="R39" s="63" t="n">
        <v>3.14</v>
      </c>
      <c r="S39" s="65" t="n">
        <v>3.98</v>
      </c>
      <c r="T39" s="61" t="n">
        <v>4.74</v>
      </c>
      <c r="U39" s="66" t="n">
        <v>8.2</v>
      </c>
      <c r="V39" s="67" t="n">
        <v>29</v>
      </c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</row>
    <row r="43" customFormat="false" ht="12.75" hidden="false" customHeight="false" outlineLevel="0" collapsed="false">
      <c r="A43" s="68" t="n">
        <f aca="false">B2</f>
        <v>37073</v>
      </c>
      <c r="B43" s="14" t="n">
        <v>1</v>
      </c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</row>
    <row r="44" customFormat="false" ht="12.75" hidden="false" customHeight="false" outlineLevel="0" collapsed="false">
      <c r="A44" s="68" t="n">
        <f aca="false">B3</f>
        <v>37104</v>
      </c>
      <c r="B44" s="14" t="n">
        <v>1</v>
      </c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customFormat="false" ht="12.75" hidden="false" customHeight="false" outlineLevel="0" collapsed="false">
      <c r="A45" s="68" t="n">
        <f aca="false">B4</f>
        <v>37135</v>
      </c>
      <c r="B45" s="14" t="n">
        <v>1</v>
      </c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</row>
    <row r="46" customFormat="false" ht="12.75" hidden="false" customHeight="false" outlineLevel="0" collapsed="false">
      <c r="A46" s="68" t="n">
        <f aca="false">B5</f>
        <v>37165</v>
      </c>
      <c r="B46" s="14" t="n">
        <v>1</v>
      </c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</row>
    <row r="47" customFormat="false" ht="12.75" hidden="false" customHeight="false" outlineLevel="0" collapsed="false">
      <c r="A47" s="68" t="n">
        <f aca="false">B6</f>
        <v>37196</v>
      </c>
      <c r="B47" s="14" t="n">
        <v>1</v>
      </c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</row>
    <row r="48" customFormat="false" ht="12.75" hidden="false" customHeight="false" outlineLevel="0" collapsed="false">
      <c r="A48" s="68" t="n">
        <f aca="false">B7</f>
        <v>37226</v>
      </c>
      <c r="B48" s="14" t="n">
        <v>1</v>
      </c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</row>
    <row r="49" customFormat="false" ht="12.75" hidden="false" customHeight="false" outlineLevel="0" collapsed="false">
      <c r="A49" s="68" t="n">
        <f aca="false">B8</f>
        <v>37257</v>
      </c>
      <c r="B49" s="14" t="n">
        <v>1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</row>
    <row r="50" customFormat="false" ht="12.75" hidden="false" customHeight="false" outlineLevel="0" collapsed="false">
      <c r="A50" s="68" t="n">
        <f aca="false">B9</f>
        <v>37288</v>
      </c>
      <c r="B50" s="14" t="n">
        <v>1</v>
      </c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</row>
    <row r="51" customFormat="false" ht="12.75" hidden="false" customHeight="false" outlineLevel="0" collapsed="false">
      <c r="A51" s="68" t="n">
        <f aca="false">B10</f>
        <v>37316</v>
      </c>
      <c r="B51" s="14" t="n">
        <v>1</v>
      </c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</row>
    <row r="52" customFormat="false" ht="12.75" hidden="false" customHeight="false" outlineLevel="0" collapsed="false">
      <c r="A52" s="68" t="n">
        <f aca="false">B11</f>
        <v>37347</v>
      </c>
      <c r="B52" s="14" t="n">
        <v>1</v>
      </c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</row>
    <row r="53" customFormat="false" ht="12.75" hidden="false" customHeight="false" outlineLevel="0" collapsed="false">
      <c r="A53" s="68" t="n">
        <f aca="false">B12</f>
        <v>37377</v>
      </c>
      <c r="B53" s="14" t="n">
        <v>1</v>
      </c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</row>
    <row r="54" customFormat="false" ht="12.75" hidden="false" customHeight="false" outlineLevel="0" collapsed="false">
      <c r="A54" s="68" t="n">
        <f aca="false">B13</f>
        <v>37408</v>
      </c>
      <c r="B54" s="14" t="n">
        <v>1</v>
      </c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</row>
    <row r="55" customFormat="false" ht="12.75" hidden="false" customHeight="false" outlineLevel="0" collapsed="false">
      <c r="A55" s="68" t="n">
        <f aca="false">B14</f>
        <v>37438</v>
      </c>
      <c r="B55" s="14" t="n">
        <v>1</v>
      </c>
      <c r="E55" s="69"/>
      <c r="F55" s="69"/>
      <c r="G55" s="69"/>
      <c r="H55" s="69"/>
      <c r="I55" s="69"/>
      <c r="J55" s="57"/>
      <c r="K55" s="57"/>
      <c r="L55" s="69"/>
      <c r="M55" s="57"/>
      <c r="N55" s="69"/>
      <c r="O55" s="57"/>
      <c r="P55" s="69"/>
      <c r="Q55" s="57"/>
      <c r="R55" s="69"/>
    </row>
    <row r="56" customFormat="false" ht="12.75" hidden="false" customHeight="false" outlineLevel="0" collapsed="false">
      <c r="A56" s="68" t="n">
        <f aca="false">B15</f>
        <v>37469</v>
      </c>
      <c r="B56" s="14" t="n">
        <v>1</v>
      </c>
      <c r="E56" s="69"/>
      <c r="F56" s="69"/>
      <c r="G56" s="69"/>
      <c r="H56" s="69"/>
      <c r="I56" s="69"/>
      <c r="J56" s="57"/>
      <c r="K56" s="57"/>
      <c r="L56" s="69"/>
      <c r="M56" s="57"/>
      <c r="N56" s="69"/>
      <c r="O56" s="57"/>
      <c r="P56" s="69"/>
      <c r="Q56" s="57"/>
      <c r="R56" s="69"/>
    </row>
    <row r="57" customFormat="false" ht="12.75" hidden="false" customHeight="false" outlineLevel="0" collapsed="false">
      <c r="A57" s="68" t="n">
        <f aca="false">B16</f>
        <v>37500</v>
      </c>
      <c r="B57" s="14" t="n">
        <v>1</v>
      </c>
      <c r="E57" s="69"/>
      <c r="F57" s="69"/>
      <c r="G57" s="69"/>
      <c r="H57" s="69"/>
      <c r="I57" s="69"/>
      <c r="J57" s="57"/>
      <c r="K57" s="57"/>
      <c r="L57" s="69"/>
      <c r="M57" s="57"/>
      <c r="N57" s="69"/>
      <c r="O57" s="57"/>
      <c r="P57" s="69"/>
      <c r="Q57" s="57"/>
      <c r="R57" s="69"/>
    </row>
    <row r="58" customFormat="false" ht="12.75" hidden="false" customHeight="false" outlineLevel="0" collapsed="false">
      <c r="A58" s="68" t="n">
        <f aca="false">B17</f>
        <v>37530</v>
      </c>
      <c r="B58" s="14" t="n">
        <v>1</v>
      </c>
      <c r="E58" s="69"/>
      <c r="F58" s="69"/>
      <c r="G58" s="69"/>
      <c r="H58" s="69"/>
      <c r="I58" s="69"/>
      <c r="J58" s="57"/>
      <c r="K58" s="57"/>
      <c r="L58" s="69"/>
      <c r="M58" s="57"/>
      <c r="N58" s="69"/>
      <c r="O58" s="57"/>
      <c r="P58" s="69"/>
      <c r="Q58" s="57"/>
      <c r="R58" s="69"/>
    </row>
    <row r="59" customFormat="false" ht="12.75" hidden="false" customHeight="false" outlineLevel="0" collapsed="false">
      <c r="A59" s="68" t="n">
        <f aca="false">B18</f>
        <v>37561</v>
      </c>
      <c r="B59" s="14" t="n">
        <v>1</v>
      </c>
      <c r="E59" s="69"/>
      <c r="F59" s="69"/>
      <c r="G59" s="69"/>
      <c r="H59" s="69"/>
      <c r="I59" s="69"/>
      <c r="J59" s="57"/>
      <c r="K59" s="57"/>
      <c r="L59" s="69"/>
      <c r="M59" s="57"/>
      <c r="N59" s="69"/>
      <c r="O59" s="57"/>
      <c r="P59" s="69"/>
      <c r="Q59" s="57"/>
      <c r="R59" s="69"/>
    </row>
    <row r="60" customFormat="false" ht="12.75" hidden="false" customHeight="false" outlineLevel="0" collapsed="false">
      <c r="A60" s="68" t="n">
        <f aca="false">B19</f>
        <v>37591</v>
      </c>
      <c r="B60" s="14" t="n">
        <v>1</v>
      </c>
      <c r="E60" s="69"/>
      <c r="F60" s="69"/>
      <c r="G60" s="69"/>
      <c r="H60" s="69"/>
      <c r="I60" s="69"/>
      <c r="J60" s="57"/>
      <c r="K60" s="57"/>
      <c r="L60" s="69"/>
      <c r="M60" s="57"/>
      <c r="N60" s="69"/>
      <c r="O60" s="57"/>
      <c r="P60" s="69"/>
      <c r="Q60" s="57"/>
      <c r="R60" s="69"/>
    </row>
    <row r="61" customFormat="false" ht="12.75" hidden="false" customHeight="false" outlineLevel="0" collapsed="false">
      <c r="A61" s="68" t="n">
        <f aca="false">B20</f>
        <v>37622</v>
      </c>
      <c r="B61" s="14" t="n">
        <v>1</v>
      </c>
      <c r="E61" s="69"/>
      <c r="F61" s="69"/>
      <c r="G61" s="69"/>
      <c r="H61" s="69"/>
      <c r="I61" s="69"/>
      <c r="J61" s="57"/>
      <c r="K61" s="57"/>
      <c r="L61" s="69"/>
      <c r="M61" s="57"/>
      <c r="N61" s="69"/>
      <c r="O61" s="57"/>
      <c r="P61" s="69"/>
      <c r="Q61" s="57"/>
      <c r="R61" s="69"/>
    </row>
    <row r="62" customFormat="false" ht="12.75" hidden="false" customHeight="false" outlineLevel="0" collapsed="false">
      <c r="A62" s="68" t="n">
        <f aca="false">B21</f>
        <v>37653</v>
      </c>
      <c r="B62" s="14" t="n">
        <v>1</v>
      </c>
      <c r="E62" s="69"/>
      <c r="F62" s="69"/>
      <c r="G62" s="69"/>
      <c r="H62" s="69"/>
      <c r="I62" s="69"/>
      <c r="J62" s="57"/>
      <c r="K62" s="57"/>
      <c r="L62" s="69"/>
      <c r="M62" s="57"/>
      <c r="N62" s="69"/>
      <c r="O62" s="57"/>
      <c r="P62" s="69"/>
      <c r="Q62" s="57"/>
      <c r="R62" s="69"/>
    </row>
    <row r="63" customFormat="false" ht="12.75" hidden="false" customHeight="false" outlineLevel="0" collapsed="false">
      <c r="A63" s="68" t="n">
        <f aca="false">B22</f>
        <v>37681</v>
      </c>
      <c r="B63" s="14" t="n">
        <v>1</v>
      </c>
      <c r="E63" s="69"/>
      <c r="F63" s="69"/>
      <c r="G63" s="69"/>
      <c r="H63" s="69"/>
      <c r="I63" s="69"/>
      <c r="J63" s="57"/>
      <c r="K63" s="57"/>
      <c r="L63" s="69"/>
      <c r="M63" s="57"/>
      <c r="N63" s="69"/>
      <c r="O63" s="57"/>
      <c r="P63" s="69"/>
      <c r="Q63" s="57"/>
      <c r="R63" s="69"/>
    </row>
    <row r="64" customFormat="false" ht="12.75" hidden="false" customHeight="false" outlineLevel="0" collapsed="false">
      <c r="A64" s="68" t="n">
        <f aca="false">B23</f>
        <v>37712</v>
      </c>
      <c r="B64" s="14" t="n">
        <v>1</v>
      </c>
      <c r="E64" s="69"/>
      <c r="F64" s="69"/>
      <c r="G64" s="69"/>
      <c r="H64" s="69"/>
      <c r="I64" s="69"/>
      <c r="J64" s="57"/>
      <c r="K64" s="57"/>
      <c r="L64" s="69"/>
      <c r="M64" s="69"/>
      <c r="N64" s="69"/>
      <c r="O64" s="69"/>
      <c r="P64" s="69"/>
      <c r="Q64" s="69"/>
      <c r="R64" s="69"/>
    </row>
    <row r="65" customFormat="false" ht="12.75" hidden="false" customHeight="false" outlineLevel="0" collapsed="false">
      <c r="A65" s="68" t="n">
        <f aca="false">B24</f>
        <v>37742</v>
      </c>
      <c r="B65" s="14" t="n">
        <v>1</v>
      </c>
      <c r="E65" s="69"/>
      <c r="F65" s="69"/>
      <c r="G65" s="69"/>
      <c r="H65" s="69"/>
      <c r="I65" s="69"/>
      <c r="J65" s="57"/>
      <c r="K65" s="57"/>
      <c r="L65" s="69"/>
      <c r="M65" s="69"/>
      <c r="N65" s="69"/>
      <c r="O65" s="69"/>
      <c r="P65" s="69"/>
      <c r="Q65" s="69"/>
      <c r="R65" s="69"/>
    </row>
    <row r="66" customFormat="false" ht="12.75" hidden="false" customHeight="false" outlineLevel="0" collapsed="false">
      <c r="A66" s="68" t="n">
        <f aca="false">B25</f>
        <v>37773</v>
      </c>
      <c r="B66" s="14" t="n">
        <v>1</v>
      </c>
      <c r="E66" s="69"/>
      <c r="F66" s="69"/>
      <c r="G66" s="69"/>
      <c r="H66" s="69"/>
      <c r="I66" s="69"/>
      <c r="J66" s="57"/>
      <c r="K66" s="57"/>
      <c r="L66" s="57"/>
      <c r="M66" s="57"/>
      <c r="N66" s="57"/>
      <c r="O66" s="57"/>
      <c r="P66" s="57"/>
      <c r="Q66" s="57"/>
      <c r="R66" s="57"/>
    </row>
    <row r="67" customFormat="false" ht="12.75" hidden="false" customHeight="false" outlineLevel="0" collapsed="false">
      <c r="A67" s="68" t="n">
        <f aca="false">B26</f>
        <v>37803</v>
      </c>
      <c r="B67" s="14" t="n">
        <v>1</v>
      </c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</row>
    <row r="68" customFormat="false" ht="12.75" hidden="false" customHeight="false" outlineLevel="0" collapsed="false">
      <c r="A68" s="68" t="n">
        <f aca="false">B27</f>
        <v>37834</v>
      </c>
      <c r="B68" s="14" t="n">
        <v>1</v>
      </c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</row>
    <row r="69" customFormat="false" ht="12.75" hidden="false" customHeight="false" outlineLevel="0" collapsed="false">
      <c r="A69" s="68" t="n">
        <f aca="false">B28</f>
        <v>37865</v>
      </c>
      <c r="B69" s="14" t="n">
        <v>1</v>
      </c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</row>
    <row r="70" customFormat="false" ht="12.75" hidden="false" customHeight="false" outlineLevel="0" collapsed="false">
      <c r="A70" s="68" t="n">
        <f aca="false">B29</f>
        <v>37895</v>
      </c>
      <c r="B70" s="14" t="n">
        <v>1</v>
      </c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</row>
    <row r="71" customFormat="false" ht="12.75" hidden="false" customHeight="false" outlineLevel="0" collapsed="false">
      <c r="A71" s="68" t="n">
        <f aca="false">B30</f>
        <v>37926</v>
      </c>
      <c r="B71" s="14" t="n">
        <v>1</v>
      </c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</row>
    <row r="72" customFormat="false" ht="12.75" hidden="false" customHeight="false" outlineLevel="0" collapsed="false">
      <c r="A72" s="68" t="n">
        <f aca="false">B31</f>
        <v>37956</v>
      </c>
      <c r="B72" s="14" t="n">
        <v>1</v>
      </c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</row>
    <row r="73" customFormat="false" ht="12.75" hidden="false" customHeight="false" outlineLevel="0" collapsed="false">
      <c r="A73" s="68" t="n">
        <f aca="false">B32</f>
        <v>37987</v>
      </c>
      <c r="B73" s="14" t="n">
        <v>1</v>
      </c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</row>
    <row r="74" customFormat="false" ht="12.75" hidden="false" customHeight="false" outlineLevel="0" collapsed="false">
      <c r="A74" s="68" t="n">
        <f aca="false">B33</f>
        <v>38018</v>
      </c>
      <c r="B74" s="14" t="n">
        <v>1</v>
      </c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</row>
    <row r="75" customFormat="false" ht="12.75" hidden="false" customHeight="false" outlineLevel="0" collapsed="false">
      <c r="A75" s="68" t="n">
        <f aca="false">B34</f>
        <v>38047</v>
      </c>
      <c r="B75" s="14" t="n">
        <v>1</v>
      </c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</row>
    <row r="76" customFormat="false" ht="12.75" hidden="false" customHeight="false" outlineLevel="0" collapsed="false">
      <c r="A76" s="68" t="n">
        <f aca="false">B35</f>
        <v>38078</v>
      </c>
      <c r="B76" s="14" t="n">
        <v>1</v>
      </c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</row>
    <row r="77" customFormat="false" ht="12.75" hidden="false" customHeight="false" outlineLevel="0" collapsed="false">
      <c r="A77" s="68" t="n">
        <f aca="false">B36</f>
        <v>38108</v>
      </c>
      <c r="B77" s="14" t="n">
        <v>1</v>
      </c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</row>
    <row r="78" customFormat="false" ht="12.75" hidden="false" customHeight="false" outlineLevel="0" collapsed="false">
      <c r="A78" s="68" t="n">
        <f aca="false">B37</f>
        <v>38139</v>
      </c>
      <c r="B78" s="14" t="n">
        <v>1</v>
      </c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</row>
    <row r="79" customFormat="false" ht="12.75" hidden="false" customHeight="false" outlineLevel="0" collapsed="false">
      <c r="A79" s="68" t="n">
        <f aca="false">B38</f>
        <v>40513</v>
      </c>
      <c r="B79" s="14" t="n">
        <v>1</v>
      </c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</row>
    <row r="80" customFormat="false" ht="12.75" hidden="false" customHeight="false" outlineLevel="0" collapsed="false">
      <c r="A80" s="68" t="n">
        <f aca="false">B39</f>
        <v>44531</v>
      </c>
      <c r="B80" s="14" t="n">
        <v>1</v>
      </c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</row>
    <row r="81" customFormat="false" ht="12.75" hidden="false" customHeight="false" outlineLevel="0" collapsed="false"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</row>
    <row r="82" customFormat="false" ht="13.5" hidden="false" customHeight="false" outlineLevel="0" collapsed="false"/>
    <row r="83" customFormat="false" ht="12.75" hidden="false" customHeight="false" outlineLevel="0" collapsed="false">
      <c r="B83" s="14" t="n">
        <v>1</v>
      </c>
      <c r="C83" s="14" t="n">
        <v>1</v>
      </c>
      <c r="D83" s="70" t="str">
        <f aca="false">IF(E43="","",IF(ISNUMBER(FIND("x",E43)),VALUE(LEFT(E43,FIND("x",E43)-1)),VALUE(E43)))</f>
        <v/>
      </c>
      <c r="E83" s="71" t="str">
        <f aca="false">IF(G43="","",IF(ISNUMBER(FIND("x",G43)),IF(F43=$B$85,-1,1)*VALUE(LEFT(G43,FIND("x",G43)-1)),IF(F43=$B$85,-1,1)*VALUE(G43)))</f>
        <v/>
      </c>
      <c r="F83" s="71" t="str">
        <f aca="false">IF(I43="","",IF(ISNUMBER(FIND("x",I43)),IF(H43=$B$85,-1,1)*VALUE(LEFT(I43,FIND("x",I43)-1)),IF(H43=$B$85,-1,1)*VALUE(I43)))</f>
        <v/>
      </c>
      <c r="G83" s="71" t="str">
        <f aca="false">IF(K43="","",IF(ISNUMBER(FIND("x",K43)),IF(J43=$B$85,-1,1)*VALUE(LEFT(K43,FIND("x",K43)-1)),IF(J43=$B$85,-1,1)*VALUE(K43)))</f>
        <v/>
      </c>
      <c r="H83" s="71" t="str">
        <f aca="false">IF(M43="","",IF(ISNUMBER(FIND("x",M43)),IF(L43=$B$85,-1,1)*VALUE(LEFT(M43,FIND("x",M43)-1)),IF(L43=$B$85,-1,1)*VALUE(M43)))</f>
        <v/>
      </c>
      <c r="I83" s="71" t="str">
        <f aca="false">IF(O43="","",IF(ISNUMBER(FIND("x",O43)),IF(N43=$B$85,-1,1)*VALUE(LEFT(O43,FIND("x",O43)-1)),IF(N43=$B$85,-1,1)*VALUE(O43)))</f>
        <v/>
      </c>
      <c r="J83" s="72" t="str">
        <f aca="false">IF(Q43="","",IF(ISNUMBER(FIND("x",Q43)),IF(P43=$B$85,-1,1)*VALUE(LEFT(Q43,FIND("x",Q43)-1)),IF(P43=$B$85,-1,1)*VALUE(Q43)))</f>
        <v/>
      </c>
    </row>
    <row r="84" customFormat="false" ht="12.75" hidden="false" customHeight="false" outlineLevel="0" collapsed="false">
      <c r="A84" s="73" t="s">
        <v>37</v>
      </c>
      <c r="B84" s="14" t="s">
        <v>38</v>
      </c>
      <c r="C84" s="14" t="n">
        <v>2</v>
      </c>
      <c r="D84" s="74" t="str">
        <f aca="false">IF(E44="","",IF(ISNUMBER(FIND("x",E44)),VALUE(LEFT(E44,FIND("x",E44)-1)),VALUE(E44)))</f>
        <v/>
      </c>
      <c r="E84" s="69" t="str">
        <f aca="false">IF(G44="","",IF(ISNUMBER(FIND("x",G44)),IF(F44=$B$85,-1,1)*VALUE(LEFT(G44,FIND("x",G44)-1)),IF(F44=$B$85,-1,1)*VALUE(G44)))</f>
        <v/>
      </c>
      <c r="F84" s="69" t="str">
        <f aca="false">IF(I44="","",IF(ISNUMBER(FIND("x",I44)),IF(H44=$B$85,-1,1)*VALUE(LEFT(I44,FIND("x",I44)-1)),IF(H44=$B$85,-1,1)*VALUE(I44)))</f>
        <v/>
      </c>
      <c r="G84" s="69" t="str">
        <f aca="false">IF(K44="","",IF(ISNUMBER(FIND("x",K44)),IF(J44=$B$85,-1,1)*VALUE(LEFT(K44,FIND("x",K44)-1)),IF(J44=$B$85,-1,1)*VALUE(K44)))</f>
        <v/>
      </c>
      <c r="H84" s="69" t="str">
        <f aca="false">IF(M44="","",IF(ISNUMBER(FIND("x",M44)),IF(L44=$B$85,-1,1)*VALUE(LEFT(M44,FIND("x",M44)-1)),IF(L44=$B$85,-1,1)*VALUE(M44)))</f>
        <v/>
      </c>
      <c r="I84" s="69" t="str">
        <f aca="false">IF(O44="","",IF(ISNUMBER(FIND("x",O44)),IF(N44=$B$85,-1,1)*VALUE(LEFT(O44,FIND("x",O44)-1)),IF(N44=$B$85,-1,1)*VALUE(O44)))</f>
        <v/>
      </c>
      <c r="J84" s="75" t="str">
        <f aca="false">IF(Q44="","",IF(ISNUMBER(FIND("x",Q44)),IF(P44=$B$85,-1,1)*VALUE(LEFT(Q44,FIND("x",Q44)-1)),IF(P44=$B$85,-1,1)*VALUE(Q44)))</f>
        <v/>
      </c>
    </row>
    <row r="85" customFormat="false" ht="12.75" hidden="false" customHeight="false" outlineLevel="0" collapsed="false">
      <c r="A85" s="14" t="n">
        <v>2</v>
      </c>
      <c r="B85" s="14" t="s">
        <v>39</v>
      </c>
      <c r="C85" s="14" t="n">
        <v>3</v>
      </c>
      <c r="D85" s="74" t="str">
        <f aca="false">IF(E45="","",IF(ISNUMBER(FIND("x",E45)),VALUE(LEFT(E45,FIND("x",E45)-1)),VALUE(E45)))</f>
        <v/>
      </c>
      <c r="E85" s="69" t="str">
        <f aca="false">IF(G45="","",IF(ISNUMBER(FIND("x",G45)),IF(F45=$B$85,-1,1)*VALUE(LEFT(G45,FIND("x",G45)-1)),IF(F45=$B$85,-1,1)*VALUE(G45)))</f>
        <v/>
      </c>
      <c r="F85" s="69" t="str">
        <f aca="false">IF(I45="","",IF(ISNUMBER(FIND("x",I45)),IF(H45=$B$85,-1,1)*VALUE(LEFT(I45,FIND("x",I45)-1)),IF(H45=$B$85,-1,1)*VALUE(I45)))</f>
        <v/>
      </c>
      <c r="G85" s="69" t="str">
        <f aca="false">IF(K45="","",IF(ISNUMBER(FIND("x",K45)),IF(J45=$B$85,-1,1)*VALUE(LEFT(K45,FIND("x",K45)-1)),IF(J45=$B$85,-1,1)*VALUE(K45)))</f>
        <v/>
      </c>
      <c r="H85" s="69" t="str">
        <f aca="false">IF(M45="","",IF(ISNUMBER(FIND("x",M45)),IF(L45=$B$85,-1,1)*VALUE(LEFT(M45,FIND("x",M45)-1)),IF(L45=$B$85,-1,1)*VALUE(M45)))</f>
        <v/>
      </c>
      <c r="I85" s="69" t="str">
        <f aca="false">IF(O45="","",IF(ISNUMBER(FIND("x",O45)),IF(N45=$B$85,-1,1)*VALUE(LEFT(O45,FIND("x",O45)-1)),IF(N45=$B$85,-1,1)*VALUE(O45)))</f>
        <v/>
      </c>
      <c r="J85" s="75" t="str">
        <f aca="false">IF(Q45="","",IF(ISNUMBER(FIND("x",Q45)),IF(P45=$B$85,-1,1)*VALUE(LEFT(Q45,FIND("x",Q45)-1)),IF(P45=$B$85,-1,1)*VALUE(Q45)))</f>
        <v/>
      </c>
    </row>
    <row r="86" customFormat="false" ht="12.75" hidden="false" customHeight="false" outlineLevel="0" collapsed="false">
      <c r="A86" s="14" t="n">
        <v>3</v>
      </c>
      <c r="C86" s="14" t="n">
        <v>4</v>
      </c>
      <c r="D86" s="74" t="str">
        <f aca="false">IF(E46="","",IF(ISNUMBER(FIND("x",E46)),VALUE(LEFT(E46,FIND("x",E46)-1)),VALUE(E46)))</f>
        <v/>
      </c>
      <c r="E86" s="69" t="str">
        <f aca="false">IF(G46="","",IF(ISNUMBER(FIND("x",G46)),IF(F46=$B$85,-1,1)*VALUE(LEFT(G46,FIND("x",G46)-1)),IF(F46=$B$85,-1,1)*VALUE(G46)))</f>
        <v/>
      </c>
      <c r="F86" s="69" t="str">
        <f aca="false">IF(I46="","",IF(ISNUMBER(FIND("x",I46)),IF(H46=$B$85,-1,1)*VALUE(LEFT(I46,FIND("x",I46)-1)),IF(H46=$B$85,-1,1)*VALUE(I46)))</f>
        <v/>
      </c>
      <c r="G86" s="69" t="str">
        <f aca="false">IF(K46="","",IF(ISNUMBER(FIND("x",K46)),IF(J46=$B$85,-1,1)*VALUE(LEFT(K46,FIND("x",K46)-1)),IF(J46=$B$85,-1,1)*VALUE(K46)))</f>
        <v/>
      </c>
      <c r="H86" s="69" t="str">
        <f aca="false">IF(M46="","",IF(ISNUMBER(FIND("x",M46)),IF(L46=$B$85,-1,1)*VALUE(LEFT(M46,FIND("x",M46)-1)),IF(L46=$B$85,-1,1)*VALUE(M46)))</f>
        <v/>
      </c>
      <c r="I86" s="69" t="str">
        <f aca="false">IF(O46="","",IF(ISNUMBER(FIND("x",O46)),IF(N46=$B$85,-1,1)*VALUE(LEFT(O46,FIND("x",O46)-1)),IF(N46=$B$85,-1,1)*VALUE(O46)))</f>
        <v/>
      </c>
      <c r="J86" s="75" t="str">
        <f aca="false">IF(Q46="","",IF(ISNUMBER(FIND("x",Q46)),IF(P46=$B$85,-1,1)*VALUE(LEFT(Q46,FIND("x",Q46)-1)),IF(P46=$B$85,-1,1)*VALUE(Q46)))</f>
        <v/>
      </c>
    </row>
    <row r="87" customFormat="false" ht="12.75" hidden="false" customHeight="false" outlineLevel="0" collapsed="false">
      <c r="A87" s="14" t="n">
        <v>4</v>
      </c>
      <c r="C87" s="14" t="n">
        <v>5</v>
      </c>
      <c r="D87" s="74" t="str">
        <f aca="false">IF(E47="","",IF(ISNUMBER(FIND("x",E47)),VALUE(LEFT(E47,FIND("x",E47)-1)),VALUE(E47)))</f>
        <v/>
      </c>
      <c r="E87" s="69" t="str">
        <f aca="false">IF(G47="","",IF(ISNUMBER(FIND("x",G47)),IF(F47=$B$85,-1,1)*VALUE(LEFT(G47,FIND("x",G47)-1)),IF(F47=$B$85,-1,1)*VALUE(G47)))</f>
        <v/>
      </c>
      <c r="F87" s="69" t="str">
        <f aca="false">IF(I47="","",IF(ISNUMBER(FIND("x",I47)),IF(H47=$B$85,-1,1)*VALUE(LEFT(I47,FIND("x",I47)-1)),IF(H47=$B$85,-1,1)*VALUE(I47)))</f>
        <v/>
      </c>
      <c r="G87" s="69" t="str">
        <f aca="false">IF(K47="","",IF(ISNUMBER(FIND("x",K47)),IF(J47=$B$85,-1,1)*VALUE(LEFT(K47,FIND("x",K47)-1)),IF(J47=$B$85,-1,1)*VALUE(K47)))</f>
        <v/>
      </c>
      <c r="H87" s="69" t="str">
        <f aca="false">IF(M47="","",IF(ISNUMBER(FIND("x",M47)),IF(L47=$B$85,-1,1)*VALUE(LEFT(M47,FIND("x",M47)-1)),IF(L47=$B$85,-1,1)*VALUE(M47)))</f>
        <v/>
      </c>
      <c r="I87" s="69" t="str">
        <f aca="false">IF(O47="","",IF(ISNUMBER(FIND("x",O47)),IF(N47=$B$85,-1,1)*VALUE(LEFT(O47,FIND("x",O47)-1)),IF(N47=$B$85,-1,1)*VALUE(O47)))</f>
        <v/>
      </c>
      <c r="J87" s="75" t="str">
        <f aca="false">IF(Q47="","",IF(ISNUMBER(FIND("x",Q47)),IF(P47=$B$85,-1,1)*VALUE(LEFT(Q47,FIND("x",Q47)-1)),IF(P47=$B$85,-1,1)*VALUE(Q47)))</f>
        <v/>
      </c>
    </row>
    <row r="88" customFormat="false" ht="12.75" hidden="false" customHeight="false" outlineLevel="0" collapsed="false">
      <c r="A88" s="14" t="n">
        <v>5</v>
      </c>
      <c r="C88" s="14" t="n">
        <v>6</v>
      </c>
      <c r="D88" s="74" t="str">
        <f aca="false">IF(E48="","",IF(ISNUMBER(FIND("x",E48)),VALUE(LEFT(E48,FIND("x",E48)-1)),VALUE(E48)))</f>
        <v/>
      </c>
      <c r="E88" s="69" t="str">
        <f aca="false">IF(G48="","",IF(ISNUMBER(FIND("x",G48)),IF(F48=$B$85,-1,1)*VALUE(LEFT(G48,FIND("x",G48)-1)),IF(F48=$B$85,-1,1)*VALUE(G48)))</f>
        <v/>
      </c>
      <c r="F88" s="69" t="str">
        <f aca="false">IF(I48="","",IF(ISNUMBER(FIND("x",I48)),IF(H48=$B$85,-1,1)*VALUE(LEFT(I48,FIND("x",I48)-1)),IF(H48=$B$85,-1,1)*VALUE(I48)))</f>
        <v/>
      </c>
      <c r="G88" s="69" t="str">
        <f aca="false">IF(K48="","",IF(ISNUMBER(FIND("x",K48)),IF(J48=$B$85,-1,1)*VALUE(LEFT(K48,FIND("x",K48)-1)),IF(J48=$B$85,-1,1)*VALUE(K48)))</f>
        <v/>
      </c>
      <c r="H88" s="69" t="str">
        <f aca="false">IF(M48="","",IF(ISNUMBER(FIND("x",M48)),IF(L48=$B$85,-1,1)*VALUE(LEFT(M48,FIND("x",M48)-1)),IF(L48=$B$85,-1,1)*VALUE(M48)))</f>
        <v/>
      </c>
      <c r="I88" s="69" t="str">
        <f aca="false">IF(O48="","",IF(ISNUMBER(FIND("x",O48)),IF(N48=$B$85,-1,1)*VALUE(LEFT(O48,FIND("x",O48)-1)),IF(N48=$B$85,-1,1)*VALUE(O48)))</f>
        <v/>
      </c>
      <c r="J88" s="75" t="str">
        <f aca="false">IF(Q48="","",IF(ISNUMBER(FIND("x",Q48)),IF(P48=$B$85,-1,1)*VALUE(LEFT(Q48,FIND("x",Q48)-1)),IF(P48=$B$85,-1,1)*VALUE(Q48)))</f>
        <v/>
      </c>
    </row>
    <row r="89" customFormat="false" ht="12.75" hidden="false" customHeight="false" outlineLevel="0" collapsed="false">
      <c r="A89" s="14" t="n">
        <v>6</v>
      </c>
      <c r="C89" s="14" t="n">
        <v>7</v>
      </c>
      <c r="D89" s="74" t="str">
        <f aca="false">IF(E49="","",IF(ISNUMBER(FIND("x",E49)),VALUE(LEFT(E49,FIND("x",E49)-1)),VALUE(E49)))</f>
        <v/>
      </c>
      <c r="E89" s="69" t="str">
        <f aca="false">IF(G49="","",IF(ISNUMBER(FIND("x",G49)),IF(F49=$B$85,-1,1)*VALUE(LEFT(G49,FIND("x",G49)-1)),IF(F49=$B$85,-1,1)*VALUE(G49)))</f>
        <v/>
      </c>
      <c r="F89" s="69" t="str">
        <f aca="false">IF(I49="","",IF(ISNUMBER(FIND("x",I49)),IF(H49=$B$85,-1,1)*VALUE(LEFT(I49,FIND("x",I49)-1)),IF(H49=$B$85,-1,1)*VALUE(I49)))</f>
        <v/>
      </c>
      <c r="G89" s="69" t="str">
        <f aca="false">IF(K49="","",IF(ISNUMBER(FIND("x",K49)),IF(J49=$B$85,-1,1)*VALUE(LEFT(K49,FIND("x",K49)-1)),IF(J49=$B$85,-1,1)*VALUE(K49)))</f>
        <v/>
      </c>
      <c r="H89" s="69" t="str">
        <f aca="false">IF(M49="","",IF(ISNUMBER(FIND("x",M49)),IF(L49=$B$85,-1,1)*VALUE(LEFT(M49,FIND("x",M49)-1)),IF(L49=$B$85,-1,1)*VALUE(M49)))</f>
        <v/>
      </c>
      <c r="I89" s="69" t="str">
        <f aca="false">IF(O49="","",IF(ISNUMBER(FIND("x",O49)),IF(N49=$B$85,-1,1)*VALUE(LEFT(O49,FIND("x",O49)-1)),IF(N49=$B$85,-1,1)*VALUE(O49)))</f>
        <v/>
      </c>
      <c r="J89" s="75" t="str">
        <f aca="false">IF(Q49="","",IF(ISNUMBER(FIND("x",Q49)),IF(P49=$B$85,-1,1)*VALUE(LEFT(Q49,FIND("x",Q49)-1)),IF(P49=$B$85,-1,1)*VALUE(Q49)))</f>
        <v/>
      </c>
    </row>
    <row r="90" customFormat="false" ht="12.75" hidden="false" customHeight="false" outlineLevel="0" collapsed="false">
      <c r="C90" s="14" t="n">
        <v>8</v>
      </c>
      <c r="D90" s="74" t="str">
        <f aca="false">IF(E50="","",IF(ISNUMBER(FIND("x",E50)),VALUE(LEFT(E50,FIND("x",E50)-1)),VALUE(E50)))</f>
        <v/>
      </c>
      <c r="E90" s="69" t="str">
        <f aca="false">IF(G50="","",IF(ISNUMBER(FIND("x",G50)),IF(F50=$B$85,-1,1)*VALUE(LEFT(G50,FIND("x",G50)-1)),IF(F50=$B$85,-1,1)*VALUE(G50)))</f>
        <v/>
      </c>
      <c r="F90" s="69" t="str">
        <f aca="false">IF(I50="","",IF(ISNUMBER(FIND("x",I50)),IF(H50=$B$85,-1,1)*VALUE(LEFT(I50,FIND("x",I50)-1)),IF(H50=$B$85,-1,1)*VALUE(I50)))</f>
        <v/>
      </c>
      <c r="G90" s="69" t="str">
        <f aca="false">IF(K50="","",IF(ISNUMBER(FIND("x",K50)),IF(J50=$B$85,-1,1)*VALUE(LEFT(K50,FIND("x",K50)-1)),IF(J50=$B$85,-1,1)*VALUE(K50)))</f>
        <v/>
      </c>
      <c r="H90" s="69" t="str">
        <f aca="false">IF(M50="","",IF(ISNUMBER(FIND("x",M50)),IF(L50=$B$85,-1,1)*VALUE(LEFT(M50,FIND("x",M50)-1)),IF(L50=$B$85,-1,1)*VALUE(M50)))</f>
        <v/>
      </c>
      <c r="I90" s="69" t="str">
        <f aca="false">IF(O50="","",IF(ISNUMBER(FIND("x",O50)),IF(N50=$B$85,-1,1)*VALUE(LEFT(O50,FIND("x",O50)-1)),IF(N50=$B$85,-1,1)*VALUE(O50)))</f>
        <v/>
      </c>
      <c r="J90" s="75" t="str">
        <f aca="false">IF(Q50="","",IF(ISNUMBER(FIND("x",Q50)),IF(P50=$B$85,-1,1)*VALUE(LEFT(Q50,FIND("x",Q50)-1)),IF(P50=$B$85,-1,1)*VALUE(Q50)))</f>
        <v/>
      </c>
    </row>
    <row r="91" customFormat="false" ht="12.75" hidden="false" customHeight="false" outlineLevel="0" collapsed="false">
      <c r="C91" s="14" t="n">
        <v>9</v>
      </c>
      <c r="D91" s="74" t="str">
        <f aca="false">IF(E51="","",IF(ISNUMBER(FIND("x",E51)),VALUE(LEFT(E51,FIND("x",E51)-1)),VALUE(E51)))</f>
        <v/>
      </c>
      <c r="E91" s="69" t="str">
        <f aca="false">IF(G51="","",IF(ISNUMBER(FIND("x",G51)),IF(F51=$B$85,-1,1)*VALUE(LEFT(G51,FIND("x",G51)-1)),IF(F51=$B$85,-1,1)*VALUE(G51)))</f>
        <v/>
      </c>
      <c r="F91" s="69" t="str">
        <f aca="false">IF(I51="","",IF(ISNUMBER(FIND("x",I51)),IF(H51=$B$85,-1,1)*VALUE(LEFT(I51,FIND("x",I51)-1)),IF(H51=$B$85,-1,1)*VALUE(I51)))</f>
        <v/>
      </c>
      <c r="G91" s="69" t="str">
        <f aca="false">IF(K51="","",IF(ISNUMBER(FIND("x",K51)),IF(J51=$B$85,-1,1)*VALUE(LEFT(K51,FIND("x",K51)-1)),IF(J51=$B$85,-1,1)*VALUE(K51)))</f>
        <v/>
      </c>
      <c r="H91" s="69" t="str">
        <f aca="false">IF(M51="","",IF(ISNUMBER(FIND("x",M51)),IF(L51=$B$85,-1,1)*VALUE(LEFT(M51,FIND("x",M51)-1)),IF(L51=$B$85,-1,1)*VALUE(M51)))</f>
        <v/>
      </c>
      <c r="I91" s="69" t="str">
        <f aca="false">IF(O51="","",IF(ISNUMBER(FIND("x",O51)),IF(N51=$B$85,-1,1)*VALUE(LEFT(O51,FIND("x",O51)-1)),IF(N51=$B$85,-1,1)*VALUE(O51)))</f>
        <v/>
      </c>
      <c r="J91" s="75" t="str">
        <f aca="false">IF(Q51="","",IF(ISNUMBER(FIND("x",Q51)),IF(P51=$B$85,-1,1)*VALUE(LEFT(Q51,FIND("x",Q51)-1)),IF(P51=$B$85,-1,1)*VALUE(Q51)))</f>
        <v/>
      </c>
    </row>
    <row r="92" customFormat="false" ht="12.75" hidden="false" customHeight="false" outlineLevel="0" collapsed="false">
      <c r="C92" s="14" t="n">
        <v>10</v>
      </c>
      <c r="D92" s="74" t="str">
        <f aca="false">IF(E52="","",IF(ISNUMBER(FIND("x",E52)),VALUE(LEFT(E52,FIND("x",E52)-1)),VALUE(E52)))</f>
        <v/>
      </c>
      <c r="E92" s="69" t="str">
        <f aca="false">IF(G52="","",IF(ISNUMBER(FIND("x",G52)),IF(F52=$B$85,-1,1)*VALUE(LEFT(G52,FIND("x",G52)-1)),IF(F52=$B$85,-1,1)*VALUE(G52)))</f>
        <v/>
      </c>
      <c r="F92" s="69" t="str">
        <f aca="false">IF(I52="","",IF(ISNUMBER(FIND("x",I52)),IF(H52=$B$85,-1,1)*VALUE(LEFT(I52,FIND("x",I52)-1)),IF(H52=$B$85,-1,1)*VALUE(I52)))</f>
        <v/>
      </c>
      <c r="G92" s="69" t="str">
        <f aca="false">IF(K52="","",IF(ISNUMBER(FIND("x",K52)),IF(J52=$B$85,-1,1)*VALUE(LEFT(K52,FIND("x",K52)-1)),IF(J52=$B$85,-1,1)*VALUE(K52)))</f>
        <v/>
      </c>
      <c r="H92" s="69" t="str">
        <f aca="false">IF(M52="","",IF(ISNUMBER(FIND("x",M52)),IF(L52=$B$85,-1,1)*VALUE(LEFT(M52,FIND("x",M52)-1)),IF(L52=$B$85,-1,1)*VALUE(M52)))</f>
        <v/>
      </c>
      <c r="I92" s="69" t="str">
        <f aca="false">IF(O52="","",IF(ISNUMBER(FIND("x",O52)),IF(N52=$B$85,-1,1)*VALUE(LEFT(O52,FIND("x",O52)-1)),IF(N52=$B$85,-1,1)*VALUE(O52)))</f>
        <v/>
      </c>
      <c r="J92" s="75" t="str">
        <f aca="false">IF(Q52="","",IF(ISNUMBER(FIND("x",Q52)),IF(P52=$B$85,-1,1)*VALUE(LEFT(Q52,FIND("x",Q52)-1)),IF(P52=$B$85,-1,1)*VALUE(Q52)))</f>
        <v/>
      </c>
    </row>
    <row r="93" customFormat="false" ht="12.75" hidden="false" customHeight="false" outlineLevel="0" collapsed="false">
      <c r="C93" s="14" t="n">
        <v>11</v>
      </c>
      <c r="D93" s="74" t="str">
        <f aca="false">IF(E53="","",IF(ISNUMBER(FIND("x",E53)),VALUE(LEFT(E53,FIND("x",E53)-1)),VALUE(E53)))</f>
        <v/>
      </c>
      <c r="E93" s="69" t="str">
        <f aca="false">IF(G53="","",IF(ISNUMBER(FIND("x",G53)),IF(F53=$B$85,-1,1)*VALUE(LEFT(G53,FIND("x",G53)-1)),IF(F53=$B$85,-1,1)*VALUE(G53)))</f>
        <v/>
      </c>
      <c r="F93" s="69" t="str">
        <f aca="false">IF(I53="","",IF(ISNUMBER(FIND("x",I53)),IF(H53=$B$85,-1,1)*VALUE(LEFT(I53,FIND("x",I53)-1)),IF(H53=$B$85,-1,1)*VALUE(I53)))</f>
        <v/>
      </c>
      <c r="G93" s="69" t="str">
        <f aca="false">IF(K53="","",IF(ISNUMBER(FIND("x",K53)),IF(J53=$B$85,-1,1)*VALUE(LEFT(K53,FIND("x",K53)-1)),IF(J53=$B$85,-1,1)*VALUE(K53)))</f>
        <v/>
      </c>
      <c r="H93" s="69" t="str">
        <f aca="false">IF(M53="","",IF(ISNUMBER(FIND("x",M53)),IF(L53=$B$85,-1,1)*VALUE(LEFT(M53,FIND("x",M53)-1)),IF(L53=$B$85,-1,1)*VALUE(M53)))</f>
        <v/>
      </c>
      <c r="I93" s="69" t="str">
        <f aca="false">IF(O53="","",IF(ISNUMBER(FIND("x",O53)),IF(N53=$B$85,-1,1)*VALUE(LEFT(O53,FIND("x",O53)-1)),IF(N53=$B$85,-1,1)*VALUE(O53)))</f>
        <v/>
      </c>
      <c r="J93" s="75" t="str">
        <f aca="false">IF(Q53="","",IF(ISNUMBER(FIND("x",Q53)),IF(P53=$B$85,-1,1)*VALUE(LEFT(Q53,FIND("x",Q53)-1)),IF(P53=$B$85,-1,1)*VALUE(Q53)))</f>
        <v/>
      </c>
    </row>
    <row r="94" customFormat="false" ht="12.75" hidden="false" customHeight="false" outlineLevel="0" collapsed="false">
      <c r="C94" s="14" t="n">
        <v>12</v>
      </c>
      <c r="D94" s="74" t="str">
        <f aca="false">IF(E54="","",IF(ISNUMBER(FIND("x",E54)),VALUE(LEFT(E54,FIND("x",E54)-1)),VALUE(E54)))</f>
        <v/>
      </c>
      <c r="E94" s="69" t="str">
        <f aca="false">IF(G54="","",IF(ISNUMBER(FIND("x",G54)),IF(F54=$B$85,-1,1)*VALUE(LEFT(G54,FIND("x",G54)-1)),IF(F54=$B$85,-1,1)*VALUE(G54)))</f>
        <v/>
      </c>
      <c r="F94" s="69" t="str">
        <f aca="false">IF(I54="","",IF(ISNUMBER(FIND("x",I54)),IF(H54=$B$85,-1,1)*VALUE(LEFT(I54,FIND("x",I54)-1)),IF(H54=$B$85,-1,1)*VALUE(I54)))</f>
        <v/>
      </c>
      <c r="G94" s="69" t="str">
        <f aca="false">IF(K54="","",IF(ISNUMBER(FIND("x",K54)),IF(J54=$B$85,-1,1)*VALUE(LEFT(K54,FIND("x",K54)-1)),IF(J54=$B$85,-1,1)*VALUE(K54)))</f>
        <v/>
      </c>
      <c r="H94" s="69" t="str">
        <f aca="false">IF(M54="","",IF(ISNUMBER(FIND("x",M54)),IF(L54=$B$85,-1,1)*VALUE(LEFT(M54,FIND("x",M54)-1)),IF(L54=$B$85,-1,1)*VALUE(M54)))</f>
        <v/>
      </c>
      <c r="I94" s="69" t="str">
        <f aca="false">IF(O54="","",IF(ISNUMBER(FIND("x",O54)),IF(N54=$B$85,-1,1)*VALUE(LEFT(O54,FIND("x",O54)-1)),IF(N54=$B$85,-1,1)*VALUE(O54)))</f>
        <v/>
      </c>
      <c r="J94" s="75" t="str">
        <f aca="false">IF(Q54="","",IF(ISNUMBER(FIND("x",Q54)),IF(P54=$B$85,-1,1)*VALUE(LEFT(Q54,FIND("x",Q54)-1)),IF(P54=$B$85,-1,1)*VALUE(Q54)))</f>
        <v/>
      </c>
    </row>
    <row r="95" customFormat="false" ht="12.75" hidden="false" customHeight="false" outlineLevel="0" collapsed="false">
      <c r="C95" s="14" t="n">
        <v>13</v>
      </c>
      <c r="D95" s="74" t="str">
        <f aca="false">IF(E55="","",IF(ISNUMBER(FIND("x",E55)),VALUE(LEFT(E55,FIND("x",E55)-1)),VALUE(E55)))</f>
        <v/>
      </c>
      <c r="E95" s="69" t="str">
        <f aca="false">IF(G55="","",IF(ISNUMBER(FIND("x",G55)),IF(F55=$B$85,-1,1)*VALUE(LEFT(G55,FIND("x",G55)-1)),IF(F55=$B$85,-1,1)*VALUE(G55)))</f>
        <v/>
      </c>
      <c r="F95" s="69" t="str">
        <f aca="false">IF(I55="","",IF(ISNUMBER(FIND("x",I55)),IF(H55=$B$85,-1,1)*VALUE(LEFT(I55,FIND("x",I55)-1)),IF(H55=$B$85,-1,1)*VALUE(I55)))</f>
        <v/>
      </c>
      <c r="G95" s="69" t="str">
        <f aca="false">IF(K55="","",IF(ISNUMBER(FIND("x",K55)),IF(J55=$B$85,-1,1)*VALUE(LEFT(K55,FIND("x",K55)-1)),IF(J55=$B$85,-1,1)*VALUE(K55)))</f>
        <v/>
      </c>
      <c r="H95" s="69" t="str">
        <f aca="false">IF(M55="","",IF(ISNUMBER(FIND("x",M55)),IF(L55=$B$85,-1,1)*VALUE(LEFT(M55,FIND("x",M55)-1)),IF(L55=$B$85,-1,1)*VALUE(M55)))</f>
        <v/>
      </c>
      <c r="I95" s="69" t="str">
        <f aca="false">IF(O55="","",IF(ISNUMBER(FIND("x",O55)),IF(N55=$B$85,-1,1)*VALUE(LEFT(O55,FIND("x",O55)-1)),IF(N55=$B$85,-1,1)*VALUE(O55)))</f>
        <v/>
      </c>
      <c r="J95" s="75" t="str">
        <f aca="false">IF(Q55="","",IF(ISNUMBER(FIND("x",Q55)),IF(P55=$B$85,-1,1)*VALUE(LEFT(Q55,FIND("x",Q55)-1)),IF(P55=$B$85,-1,1)*VALUE(Q55)))</f>
        <v/>
      </c>
    </row>
    <row r="96" customFormat="false" ht="12.75" hidden="false" customHeight="false" outlineLevel="0" collapsed="false">
      <c r="C96" s="14" t="n">
        <v>14</v>
      </c>
      <c r="D96" s="74" t="str">
        <f aca="false">IF(E56="","",IF(ISNUMBER(FIND("x",E56)),VALUE(LEFT(E56,FIND("x",E56)-1)),VALUE(E56)))</f>
        <v/>
      </c>
      <c r="E96" s="69" t="str">
        <f aca="false">IF(G56="","",IF(ISNUMBER(FIND("x",G56)),IF(F56=$B$85,-1,1)*VALUE(LEFT(G56,FIND("x",G56)-1)),IF(F56=$B$85,-1,1)*VALUE(G56)))</f>
        <v/>
      </c>
      <c r="F96" s="69" t="str">
        <f aca="false">IF(I56="","",IF(ISNUMBER(FIND("x",I56)),IF(H56=$B$85,-1,1)*VALUE(LEFT(I56,FIND("x",I56)-1)),IF(H56=$B$85,-1,1)*VALUE(I56)))</f>
        <v/>
      </c>
      <c r="G96" s="69" t="str">
        <f aca="false">IF(K56="","",IF(ISNUMBER(FIND("x",K56)),IF(J56=$B$85,-1,1)*VALUE(LEFT(K56,FIND("x",K56)-1)),IF(J56=$B$85,-1,1)*VALUE(K56)))</f>
        <v/>
      </c>
      <c r="H96" s="69" t="str">
        <f aca="false">IF(M56="","",IF(ISNUMBER(FIND("x",M56)),IF(L56=$B$85,-1,1)*VALUE(LEFT(M56,FIND("x",M56)-1)),IF(L56=$B$85,-1,1)*VALUE(M56)))</f>
        <v/>
      </c>
      <c r="I96" s="69" t="str">
        <f aca="false">IF(O56="","",IF(ISNUMBER(FIND("x",O56)),IF(N56=$B$85,-1,1)*VALUE(LEFT(O56,FIND("x",O56)-1)),IF(N56=$B$85,-1,1)*VALUE(O56)))</f>
        <v/>
      </c>
      <c r="J96" s="75" t="str">
        <f aca="false">IF(Q56="","",IF(ISNUMBER(FIND("x",Q56)),IF(P56=$B$85,-1,1)*VALUE(LEFT(Q56,FIND("x",Q56)-1)),IF(P56=$B$85,-1,1)*VALUE(Q56)))</f>
        <v/>
      </c>
    </row>
    <row r="97" customFormat="false" ht="12.75" hidden="false" customHeight="false" outlineLevel="0" collapsed="false">
      <c r="C97" s="14" t="n">
        <v>15</v>
      </c>
      <c r="D97" s="74" t="str">
        <f aca="false">IF(E57="","",IF(ISNUMBER(FIND("x",E57)),VALUE(LEFT(E57,FIND("x",E57)-1)),VALUE(E57)))</f>
        <v/>
      </c>
      <c r="E97" s="69" t="str">
        <f aca="false">IF(G57="","",IF(ISNUMBER(FIND("x",G57)),IF(F57=$B$85,-1,1)*VALUE(LEFT(G57,FIND("x",G57)-1)),IF(F57=$B$85,-1,1)*VALUE(G57)))</f>
        <v/>
      </c>
      <c r="F97" s="69" t="str">
        <f aca="false">IF(I57="","",IF(ISNUMBER(FIND("x",I57)),IF(H57=$B$85,-1,1)*VALUE(LEFT(I57,FIND("x",I57)-1)),IF(H57=$B$85,-1,1)*VALUE(I57)))</f>
        <v/>
      </c>
      <c r="G97" s="69" t="str">
        <f aca="false">IF(K57="","",IF(ISNUMBER(FIND("x",K57)),IF(J57=$B$85,-1,1)*VALUE(LEFT(K57,FIND("x",K57)-1)),IF(J57=$B$85,-1,1)*VALUE(K57)))</f>
        <v/>
      </c>
      <c r="H97" s="69" t="str">
        <f aca="false">IF(M57="","",IF(ISNUMBER(FIND("x",M57)),IF(L57=$B$85,-1,1)*VALUE(LEFT(M57,FIND("x",M57)-1)),IF(L57=$B$85,-1,1)*VALUE(M57)))</f>
        <v/>
      </c>
      <c r="I97" s="69" t="str">
        <f aca="false">IF(O57="","",IF(ISNUMBER(FIND("x",O57)),IF(N57=$B$85,-1,1)*VALUE(LEFT(O57,FIND("x",O57)-1)),IF(N57=$B$85,-1,1)*VALUE(O57)))</f>
        <v/>
      </c>
      <c r="J97" s="75" t="str">
        <f aca="false">IF(Q57="","",IF(ISNUMBER(FIND("x",Q57)),IF(P57=$B$85,-1,1)*VALUE(LEFT(Q57,FIND("x",Q57)-1)),IF(P57=$B$85,-1,1)*VALUE(Q57)))</f>
        <v/>
      </c>
    </row>
    <row r="98" customFormat="false" ht="12.75" hidden="false" customHeight="false" outlineLevel="0" collapsed="false">
      <c r="C98" s="14" t="n">
        <v>16</v>
      </c>
      <c r="D98" s="74" t="str">
        <f aca="false">IF(E58="","",IF(ISNUMBER(FIND("x",E58)),VALUE(LEFT(E58,FIND("x",E58)-1)),VALUE(E58)))</f>
        <v/>
      </c>
      <c r="E98" s="69" t="str">
        <f aca="false">IF(G58="","",IF(ISNUMBER(FIND("x",G58)),IF(F58=$B$85,-1,1)*VALUE(LEFT(G58,FIND("x",G58)-1)),IF(F58=$B$85,-1,1)*VALUE(G58)))</f>
        <v/>
      </c>
      <c r="F98" s="69" t="str">
        <f aca="false">IF(I58="","",IF(ISNUMBER(FIND("x",I58)),IF(H58=$B$85,-1,1)*VALUE(LEFT(I58,FIND("x",I58)-1)),IF(H58=$B$85,-1,1)*VALUE(I58)))</f>
        <v/>
      </c>
      <c r="G98" s="69" t="str">
        <f aca="false">IF(K58="","",IF(ISNUMBER(FIND("x",K58)),IF(J58=$B$85,-1,1)*VALUE(LEFT(K58,FIND("x",K58)-1)),IF(J58=$B$85,-1,1)*VALUE(K58)))</f>
        <v/>
      </c>
      <c r="H98" s="69" t="str">
        <f aca="false">IF(M58="","",IF(ISNUMBER(FIND("x",M58)),IF(L58=$B$85,-1,1)*VALUE(LEFT(M58,FIND("x",M58)-1)),IF(L58=$B$85,-1,1)*VALUE(M58)))</f>
        <v/>
      </c>
      <c r="I98" s="69" t="str">
        <f aca="false">IF(O58="","",IF(ISNUMBER(FIND("x",O58)),IF(N58=$B$85,-1,1)*VALUE(LEFT(O58,FIND("x",O58)-1)),IF(N58=$B$85,-1,1)*VALUE(O58)))</f>
        <v/>
      </c>
      <c r="J98" s="75" t="str">
        <f aca="false">IF(Q58="","",IF(ISNUMBER(FIND("x",Q58)),IF(P58=$B$85,-1,1)*VALUE(LEFT(Q58,FIND("x",Q58)-1)),IF(P58=$B$85,-1,1)*VALUE(Q58)))</f>
        <v/>
      </c>
    </row>
    <row r="99" customFormat="false" ht="12.75" hidden="false" customHeight="false" outlineLevel="0" collapsed="false">
      <c r="C99" s="14" t="n">
        <v>17</v>
      </c>
      <c r="D99" s="74" t="str">
        <f aca="false">IF(E59="","",IF(ISNUMBER(FIND("x",E59)),VALUE(LEFT(E59,FIND("x",E59)-1)),VALUE(E59)))</f>
        <v/>
      </c>
      <c r="E99" s="69" t="str">
        <f aca="false">IF(G59="","",IF(ISNUMBER(FIND("x",G59)),IF(F59=$B$85,-1,1)*VALUE(LEFT(G59,FIND("x",G59)-1)),IF(F59=$B$85,-1,1)*VALUE(G59)))</f>
        <v/>
      </c>
      <c r="F99" s="69" t="str">
        <f aca="false">IF(I59="","",IF(ISNUMBER(FIND("x",I59)),IF(H59=$B$85,-1,1)*VALUE(LEFT(I59,FIND("x",I59)-1)),IF(H59=$B$85,-1,1)*VALUE(I59)))</f>
        <v/>
      </c>
      <c r="G99" s="69" t="str">
        <f aca="false">IF(K59="","",IF(ISNUMBER(FIND("x",K59)),IF(J59=$B$85,-1,1)*VALUE(LEFT(K59,FIND("x",K59)-1)),IF(J59=$B$85,-1,1)*VALUE(K59)))</f>
        <v/>
      </c>
      <c r="H99" s="69" t="str">
        <f aca="false">IF(M59="","",IF(ISNUMBER(FIND("x",M59)),IF(L59=$B$85,-1,1)*VALUE(LEFT(M59,FIND("x",M59)-1)),IF(L59=$B$85,-1,1)*VALUE(M59)))</f>
        <v/>
      </c>
      <c r="I99" s="69" t="str">
        <f aca="false">IF(O59="","",IF(ISNUMBER(FIND("x",O59)),IF(N59=$B$85,-1,1)*VALUE(LEFT(O59,FIND("x",O59)-1)),IF(N59=$B$85,-1,1)*VALUE(O59)))</f>
        <v/>
      </c>
      <c r="J99" s="75" t="str">
        <f aca="false">IF(Q59="","",IF(ISNUMBER(FIND("x",Q59)),IF(P59=$B$85,-1,1)*VALUE(LEFT(Q59,FIND("x",Q59)-1)),IF(P59=$B$85,-1,1)*VALUE(Q59)))</f>
        <v/>
      </c>
    </row>
    <row r="100" customFormat="false" ht="12.75" hidden="false" customHeight="false" outlineLevel="0" collapsed="false">
      <c r="C100" s="14" t="n">
        <v>18</v>
      </c>
      <c r="D100" s="74" t="str">
        <f aca="false">IF(E60="","",IF(ISNUMBER(FIND("x",E60)),VALUE(LEFT(E60,FIND("x",E60)-1)),VALUE(E60)))</f>
        <v/>
      </c>
      <c r="E100" s="69" t="str">
        <f aca="false">IF(G60="","",IF(ISNUMBER(FIND("x",G60)),IF(F60=$B$85,-1,1)*VALUE(LEFT(G60,FIND("x",G60)-1)),IF(F60=$B$85,-1,1)*VALUE(G60)))</f>
        <v/>
      </c>
      <c r="F100" s="69" t="str">
        <f aca="false">IF(I60="","",IF(ISNUMBER(FIND("x",I60)),IF(H60=$B$85,-1,1)*VALUE(LEFT(I60,FIND("x",I60)-1)),IF(H60=$B$85,-1,1)*VALUE(I60)))</f>
        <v/>
      </c>
      <c r="G100" s="69" t="str">
        <f aca="false">IF(K60="","",IF(ISNUMBER(FIND("x",K60)),IF(J60=$B$85,-1,1)*VALUE(LEFT(K60,FIND("x",K60)-1)),IF(J60=$B$85,-1,1)*VALUE(K60)))</f>
        <v/>
      </c>
      <c r="H100" s="69" t="str">
        <f aca="false">IF(M60="","",IF(ISNUMBER(FIND("x",M60)),IF(L60=$B$85,-1,1)*VALUE(LEFT(M60,FIND("x",M60)-1)),IF(L60=$B$85,-1,1)*VALUE(M60)))</f>
        <v/>
      </c>
      <c r="I100" s="69" t="str">
        <f aca="false">IF(O60="","",IF(ISNUMBER(FIND("x",O60)),IF(N60=$B$85,-1,1)*VALUE(LEFT(O60,FIND("x",O60)-1)),IF(N60=$B$85,-1,1)*VALUE(O60)))</f>
        <v/>
      </c>
      <c r="J100" s="75" t="str">
        <f aca="false">IF(Q60="","",IF(ISNUMBER(FIND("x",Q60)),IF(P60=$B$85,-1,1)*VALUE(LEFT(Q60,FIND("x",Q60)-1)),IF(P60=$B$85,-1,1)*VALUE(Q60)))</f>
        <v/>
      </c>
    </row>
    <row r="101" customFormat="false" ht="12.75" hidden="false" customHeight="false" outlineLevel="0" collapsed="false">
      <c r="C101" s="14" t="n">
        <v>19</v>
      </c>
      <c r="D101" s="74" t="str">
        <f aca="false">IF(E61="","",IF(ISNUMBER(FIND("x",E61)),VALUE(LEFT(E61,FIND("x",E61)-1)),VALUE(E61)))</f>
        <v/>
      </c>
      <c r="E101" s="69" t="str">
        <f aca="false">IF(G61="","",IF(ISNUMBER(FIND("x",G61)),IF(F61=$B$85,-1,1)*VALUE(LEFT(G61,FIND("x",G61)-1)),IF(F61=$B$85,-1,1)*VALUE(G61)))</f>
        <v/>
      </c>
      <c r="F101" s="69" t="str">
        <f aca="false">IF(I61="","",IF(ISNUMBER(FIND("x",I61)),IF(H61=$B$85,-1,1)*VALUE(LEFT(I61,FIND("x",I61)-1)),IF(H61=$B$85,-1,1)*VALUE(I61)))</f>
        <v/>
      </c>
      <c r="G101" s="69" t="str">
        <f aca="false">IF(K61="","",IF(ISNUMBER(FIND("x",K61)),IF(J61=$B$85,-1,1)*VALUE(LEFT(K61,FIND("x",K61)-1)),IF(J61=$B$85,-1,1)*VALUE(K61)))</f>
        <v/>
      </c>
      <c r="H101" s="69" t="str">
        <f aca="false">IF(M61="","",IF(ISNUMBER(FIND("x",M61)),IF(L61=$B$85,-1,1)*VALUE(LEFT(M61,FIND("x",M61)-1)),IF(L61=$B$85,-1,1)*VALUE(M61)))</f>
        <v/>
      </c>
      <c r="I101" s="69" t="str">
        <f aca="false">IF(O61="","",IF(ISNUMBER(FIND("x",O61)),IF(N61=$B$85,-1,1)*VALUE(LEFT(O61,FIND("x",O61)-1)),IF(N61=$B$85,-1,1)*VALUE(O61)))</f>
        <v/>
      </c>
      <c r="J101" s="75" t="str">
        <f aca="false">IF(Q61="","",IF(ISNUMBER(FIND("x",Q61)),IF(P61=$B$85,-1,1)*VALUE(LEFT(Q61,FIND("x",Q61)-1)),IF(P61=$B$85,-1,1)*VALUE(Q61)))</f>
        <v/>
      </c>
    </row>
    <row r="102" customFormat="false" ht="12.75" hidden="false" customHeight="false" outlineLevel="0" collapsed="false">
      <c r="C102" s="14" t="n">
        <v>20</v>
      </c>
      <c r="D102" s="74" t="str">
        <f aca="false">IF(E62="","",IF(ISNUMBER(FIND("x",E62)),VALUE(LEFT(E62,FIND("x",E62)-1)),VALUE(E62)))</f>
        <v/>
      </c>
      <c r="E102" s="69" t="str">
        <f aca="false">IF(G62="","",IF(ISNUMBER(FIND("x",G62)),IF(F62=$B$85,-1,1)*VALUE(LEFT(G62,FIND("x",G62)-1)),IF(F62=$B$85,-1,1)*VALUE(G62)))</f>
        <v/>
      </c>
      <c r="F102" s="69" t="str">
        <f aca="false">IF(I62="","",IF(ISNUMBER(FIND("x",I62)),IF(H62=$B$85,-1,1)*VALUE(LEFT(I62,FIND("x",I62)-1)),IF(H62=$B$85,-1,1)*VALUE(I62)))</f>
        <v/>
      </c>
      <c r="G102" s="69" t="str">
        <f aca="false">IF(K62="","",IF(ISNUMBER(FIND("x",K62)),IF(J62=$B$85,-1,1)*VALUE(LEFT(K62,FIND("x",K62)-1)),IF(J62=$B$85,-1,1)*VALUE(K62)))</f>
        <v/>
      </c>
      <c r="H102" s="69" t="str">
        <f aca="false">IF(M62="","",IF(ISNUMBER(FIND("x",M62)),IF(L62=$B$85,-1,1)*VALUE(LEFT(M62,FIND("x",M62)-1)),IF(L62=$B$85,-1,1)*VALUE(M62)))</f>
        <v/>
      </c>
      <c r="I102" s="69" t="str">
        <f aca="false">IF(O62="","",IF(ISNUMBER(FIND("x",O62)),IF(N62=$B$85,-1,1)*VALUE(LEFT(O62,FIND("x",O62)-1)),IF(N62=$B$85,-1,1)*VALUE(O62)))</f>
        <v/>
      </c>
      <c r="J102" s="75" t="str">
        <f aca="false">IF(Q62="","",IF(ISNUMBER(FIND("x",Q62)),IF(P62=$B$85,-1,1)*VALUE(LEFT(Q62,FIND("x",Q62)-1)),IF(P62=$B$85,-1,1)*VALUE(Q62)))</f>
        <v/>
      </c>
    </row>
    <row r="103" customFormat="false" ht="12.75" hidden="false" customHeight="false" outlineLevel="0" collapsed="false">
      <c r="C103" s="14" t="n">
        <v>21</v>
      </c>
      <c r="D103" s="74" t="str">
        <f aca="false">IF(E63="","",IF(ISNUMBER(FIND("x",E63)),VALUE(LEFT(E63,FIND("x",E63)-1)),VALUE(E63)))</f>
        <v/>
      </c>
      <c r="E103" s="69" t="str">
        <f aca="false">IF(G63="","",IF(ISNUMBER(FIND("x",G63)),IF(F63=$B$85,-1,1)*VALUE(LEFT(G63,FIND("x",G63)-1)),IF(F63=$B$85,-1,1)*VALUE(G63)))</f>
        <v/>
      </c>
      <c r="F103" s="69" t="str">
        <f aca="false">IF(I63="","",IF(ISNUMBER(FIND("x",I63)),IF(H63=$B$85,-1,1)*VALUE(LEFT(I63,FIND("x",I63)-1)),IF(H63=$B$85,-1,1)*VALUE(I63)))</f>
        <v/>
      </c>
      <c r="G103" s="69" t="str">
        <f aca="false">IF(K63="","",IF(ISNUMBER(FIND("x",K63)),IF(J63=$B$85,-1,1)*VALUE(LEFT(K63,FIND("x",K63)-1)),IF(J63=$B$85,-1,1)*VALUE(K63)))</f>
        <v/>
      </c>
      <c r="H103" s="69" t="str">
        <f aca="false">IF(M63="","",IF(ISNUMBER(FIND("x",M63)),IF(L63=$B$85,-1,1)*VALUE(LEFT(M63,FIND("x",M63)-1)),IF(L63=$B$85,-1,1)*VALUE(M63)))</f>
        <v/>
      </c>
      <c r="I103" s="69" t="str">
        <f aca="false">IF(O63="","",IF(ISNUMBER(FIND("x",O63)),IF(N63=$B$85,-1,1)*VALUE(LEFT(O63,FIND("x",O63)-1)),IF(N63=$B$85,-1,1)*VALUE(O63)))</f>
        <v/>
      </c>
      <c r="J103" s="75" t="str">
        <f aca="false">IF(Q63="","",IF(ISNUMBER(FIND("x",Q63)),IF(P63=$B$85,-1,1)*VALUE(LEFT(Q63,FIND("x",Q63)-1)),IF(P63=$B$85,-1,1)*VALUE(Q63)))</f>
        <v/>
      </c>
    </row>
    <row r="104" customFormat="false" ht="12.75" hidden="false" customHeight="false" outlineLevel="0" collapsed="false">
      <c r="C104" s="14" t="n">
        <v>22</v>
      </c>
      <c r="D104" s="74" t="str">
        <f aca="false">IF(E64="","",IF(ISNUMBER(FIND("x",E64)),VALUE(LEFT(E64,FIND("x",E64)-1)),VALUE(E64)))</f>
        <v/>
      </c>
      <c r="E104" s="69" t="str">
        <f aca="false">IF(G64="","",IF(ISNUMBER(FIND("x",G64)),IF(F64=$B$85,-1,1)*VALUE(LEFT(G64,FIND("x",G64)-1)),IF(F64=$B$85,-1,1)*VALUE(G64)))</f>
        <v/>
      </c>
      <c r="F104" s="69" t="str">
        <f aca="false">IF(I64="","",IF(ISNUMBER(FIND("x",I64)),IF(H64=$B$85,-1,1)*VALUE(LEFT(I64,FIND("x",I64)-1)),IF(H64=$B$85,-1,1)*VALUE(I64)))</f>
        <v/>
      </c>
      <c r="G104" s="69" t="str">
        <f aca="false">IF(K64="","",IF(ISNUMBER(FIND("x",K64)),IF(J64=$B$85,-1,1)*VALUE(LEFT(K64,FIND("x",K64)-1)),IF(J64=$B$85,-1,1)*VALUE(K64)))</f>
        <v/>
      </c>
      <c r="H104" s="69" t="str">
        <f aca="false">IF(M64="","",IF(ISNUMBER(FIND("x",M64)),IF(L64=$B$85,-1,1)*VALUE(LEFT(M64,FIND("x",M64)-1)),IF(L64=$B$85,-1,1)*VALUE(M64)))</f>
        <v/>
      </c>
      <c r="I104" s="69" t="str">
        <f aca="false">IF(O64="","",IF(ISNUMBER(FIND("x",O64)),IF(N64=$B$85,-1,1)*VALUE(LEFT(O64,FIND("x",O64)-1)),IF(N64=$B$85,-1,1)*VALUE(O64)))</f>
        <v/>
      </c>
      <c r="J104" s="75" t="str">
        <f aca="false">IF(Q64="","",IF(ISNUMBER(FIND("x",Q64)),IF(P64=$B$85,-1,1)*VALUE(LEFT(Q64,FIND("x",Q64)-1)),IF(P64=$B$85,-1,1)*VALUE(Q64)))</f>
        <v/>
      </c>
    </row>
    <row r="105" customFormat="false" ht="12.75" hidden="false" customHeight="false" outlineLevel="0" collapsed="false">
      <c r="C105" s="14" t="n">
        <v>23</v>
      </c>
      <c r="D105" s="74" t="str">
        <f aca="false">IF(E65="","",IF(ISNUMBER(FIND("x",E65)),VALUE(LEFT(E65,FIND("x",E65)-1)),VALUE(E65)))</f>
        <v/>
      </c>
      <c r="E105" s="69" t="str">
        <f aca="false">IF(G65="","",IF(ISNUMBER(FIND("x",G65)),IF(F65=$B$85,-1,1)*VALUE(LEFT(G65,FIND("x",G65)-1)),IF(F65=$B$85,-1,1)*VALUE(G65)))</f>
        <v/>
      </c>
      <c r="F105" s="69" t="str">
        <f aca="false">IF(I65="","",IF(ISNUMBER(FIND("x",I65)),IF(H65=$B$85,-1,1)*VALUE(LEFT(I65,FIND("x",I65)-1)),IF(H65=$B$85,-1,1)*VALUE(I65)))</f>
        <v/>
      </c>
      <c r="G105" s="69" t="str">
        <f aca="false">IF(K65="","",IF(ISNUMBER(FIND("x",K65)),IF(J65=$B$85,-1,1)*VALUE(LEFT(K65,FIND("x",K65)-1)),IF(J65=$B$85,-1,1)*VALUE(K65)))</f>
        <v/>
      </c>
      <c r="H105" s="69" t="str">
        <f aca="false">IF(M65="","",IF(ISNUMBER(FIND("x",M65)),IF(L65=$B$85,-1,1)*VALUE(LEFT(M65,FIND("x",M65)-1)),IF(L65=$B$85,-1,1)*VALUE(M65)))</f>
        <v/>
      </c>
      <c r="I105" s="69" t="str">
        <f aca="false">IF(O65="","",IF(ISNUMBER(FIND("x",O65)),IF(N65=$B$85,-1,1)*VALUE(LEFT(O65,FIND("x",O65)-1)),IF(N65=$B$85,-1,1)*VALUE(O65)))</f>
        <v/>
      </c>
      <c r="J105" s="75" t="str">
        <f aca="false">IF(Q65="","",IF(ISNUMBER(FIND("x",Q65)),IF(P65=$B$85,-1,1)*VALUE(LEFT(Q65,FIND("x",Q65)-1)),IF(P65=$B$85,-1,1)*VALUE(Q65)))</f>
        <v/>
      </c>
    </row>
    <row r="106" customFormat="false" ht="12.75" hidden="false" customHeight="false" outlineLevel="0" collapsed="false">
      <c r="C106" s="14" t="n">
        <v>24</v>
      </c>
      <c r="D106" s="74" t="str">
        <f aca="false">IF(E66="","",IF(ISNUMBER(FIND("x",E66)),VALUE(LEFT(E66,FIND("x",E66)-1)),VALUE(E66)))</f>
        <v/>
      </c>
      <c r="E106" s="69" t="str">
        <f aca="false">IF(G66="","",IF(ISNUMBER(FIND("x",G66)),IF(F66=$B$85,-1,1)*VALUE(LEFT(G66,FIND("x",G66)-1)),IF(F66=$B$85,-1,1)*VALUE(G66)))</f>
        <v/>
      </c>
      <c r="F106" s="69" t="str">
        <f aca="false">IF(I66="","",IF(ISNUMBER(FIND("x",I66)),IF(H66=$B$85,-1,1)*VALUE(LEFT(I66,FIND("x",I66)-1)),IF(H66=$B$85,-1,1)*VALUE(I66)))</f>
        <v/>
      </c>
      <c r="G106" s="69" t="str">
        <f aca="false">IF(K66="","",IF(ISNUMBER(FIND("x",K66)),IF(J66=$B$85,-1,1)*VALUE(LEFT(K66,FIND("x",K66)-1)),IF(J66=$B$85,-1,1)*VALUE(K66)))</f>
        <v/>
      </c>
      <c r="H106" s="69" t="str">
        <f aca="false">IF(M66="","",IF(ISNUMBER(FIND("x",M66)),IF(L66=$B$85,-1,1)*VALUE(LEFT(M66,FIND("x",M66)-1)),IF(L66=$B$85,-1,1)*VALUE(M66)))</f>
        <v/>
      </c>
      <c r="I106" s="69" t="str">
        <f aca="false">IF(O66="","",IF(ISNUMBER(FIND("x",O66)),IF(N66=$B$85,-1,1)*VALUE(LEFT(O66,FIND("x",O66)-1)),IF(N66=$B$85,-1,1)*VALUE(O66)))</f>
        <v/>
      </c>
      <c r="J106" s="75" t="str">
        <f aca="false">IF(Q66="","",IF(ISNUMBER(FIND("x",Q66)),IF(P66=$B$85,-1,1)*VALUE(LEFT(Q66,FIND("x",Q66)-1)),IF(P66=$B$85,-1,1)*VALUE(Q66)))</f>
        <v/>
      </c>
    </row>
    <row r="107" customFormat="false" ht="12.75" hidden="false" customHeight="false" outlineLevel="0" collapsed="false">
      <c r="C107" s="14" t="n">
        <v>25</v>
      </c>
      <c r="D107" s="74" t="str">
        <f aca="false">IF(E67="","",IF(ISNUMBER(FIND("x",E67)),VALUE(LEFT(E67,FIND("x",E67)-1)),VALUE(E67)))</f>
        <v/>
      </c>
      <c r="E107" s="69" t="str">
        <f aca="false">IF(G67="","",IF(ISNUMBER(FIND("x",G67)),IF(F67=$B$85,-1,1)*VALUE(LEFT(G67,FIND("x",G67)-1)),IF(F67=$B$85,-1,1)*VALUE(G67)))</f>
        <v/>
      </c>
      <c r="F107" s="69" t="str">
        <f aca="false">IF(I67="","",IF(ISNUMBER(FIND("x",I67)),IF(H67=$B$85,-1,1)*VALUE(LEFT(I67,FIND("x",I67)-1)),IF(H67=$B$85,-1,1)*VALUE(I67)))</f>
        <v/>
      </c>
      <c r="G107" s="69" t="str">
        <f aca="false">IF(K67="","",IF(ISNUMBER(FIND("x",K67)),IF(J67=$B$85,-1,1)*VALUE(LEFT(K67,FIND("x",K67)-1)),IF(J67=$B$85,-1,1)*VALUE(K67)))</f>
        <v/>
      </c>
      <c r="H107" s="69" t="str">
        <f aca="false">IF(M67="","",IF(ISNUMBER(FIND("x",M67)),IF(L67=$B$85,-1,1)*VALUE(LEFT(M67,FIND("x",M67)-1)),IF(L67=$B$85,-1,1)*VALUE(M67)))</f>
        <v/>
      </c>
      <c r="I107" s="69" t="str">
        <f aca="false">IF(O67="","",IF(ISNUMBER(FIND("x",O67)),IF(N67=$B$85,-1,1)*VALUE(LEFT(O67,FIND("x",O67)-1)),IF(N67=$B$85,-1,1)*VALUE(O67)))</f>
        <v/>
      </c>
      <c r="J107" s="75" t="str">
        <f aca="false">IF(Q67="","",IF(ISNUMBER(FIND("x",Q67)),IF(P67=$B$85,-1,1)*VALUE(LEFT(Q67,FIND("x",Q67)-1)),IF(P67=$B$85,-1,1)*VALUE(Q67)))</f>
        <v/>
      </c>
    </row>
    <row r="108" customFormat="false" ht="12.75" hidden="false" customHeight="false" outlineLevel="0" collapsed="false">
      <c r="C108" s="14" t="n">
        <v>26</v>
      </c>
      <c r="D108" s="74" t="str">
        <f aca="false">IF(E68="","",IF(ISNUMBER(FIND("x",E68)),VALUE(LEFT(E68,FIND("x",E68)-1)),VALUE(E68)))</f>
        <v/>
      </c>
      <c r="E108" s="69" t="str">
        <f aca="false">IF(G68="","",IF(ISNUMBER(FIND("x",G68)),IF(F68=$B$85,-1,1)*VALUE(LEFT(G68,FIND("x",G68)-1)),IF(F68=$B$85,-1,1)*VALUE(G68)))</f>
        <v/>
      </c>
      <c r="F108" s="69" t="str">
        <f aca="false">IF(I68="","",IF(ISNUMBER(FIND("x",I68)),IF(H68=$B$85,-1,1)*VALUE(LEFT(I68,FIND("x",I68)-1)),IF(H68=$B$85,-1,1)*VALUE(I68)))</f>
        <v/>
      </c>
      <c r="G108" s="69" t="str">
        <f aca="false">IF(K68="","",IF(ISNUMBER(FIND("x",K68)),IF(J68=$B$85,-1,1)*VALUE(LEFT(K68,FIND("x",K68)-1)),IF(J68=$B$85,-1,1)*VALUE(K68)))</f>
        <v/>
      </c>
      <c r="H108" s="69" t="str">
        <f aca="false">IF(M68="","",IF(ISNUMBER(FIND("x",M68)),IF(L68=$B$85,-1,1)*VALUE(LEFT(M68,FIND("x",M68)-1)),IF(L68=$B$85,-1,1)*VALUE(M68)))</f>
        <v/>
      </c>
      <c r="I108" s="69" t="str">
        <f aca="false">IF(O68="","",IF(ISNUMBER(FIND("x",O68)),IF(N68=$B$85,-1,1)*VALUE(LEFT(O68,FIND("x",O68)-1)),IF(N68=$B$85,-1,1)*VALUE(O68)))</f>
        <v/>
      </c>
      <c r="J108" s="75" t="str">
        <f aca="false">IF(Q68="","",IF(ISNUMBER(FIND("x",Q68)),IF(P68=$B$85,-1,1)*VALUE(LEFT(Q68,FIND("x",Q68)-1)),IF(P68=$B$85,-1,1)*VALUE(Q68)))</f>
        <v/>
      </c>
    </row>
    <row r="109" customFormat="false" ht="12.75" hidden="false" customHeight="false" outlineLevel="0" collapsed="false">
      <c r="C109" s="14" t="n">
        <v>27</v>
      </c>
      <c r="D109" s="74" t="str">
        <f aca="false">IF(E69="","",IF(ISNUMBER(FIND("x",E69)),VALUE(LEFT(E69,FIND("x",E69)-1)),VALUE(E69)))</f>
        <v/>
      </c>
      <c r="E109" s="69" t="str">
        <f aca="false">IF(G69="","",IF(ISNUMBER(FIND("x",G69)),IF(F69=$B$85,-1,1)*VALUE(LEFT(G69,FIND("x",G69)-1)),IF(F69=$B$85,-1,1)*VALUE(G69)))</f>
        <v/>
      </c>
      <c r="F109" s="69" t="str">
        <f aca="false">IF(I69="","",IF(ISNUMBER(FIND("x",I69)),IF(H69=$B$85,-1,1)*VALUE(LEFT(I69,FIND("x",I69)-1)),IF(H69=$B$85,-1,1)*VALUE(I69)))</f>
        <v/>
      </c>
      <c r="G109" s="69" t="str">
        <f aca="false">IF(K69="","",IF(ISNUMBER(FIND("x",K69)),IF(J69=$B$85,-1,1)*VALUE(LEFT(K69,FIND("x",K69)-1)),IF(J69=$B$85,-1,1)*VALUE(K69)))</f>
        <v/>
      </c>
      <c r="H109" s="69" t="str">
        <f aca="false">IF(M69="","",IF(ISNUMBER(FIND("x",M69)),IF(L69=$B$85,-1,1)*VALUE(LEFT(M69,FIND("x",M69)-1)),IF(L69=$B$85,-1,1)*VALUE(M69)))</f>
        <v/>
      </c>
      <c r="I109" s="69" t="str">
        <f aca="false">IF(O69="","",IF(ISNUMBER(FIND("x",O69)),IF(N69=$B$85,-1,1)*VALUE(LEFT(O69,FIND("x",O69)-1)),IF(N69=$B$85,-1,1)*VALUE(O69)))</f>
        <v/>
      </c>
      <c r="J109" s="75" t="str">
        <f aca="false">IF(Q69="","",IF(ISNUMBER(FIND("x",Q69)),IF(P69=$B$85,-1,1)*VALUE(LEFT(Q69,FIND("x",Q69)-1)),IF(P69=$B$85,-1,1)*VALUE(Q69)))</f>
        <v/>
      </c>
    </row>
    <row r="110" customFormat="false" ht="12.75" hidden="false" customHeight="false" outlineLevel="0" collapsed="false">
      <c r="C110" s="14" t="n">
        <v>28</v>
      </c>
      <c r="D110" s="74" t="str">
        <f aca="false">IF(E70="","",IF(ISNUMBER(FIND("x",E70)),VALUE(LEFT(E70,FIND("x",E70)-1)),VALUE(E70)))</f>
        <v/>
      </c>
      <c r="E110" s="69" t="str">
        <f aca="false">IF(G70="","",IF(ISNUMBER(FIND("x",G70)),IF(F70=$B$85,-1,1)*VALUE(LEFT(G70,FIND("x",G70)-1)),IF(F70=$B$85,-1,1)*VALUE(G70)))</f>
        <v/>
      </c>
      <c r="F110" s="69" t="str">
        <f aca="false">IF(I70="","",IF(ISNUMBER(FIND("x",I70)),IF(H70=$B$85,-1,1)*VALUE(LEFT(I70,FIND("x",I70)-1)),IF(H70=$B$85,-1,1)*VALUE(I70)))</f>
        <v/>
      </c>
      <c r="G110" s="69" t="str">
        <f aca="false">IF(K70="","",IF(ISNUMBER(FIND("x",K70)),IF(J70=$B$85,-1,1)*VALUE(LEFT(K70,FIND("x",K70)-1)),IF(J70=$B$85,-1,1)*VALUE(K70)))</f>
        <v/>
      </c>
      <c r="H110" s="69" t="str">
        <f aca="false">IF(M70="","",IF(ISNUMBER(FIND("x",M70)),IF(L70=$B$85,-1,1)*VALUE(LEFT(M70,FIND("x",M70)-1)),IF(L70=$B$85,-1,1)*VALUE(M70)))</f>
        <v/>
      </c>
      <c r="I110" s="69" t="str">
        <f aca="false">IF(O70="","",IF(ISNUMBER(FIND("x",O70)),IF(N70=$B$85,-1,1)*VALUE(LEFT(O70,FIND("x",O70)-1)),IF(N70=$B$85,-1,1)*VALUE(O70)))</f>
        <v/>
      </c>
      <c r="J110" s="75" t="str">
        <f aca="false">IF(Q70="","",IF(ISNUMBER(FIND("x",Q70)),IF(P70=$B$85,-1,1)*VALUE(LEFT(Q70,FIND("x",Q70)-1)),IF(P70=$B$85,-1,1)*VALUE(Q70)))</f>
        <v/>
      </c>
    </row>
    <row r="111" customFormat="false" ht="12.75" hidden="false" customHeight="false" outlineLevel="0" collapsed="false">
      <c r="C111" s="14" t="n">
        <v>29</v>
      </c>
      <c r="D111" s="74" t="str">
        <f aca="false">IF(E71="","",IF(ISNUMBER(FIND("x",E71)),VALUE(LEFT(E71,FIND("x",E71)-1)),VALUE(E71)))</f>
        <v/>
      </c>
      <c r="E111" s="69" t="str">
        <f aca="false">IF(G71="","",IF(ISNUMBER(FIND("x",G71)),IF(F71=$B$85,-1,1)*VALUE(LEFT(G71,FIND("x",G71)-1)),IF(F71=$B$85,-1,1)*VALUE(G71)))</f>
        <v/>
      </c>
      <c r="F111" s="69" t="str">
        <f aca="false">IF(I71="","",IF(ISNUMBER(FIND("x",I71)),IF(H71=$B$85,-1,1)*VALUE(LEFT(I71,FIND("x",I71)-1)),IF(H71=$B$85,-1,1)*VALUE(I71)))</f>
        <v/>
      </c>
      <c r="G111" s="69" t="str">
        <f aca="false">IF(K71="","",IF(ISNUMBER(FIND("x",K71)),IF(J71=$B$85,-1,1)*VALUE(LEFT(K71,FIND("x",K71)-1)),IF(J71=$B$85,-1,1)*VALUE(K71)))</f>
        <v/>
      </c>
      <c r="H111" s="69" t="str">
        <f aca="false">IF(M71="","",IF(ISNUMBER(FIND("x",M71)),IF(L71=$B$85,-1,1)*VALUE(LEFT(M71,FIND("x",M71)-1)),IF(L71=$B$85,-1,1)*VALUE(M71)))</f>
        <v/>
      </c>
      <c r="I111" s="69" t="str">
        <f aca="false">IF(O71="","",IF(ISNUMBER(FIND("x",O71)),IF(N71=$B$85,-1,1)*VALUE(LEFT(O71,FIND("x",O71)-1)),IF(N71=$B$85,-1,1)*VALUE(O71)))</f>
        <v/>
      </c>
      <c r="J111" s="75" t="str">
        <f aca="false">IF(Q71="","",IF(ISNUMBER(FIND("x",Q71)),IF(P71=$B$85,-1,1)*VALUE(LEFT(Q71,FIND("x",Q71)-1)),IF(P71=$B$85,-1,1)*VALUE(Q71)))</f>
        <v/>
      </c>
    </row>
    <row r="112" customFormat="false" ht="12.75" hidden="false" customHeight="false" outlineLevel="0" collapsed="false">
      <c r="C112" s="14" t="n">
        <v>30</v>
      </c>
      <c r="D112" s="74" t="str">
        <f aca="false">IF(E72="","",IF(ISNUMBER(FIND("x",E72)),VALUE(LEFT(E72,FIND("x",E72)-1)),VALUE(E72)))</f>
        <v/>
      </c>
      <c r="E112" s="69" t="str">
        <f aca="false">IF(G72="","",IF(ISNUMBER(FIND("x",G72)),IF(F72=$B$85,-1,1)*VALUE(LEFT(G72,FIND("x",G72)-1)),IF(F72=$B$85,-1,1)*VALUE(G72)))</f>
        <v/>
      </c>
      <c r="F112" s="69" t="str">
        <f aca="false">IF(I72="","",IF(ISNUMBER(FIND("x",I72)),IF(H72=$B$85,-1,1)*VALUE(LEFT(I72,FIND("x",I72)-1)),IF(H72=$B$85,-1,1)*VALUE(I72)))</f>
        <v/>
      </c>
      <c r="G112" s="69" t="str">
        <f aca="false">IF(K72="","",IF(ISNUMBER(FIND("x",K72)),IF(J72=$B$85,-1,1)*VALUE(LEFT(K72,FIND("x",K72)-1)),IF(J72=$B$85,-1,1)*VALUE(K72)))</f>
        <v/>
      </c>
      <c r="H112" s="69" t="str">
        <f aca="false">IF(M72="","",IF(ISNUMBER(FIND("x",M72)),IF(L72=$B$85,-1,1)*VALUE(LEFT(M72,FIND("x",M72)-1)),IF(L72=$B$85,-1,1)*VALUE(M72)))</f>
        <v/>
      </c>
      <c r="I112" s="69" t="str">
        <f aca="false">IF(O72="","",IF(ISNUMBER(FIND("x",O72)),IF(N72=$B$85,-1,1)*VALUE(LEFT(O72,FIND("x",O72)-1)),IF(N72=$B$85,-1,1)*VALUE(O72)))</f>
        <v/>
      </c>
      <c r="J112" s="75" t="str">
        <f aca="false">IF(Q72="","",IF(ISNUMBER(FIND("x",Q72)),IF(P72=$B$85,-1,1)*VALUE(LEFT(Q72,FIND("x",Q72)-1)),IF(P72=$B$85,-1,1)*VALUE(Q72)))</f>
        <v/>
      </c>
    </row>
    <row r="113" customFormat="false" ht="12.75" hidden="false" customHeight="false" outlineLevel="0" collapsed="false">
      <c r="C113" s="14" t="n">
        <v>31</v>
      </c>
      <c r="D113" s="74" t="str">
        <f aca="false">IF(E73="","",IF(ISNUMBER(FIND("x",E73)),VALUE(LEFT(E73,FIND("x",E73)-1)),VALUE(E73)))</f>
        <v/>
      </c>
      <c r="E113" s="69" t="str">
        <f aca="false">IF(G73="","",IF(ISNUMBER(FIND("x",G73)),IF(F73=$B$85,-1,1)*VALUE(LEFT(G73,FIND("x",G73)-1)),IF(F73=$B$85,-1,1)*VALUE(G73)))</f>
        <v/>
      </c>
      <c r="F113" s="69" t="str">
        <f aca="false">IF(I73="","",IF(ISNUMBER(FIND("x",I73)),IF(H73=$B$85,-1,1)*VALUE(LEFT(I73,FIND("x",I73)-1)),IF(H73=$B$85,-1,1)*VALUE(I73)))</f>
        <v/>
      </c>
      <c r="G113" s="69" t="str">
        <f aca="false">IF(K73="","",IF(ISNUMBER(FIND("x",K73)),IF(J73=$B$85,-1,1)*VALUE(LEFT(K73,FIND("x",K73)-1)),IF(J73=$B$85,-1,1)*VALUE(K73)))</f>
        <v/>
      </c>
      <c r="H113" s="69" t="str">
        <f aca="false">IF(M73="","",IF(ISNUMBER(FIND("x",M73)),IF(L73=$B$85,-1,1)*VALUE(LEFT(M73,FIND("x",M73)-1)),IF(L73=$B$85,-1,1)*VALUE(M73)))</f>
        <v/>
      </c>
      <c r="I113" s="69" t="str">
        <f aca="false">IF(O73="","",IF(ISNUMBER(FIND("x",O73)),IF(N73=$B$85,-1,1)*VALUE(LEFT(O73,FIND("x",O73)-1)),IF(N73=$B$85,-1,1)*VALUE(O73)))</f>
        <v/>
      </c>
      <c r="J113" s="75" t="str">
        <f aca="false">IF(Q73="","",IF(ISNUMBER(FIND("x",Q73)),IF(P73=$B$85,-1,1)*VALUE(LEFT(Q73,FIND("x",Q73)-1)),IF(P73=$B$85,-1,1)*VALUE(Q73)))</f>
        <v/>
      </c>
    </row>
    <row r="114" customFormat="false" ht="12.75" hidden="false" customHeight="false" outlineLevel="0" collapsed="false">
      <c r="C114" s="14" t="n">
        <v>32</v>
      </c>
      <c r="D114" s="74" t="str">
        <f aca="false">IF(E74="","",IF(ISNUMBER(FIND("x",E74)),VALUE(LEFT(E74,FIND("x",E74)-1)),VALUE(E74)))</f>
        <v/>
      </c>
      <c r="E114" s="69" t="str">
        <f aca="false">IF(G74="","",IF(ISNUMBER(FIND("x",G74)),IF(F74=$B$85,-1,1)*VALUE(LEFT(G74,FIND("x",G74)-1)),IF(F74=$B$85,-1,1)*VALUE(G74)))</f>
        <v/>
      </c>
      <c r="F114" s="69" t="str">
        <f aca="false">IF(I74="","",IF(ISNUMBER(FIND("x",I74)),IF(H74=$B$85,-1,1)*VALUE(LEFT(I74,FIND("x",I74)-1)),IF(H74=$B$85,-1,1)*VALUE(I74)))</f>
        <v/>
      </c>
      <c r="G114" s="69" t="str">
        <f aca="false">IF(K74="","",IF(ISNUMBER(FIND("x",K74)),IF(J74=$B$85,-1,1)*VALUE(LEFT(K74,FIND("x",K74)-1)),IF(J74=$B$85,-1,1)*VALUE(K74)))</f>
        <v/>
      </c>
      <c r="H114" s="69" t="str">
        <f aca="false">IF(M74="","",IF(ISNUMBER(FIND("x",M74)),IF(L74=$B$85,-1,1)*VALUE(LEFT(M74,FIND("x",M74)-1)),IF(L74=$B$85,-1,1)*VALUE(M74)))</f>
        <v/>
      </c>
      <c r="I114" s="69" t="str">
        <f aca="false">IF(O74="","",IF(ISNUMBER(FIND("x",O74)),IF(N74=$B$85,-1,1)*VALUE(LEFT(O74,FIND("x",O74)-1)),IF(N74=$B$85,-1,1)*VALUE(O74)))</f>
        <v/>
      </c>
      <c r="J114" s="75" t="str">
        <f aca="false">IF(Q74="","",IF(ISNUMBER(FIND("x",Q74)),IF(P74=$B$85,-1,1)*VALUE(LEFT(Q74,FIND("x",Q74)-1)),IF(P74=$B$85,-1,1)*VALUE(Q74)))</f>
        <v/>
      </c>
    </row>
    <row r="115" customFormat="false" ht="12.75" hidden="false" customHeight="false" outlineLevel="0" collapsed="false">
      <c r="C115" s="14" t="n">
        <v>33</v>
      </c>
      <c r="D115" s="74" t="str">
        <f aca="false">IF(E75="","",IF(ISNUMBER(FIND("x",E75)),VALUE(LEFT(E75,FIND("x",E75)-1)),VALUE(E75)))</f>
        <v/>
      </c>
      <c r="E115" s="69" t="str">
        <f aca="false">IF(G75="","",IF(ISNUMBER(FIND("x",G75)),IF(F75=$B$85,-1,1)*VALUE(LEFT(G75,FIND("x",G75)-1)),IF(F75=$B$85,-1,1)*VALUE(G75)))</f>
        <v/>
      </c>
      <c r="F115" s="69" t="str">
        <f aca="false">IF(I75="","",IF(ISNUMBER(FIND("x",I75)),IF(H75=$B$85,-1,1)*VALUE(LEFT(I75,FIND("x",I75)-1)),IF(H75=$B$85,-1,1)*VALUE(I75)))</f>
        <v/>
      </c>
      <c r="G115" s="69" t="str">
        <f aca="false">IF(K75="","",IF(ISNUMBER(FIND("x",K75)),IF(J75=$B$85,-1,1)*VALUE(LEFT(K75,FIND("x",K75)-1)),IF(J75=$B$85,-1,1)*VALUE(K75)))</f>
        <v/>
      </c>
      <c r="H115" s="69" t="str">
        <f aca="false">IF(M75="","",IF(ISNUMBER(FIND("x",M75)),IF(L75=$B$85,-1,1)*VALUE(LEFT(M75,FIND("x",M75)-1)),IF(L75=$B$85,-1,1)*VALUE(M75)))</f>
        <v/>
      </c>
      <c r="I115" s="69" t="str">
        <f aca="false">IF(O75="","",IF(ISNUMBER(FIND("x",O75)),IF(N75=$B$85,-1,1)*VALUE(LEFT(O75,FIND("x",O75)-1)),IF(N75=$B$85,-1,1)*VALUE(O75)))</f>
        <v/>
      </c>
      <c r="J115" s="75" t="str">
        <f aca="false">IF(Q75="","",IF(ISNUMBER(FIND("x",Q75)),IF(P75=$B$85,-1,1)*VALUE(LEFT(Q75,FIND("x",Q75)-1)),IF(P75=$B$85,-1,1)*VALUE(Q75)))</f>
        <v/>
      </c>
    </row>
    <row r="116" customFormat="false" ht="12.75" hidden="false" customHeight="false" outlineLevel="0" collapsed="false">
      <c r="C116" s="14" t="n">
        <v>34</v>
      </c>
      <c r="D116" s="74" t="str">
        <f aca="false">IF(E76="","",IF(ISNUMBER(FIND("x",E76)),VALUE(LEFT(E76,FIND("x",E76)-1)),VALUE(E76)))</f>
        <v/>
      </c>
      <c r="E116" s="69" t="str">
        <f aca="false">IF(G76="","",IF(ISNUMBER(FIND("x",G76)),IF(F76=$B$85,-1,1)*VALUE(LEFT(G76,FIND("x",G76)-1)),IF(F76=$B$85,-1,1)*VALUE(G76)))</f>
        <v/>
      </c>
      <c r="F116" s="69" t="str">
        <f aca="false">IF(I76="","",IF(ISNUMBER(FIND("x",I76)),IF(H76=$B$85,-1,1)*VALUE(LEFT(I76,FIND("x",I76)-1)),IF(H76=$B$85,-1,1)*VALUE(I76)))</f>
        <v/>
      </c>
      <c r="G116" s="69" t="str">
        <f aca="false">IF(K76="","",IF(ISNUMBER(FIND("x",K76)),IF(J76=$B$85,-1,1)*VALUE(LEFT(K76,FIND("x",K76)-1)),IF(J76=$B$85,-1,1)*VALUE(K76)))</f>
        <v/>
      </c>
      <c r="H116" s="69" t="str">
        <f aca="false">IF(M76="","",IF(ISNUMBER(FIND("x",M76)),IF(L76=$B$85,-1,1)*VALUE(LEFT(M76,FIND("x",M76)-1)),IF(L76=$B$85,-1,1)*VALUE(M76)))</f>
        <v/>
      </c>
      <c r="I116" s="69" t="str">
        <f aca="false">IF(O76="","",IF(ISNUMBER(FIND("x",O76)),IF(N76=$B$85,-1,1)*VALUE(LEFT(O76,FIND("x",O76)-1)),IF(N76=$B$85,-1,1)*VALUE(O76)))</f>
        <v/>
      </c>
      <c r="J116" s="75" t="str">
        <f aca="false">IF(Q76="","",IF(ISNUMBER(FIND("x",Q76)),IF(P76=$B$85,-1,1)*VALUE(LEFT(Q76,FIND("x",Q76)-1)),IF(P76=$B$85,-1,1)*VALUE(Q76)))</f>
        <v/>
      </c>
    </row>
    <row r="117" customFormat="false" ht="12.75" hidden="false" customHeight="false" outlineLevel="0" collapsed="false">
      <c r="C117" s="14" t="n">
        <v>35</v>
      </c>
      <c r="D117" s="74" t="str">
        <f aca="false">IF(E77="","",IF(ISNUMBER(FIND("x",E77)),VALUE(LEFT(E77,FIND("x",E77)-1)),VALUE(E77)))</f>
        <v/>
      </c>
      <c r="E117" s="69" t="str">
        <f aca="false">IF(G77="","",IF(ISNUMBER(FIND("x",G77)),IF(F77=$B$85,-1,1)*VALUE(LEFT(G77,FIND("x",G77)-1)),IF(F77=$B$85,-1,1)*VALUE(G77)))</f>
        <v/>
      </c>
      <c r="F117" s="69" t="str">
        <f aca="false">IF(I77="","",IF(ISNUMBER(FIND("x",I77)),IF(H77=$B$85,-1,1)*VALUE(LEFT(I77,FIND("x",I77)-1)),IF(H77=$B$85,-1,1)*VALUE(I77)))</f>
        <v/>
      </c>
      <c r="G117" s="69" t="str">
        <f aca="false">IF(K77="","",IF(ISNUMBER(FIND("x",K77)),IF(J77=$B$85,-1,1)*VALUE(LEFT(K77,FIND("x",K77)-1)),IF(J77=$B$85,-1,1)*VALUE(K77)))</f>
        <v/>
      </c>
      <c r="H117" s="69" t="str">
        <f aca="false">IF(M77="","",IF(ISNUMBER(FIND("x",M77)),IF(L77=$B$85,-1,1)*VALUE(LEFT(M77,FIND("x",M77)-1)),IF(L77=$B$85,-1,1)*VALUE(M77)))</f>
        <v/>
      </c>
      <c r="I117" s="69" t="str">
        <f aca="false">IF(O77="","",IF(ISNUMBER(FIND("x",O77)),IF(N77=$B$85,-1,1)*VALUE(LEFT(O77,FIND("x",O77)-1)),IF(N77=$B$85,-1,1)*VALUE(O77)))</f>
        <v/>
      </c>
      <c r="J117" s="75" t="str">
        <f aca="false">IF(Q77="","",IF(ISNUMBER(FIND("x",Q77)),IF(P77=$B$85,-1,1)*VALUE(LEFT(Q77,FIND("x",Q77)-1)),IF(P77=$B$85,-1,1)*VALUE(Q77)))</f>
        <v/>
      </c>
    </row>
    <row r="118" customFormat="false" ht="12.75" hidden="false" customHeight="false" outlineLevel="0" collapsed="false">
      <c r="C118" s="14" t="n">
        <v>36</v>
      </c>
      <c r="D118" s="74" t="str">
        <f aca="false">IF(E78="","",IF(ISNUMBER(FIND("x",E78)),VALUE(LEFT(E78,FIND("x",E78)-1)),VALUE(E78)))</f>
        <v/>
      </c>
      <c r="E118" s="69" t="str">
        <f aca="false">IF(G78="","",IF(ISNUMBER(FIND("x",G78)),IF(F78=$B$85,-1,1)*VALUE(LEFT(G78,FIND("x",G78)-1)),IF(F78=$B$85,-1,1)*VALUE(G78)))</f>
        <v/>
      </c>
      <c r="F118" s="69" t="str">
        <f aca="false">IF(I78="","",IF(ISNUMBER(FIND("x",I78)),IF(H78=$B$85,-1,1)*VALUE(LEFT(I78,FIND("x",I78)-1)),IF(H78=$B$85,-1,1)*VALUE(I78)))</f>
        <v/>
      </c>
      <c r="G118" s="69" t="str">
        <f aca="false">IF(K78="","",IF(ISNUMBER(FIND("x",K78)),IF(J78=$B$85,-1,1)*VALUE(LEFT(K78,FIND("x",K78)-1)),IF(J78=$B$85,-1,1)*VALUE(K78)))</f>
        <v/>
      </c>
      <c r="H118" s="69" t="str">
        <f aca="false">IF(M78="","",IF(ISNUMBER(FIND("x",M78)),IF(L78=$B$85,-1,1)*VALUE(LEFT(M78,FIND("x",M78)-1)),IF(L78=$B$85,-1,1)*VALUE(M78)))</f>
        <v/>
      </c>
      <c r="I118" s="69" t="str">
        <f aca="false">IF(O78="","",IF(ISNUMBER(FIND("x",O78)),IF(N78=$B$85,-1,1)*VALUE(LEFT(O78,FIND("x",O78)-1)),IF(N78=$B$85,-1,1)*VALUE(O78)))</f>
        <v/>
      </c>
      <c r="J118" s="75" t="str">
        <f aca="false">IF(Q78="","",IF(ISNUMBER(FIND("x",Q78)),IF(P78=$B$85,-1,1)*VALUE(LEFT(Q78,FIND("x",Q78)-1)),IF(P78=$B$85,-1,1)*VALUE(Q78)))</f>
        <v/>
      </c>
    </row>
    <row r="119" customFormat="false" ht="12.75" hidden="false" customHeight="false" outlineLevel="0" collapsed="false">
      <c r="C119" s="14" t="n">
        <v>37</v>
      </c>
      <c r="D119" s="74" t="str">
        <f aca="false">IF(E79="","",IF(ISNUMBER(FIND("x",E79)),VALUE(LEFT(E79,FIND("x",E79)-1)),VALUE(E79)))</f>
        <v/>
      </c>
      <c r="E119" s="69" t="str">
        <f aca="false">IF(G79="","",IF(ISNUMBER(FIND("x",G79)),IF(F79=$B$85,-1,1)*VALUE(LEFT(G79,FIND("x",G79)-1)),IF(F79=$B$85,-1,1)*VALUE(G79)))</f>
        <v/>
      </c>
      <c r="F119" s="69" t="str">
        <f aca="false">IF(I79="","",IF(ISNUMBER(FIND("x",I79)),IF(H79=$B$85,-1,1)*VALUE(LEFT(I79,FIND("x",I79)-1)),IF(H79=$B$85,-1,1)*VALUE(I79)))</f>
        <v/>
      </c>
      <c r="G119" s="69" t="str">
        <f aca="false">IF(K79="","",IF(ISNUMBER(FIND("x",K79)),IF(J79=$B$85,-1,1)*VALUE(LEFT(K79,FIND("x",K79)-1)),IF(J79=$B$85,-1,1)*VALUE(K79)))</f>
        <v/>
      </c>
      <c r="H119" s="69" t="str">
        <f aca="false">IF(M79="","",IF(ISNUMBER(FIND("x",M79)),IF(L79=$B$85,-1,1)*VALUE(LEFT(M79,FIND("x",M79)-1)),IF(L79=$B$85,-1,1)*VALUE(M79)))</f>
        <v/>
      </c>
      <c r="I119" s="69" t="str">
        <f aca="false">IF(O79="","",IF(ISNUMBER(FIND("x",O79)),IF(N79=$B$85,-1,1)*VALUE(LEFT(O79,FIND("x",O79)-1)),IF(N79=$B$85,-1,1)*VALUE(O79)))</f>
        <v/>
      </c>
      <c r="J119" s="75" t="str">
        <f aca="false">IF(Q79="","",IF(ISNUMBER(FIND("x",Q79)),IF(P79=$B$85,-1,1)*VALUE(LEFT(Q79,FIND("x",Q79)-1)),IF(P79=$B$85,-1,1)*VALUE(Q79)))</f>
        <v/>
      </c>
    </row>
    <row r="120" customFormat="false" ht="13.5" hidden="false" customHeight="false" outlineLevel="0" collapsed="false">
      <c r="C120" s="14" t="n">
        <v>38</v>
      </c>
      <c r="D120" s="76" t="str">
        <f aca="false">IF(E80="","",IF(ISNUMBER(FIND("x",E80)),VALUE(LEFT(E80,FIND("x",E80)-1)),VALUE(E80)))</f>
        <v/>
      </c>
      <c r="E120" s="77" t="str">
        <f aca="false">IF(G80="","",IF(ISNUMBER(FIND("x",G80)),IF(F80=$B$85,-1,1)*VALUE(LEFT(G80,FIND("x",G80)-1)),IF(F80=$B$85,-1,1)*VALUE(G80)))</f>
        <v/>
      </c>
      <c r="F120" s="77" t="str">
        <f aca="false">IF(I80="","",IF(ISNUMBER(FIND("x",I80)),IF(H80=$B$85,-1,1)*VALUE(LEFT(I80,FIND("x",I80)-1)),IF(H80=$B$85,-1,1)*VALUE(I80)))</f>
        <v/>
      </c>
      <c r="G120" s="77" t="str">
        <f aca="false">IF(K80="","",IF(ISNUMBER(FIND("x",K80)),IF(J80=$B$85,-1,1)*VALUE(LEFT(K80,FIND("x",K80)-1)),IF(J80=$B$85,-1,1)*VALUE(K80)))</f>
        <v/>
      </c>
      <c r="H120" s="77" t="str">
        <f aca="false">IF(M80="","",IF(ISNUMBER(FIND("x",M80)),IF(L80=$B$85,-1,1)*VALUE(LEFT(M80,FIND("x",M80)-1)),IF(L80=$B$85,-1,1)*VALUE(M80)))</f>
        <v/>
      </c>
      <c r="I120" s="77" t="str">
        <f aca="false">IF(O80="","",IF(ISNUMBER(FIND("x",O80)),IF(N80=$B$85,-1,1)*VALUE(LEFT(O80,FIND("x",O80)-1)),IF(N80=$B$85,-1,1)*VALUE(O80)))</f>
        <v/>
      </c>
      <c r="J120" s="78" t="str">
        <f aca="false">IF(Q80="","",IF(ISNUMBER(FIND("x",Q80)),IF(P80=$B$85,-1,1)*VALUE(LEFT(Q80,FIND("x",Q80)-1)),IF(P80=$B$85,-1,1)*VALUE(Q80)))</f>
        <v/>
      </c>
    </row>
    <row r="121" customFormat="false" ht="12.75" hidden="false" customHeight="false" outlineLevel="0" collapsed="false">
      <c r="E121" s="69"/>
      <c r="F121" s="69"/>
      <c r="G121" s="69"/>
      <c r="H121" s="69"/>
      <c r="I121" s="69"/>
      <c r="J121" s="69"/>
    </row>
    <row r="122" customFormat="false" ht="12.75" hidden="false" customHeight="false" outlineLevel="0" collapsed="false">
      <c r="C122" s="79"/>
      <c r="E122" s="69"/>
      <c r="F122" s="69"/>
      <c r="G122" s="69"/>
      <c r="H122" s="69"/>
      <c r="I122" s="69"/>
      <c r="J122" s="69"/>
    </row>
    <row r="123" customFormat="false" ht="12.75" hidden="false" customHeight="false" outlineLevel="0" collapsed="false">
      <c r="B123" s="14" t="n">
        <f aca="false">MATCH($AE$11,$B$2:$B$39,0)</f>
        <v>7</v>
      </c>
    </row>
    <row r="124" customFormat="false" ht="12.75" hidden="false" customHeight="false" outlineLevel="0" collapsed="false">
      <c r="E124" s="69"/>
      <c r="F124" s="69"/>
      <c r="G124" s="69"/>
      <c r="H124" s="69"/>
      <c r="I124" s="69"/>
      <c r="J124" s="69"/>
    </row>
  </sheetData>
  <mergeCells count="1">
    <mergeCell ref="AE11:AF1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le1.Update_Table">
                <anchor moveWithCells="true" sizeWithCells="false">
                  <from>
                    <xdr:col>29</xdr:col>
                    <xdr:colOff>191160</xdr:colOff>
                    <xdr:row>16</xdr:row>
                    <xdr:rowOff>123840</xdr:rowOff>
                  </from>
                  <to>
                    <xdr:col>32</xdr:col>
                    <xdr:colOff>101160</xdr:colOff>
                    <xdr:row>19</xdr:row>
                    <xdr:rowOff>57240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6">
              <controlPr defaultSize="0" print="false" autoFill="0" autoPict="0" macro="Module1.GoTo_Table">
                <anchor moveWithCells="true" sizeWithCells="false">
                  <from>
                    <xdr:col>29</xdr:col>
                    <xdr:colOff>211320</xdr:colOff>
                    <xdr:row>13</xdr:row>
                    <xdr:rowOff>66240</xdr:rowOff>
                  </from>
                  <to>
                    <xdr:col>32</xdr:col>
                    <xdr:colOff>70920</xdr:colOff>
                    <xdr:row>16</xdr:row>
                    <xdr:rowOff>19080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69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7" topLeftCell="E10" activePane="bottomRight" state="frozen"/>
      <selection pane="topLeft" activeCell="A1" activeCellId="0" sqref="A1"/>
      <selection pane="topRight" activeCell="E1" activeCellId="0" sqref="E1"/>
      <selection pane="bottomLeft" activeCell="A10" activeCellId="0" sqref="A10"/>
      <selection pane="bottomRight" activeCell="I11" activeCellId="0" sqref="I1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80" width="9.14"/>
    <col collapsed="false" customWidth="true" hidden="false" outlineLevel="0" max="2" min="2" style="80" width="5.71"/>
    <col collapsed="false" customWidth="true" hidden="false" outlineLevel="0" max="3" min="3" style="80" width="7.28"/>
    <col collapsed="false" customWidth="true" hidden="false" outlineLevel="0" max="4" min="4" style="80" width="10.28"/>
    <col collapsed="false" customWidth="true" hidden="false" outlineLevel="0" max="5" min="5" style="80" width="5.85"/>
    <col collapsed="false" customWidth="true" hidden="false" outlineLevel="0" max="6" min="6" style="80" width="6.7"/>
    <col collapsed="false" customWidth="true" hidden="false" outlineLevel="0" max="7" min="7" style="80" width="8.14"/>
    <col collapsed="false" customWidth="true" hidden="false" outlineLevel="0" max="8" min="8" style="80" width="8.28"/>
    <col collapsed="false" customWidth="true" hidden="false" outlineLevel="0" max="9" min="9" style="81" width="10.56"/>
    <col collapsed="false" customWidth="true" hidden="false" outlineLevel="0" max="10" min="10" style="80" width="8.14"/>
    <col collapsed="false" customWidth="false" hidden="false" outlineLevel="0" max="11" min="11" style="80" width="9.14"/>
    <col collapsed="false" customWidth="true" hidden="false" outlineLevel="0" max="12" min="12" style="80" width="10.99"/>
    <col collapsed="false" customWidth="false" hidden="false" outlineLevel="0" max="13" min="13" style="81" width="9.14"/>
    <col collapsed="false" customWidth="false" hidden="false" outlineLevel="0" max="14" min="14" style="80" width="9.14"/>
    <col collapsed="false" customWidth="true" hidden="false" outlineLevel="0" max="15" min="15" style="80" width="9.7"/>
    <col collapsed="false" customWidth="true" hidden="false" outlineLevel="0" max="16" min="16" style="80" width="9.85"/>
    <col collapsed="false" customWidth="true" hidden="false" outlineLevel="0" max="17" min="17" style="80" width="9.7"/>
    <col collapsed="false" customWidth="true" hidden="false" outlineLevel="0" max="18" min="18" style="80" width="9.56"/>
    <col collapsed="false" customWidth="true" hidden="false" outlineLevel="0" max="19" min="19" style="80" width="8.41"/>
    <col collapsed="false" customWidth="true" hidden="false" outlineLevel="0" max="20" min="20" style="80" width="7.99"/>
    <col collapsed="false" customWidth="true" hidden="false" outlineLevel="0" max="21" min="21" style="80" width="8.14"/>
    <col collapsed="false" customWidth="false" hidden="false" outlineLevel="0" max="29" min="22" style="80" width="9.14"/>
    <col collapsed="false" customWidth="true" hidden="false" outlineLevel="0" max="30" min="30" style="80" width="7.7"/>
    <col collapsed="false" customWidth="true" hidden="false" outlineLevel="0" max="31" min="31" style="80" width="9.99"/>
    <col collapsed="false" customWidth="false" hidden="false" outlineLevel="0" max="257" min="32" style="80" width="9.14"/>
  </cols>
  <sheetData>
    <row r="1" customFormat="false" ht="12.75" hidden="false" customHeight="false" outlineLevel="0" collapsed="false">
      <c r="A1" s="0" t="s">
        <v>40</v>
      </c>
      <c r="B1" s="0"/>
      <c r="C1" s="0"/>
      <c r="D1" s="0"/>
      <c r="E1" s="0"/>
      <c r="F1" s="0"/>
      <c r="G1" s="0"/>
      <c r="H1" s="0"/>
      <c r="I1" s="6"/>
      <c r="J1" s="0"/>
      <c r="K1" s="0"/>
      <c r="L1" s="0"/>
      <c r="M1" s="6"/>
      <c r="N1" s="0"/>
      <c r="O1" s="82"/>
      <c r="P1" s="82"/>
      <c r="Q1" s="82"/>
      <c r="R1" s="8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</row>
    <row r="2" customFormat="false" ht="12.7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6"/>
      <c r="J2" s="0"/>
      <c r="K2" s="0"/>
      <c r="L2" s="0"/>
      <c r="M2" s="6"/>
      <c r="N2" s="0"/>
      <c r="O2" s="82"/>
      <c r="P2" s="82"/>
      <c r="Q2" s="82"/>
      <c r="R2" s="82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</row>
    <row r="3" customFormat="false" ht="12.75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6"/>
      <c r="J3" s="0"/>
      <c r="K3" s="0"/>
      <c r="L3" s="0"/>
      <c r="M3" s="6"/>
      <c r="N3" s="0" t="e">
        <f aca="false">T7-N7/E7</f>
        <v>#VALUE!</v>
      </c>
      <c r="O3" s="82"/>
      <c r="P3" s="82"/>
      <c r="Q3" s="82"/>
      <c r="R3" s="82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</row>
    <row r="4" customFormat="false" ht="12.75" hidden="false" customHeight="false" outlineLevel="0" collapsed="false">
      <c r="A4" s="0"/>
      <c r="B4" s="0"/>
      <c r="C4" s="0"/>
      <c r="D4" s="0"/>
      <c r="E4" s="0"/>
      <c r="F4" s="0"/>
      <c r="G4" s="0"/>
      <c r="H4" s="0"/>
      <c r="I4" s="6"/>
      <c r="J4" s="0"/>
      <c r="K4" s="0"/>
      <c r="L4" s="0"/>
      <c r="M4" s="6"/>
      <c r="N4" s="0"/>
      <c r="O4" s="82"/>
      <c r="P4" s="82"/>
      <c r="Q4" s="82"/>
      <c r="R4" s="82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</row>
    <row r="5" customFormat="false" ht="12.75" hidden="false" customHeight="false" outlineLevel="0" collapsed="false">
      <c r="A5" s="0"/>
      <c r="B5" s="0" t="s">
        <v>41</v>
      </c>
      <c r="C5" s="2" t="s">
        <v>42</v>
      </c>
      <c r="D5" s="2" t="s">
        <v>43</v>
      </c>
      <c r="E5" s="2" t="s">
        <v>44</v>
      </c>
      <c r="F5" s="2"/>
      <c r="G5" s="83" t="s">
        <v>45</v>
      </c>
      <c r="H5" s="2" t="s">
        <v>46</v>
      </c>
      <c r="I5" s="84" t="s">
        <v>47</v>
      </c>
      <c r="J5" s="2" t="s">
        <v>48</v>
      </c>
      <c r="K5" s="2" t="s">
        <v>49</v>
      </c>
      <c r="L5" s="2" t="s">
        <v>50</v>
      </c>
      <c r="M5" s="84" t="s">
        <v>49</v>
      </c>
      <c r="N5" s="2" t="s">
        <v>7</v>
      </c>
      <c r="O5" s="85" t="s">
        <v>51</v>
      </c>
      <c r="P5" s="85" t="s">
        <v>52</v>
      </c>
      <c r="Q5" s="85" t="s">
        <v>53</v>
      </c>
      <c r="R5" s="85" t="s">
        <v>54</v>
      </c>
      <c r="S5" s="86" t="s">
        <v>55</v>
      </c>
      <c r="T5" s="86" t="s">
        <v>56</v>
      </c>
      <c r="U5" s="86" t="s">
        <v>57</v>
      </c>
      <c r="V5" s="86" t="s">
        <v>58</v>
      </c>
      <c r="W5" s="86" t="s">
        <v>55</v>
      </c>
      <c r="X5" s="86" t="s">
        <v>56</v>
      </c>
      <c r="Y5" s="86" t="s">
        <v>57</v>
      </c>
      <c r="Z5" s="86" t="s">
        <v>58</v>
      </c>
      <c r="AA5" s="86" t="s">
        <v>55</v>
      </c>
      <c r="AB5" s="86" t="s">
        <v>56</v>
      </c>
      <c r="AC5" s="86" t="s">
        <v>57</v>
      </c>
      <c r="AD5" s="86" t="s">
        <v>58</v>
      </c>
      <c r="AE5" s="86" t="s">
        <v>55</v>
      </c>
      <c r="AF5" s="86" t="s">
        <v>56</v>
      </c>
      <c r="AG5" s="86" t="s">
        <v>57</v>
      </c>
      <c r="AH5" s="86" t="s">
        <v>58</v>
      </c>
      <c r="AI5" s="2" t="s">
        <v>59</v>
      </c>
      <c r="AJ5" s="2" t="s">
        <v>60</v>
      </c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customFormat="false" ht="12.75" hidden="false" customHeight="false" outlineLevel="0" collapsed="false">
      <c r="A6" s="0"/>
      <c r="B6" s="0" t="s">
        <v>61</v>
      </c>
      <c r="C6" s="2" t="s">
        <v>62</v>
      </c>
      <c r="D6" s="2"/>
      <c r="E6" s="2"/>
      <c r="F6" s="2"/>
      <c r="G6" s="2" t="s">
        <v>63</v>
      </c>
      <c r="H6" s="2"/>
      <c r="I6" s="84" t="s">
        <v>64</v>
      </c>
      <c r="J6" s="2" t="s">
        <v>65</v>
      </c>
      <c r="K6" s="2" t="s">
        <v>50</v>
      </c>
      <c r="L6" s="2" t="s">
        <v>66</v>
      </c>
      <c r="M6" s="84" t="s">
        <v>7</v>
      </c>
      <c r="N6" s="2" t="s">
        <v>66</v>
      </c>
      <c r="O6" s="85"/>
      <c r="P6" s="85"/>
      <c r="Q6" s="85"/>
      <c r="R6" s="85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2"/>
      <c r="AJ6" s="2" t="s">
        <v>67</v>
      </c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2.75" hidden="false" customHeight="false" outlineLevel="0" collapsed="false">
      <c r="A7" s="0"/>
      <c r="B7" s="0"/>
      <c r="C7" s="0"/>
      <c r="D7" s="87" t="e">
        <f aca="false">SUM(D10:D350)</f>
        <v>#VALUE!</v>
      </c>
      <c r="E7" s="87" t="e">
        <f aca="false">SUM(E10:E350)</f>
        <v>#VALUE!</v>
      </c>
      <c r="F7" s="88" t="e">
        <f aca="false">SUM(F10:F350)</f>
        <v>#VALUE!</v>
      </c>
      <c r="G7" s="0"/>
      <c r="H7" s="0"/>
      <c r="I7" s="6"/>
      <c r="J7" s="0"/>
      <c r="K7" s="0"/>
      <c r="L7" s="8" t="e">
        <f aca="false">SUM(L10:L350)</f>
        <v>#VALUE!</v>
      </c>
      <c r="M7" s="6"/>
      <c r="N7" s="8" t="e">
        <f aca="false">SUM(N10:N350)</f>
        <v>#VALUE!</v>
      </c>
      <c r="O7" s="89"/>
      <c r="P7" s="82"/>
      <c r="Q7" s="82"/>
      <c r="R7" s="82"/>
      <c r="S7" s="90" t="e">
        <f aca="false">SUM(S10:S350)</f>
        <v>#VALUE!</v>
      </c>
      <c r="T7" s="90" t="e">
        <f aca="false">SUM(T10:T350)</f>
        <v>#VALUE!</v>
      </c>
      <c r="U7" s="90" t="e">
        <f aca="false">SUM(U10:U350)</f>
        <v>#VALUE!</v>
      </c>
      <c r="V7" s="90" t="e">
        <f aca="false">SUM(V10:V350)</f>
        <v>#VALUE!</v>
      </c>
      <c r="W7" s="90" t="e">
        <f aca="false">SUM(W10:W350)</f>
        <v>#VALUE!</v>
      </c>
      <c r="X7" s="90" t="e">
        <f aca="false">SUM(X10:X350)</f>
        <v>#VALUE!</v>
      </c>
      <c r="Y7" s="90" t="e">
        <f aca="false">SUM(Y10:Y350)</f>
        <v>#VALUE!</v>
      </c>
      <c r="Z7" s="90" t="e">
        <f aca="false">SUM(Z10:Z350)</f>
        <v>#VALUE!</v>
      </c>
      <c r="AA7" s="90" t="e">
        <f aca="false">SUM(AA10:AA350)</f>
        <v>#VALUE!</v>
      </c>
      <c r="AB7" s="90" t="e">
        <f aca="false">SUM(AB10:AB350)</f>
        <v>#VALUE!</v>
      </c>
      <c r="AC7" s="90" t="e">
        <f aca="false">SUM(AC10:AC350)</f>
        <v>#VALUE!</v>
      </c>
      <c r="AD7" s="90" t="e">
        <f aca="false">SUM(AD10:AD350)</f>
        <v>#VALUE!</v>
      </c>
      <c r="AE7" s="90" t="e">
        <f aca="false">SUM(AE10:AE350)</f>
        <v>#VALUE!</v>
      </c>
      <c r="AF7" s="90" t="e">
        <f aca="false">SUM(AF10:AF350)</f>
        <v>#VALUE!</v>
      </c>
      <c r="AG7" s="90" t="e">
        <f aca="false">SUM(AG10:AG350)</f>
        <v>#VALUE!</v>
      </c>
      <c r="AH7" s="90" t="e">
        <f aca="false">SUM(AH10:AH350)</f>
        <v>#VALUE!</v>
      </c>
      <c r="AI7" s="8" t="e">
        <f aca="false">SUM(AI11:AI350)/E7</f>
        <v>#VALUE!</v>
      </c>
      <c r="AJ7" s="8" t="e">
        <f aca="false">SUM(AJ11:AJ350)/E7</f>
        <v>#VALUE!</v>
      </c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</row>
    <row r="8" customFormat="false" ht="12.75" hidden="false" customHeight="false" outlineLevel="0" collapsed="false">
      <c r="A8" s="0"/>
      <c r="B8" s="0"/>
      <c r="C8" s="0"/>
      <c r="D8" s="87"/>
      <c r="E8" s="87"/>
      <c r="F8" s="88"/>
      <c r="G8" s="0"/>
      <c r="H8" s="0"/>
      <c r="I8" s="6"/>
      <c r="J8" s="0"/>
      <c r="K8" s="0"/>
      <c r="L8" s="8"/>
      <c r="M8" s="6"/>
      <c r="N8" s="8"/>
      <c r="O8" s="89"/>
      <c r="P8" s="82"/>
      <c r="Q8" s="82"/>
      <c r="R8" s="82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2.75" hidden="false" customHeight="false" outlineLevel="0" collapsed="false">
      <c r="A9" s="0"/>
      <c r="B9" s="0"/>
      <c r="C9" s="0"/>
      <c r="D9" s="0"/>
      <c r="E9" s="0"/>
      <c r="F9" s="0"/>
      <c r="G9" s="0"/>
      <c r="H9" s="0"/>
      <c r="I9" s="6"/>
      <c r="J9" s="0"/>
      <c r="K9" s="0"/>
      <c r="L9" s="0"/>
      <c r="M9" s="6"/>
      <c r="N9" s="0"/>
      <c r="O9" s="89"/>
      <c r="P9" s="82"/>
      <c r="Q9" s="82"/>
      <c r="R9" s="82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2.75" hidden="false" customHeight="false" outlineLevel="0" collapsed="false">
      <c r="A10" s="91"/>
      <c r="B10" s="0" t="n">
        <v>1</v>
      </c>
      <c r="C10" s="91"/>
      <c r="D10" s="87"/>
      <c r="E10" s="87"/>
      <c r="F10" s="88"/>
      <c r="G10" s="31"/>
      <c r="H10" s="31"/>
      <c r="I10" s="92"/>
      <c r="J10" s="87"/>
      <c r="K10" s="8"/>
      <c r="L10" s="8"/>
      <c r="M10" s="93"/>
      <c r="N10" s="3"/>
      <c r="O10" s="89"/>
      <c r="P10" s="89"/>
      <c r="Q10" s="89"/>
      <c r="R10" s="89"/>
      <c r="S10" s="3"/>
      <c r="T10" s="3"/>
      <c r="U10" s="3"/>
      <c r="V10" s="3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2.75" hidden="false" customHeight="false" outlineLevel="0" collapsed="false">
      <c r="A11" s="91" t="n">
        <f aca="false">Swap!A11</f>
        <v>37165</v>
      </c>
      <c r="B11" s="0" t="n">
        <f aca="false">B10+1</f>
        <v>2</v>
      </c>
      <c r="C11" s="91" t="e">
        <f aca="false">IF(AND(A11&gt;=Front!$E$11,A11&lt;=Front!$E$12),A11,"")</f>
        <v>#VALUE!</v>
      </c>
      <c r="D11" s="87" t="e">
        <f aca="false">Swap!AB11</f>
        <v>#VALUE!</v>
      </c>
      <c r="E11" s="87" t="e">
        <f aca="false">IF($C11="","",1)</f>
        <v>#VALUE!</v>
      </c>
      <c r="F11" s="88" t="e">
        <f aca="false">IF($C11="","",E11*H11)</f>
        <v>#VALUE!</v>
      </c>
      <c r="G11" s="31" t="n">
        <f aca="false">Swap!AG11</f>
        <v>0.0298710274579821</v>
      </c>
      <c r="H11" s="31" t="n">
        <f aca="false">Swap!AH11</f>
        <v>2.03642906824719</v>
      </c>
      <c r="I11" s="92" t="n">
        <f aca="false">INDEX(expery,MATCH(A11,exprymonth,0),2)</f>
        <v>37159</v>
      </c>
      <c r="J11" s="87" t="n">
        <f aca="false">I11-Front!$C$2</f>
        <v>-8767</v>
      </c>
      <c r="K11" s="8" t="n">
        <f aca="false">Swap!E11</f>
        <v>1.91</v>
      </c>
      <c r="L11" s="8" t="e">
        <f aca="false">IF(C11="","",(PriceSwitch=0)*K11+(PriceSwitch=1)*(Front!$H$21+K11)+(PriceSwitch=2)*Front!$H$21)</f>
        <v>#VALUE!</v>
      </c>
      <c r="M11" s="93" t="n">
        <f aca="false">INDEX(vols,MATCH(A11,volsmonth,0),2)</f>
        <v>0.85</v>
      </c>
      <c r="N11" s="3" t="e">
        <f aca="false">IF(Skew_Switch=0,"",IF($C11="","",(Front!$E$20=0)*M11+(Front!$E$20=1)*(Front!$E$21+M11)+(Front!$E$20=2)*Front!$E$21))</f>
        <v>#VALUE!</v>
      </c>
      <c r="O11" s="94" t="e">
        <f aca="false">IF(Skew_Switch=0,"",IF(C11="","",((calcskew(Call1-$L11,$C11,a,b))/100)))</f>
        <v>#VALUE!</v>
      </c>
      <c r="P11" s="94" t="e">
        <f aca="false">IF(Skew_Switch=0,"",IF(C11="","",((calcskew(Put1-$L11,$C11,a,b))/100)))</f>
        <v>#VALUE!</v>
      </c>
      <c r="Q11" s="94" t="e">
        <f aca="false">IF(Skew_Switch=0,"",IF(C11="","",((calcskew(Call2-$L11,$C11,a,b))/100)))</f>
        <v>#VALUE!</v>
      </c>
      <c r="R11" s="94" t="e">
        <f aca="false">IF(Skew_Switch=0,"",IF(C11="","",((calcskew(Put2-$L11,$C11,a,b))/100)))</f>
        <v>#VALUE!</v>
      </c>
      <c r="S11" s="3" t="e">
        <f aca="false">IF($C11="","",(Front!$C$19=0)*$N11+(Front!$C$19=1)*($N11+O11))</f>
        <v>#VALUE!</v>
      </c>
      <c r="T11" s="3" t="e">
        <f aca="false">IF($C11="","",(Front!$C$19=0)*$N11+(Front!$C$19=1)*($N11+P11))</f>
        <v>#VALUE!</v>
      </c>
      <c r="U11" s="3" t="e">
        <f aca="false">IF($C11="","",(Front!$C$19=0)*$N11+(Front!$C$19=1)*($N11+Q11))</f>
        <v>#VALUE!</v>
      </c>
      <c r="V11" s="3" t="e">
        <f aca="false">IF($C11="","",(Front!$C$19=0)*$N11+(Front!$C$19=1)*($N11+R11))</f>
        <v>#VALUE!</v>
      </c>
      <c r="W11" s="90" t="e">
        <f aca="false">IF($C11="","",xEURO($L11,Call1,$G11,$G11,S11,$J11,1,0))</f>
        <v>#VALUE!</v>
      </c>
      <c r="X11" s="90" t="e">
        <f aca="false">IF($C11="","",xEURO($L11,Put1,$G11,$G11,T11,$J11,0,0))</f>
        <v>#VALUE!</v>
      </c>
      <c r="Y11" s="90" t="e">
        <f aca="false">IF($C11="","",xEURO($L11,Call2,$G11,$G11,U11,$J11,1,0))</f>
        <v>#VALUE!</v>
      </c>
      <c r="Z11" s="90" t="e">
        <f aca="false">IF($C11="","",xEURO($L11,Put2,$G11,$G11,V11,$J11,0,0))</f>
        <v>#VALUE!</v>
      </c>
      <c r="AA11" s="90" t="e">
        <f aca="false">IF($C11="","",xEURO($L11,Call1,$G11,$G11,$S11,$J11,1,1))</f>
        <v>#VALUE!</v>
      </c>
      <c r="AB11" s="90" t="e">
        <f aca="false">IF($C11="","",xEURO($L11,Put1,$G11,$G11,$T11,$J11,0,1))</f>
        <v>#VALUE!</v>
      </c>
      <c r="AC11" s="90" t="e">
        <f aca="false">IF($C11="","",xEURO($L11,Call2,$G11,$G11,$U11,$J11,1,1))</f>
        <v>#VALUE!</v>
      </c>
      <c r="AD11" s="90" t="e">
        <f aca="false">IF($C11="","",xEURO($L11,Put2,$G11,$G11,$V11,$J11,0,1))</f>
        <v>#VALUE!</v>
      </c>
      <c r="AE11" s="90" t="e">
        <f aca="false">IF($C11="","",xEURO($L11,Call1,$G11,$G11,$S11,$J11,1,3))</f>
        <v>#VALUE!</v>
      </c>
      <c r="AF11" s="90" t="e">
        <f aca="false">IF($C11="","",xEURO($L11,Put1,$G11,$G11,$T11,$J11,0,3))</f>
        <v>#VALUE!</v>
      </c>
      <c r="AG11" s="90" t="e">
        <f aca="false">IF($C11="","",xEURO($L11,Call2,$G11,$G11,$U11,$J11,1,3))</f>
        <v>#VALUE!</v>
      </c>
      <c r="AH11" s="90" t="e">
        <f aca="false">IF($C11="","",xEURO($L11,Put2,$G11,$G11,$V11,$J11,0,3))</f>
        <v>#VALUE!</v>
      </c>
      <c r="AI11" s="8" t="e">
        <f aca="false">IF(E11=1,G11,0)</f>
        <v>#VALUE!</v>
      </c>
      <c r="AJ11" s="8" t="e">
        <f aca="false">IF(E11=1,H11,0)</f>
        <v>#VALUE!</v>
      </c>
      <c r="AK11" s="8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2.75" hidden="false" customHeight="false" outlineLevel="0" collapsed="false">
      <c r="A12" s="91" t="n">
        <f aca="false">Swap!A12</f>
        <v>37196</v>
      </c>
      <c r="B12" s="0" t="n">
        <f aca="false">B11+1</f>
        <v>3</v>
      </c>
      <c r="C12" s="91" t="e">
        <f aca="false">IF(AND(A12&gt;=Front!$E$11,A12&lt;=Front!$E$12),A12,"")</f>
        <v>#VALUE!</v>
      </c>
      <c r="D12" s="87" t="e">
        <f aca="false">Swap!AB12</f>
        <v>#VALUE!</v>
      </c>
      <c r="E12" s="87" t="e">
        <f aca="false">IF($C12="","",1)</f>
        <v>#VALUE!</v>
      </c>
      <c r="F12" s="88" t="e">
        <f aca="false">IF($C12="","",E12*H12)</f>
        <v>#VALUE!</v>
      </c>
      <c r="G12" s="31" t="n">
        <f aca="false">Swap!AG12</f>
        <v>0.0270694791268817</v>
      </c>
      <c r="H12" s="31" t="n">
        <f aca="false">Swap!AH12</f>
        <v>1.90153239816271</v>
      </c>
      <c r="I12" s="92" t="n">
        <f aca="false">INDEX(expery,MATCH(A12,exprymonth,0),2)</f>
        <v>37190</v>
      </c>
      <c r="J12" s="87" t="n">
        <f aca="false">I12-Front!$C$2</f>
        <v>-8736</v>
      </c>
      <c r="K12" s="8" t="n">
        <f aca="false">Swap!E12</f>
        <v>2.287</v>
      </c>
      <c r="L12" s="8" t="e">
        <f aca="false">IF(C12="","",(PriceSwitch=0)*K12+(PriceSwitch=1)*(Front!$H$21+K12)+(PriceSwitch=2)*Front!$H$21)</f>
        <v>#VALUE!</v>
      </c>
      <c r="M12" s="93" t="n">
        <f aca="false">INDEX(vols,MATCH(A12,volsmonth,0),2)</f>
        <v>0.73</v>
      </c>
      <c r="N12" s="3" t="e">
        <f aca="false">IF(Skew_Switch=0,"",IF($C12="","",(Front!$E$20=0)*M12+(Front!$E$20=1)*(Front!$E$21+M12)+(Front!$E$20=2)*Front!$E$21))</f>
        <v>#VALUE!</v>
      </c>
      <c r="O12" s="94" t="e">
        <f aca="false">IF(Skew_Switch=0,"",IF(C12="","",((calcskew(Call1-$L12,$C12,a,b))/100)))</f>
        <v>#VALUE!</v>
      </c>
      <c r="P12" s="94" t="e">
        <f aca="false">IF(Skew_Switch=0,"",IF(C12="","",((calcskew(Put1-$L12,$C12,a,b))/100)))</f>
        <v>#VALUE!</v>
      </c>
      <c r="Q12" s="94" t="e">
        <f aca="false">IF(Skew_Switch=0,"",IF(C12="","",((calcskew(Call2-$L12,$C12,a,b))/100)))</f>
        <v>#VALUE!</v>
      </c>
      <c r="R12" s="94" t="e">
        <f aca="false">IF(Skew_Switch=0,"",IF(C12="","",((calcskew(Put2-$L12,$C12,a,b))/100)))</f>
        <v>#VALUE!</v>
      </c>
      <c r="S12" s="3" t="e">
        <f aca="false">IF($C12="","",(Front!$C$19=0)*$N12+(Front!$C$19=1)*($N12+O12))</f>
        <v>#VALUE!</v>
      </c>
      <c r="T12" s="3" t="e">
        <f aca="false">IF($C12="","",(Front!$C$19=0)*$N12+(Front!$C$19=1)*($N12+P12))</f>
        <v>#VALUE!</v>
      </c>
      <c r="U12" s="3" t="e">
        <f aca="false">IF($C12="","",(Front!$C$19=0)*$N12+(Front!$C$19=1)*($N12+Q12))</f>
        <v>#VALUE!</v>
      </c>
      <c r="V12" s="3" t="e">
        <f aca="false">IF($C12="","",(Front!$C$19=0)*$N12+(Front!$C$19=1)*($N12+R12))</f>
        <v>#VALUE!</v>
      </c>
      <c r="W12" s="90" t="e">
        <f aca="false">IF($C12="","",xEURO($L12,Call1,$G12,$G12,S12,$J12,1,0))</f>
        <v>#VALUE!</v>
      </c>
      <c r="X12" s="90" t="e">
        <f aca="false">IF($C12="","",xEURO($L12,Put1,$G12,$G12,T12,$J12,0,0))</f>
        <v>#VALUE!</v>
      </c>
      <c r="Y12" s="90" t="e">
        <f aca="false">IF($C12="","",xEURO($L12,Call2,$G12,$G12,U12,$J12,1,0))</f>
        <v>#VALUE!</v>
      </c>
      <c r="Z12" s="90" t="e">
        <f aca="false">IF($C12="","",xEURO($L12,Put2,$G12,$G12,V12,$J12,0,0))</f>
        <v>#VALUE!</v>
      </c>
      <c r="AA12" s="90" t="e">
        <f aca="false">IF($C12="","",xEURO($L12,Call1,$G12,$G12,$S12,$J12,1,1))</f>
        <v>#VALUE!</v>
      </c>
      <c r="AB12" s="90" t="e">
        <f aca="false">IF($C12="","",xEURO($L12,Put1,$G12,$G12,$T12,$J12,0,1))</f>
        <v>#VALUE!</v>
      </c>
      <c r="AC12" s="90" t="e">
        <f aca="false">IF($C12="","",xEURO($L12,Call2,$G12,$G12,$U12,$J12,1,1))</f>
        <v>#VALUE!</v>
      </c>
      <c r="AD12" s="90" t="e">
        <f aca="false">IF($C12="","",xEURO($L12,Put2,$G12,$G12,$V12,$J12,0,1))</f>
        <v>#VALUE!</v>
      </c>
      <c r="AE12" s="90" t="e">
        <f aca="false">IF($C12="","",xEURO($L12,Call1,$G12,$G12,$S12,$J12,1,3))</f>
        <v>#VALUE!</v>
      </c>
      <c r="AF12" s="90" t="e">
        <f aca="false">IF($C12="","",xEURO($L12,Put1,$G12,$G12,$T12,$J12,0,3))</f>
        <v>#VALUE!</v>
      </c>
      <c r="AG12" s="90" t="e">
        <f aca="false">IF($C12="","",xEURO($L12,Call2,$G12,$G12,$U12,$J12,1,3))</f>
        <v>#VALUE!</v>
      </c>
      <c r="AH12" s="90" t="e">
        <f aca="false">IF($C12="","",xEURO($L12,Put2,$G12,$G12,$V12,$J12,0,3))</f>
        <v>#VALUE!</v>
      </c>
      <c r="AI12" s="8" t="e">
        <f aca="false">IF(E12=1,G12,0)</f>
        <v>#VALUE!</v>
      </c>
      <c r="AJ12" s="8" t="e">
        <f aca="false">IF(E12=1,H12,0)</f>
        <v>#VALUE!</v>
      </c>
      <c r="AK12" s="8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2.75" hidden="false" customHeight="false" outlineLevel="0" collapsed="false">
      <c r="A13" s="91" t="n">
        <f aca="false">Swap!A13</f>
        <v>37226</v>
      </c>
      <c r="B13" s="0" t="n">
        <f aca="false">B12+1</f>
        <v>4</v>
      </c>
      <c r="C13" s="91" t="e">
        <f aca="false">IF(AND(A13&gt;=Front!$E$11,A13&lt;=Front!$E$12),A13,"")</f>
        <v>#VALUE!</v>
      </c>
      <c r="D13" s="87" t="e">
        <f aca="false">Swap!AB13</f>
        <v>#VALUE!</v>
      </c>
      <c r="E13" s="87" t="e">
        <f aca="false">IF($C13="","",1)</f>
        <v>#VALUE!</v>
      </c>
      <c r="F13" s="88" t="e">
        <f aca="false">IF($C13="","",E13*H13)</f>
        <v>#VALUE!</v>
      </c>
      <c r="G13" s="31" t="n">
        <f aca="false">Swap!AG13</f>
        <v>0.0267536876436849</v>
      </c>
      <c r="H13" s="31" t="n">
        <f aca="false">Swap!AH13</f>
        <v>1.88330755654705</v>
      </c>
      <c r="I13" s="92" t="n">
        <f aca="false">INDEX(expery,MATCH(A13,exprymonth,0),2)</f>
        <v>37222</v>
      </c>
      <c r="J13" s="87" t="n">
        <f aca="false">I13-Front!$C$2</f>
        <v>-8704</v>
      </c>
      <c r="K13" s="8" t="n">
        <f aca="false">Swap!E13</f>
        <v>2.677</v>
      </c>
      <c r="L13" s="8" t="e">
        <f aca="false">IF(C13="","",(PriceSwitch=0)*K13+(PriceSwitch=1)*(Front!$H$21+K13)+(PriceSwitch=2)*Front!$H$21)</f>
        <v>#VALUE!</v>
      </c>
      <c r="M13" s="93" t="n">
        <f aca="false">INDEX(vols,MATCH(A13,volsmonth,0),2)</f>
        <v>0.63</v>
      </c>
      <c r="N13" s="3" t="e">
        <f aca="false">IF(Skew_Switch=0,"",IF($C13="","",(Front!$E$20=0)*M13+(Front!$E$20=1)*(Front!$E$21+M13)+(Front!$E$20=2)*Front!$E$21))</f>
        <v>#VALUE!</v>
      </c>
      <c r="O13" s="94" t="e">
        <f aca="false">IF(Skew_Switch=0,"",IF(C13="","",((calcskew(Call1-$L13,$C13,a,b))/100)))</f>
        <v>#VALUE!</v>
      </c>
      <c r="P13" s="94" t="e">
        <f aca="false">IF(Skew_Switch=0,"",IF(C13="","",((calcskew(Put1-$L13,$C13,a,b))/100)))</f>
        <v>#VALUE!</v>
      </c>
      <c r="Q13" s="94" t="e">
        <f aca="false">IF(Skew_Switch=0,"",IF(C13="","",((calcskew(Call2-$L13,$C13,a,b))/100)))</f>
        <v>#VALUE!</v>
      </c>
      <c r="R13" s="94" t="e">
        <f aca="false">IF(Skew_Switch=0,"",IF(C13="","",((calcskew(Put2-$L13,$C13,a,b))/100)))</f>
        <v>#VALUE!</v>
      </c>
      <c r="S13" s="3" t="e">
        <f aca="false">IF($C13="","",(Front!$C$19=0)*$N13+(Front!$C$19=1)*($N13+O13))</f>
        <v>#VALUE!</v>
      </c>
      <c r="T13" s="3" t="e">
        <f aca="false">IF($C13="","",(Front!$C$19=0)*$N13+(Front!$C$19=1)*($N13+P13))</f>
        <v>#VALUE!</v>
      </c>
      <c r="U13" s="3" t="e">
        <f aca="false">IF($C13="","",(Front!$C$19=0)*$N13+(Front!$C$19=1)*($N13+Q13))</f>
        <v>#VALUE!</v>
      </c>
      <c r="V13" s="3" t="e">
        <f aca="false">IF($C13="","",(Front!$C$19=0)*$N13+(Front!$C$19=1)*($N13+R13))</f>
        <v>#VALUE!</v>
      </c>
      <c r="W13" s="90" t="e">
        <f aca="false">IF($C13="","",xEURO($L13,Call1,$G13,$G13,S13,$J13,1,0))</f>
        <v>#VALUE!</v>
      </c>
      <c r="X13" s="90" t="e">
        <f aca="false">IF($C13="","",xEURO($L13,Put1,$G13,$G13,T13,$J13,0,0))</f>
        <v>#VALUE!</v>
      </c>
      <c r="Y13" s="90" t="e">
        <f aca="false">IF($C13="","",xEURO($L13,Call2,$G13,$G13,U13,$J13,1,0))</f>
        <v>#VALUE!</v>
      </c>
      <c r="Z13" s="90" t="e">
        <f aca="false">IF($C13="","",xEURO($L13,Put2,$G13,$G13,V13,$J13,0,0))</f>
        <v>#VALUE!</v>
      </c>
      <c r="AA13" s="90" t="e">
        <f aca="false">IF($C13="","",xEURO($L13,Call1,$G13,$G13,$S13,$J13,1,1))</f>
        <v>#VALUE!</v>
      </c>
      <c r="AB13" s="90" t="e">
        <f aca="false">IF($C13="","",xEURO($L13,Put1,$G13,$G13,$T13,$J13,0,1))</f>
        <v>#VALUE!</v>
      </c>
      <c r="AC13" s="90" t="e">
        <f aca="false">IF($C13="","",xEURO($L13,Call2,$G13,$G13,$U13,$J13,1,1))</f>
        <v>#VALUE!</v>
      </c>
      <c r="AD13" s="90" t="e">
        <f aca="false">IF($C13="","",xEURO($L13,Put2,$G13,$G13,$V13,$J13,0,1))</f>
        <v>#VALUE!</v>
      </c>
      <c r="AE13" s="90" t="e">
        <f aca="false">IF($C13="","",xEURO($L13,Call1,$G13,$G13,$S13,$J13,1,3))</f>
        <v>#VALUE!</v>
      </c>
      <c r="AF13" s="90" t="e">
        <f aca="false">IF($C13="","",xEURO($L13,Put1,$G13,$G13,$T13,$J13,0,3))</f>
        <v>#VALUE!</v>
      </c>
      <c r="AG13" s="90" t="e">
        <f aca="false">IF($C13="","",xEURO($L13,Call2,$G13,$G13,$U13,$J13,1,3))</f>
        <v>#VALUE!</v>
      </c>
      <c r="AH13" s="90" t="e">
        <f aca="false">IF($C13="","",xEURO($L13,Put2,$G13,$G13,$V13,$J13,0,3))</f>
        <v>#VALUE!</v>
      </c>
      <c r="AI13" s="8" t="e">
        <f aca="false">IF(E13=1,G13,0)</f>
        <v>#VALUE!</v>
      </c>
      <c r="AJ13" s="8" t="e">
        <f aca="false">IF(E13=1,H13,0)</f>
        <v>#VALUE!</v>
      </c>
      <c r="AK13" s="8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2.75" hidden="false" customHeight="false" outlineLevel="0" collapsed="false">
      <c r="A14" s="91" t="n">
        <f aca="false">Swap!A14</f>
        <v>37257</v>
      </c>
      <c r="B14" s="0" t="n">
        <f aca="false">B13+1</f>
        <v>5</v>
      </c>
      <c r="C14" s="91" t="e">
        <f aca="false">IF(AND(A14&gt;=Front!$E$11,A14&lt;=Front!$E$12),A14,"")</f>
        <v>#VALUE!</v>
      </c>
      <c r="D14" s="87" t="e">
        <f aca="false">Swap!AB14</f>
        <v>#VALUE!</v>
      </c>
      <c r="E14" s="87" t="e">
        <f aca="false">IF($C14="","",1)</f>
        <v>#VALUE!</v>
      </c>
      <c r="F14" s="88" t="e">
        <f aca="false">IF($C14="","",E14*H14)</f>
        <v>#VALUE!</v>
      </c>
      <c r="G14" s="31" t="n">
        <f aca="false">Swap!AG14</f>
        <v>0.0264904792406417</v>
      </c>
      <c r="H14" s="31" t="n">
        <f aca="false">Swap!AH14</f>
        <v>1.8675154462144</v>
      </c>
      <c r="I14" s="92" t="n">
        <f aca="false">INDEX(expery,MATCH(A14,exprymonth,0),2)</f>
        <v>37251</v>
      </c>
      <c r="J14" s="87" t="n">
        <f aca="false">I14-Front!$C$2</f>
        <v>-8675</v>
      </c>
      <c r="K14" s="8" t="n">
        <f aca="false">Swap!E14</f>
        <v>2.884</v>
      </c>
      <c r="L14" s="8" t="e">
        <f aca="false">IF(C14="","",(PriceSwitch=0)*K14+(PriceSwitch=1)*(Front!$H$21+K14)+(PriceSwitch=2)*Front!$H$21)</f>
        <v>#VALUE!</v>
      </c>
      <c r="M14" s="93" t="n">
        <f aca="false">INDEX(vols,MATCH(A14,volsmonth,0),2)</f>
        <v>0.6175</v>
      </c>
      <c r="N14" s="3" t="e">
        <f aca="false">IF(Skew_Switch=0,"",IF($C14="","",(Front!$E$20=0)*M14+(Front!$E$20=1)*(Front!$E$21+M14)+(Front!$E$20=2)*Front!$E$21))</f>
        <v>#VALUE!</v>
      </c>
      <c r="O14" s="94" t="e">
        <f aca="false">IF(Skew_Switch=0,"",IF(C14="","",((calcskew(Call1-$L14,$C14,a,b))/100)))</f>
        <v>#VALUE!</v>
      </c>
      <c r="P14" s="94" t="e">
        <f aca="false">IF(Skew_Switch=0,"",IF(C14="","",((calcskew(Put1-$L14,$C14,a,b))/100)))</f>
        <v>#VALUE!</v>
      </c>
      <c r="Q14" s="94" t="e">
        <f aca="false">IF(Skew_Switch=0,"",IF(C14="","",((calcskew(Call2-$L14,$C14,a,b))/100)))</f>
        <v>#VALUE!</v>
      </c>
      <c r="R14" s="94" t="e">
        <f aca="false">IF(Skew_Switch=0,"",IF(C14="","",((calcskew(Put2-$L14,$C14,a,b))/100)))</f>
        <v>#VALUE!</v>
      </c>
      <c r="S14" s="3" t="e">
        <f aca="false">IF($C14="","",(Front!$C$19=0)*$N14+(Front!$C$19=1)*($N14+O14))</f>
        <v>#VALUE!</v>
      </c>
      <c r="T14" s="3" t="e">
        <f aca="false">IF($C14="","",(Front!$C$19=0)*$N14+(Front!$C$19=1)*($N14+P14))</f>
        <v>#VALUE!</v>
      </c>
      <c r="U14" s="3" t="e">
        <f aca="false">IF($C14="","",(Front!$C$19=0)*$N14+(Front!$C$19=1)*($N14+Q14))</f>
        <v>#VALUE!</v>
      </c>
      <c r="V14" s="3" t="e">
        <f aca="false">IF($C14="","",(Front!$C$19=0)*$N14+(Front!$C$19=1)*($N14+R14))</f>
        <v>#VALUE!</v>
      </c>
      <c r="W14" s="90" t="e">
        <f aca="false">IF($C14="","",xEURO($L14,Call1,$G14,$G14,S14,$J14,1,0))</f>
        <v>#VALUE!</v>
      </c>
      <c r="X14" s="90" t="e">
        <f aca="false">IF($C14="","",xEURO($L14,Put1,$G14,$G14,T14,$J14,0,0))</f>
        <v>#VALUE!</v>
      </c>
      <c r="Y14" s="90" t="e">
        <f aca="false">IF($C14="","",xEURO($L14,Call2,$G14,$G14,U14,$J14,1,0))</f>
        <v>#VALUE!</v>
      </c>
      <c r="Z14" s="90" t="e">
        <f aca="false">IF($C14="","",xEURO($L14,Put2,$G14,$G14,V14,$J14,0,0))</f>
        <v>#VALUE!</v>
      </c>
      <c r="AA14" s="90" t="e">
        <f aca="false">IF($C14="","",xEURO($L14,Call1,$G14,$G14,$S14,$J14,1,1))</f>
        <v>#VALUE!</v>
      </c>
      <c r="AB14" s="90" t="e">
        <f aca="false">IF($C14="","",xEURO($L14,Put1,$G14,$G14,$T14,$J14,0,1))</f>
        <v>#VALUE!</v>
      </c>
      <c r="AC14" s="90" t="e">
        <f aca="false">IF($C14="","",xEURO($L14,Call2,$G14,$G14,$U14,$J14,1,1))</f>
        <v>#VALUE!</v>
      </c>
      <c r="AD14" s="90" t="e">
        <f aca="false">IF($C14="","",xEURO($L14,Put2,$G14,$G14,$V14,$J14,0,1))</f>
        <v>#VALUE!</v>
      </c>
      <c r="AE14" s="90" t="e">
        <f aca="false">IF($C14="","",xEURO($L14,Call1,$G14,$G14,$S14,$J14,1,3))</f>
        <v>#VALUE!</v>
      </c>
      <c r="AF14" s="90" t="e">
        <f aca="false">IF($C14="","",xEURO($L14,Put1,$G14,$G14,$T14,$J14,0,3))</f>
        <v>#VALUE!</v>
      </c>
      <c r="AG14" s="90" t="e">
        <f aca="false">IF($C14="","",xEURO($L14,Call2,$G14,$G14,$U14,$J14,1,3))</f>
        <v>#VALUE!</v>
      </c>
      <c r="AH14" s="90" t="e">
        <f aca="false">IF($C14="","",xEURO($L14,Put2,$G14,$G14,$V14,$J14,0,3))</f>
        <v>#VALUE!</v>
      </c>
      <c r="AI14" s="8" t="e">
        <f aca="false">IF(E14=1,G14,0)</f>
        <v>#VALUE!</v>
      </c>
      <c r="AJ14" s="8" t="e">
        <f aca="false">IF(E14=1,H14,0)</f>
        <v>#VALUE!</v>
      </c>
      <c r="AK14" s="8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2.75" hidden="false" customHeight="false" outlineLevel="0" collapsed="false">
      <c r="A15" s="91" t="n">
        <f aca="false">Swap!A15</f>
        <v>37288</v>
      </c>
      <c r="B15" s="0" t="n">
        <f aca="false">B14+1</f>
        <v>6</v>
      </c>
      <c r="C15" s="91" t="e">
        <f aca="false">IF(AND(A15&gt;=Front!$E$11,A15&lt;=Front!$E$12),A15,"")</f>
        <v>#VALUE!</v>
      </c>
      <c r="D15" s="87" t="e">
        <f aca="false">Swap!AB15</f>
        <v>#VALUE!</v>
      </c>
      <c r="E15" s="87" t="e">
        <f aca="false">IF($C15="","",1)</f>
        <v>#VALUE!</v>
      </c>
      <c r="F15" s="88" t="e">
        <f aca="false">IF($C15="","",E15*H15)</f>
        <v>#VALUE!</v>
      </c>
      <c r="G15" s="31" t="n">
        <f aca="false">Swap!AG15</f>
        <v>0.0262355389192432</v>
      </c>
      <c r="H15" s="31" t="n">
        <f aca="false">Swap!AH15</f>
        <v>1.85229340091184</v>
      </c>
      <c r="I15" s="92" t="n">
        <f aca="false">INDEX(expery,MATCH(A15,exprymonth,0),2)</f>
        <v>37284</v>
      </c>
      <c r="J15" s="87" t="n">
        <f aca="false">I15-Front!$C$2</f>
        <v>-8642</v>
      </c>
      <c r="K15" s="8" t="n">
        <f aca="false">Swap!E15</f>
        <v>2.884</v>
      </c>
      <c r="L15" s="8" t="e">
        <f aca="false">IF(C15="","",(PriceSwitch=0)*K15+(PriceSwitch=1)*(Front!$H$21+K15)+(PriceSwitch=2)*Front!$H$21)</f>
        <v>#VALUE!</v>
      </c>
      <c r="M15" s="93" t="n">
        <f aca="false">INDEX(vols,MATCH(A15,volsmonth,0),2)</f>
        <v>0.595</v>
      </c>
      <c r="N15" s="3" t="e">
        <f aca="false">IF(Skew_Switch=0,"",IF($C15="","",(Front!$E$20=0)*M15+(Front!$E$20=1)*(Front!$E$21+M15)+(Front!$E$20=2)*Front!$E$21))</f>
        <v>#VALUE!</v>
      </c>
      <c r="O15" s="94" t="e">
        <f aca="false">IF(Skew_Switch=0,"",IF(C15="","",((calcskew(Call1-$L15,$C15,a,b))/100)))</f>
        <v>#VALUE!</v>
      </c>
      <c r="P15" s="94" t="e">
        <f aca="false">IF(Skew_Switch=0,"",IF(C15="","",((calcskew(Put1-$L15,$C15,a,b))/100)))</f>
        <v>#VALUE!</v>
      </c>
      <c r="Q15" s="94" t="e">
        <f aca="false">IF(Skew_Switch=0,"",IF(C15="","",((calcskew(Call2-$L15,$C15,a,b))/100)))</f>
        <v>#VALUE!</v>
      </c>
      <c r="R15" s="94" t="e">
        <f aca="false">IF(Skew_Switch=0,"",IF(C15="","",((calcskew(Put2-$L15,$C15,a,b))/100)))</f>
        <v>#VALUE!</v>
      </c>
      <c r="S15" s="3" t="e">
        <f aca="false">IF($C15="","",(Front!$C$19=0)*$N15+(Front!$C$19=1)*($N15+O15))</f>
        <v>#VALUE!</v>
      </c>
      <c r="T15" s="3" t="e">
        <f aca="false">IF($C15="","",(Front!$C$19=0)*$N15+(Front!$C$19=1)*($N15+P15))</f>
        <v>#VALUE!</v>
      </c>
      <c r="U15" s="3" t="e">
        <f aca="false">IF($C15="","",(Front!$C$19=0)*$N15+(Front!$C$19=1)*($N15+Q15))</f>
        <v>#VALUE!</v>
      </c>
      <c r="V15" s="3" t="e">
        <f aca="false">IF($C15="","",(Front!$C$19=0)*$N15+(Front!$C$19=1)*($N15+R15))</f>
        <v>#VALUE!</v>
      </c>
      <c r="W15" s="90" t="e">
        <f aca="false">IF($C15="","",xEURO($L15,Call1,$G15,$G15,S15,$J15,1,0))</f>
        <v>#VALUE!</v>
      </c>
      <c r="X15" s="90" t="e">
        <f aca="false">IF($C15="","",xEURO($L15,Put1,$G15,$G15,T15,$J15,0,0))</f>
        <v>#VALUE!</v>
      </c>
      <c r="Y15" s="90" t="e">
        <f aca="false">IF($C15="","",xEURO($L15,Call2,$G15,$G15,U15,$J15,1,0))</f>
        <v>#VALUE!</v>
      </c>
      <c r="Z15" s="90" t="e">
        <f aca="false">IF($C15="","",xEURO($L15,Put2,$G15,$G15,V15,$J15,0,0))</f>
        <v>#VALUE!</v>
      </c>
      <c r="AA15" s="90" t="e">
        <f aca="false">IF($C15="","",xEURO($L15,Call1,$G15,$G15,$S15,$J15,1,1))</f>
        <v>#VALUE!</v>
      </c>
      <c r="AB15" s="90" t="e">
        <f aca="false">IF($C15="","",xEURO($L15,Put1,$G15,$G15,$T15,$J15,0,1))</f>
        <v>#VALUE!</v>
      </c>
      <c r="AC15" s="90" t="e">
        <f aca="false">IF($C15="","",xEURO($L15,Call2,$G15,$G15,$U15,$J15,1,1))</f>
        <v>#VALUE!</v>
      </c>
      <c r="AD15" s="90" t="e">
        <f aca="false">IF($C15="","",xEURO($L15,Put2,$G15,$G15,$V15,$J15,0,1))</f>
        <v>#VALUE!</v>
      </c>
      <c r="AE15" s="90" t="e">
        <f aca="false">IF($C15="","",xEURO($L15,Call1,$G15,$G15,$S15,$J15,1,3))</f>
        <v>#VALUE!</v>
      </c>
      <c r="AF15" s="90" t="e">
        <f aca="false">IF($C15="","",xEURO($L15,Put1,$G15,$G15,$T15,$J15,0,3))</f>
        <v>#VALUE!</v>
      </c>
      <c r="AG15" s="90" t="e">
        <f aca="false">IF($C15="","",xEURO($L15,Call2,$G15,$G15,$U15,$J15,1,3))</f>
        <v>#VALUE!</v>
      </c>
      <c r="AH15" s="90" t="e">
        <f aca="false">IF($C15="","",xEURO($L15,Put2,$G15,$G15,$V15,$J15,0,3))</f>
        <v>#VALUE!</v>
      </c>
      <c r="AI15" s="8" t="e">
        <f aca="false">IF(E15=1,G15,0)</f>
        <v>#VALUE!</v>
      </c>
      <c r="AJ15" s="8" t="e">
        <f aca="false">IF(E15=1,H15,0)</f>
        <v>#VALUE!</v>
      </c>
      <c r="AK15" s="8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2.75" hidden="false" customHeight="false" outlineLevel="0" collapsed="false">
      <c r="A16" s="91" t="n">
        <f aca="false">Swap!A16</f>
        <v>37316</v>
      </c>
      <c r="B16" s="0" t="n">
        <f aca="false">B15+1</f>
        <v>7</v>
      </c>
      <c r="C16" s="91" t="e">
        <f aca="false">IF(AND(A16&gt;=Front!$E$11,A16&lt;=Front!$E$12),A16,"")</f>
        <v>#VALUE!</v>
      </c>
      <c r="D16" s="87" t="e">
        <f aca="false">Swap!AB16</f>
        <v>#VALUE!</v>
      </c>
      <c r="E16" s="87" t="e">
        <f aca="false">IF($C16="","",1)</f>
        <v>#VALUE!</v>
      </c>
      <c r="F16" s="88" t="e">
        <f aca="false">IF($C16="","",E16*H16)</f>
        <v>#VALUE!</v>
      </c>
      <c r="G16" s="31" t="n">
        <f aca="false">Swap!AG16</f>
        <v>0.0260052702607223</v>
      </c>
      <c r="H16" s="31" t="n">
        <f aca="false">Swap!AH16</f>
        <v>1.8387174526638</v>
      </c>
      <c r="I16" s="92" t="n">
        <f aca="false">INDEX(expery,MATCH(A16,exprymonth,0),2)</f>
        <v>37312</v>
      </c>
      <c r="J16" s="87" t="n">
        <f aca="false">I16-Front!$C$2</f>
        <v>-8614</v>
      </c>
      <c r="K16" s="8" t="n">
        <f aca="false">Swap!E16</f>
        <v>2.851</v>
      </c>
      <c r="L16" s="8" t="e">
        <f aca="false">IF(C16="","",(PriceSwitch=0)*K16+(PriceSwitch=1)*(Front!$H$21+K16)+(PriceSwitch=2)*Front!$H$21)</f>
        <v>#VALUE!</v>
      </c>
      <c r="M16" s="93" t="n">
        <f aca="false">INDEX(vols,MATCH(A16,volsmonth,0),2)</f>
        <v>0.53</v>
      </c>
      <c r="N16" s="3" t="e">
        <f aca="false">IF(Skew_Switch=0,"",IF($C16="","",(Front!$E$20=0)*M16+(Front!$E$20=1)*(Front!$E$21+M16)+(Front!$E$20=2)*Front!$E$21))</f>
        <v>#VALUE!</v>
      </c>
      <c r="O16" s="94" t="e">
        <f aca="false">IF(Skew_Switch=0,"",IF(C16="","",((calcskew(Call1-$L16,$C16,a,b))/100)))</f>
        <v>#VALUE!</v>
      </c>
      <c r="P16" s="94" t="e">
        <f aca="false">IF(Skew_Switch=0,"",IF(C16="","",((calcskew(Put1-$L16,$C16,a,b))/100)))</f>
        <v>#VALUE!</v>
      </c>
      <c r="Q16" s="94" t="e">
        <f aca="false">IF(Skew_Switch=0,"",IF(C16="","",((calcskew(Call2-$L16,$C16,a,b))/100)))</f>
        <v>#VALUE!</v>
      </c>
      <c r="R16" s="94" t="e">
        <f aca="false">IF(Skew_Switch=0,"",IF(C16="","",((calcskew(Put2-$L16,$C16,a,b))/100)))</f>
        <v>#VALUE!</v>
      </c>
      <c r="S16" s="3" t="e">
        <f aca="false">IF($C16="","",(Front!$C$19=0)*$N16+(Front!$C$19=1)*($N16+O16))</f>
        <v>#VALUE!</v>
      </c>
      <c r="T16" s="3" t="e">
        <f aca="false">IF($C16="","",(Front!$C$19=0)*$N16+(Front!$C$19=1)*($N16+P16))</f>
        <v>#VALUE!</v>
      </c>
      <c r="U16" s="3" t="e">
        <f aca="false">IF($C16="","",(Front!$C$19=0)*$N16+(Front!$C$19=1)*($N16+Q16))</f>
        <v>#VALUE!</v>
      </c>
      <c r="V16" s="3" t="e">
        <f aca="false">IF($C16="","",(Front!$C$19=0)*$N16+(Front!$C$19=1)*($N16+R16))</f>
        <v>#VALUE!</v>
      </c>
      <c r="W16" s="90" t="e">
        <f aca="false">IF($C16="","",xEURO($L16,Call1,$G16,$G16,S16,$J16,1,0))</f>
        <v>#VALUE!</v>
      </c>
      <c r="X16" s="90" t="e">
        <f aca="false">IF($C16="","",xEURO($L16,Put1,$G16,$G16,T16,$J16,0,0))</f>
        <v>#VALUE!</v>
      </c>
      <c r="Y16" s="90" t="e">
        <f aca="false">IF($C16="","",xEURO($L16,Call2,$G16,$G16,U16,$J16,1,0))</f>
        <v>#VALUE!</v>
      </c>
      <c r="Z16" s="90" t="e">
        <f aca="false">IF($C16="","",xEURO($L16,Put2,$G16,$G16,V16,$J16,0,0))</f>
        <v>#VALUE!</v>
      </c>
      <c r="AA16" s="90" t="e">
        <f aca="false">IF($C16="","",xEURO($L16,Call1,$G16,$G16,$S16,$J16,1,1))</f>
        <v>#VALUE!</v>
      </c>
      <c r="AB16" s="90" t="e">
        <f aca="false">IF($C16="","",xEURO($L16,Put1,$G16,$G16,$T16,$J16,0,1))</f>
        <v>#VALUE!</v>
      </c>
      <c r="AC16" s="90" t="e">
        <f aca="false">IF($C16="","",xEURO($L16,Call2,$G16,$G16,$U16,$J16,1,1))</f>
        <v>#VALUE!</v>
      </c>
      <c r="AD16" s="90" t="e">
        <f aca="false">IF($C16="","",xEURO($L16,Put2,$G16,$G16,$V16,$J16,0,1))</f>
        <v>#VALUE!</v>
      </c>
      <c r="AE16" s="90" t="e">
        <f aca="false">IF($C16="","",xEURO($L16,Call1,$G16,$G16,$S16,$J16,1,3))</f>
        <v>#VALUE!</v>
      </c>
      <c r="AF16" s="90" t="e">
        <f aca="false">IF($C16="","",xEURO($L16,Put1,$G16,$G16,$T16,$J16,0,3))</f>
        <v>#VALUE!</v>
      </c>
      <c r="AG16" s="90" t="e">
        <f aca="false">IF($C16="","",xEURO($L16,Call2,$G16,$G16,$U16,$J16,1,3))</f>
        <v>#VALUE!</v>
      </c>
      <c r="AH16" s="90" t="e">
        <f aca="false">IF($C16="","",xEURO($L16,Put2,$G16,$G16,$V16,$J16,0,3))</f>
        <v>#VALUE!</v>
      </c>
      <c r="AI16" s="8" t="e">
        <f aca="false">IF(E16=1,G16,0)</f>
        <v>#VALUE!</v>
      </c>
      <c r="AJ16" s="8" t="e">
        <f aca="false">IF(E16=1,H16,0)</f>
        <v>#VALUE!</v>
      </c>
      <c r="AK16" s="8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2.75" hidden="false" customHeight="false" outlineLevel="0" collapsed="false">
      <c r="A17" s="91" t="n">
        <f aca="false">Swap!A17</f>
        <v>37347</v>
      </c>
      <c r="B17" s="0" t="n">
        <f aca="false">B16+1</f>
        <v>8</v>
      </c>
      <c r="C17" s="91" t="e">
        <f aca="false">IF(AND(A17&gt;=Front!$E$11,A17&lt;=Front!$E$12),A17,"")</f>
        <v>#VALUE!</v>
      </c>
      <c r="D17" s="87" t="e">
        <f aca="false">Swap!AB17</f>
        <v>#VALUE!</v>
      </c>
      <c r="E17" s="87" t="e">
        <f aca="false">IF($C17="","",1)</f>
        <v>#VALUE!</v>
      </c>
      <c r="F17" s="88" t="e">
        <f aca="false">IF($C17="","",E17*H17)</f>
        <v>#VALUE!</v>
      </c>
      <c r="G17" s="31" t="n">
        <f aca="false">Swap!AG17</f>
        <v>0.0258808763196687</v>
      </c>
      <c r="H17" s="31" t="n">
        <f aca="false">Swap!AH17</f>
        <v>1.8294054256638</v>
      </c>
      <c r="I17" s="92" t="n">
        <f aca="false">INDEX(expery,MATCH(A17,exprymonth,0),2)</f>
        <v>37340</v>
      </c>
      <c r="J17" s="87" t="n">
        <f aca="false">I17-Front!$C$2</f>
        <v>-8586</v>
      </c>
      <c r="K17" s="8" t="n">
        <f aca="false">Swap!E17</f>
        <v>2.794</v>
      </c>
      <c r="L17" s="8" t="e">
        <f aca="false">IF(C17="","",(PriceSwitch=0)*K17+(PriceSwitch=1)*(Front!$H$21+K17)+(PriceSwitch=2)*Front!$H$21)</f>
        <v>#VALUE!</v>
      </c>
      <c r="M17" s="93" t="n">
        <f aca="false">INDEX(vols,MATCH(A17,volsmonth,0),2)</f>
        <v>0.485</v>
      </c>
      <c r="N17" s="3" t="e">
        <f aca="false">IF(Skew_Switch=0,"",IF($C17="","",(Front!$E$20=0)*M17+(Front!$E$20=1)*(Front!$E$21+M17)+(Front!$E$20=2)*Front!$E$21))</f>
        <v>#VALUE!</v>
      </c>
      <c r="O17" s="94" t="e">
        <f aca="false">IF(Skew_Switch=0,"",IF(C17="","",((calcskew(Call1-$L17,$C17,a,b))/100)))</f>
        <v>#VALUE!</v>
      </c>
      <c r="P17" s="94" t="e">
        <f aca="false">IF(Skew_Switch=0,"",IF(C17="","",((calcskew(Put1-$L17,$C17,a,b))/100)))</f>
        <v>#VALUE!</v>
      </c>
      <c r="Q17" s="94" t="e">
        <f aca="false">IF(Skew_Switch=0,"",IF(C17="","",((calcskew(Call2-$L17,$C17,a,b))/100)))</f>
        <v>#VALUE!</v>
      </c>
      <c r="R17" s="94" t="e">
        <f aca="false">IF(Skew_Switch=0,"",IF(C17="","",((calcskew(Put2-$L17,$C17,a,b))/100)))</f>
        <v>#VALUE!</v>
      </c>
      <c r="S17" s="3" t="e">
        <f aca="false">IF($C17="","",(Front!$C$19=0)*$N17+(Front!$C$19=1)*($N17+O17))</f>
        <v>#VALUE!</v>
      </c>
      <c r="T17" s="3" t="e">
        <f aca="false">IF($C17="","",(Front!$C$19=0)*$N17+(Front!$C$19=1)*($N17+P17))</f>
        <v>#VALUE!</v>
      </c>
      <c r="U17" s="3" t="e">
        <f aca="false">IF($C17="","",(Front!$C$19=0)*$N17+(Front!$C$19=1)*($N17+Q17))</f>
        <v>#VALUE!</v>
      </c>
      <c r="V17" s="3" t="e">
        <f aca="false">IF($C17="","",(Front!$C$19=0)*$N17+(Front!$C$19=1)*($N17+R17))</f>
        <v>#VALUE!</v>
      </c>
      <c r="W17" s="90" t="e">
        <f aca="false">IF($C17="","",xEURO($L17,Call1,$G17,$G17,S17,$J17,1,0))</f>
        <v>#VALUE!</v>
      </c>
      <c r="X17" s="90" t="e">
        <f aca="false">IF($C17="","",xEURO($L17,Put1,$G17,$G17,T17,$J17,0,0))</f>
        <v>#VALUE!</v>
      </c>
      <c r="Y17" s="90" t="e">
        <f aca="false">IF($C17="","",xEURO($L17,Call2,$G17,$G17,U17,$J17,1,0))</f>
        <v>#VALUE!</v>
      </c>
      <c r="Z17" s="90" t="e">
        <f aca="false">IF($C17="","",xEURO($L17,Put2,$G17,$G17,V17,$J17,0,0))</f>
        <v>#VALUE!</v>
      </c>
      <c r="AA17" s="90" t="e">
        <f aca="false">IF($C17="","",xEURO($L17,Call1,$G17,$G17,$S17,$J17,1,1))</f>
        <v>#VALUE!</v>
      </c>
      <c r="AB17" s="90" t="e">
        <f aca="false">IF($C17="","",xEURO($L17,Put1,$G17,$G17,$T17,$J17,0,1))</f>
        <v>#VALUE!</v>
      </c>
      <c r="AC17" s="90" t="e">
        <f aca="false">IF($C17="","",xEURO($L17,Call2,$G17,$G17,$U17,$J17,1,1))</f>
        <v>#VALUE!</v>
      </c>
      <c r="AD17" s="90" t="e">
        <f aca="false">IF($C17="","",xEURO($L17,Put2,$G17,$G17,$V17,$J17,0,1))</f>
        <v>#VALUE!</v>
      </c>
      <c r="AE17" s="90" t="e">
        <f aca="false">IF($C17="","",xEURO($L17,Call1,$G17,$G17,$S17,$J17,1,3))</f>
        <v>#VALUE!</v>
      </c>
      <c r="AF17" s="90" t="e">
        <f aca="false">IF($C17="","",xEURO($L17,Put1,$G17,$G17,$T17,$J17,0,3))</f>
        <v>#VALUE!</v>
      </c>
      <c r="AG17" s="90" t="e">
        <f aca="false">IF($C17="","",xEURO($L17,Call2,$G17,$G17,$U17,$J17,1,3))</f>
        <v>#VALUE!</v>
      </c>
      <c r="AH17" s="90" t="e">
        <f aca="false">IF($C17="","",xEURO($L17,Put2,$G17,$G17,$V17,$J17,0,3))</f>
        <v>#VALUE!</v>
      </c>
      <c r="AI17" s="8" t="e">
        <f aca="false">IF(E17=1,G17,0)</f>
        <v>#VALUE!</v>
      </c>
      <c r="AJ17" s="8" t="e">
        <f aca="false">IF(E17=1,H17,0)</f>
        <v>#VALUE!</v>
      </c>
      <c r="AK17" s="8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2.75" hidden="false" customHeight="false" outlineLevel="0" collapsed="false">
      <c r="A18" s="91" t="n">
        <f aca="false">Swap!A18</f>
        <v>37377</v>
      </c>
      <c r="B18" s="0" t="n">
        <f aca="false">B17+1</f>
        <v>9</v>
      </c>
      <c r="C18" s="91" t="e">
        <f aca="false">IF(AND(A18&gt;=Front!$E$11,A18&lt;=Front!$E$12),A18,"")</f>
        <v>#VALUE!</v>
      </c>
      <c r="D18" s="87" t="e">
        <f aca="false">Swap!AB18</f>
        <v>#VALUE!</v>
      </c>
      <c r="E18" s="87" t="e">
        <f aca="false">IF($C18="","",1)</f>
        <v>#VALUE!</v>
      </c>
      <c r="F18" s="88" t="e">
        <f aca="false">IF($C18="","",E18*H18)</f>
        <v>#VALUE!</v>
      </c>
      <c r="G18" s="31" t="n">
        <f aca="false">Swap!AG18</f>
        <v>0.0259322347193565</v>
      </c>
      <c r="H18" s="31" t="n">
        <f aca="false">Swap!AH18</f>
        <v>1.82771330282044</v>
      </c>
      <c r="I18" s="92" t="n">
        <f aca="false">INDEX(expery,MATCH(A18,exprymonth,0),2)</f>
        <v>37371</v>
      </c>
      <c r="J18" s="87" t="n">
        <f aca="false">I18-Front!$C$2</f>
        <v>-8555</v>
      </c>
      <c r="K18" s="8" t="n">
        <f aca="false">Swap!E18</f>
        <v>2.819</v>
      </c>
      <c r="L18" s="8" t="e">
        <f aca="false">IF(C18="","",(PriceSwitch=0)*K18+(PriceSwitch=1)*(Front!$H$21+K18)+(PriceSwitch=2)*Front!$H$21)</f>
        <v>#VALUE!</v>
      </c>
      <c r="M18" s="93" t="n">
        <f aca="false">INDEX(vols,MATCH(A18,volsmonth,0),2)</f>
        <v>0.45</v>
      </c>
      <c r="N18" s="3" t="e">
        <f aca="false">IF(Skew_Switch=0,"",IF($C18="","",(Front!$E$20=0)*M18+(Front!$E$20=1)*(Front!$E$21+M18)+(Front!$E$20=2)*Front!$E$21))</f>
        <v>#VALUE!</v>
      </c>
      <c r="O18" s="94" t="e">
        <f aca="false">IF(Skew_Switch=0,"",IF(C18="","",((calcskew(Call1-$L18,$C18,a,b))/100)))</f>
        <v>#VALUE!</v>
      </c>
      <c r="P18" s="94" t="e">
        <f aca="false">IF(Skew_Switch=0,"",IF(C18="","",((calcskew(Put1-$L18,$C18,a,b))/100)))</f>
        <v>#VALUE!</v>
      </c>
      <c r="Q18" s="94" t="e">
        <f aca="false">IF(Skew_Switch=0,"",IF(C18="","",((calcskew(Call2-$L18,$C18,a,b))/100)))</f>
        <v>#VALUE!</v>
      </c>
      <c r="R18" s="94" t="e">
        <f aca="false">IF(Skew_Switch=0,"",IF(C18="","",((calcskew(Put2-$L18,$C18,a,b))/100)))</f>
        <v>#VALUE!</v>
      </c>
      <c r="S18" s="3" t="e">
        <f aca="false">IF($C18="","",(Front!$C$19=0)*$N18+(Front!$C$19=1)*($N18+O18))</f>
        <v>#VALUE!</v>
      </c>
      <c r="T18" s="3" t="e">
        <f aca="false">IF($C18="","",(Front!$C$19=0)*$N18+(Front!$C$19=1)*($N18+P18))</f>
        <v>#VALUE!</v>
      </c>
      <c r="U18" s="3" t="e">
        <f aca="false">IF($C18="","",(Front!$C$19=0)*$N18+(Front!$C$19=1)*($N18+Q18))</f>
        <v>#VALUE!</v>
      </c>
      <c r="V18" s="3" t="e">
        <f aca="false">IF($C18="","",(Front!$C$19=0)*$N18+(Front!$C$19=1)*($N18+R18))</f>
        <v>#VALUE!</v>
      </c>
      <c r="W18" s="90" t="e">
        <f aca="false">IF($C18="","",xEURO($L18,Call1,$G18,$G18,S18,$J18,1,0))</f>
        <v>#VALUE!</v>
      </c>
      <c r="X18" s="90" t="e">
        <f aca="false">IF($C18="","",xEURO($L18,Put1,$G18,$G18,T18,$J18,0,0))</f>
        <v>#VALUE!</v>
      </c>
      <c r="Y18" s="90" t="e">
        <f aca="false">IF($C18="","",xEURO($L18,Call2,$G18,$G18,U18,$J18,1,0))</f>
        <v>#VALUE!</v>
      </c>
      <c r="Z18" s="90" t="e">
        <f aca="false">IF($C18="","",xEURO($L18,Put2,$G18,$G18,V18,$J18,0,0))</f>
        <v>#VALUE!</v>
      </c>
      <c r="AA18" s="90" t="e">
        <f aca="false">IF($C18="","",xEURO($L18,Call1,$G18,$G18,$S18,$J18,1,1))</f>
        <v>#VALUE!</v>
      </c>
      <c r="AB18" s="90" t="e">
        <f aca="false">IF($C18="","",xEURO($L18,Put1,$G18,$G18,$T18,$J18,0,1))</f>
        <v>#VALUE!</v>
      </c>
      <c r="AC18" s="90" t="e">
        <f aca="false">IF($C18="","",xEURO($L18,Call2,$G18,$G18,$U18,$J18,1,1))</f>
        <v>#VALUE!</v>
      </c>
      <c r="AD18" s="90" t="e">
        <f aca="false">IF($C18="","",xEURO($L18,Put2,$G18,$G18,$V18,$J18,0,1))</f>
        <v>#VALUE!</v>
      </c>
      <c r="AE18" s="90" t="e">
        <f aca="false">IF($C18="","",xEURO($L18,Call1,$G18,$G18,$S18,$J18,1,3))</f>
        <v>#VALUE!</v>
      </c>
      <c r="AF18" s="90" t="e">
        <f aca="false">IF($C18="","",xEURO($L18,Put1,$G18,$G18,$T18,$J18,0,3))</f>
        <v>#VALUE!</v>
      </c>
      <c r="AG18" s="90" t="e">
        <f aca="false">IF($C18="","",xEURO($L18,Call2,$G18,$G18,$U18,$J18,1,3))</f>
        <v>#VALUE!</v>
      </c>
      <c r="AH18" s="90" t="e">
        <f aca="false">IF($C18="","",xEURO($L18,Put2,$G18,$G18,$V18,$J18,0,3))</f>
        <v>#VALUE!</v>
      </c>
      <c r="AI18" s="8" t="e">
        <f aca="false">IF(E18=1,G18,0)</f>
        <v>#VALUE!</v>
      </c>
      <c r="AJ18" s="8" t="e">
        <f aca="false">IF(E18=1,H18,0)</f>
        <v>#VALUE!</v>
      </c>
      <c r="AK18" s="8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2.75" hidden="false" customHeight="false" outlineLevel="0" collapsed="false">
      <c r="A19" s="91" t="n">
        <f aca="false">Swap!A19</f>
        <v>37408</v>
      </c>
      <c r="B19" s="0" t="n">
        <f aca="false">B18+1</f>
        <v>10</v>
      </c>
      <c r="C19" s="91" t="e">
        <f aca="false">IF(AND(A19&gt;=Front!$E$11,A19&lt;=Front!$E$12),A19,"")</f>
        <v>#VALUE!</v>
      </c>
      <c r="D19" s="87" t="e">
        <f aca="false">Swap!AB19</f>
        <v>#VALUE!</v>
      </c>
      <c r="E19" s="87" t="e">
        <f aca="false">IF($C19="","",1)</f>
        <v>#VALUE!</v>
      </c>
      <c r="F19" s="88" t="e">
        <f aca="false">IF($C19="","",E19*H19)</f>
        <v>#VALUE!</v>
      </c>
      <c r="G19" s="31" t="n">
        <f aca="false">Swap!AG19</f>
        <v>0.0259853050666372</v>
      </c>
      <c r="H19" s="31" t="n">
        <f aca="false">Swap!AH19</f>
        <v>1.82595038575699</v>
      </c>
      <c r="I19" s="92" t="n">
        <f aca="false">INDEX(expery,MATCH(A19,exprymonth,0),2)</f>
        <v>37404</v>
      </c>
      <c r="J19" s="87" t="n">
        <f aca="false">I19-Front!$C$2</f>
        <v>-8522</v>
      </c>
      <c r="K19" s="8" t="n">
        <f aca="false">Swap!E19</f>
        <v>2.871</v>
      </c>
      <c r="L19" s="8" t="e">
        <f aca="false">IF(C19="","",(PriceSwitch=0)*K19+(PriceSwitch=1)*(Front!$H$21+K19)+(PriceSwitch=2)*Front!$H$21)</f>
        <v>#VALUE!</v>
      </c>
      <c r="M19" s="93" t="n">
        <f aca="false">INDEX(vols,MATCH(A19,volsmonth,0),2)</f>
        <v>0.4425</v>
      </c>
      <c r="N19" s="3" t="e">
        <f aca="false">IF(Skew_Switch=0,"",IF($C19="","",(Front!$E$20=0)*M19+(Front!$E$20=1)*(Front!$E$21+M19)+(Front!$E$20=2)*Front!$E$21))</f>
        <v>#VALUE!</v>
      </c>
      <c r="O19" s="94" t="e">
        <f aca="false">IF(Skew_Switch=0,"",IF(C19="","",((calcskew(Call1-$L19,$C19,a,b))/100)))</f>
        <v>#VALUE!</v>
      </c>
      <c r="P19" s="94" t="e">
        <f aca="false">IF(Skew_Switch=0,"",IF(C19="","",((calcskew(Put1-$L19,$C19,a,b))/100)))</f>
        <v>#VALUE!</v>
      </c>
      <c r="Q19" s="94" t="e">
        <f aca="false">IF(Skew_Switch=0,"",IF(C19="","",((calcskew(Call2-$L19,$C19,a,b))/100)))</f>
        <v>#VALUE!</v>
      </c>
      <c r="R19" s="94" t="e">
        <f aca="false">IF(Skew_Switch=0,"",IF(C19="","",((calcskew(Put2-$L19,$C19,a,b))/100)))</f>
        <v>#VALUE!</v>
      </c>
      <c r="S19" s="3" t="e">
        <f aca="false">IF($C19="","",(Front!$C$19=0)*$N19+(Front!$C$19=1)*($N19+O19))</f>
        <v>#VALUE!</v>
      </c>
      <c r="T19" s="3" t="e">
        <f aca="false">IF($C19="","",(Front!$C$19=0)*$N19+(Front!$C$19=1)*($N19+P19))</f>
        <v>#VALUE!</v>
      </c>
      <c r="U19" s="3" t="e">
        <f aca="false">IF($C19="","",(Front!$C$19=0)*$N19+(Front!$C$19=1)*($N19+Q19))</f>
        <v>#VALUE!</v>
      </c>
      <c r="V19" s="3" t="e">
        <f aca="false">IF($C19="","",(Front!$C$19=0)*$N19+(Front!$C$19=1)*($N19+R19))</f>
        <v>#VALUE!</v>
      </c>
      <c r="W19" s="90" t="e">
        <f aca="false">IF($C19="","",xEURO($L19,Call1,$G19,$G19,S19,$J19,1,0))</f>
        <v>#VALUE!</v>
      </c>
      <c r="X19" s="90" t="e">
        <f aca="false">IF($C19="","",xEURO($L19,Put1,$G19,$G19,T19,$J19,0,0))</f>
        <v>#VALUE!</v>
      </c>
      <c r="Y19" s="90" t="e">
        <f aca="false">IF($C19="","",xEURO($L19,Call2,$G19,$G19,U19,$J19,1,0))</f>
        <v>#VALUE!</v>
      </c>
      <c r="Z19" s="90" t="e">
        <f aca="false">IF($C19="","",xEURO($L19,Put2,$G19,$G19,V19,$J19,0,0))</f>
        <v>#VALUE!</v>
      </c>
      <c r="AA19" s="90" t="e">
        <f aca="false">IF($C19="","",xEURO($L19,Call1,$G19,$G19,$S19,$J19,1,1))</f>
        <v>#VALUE!</v>
      </c>
      <c r="AB19" s="90" t="e">
        <f aca="false">IF($C19="","",xEURO($L19,Put1,$G19,$G19,$T19,$J19,0,1))</f>
        <v>#VALUE!</v>
      </c>
      <c r="AC19" s="90" t="e">
        <f aca="false">IF($C19="","",xEURO($L19,Call2,$G19,$G19,$U19,$J19,1,1))</f>
        <v>#VALUE!</v>
      </c>
      <c r="AD19" s="90" t="e">
        <f aca="false">IF($C19="","",xEURO($L19,Put2,$G19,$G19,$V19,$J19,0,1))</f>
        <v>#VALUE!</v>
      </c>
      <c r="AE19" s="90" t="e">
        <f aca="false">IF($C19="","",xEURO($L19,Call1,$G19,$G19,$S19,$J19,1,3))</f>
        <v>#VALUE!</v>
      </c>
      <c r="AF19" s="90" t="e">
        <f aca="false">IF($C19="","",xEURO($L19,Put1,$G19,$G19,$T19,$J19,0,3))</f>
        <v>#VALUE!</v>
      </c>
      <c r="AG19" s="90" t="e">
        <f aca="false">IF($C19="","",xEURO($L19,Call2,$G19,$G19,$U19,$J19,1,3))</f>
        <v>#VALUE!</v>
      </c>
      <c r="AH19" s="90" t="e">
        <f aca="false">IF($C19="","",xEURO($L19,Put2,$G19,$G19,$V19,$J19,0,3))</f>
        <v>#VALUE!</v>
      </c>
      <c r="AI19" s="8" t="e">
        <f aca="false">IF(E19=1,G19,0)</f>
        <v>#VALUE!</v>
      </c>
      <c r="AJ19" s="8" t="e">
        <f aca="false">IF(E19=1,H19,0)</f>
        <v>#VALUE!</v>
      </c>
      <c r="AK19" s="8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</row>
    <row r="20" customFormat="false" ht="12.75" hidden="false" customHeight="false" outlineLevel="0" collapsed="false">
      <c r="A20" s="91" t="n">
        <f aca="false">Swap!A20</f>
        <v>37438</v>
      </c>
      <c r="B20" s="0" t="n">
        <f aca="false">B19+1</f>
        <v>11</v>
      </c>
      <c r="C20" s="91" t="e">
        <f aca="false">IF(AND(A20&gt;=Front!$E$11,A20&lt;=Front!$E$12),A20,"")</f>
        <v>#VALUE!</v>
      </c>
      <c r="D20" s="87" t="e">
        <f aca="false">Swap!AB20</f>
        <v>#VALUE!</v>
      </c>
      <c r="E20" s="87" t="e">
        <f aca="false">IF($C20="","",1)</f>
        <v>#VALUE!</v>
      </c>
      <c r="F20" s="88" t="e">
        <f aca="false">IF($C20="","",E20*H20)</f>
        <v>#VALUE!</v>
      </c>
      <c r="G20" s="31" t="n">
        <f aca="false">Swap!AG20</f>
        <v>0.0261676197601344</v>
      </c>
      <c r="H20" s="31" t="n">
        <f aca="false">Swap!AH20</f>
        <v>1.82971881127552</v>
      </c>
      <c r="I20" s="92" t="n">
        <f aca="false">INDEX(expery,MATCH(A20,exprymonth,0),2)</f>
        <v>37432</v>
      </c>
      <c r="J20" s="87" t="n">
        <f aca="false">I20-Front!$C$2</f>
        <v>-8494</v>
      </c>
      <c r="K20" s="8" t="n">
        <f aca="false">Swap!E20</f>
        <v>2.917</v>
      </c>
      <c r="L20" s="8" t="e">
        <f aca="false">IF(C20="","",(PriceSwitch=0)*K20+(PriceSwitch=1)*(Front!$H$21+K20)+(PriceSwitch=2)*Front!$H$21)</f>
        <v>#VALUE!</v>
      </c>
      <c r="M20" s="93" t="n">
        <f aca="false">INDEX(vols,MATCH(A20,volsmonth,0),2)</f>
        <v>0.4425</v>
      </c>
      <c r="N20" s="3" t="e">
        <f aca="false">IF(Skew_Switch=0,"",IF($C20="","",(Front!$E$20=0)*M20+(Front!$E$20=1)*(Front!$E$21+M20)+(Front!$E$20=2)*Front!$E$21))</f>
        <v>#VALUE!</v>
      </c>
      <c r="O20" s="94" t="e">
        <f aca="false">IF(Skew_Switch=0,"",IF(C20="","",((calcskew(Call1-$L20,$C20,a,b))/100)))</f>
        <v>#VALUE!</v>
      </c>
      <c r="P20" s="94" t="e">
        <f aca="false">IF(Skew_Switch=0,"",IF(C20="","",((calcskew(Put1-$L20,$C20,a,b))/100)))</f>
        <v>#VALUE!</v>
      </c>
      <c r="Q20" s="94" t="e">
        <f aca="false">IF(Skew_Switch=0,"",IF(C20="","",((calcskew(Call2-$L20,$C20,a,b))/100)))</f>
        <v>#VALUE!</v>
      </c>
      <c r="R20" s="94" t="e">
        <f aca="false">IF(Skew_Switch=0,"",IF(C20="","",((calcskew(Put2-$L20,$C20,a,b))/100)))</f>
        <v>#VALUE!</v>
      </c>
      <c r="S20" s="3" t="e">
        <f aca="false">IF($C20="","",(Front!$C$19=0)*$N20+(Front!$C$19=1)*($N20+O20))</f>
        <v>#VALUE!</v>
      </c>
      <c r="T20" s="3" t="e">
        <f aca="false">IF($C20="","",(Front!$C$19=0)*$N20+(Front!$C$19=1)*($N20+P20))</f>
        <v>#VALUE!</v>
      </c>
      <c r="U20" s="3" t="e">
        <f aca="false">IF($C20="","",(Front!$C$19=0)*$N20+(Front!$C$19=1)*($N20+Q20))</f>
        <v>#VALUE!</v>
      </c>
      <c r="V20" s="3" t="e">
        <f aca="false">IF($C20="","",(Front!$C$19=0)*$N20+(Front!$C$19=1)*($N20+R20))</f>
        <v>#VALUE!</v>
      </c>
      <c r="W20" s="90" t="e">
        <f aca="false">IF($C20="","",xEURO($L20,Call1,$G20,$G20,S20,$J20,1,0))</f>
        <v>#VALUE!</v>
      </c>
      <c r="X20" s="90" t="e">
        <f aca="false">IF($C20="","",xEURO($L20,Put1,$G20,$G20,T20,$J20,0,0))</f>
        <v>#VALUE!</v>
      </c>
      <c r="Y20" s="90" t="e">
        <f aca="false">IF($C20="","",xEURO($L20,Call2,$G20,$G20,U20,$J20,1,0))</f>
        <v>#VALUE!</v>
      </c>
      <c r="Z20" s="90" t="e">
        <f aca="false">IF($C20="","",xEURO($L20,Put2,$G20,$G20,V20,$J20,0,0))</f>
        <v>#VALUE!</v>
      </c>
      <c r="AA20" s="90" t="e">
        <f aca="false">IF($C20="","",xEURO($L20,Call1,$G20,$G20,$S20,$J20,1,1))</f>
        <v>#VALUE!</v>
      </c>
      <c r="AB20" s="90" t="e">
        <f aca="false">IF($C20="","",xEURO($L20,Put1,$G20,$G20,$T20,$J20,0,1))</f>
        <v>#VALUE!</v>
      </c>
      <c r="AC20" s="90" t="e">
        <f aca="false">IF($C20="","",xEURO($L20,Call2,$G20,$G20,$U20,$J20,1,1))</f>
        <v>#VALUE!</v>
      </c>
      <c r="AD20" s="90" t="e">
        <f aca="false">IF($C20="","",xEURO($L20,Put2,$G20,$G20,$V20,$J20,0,1))</f>
        <v>#VALUE!</v>
      </c>
      <c r="AE20" s="90" t="e">
        <f aca="false">IF($C20="","",xEURO($L20,Call1,$G20,$G20,$S20,$J20,1,3))</f>
        <v>#VALUE!</v>
      </c>
      <c r="AF20" s="90" t="e">
        <f aca="false">IF($C20="","",xEURO($L20,Put1,$G20,$G20,$T20,$J20,0,3))</f>
        <v>#VALUE!</v>
      </c>
      <c r="AG20" s="90" t="e">
        <f aca="false">IF($C20="","",xEURO($L20,Call2,$G20,$G20,$U20,$J20,1,3))</f>
        <v>#VALUE!</v>
      </c>
      <c r="AH20" s="90" t="e">
        <f aca="false">IF($C20="","",xEURO($L20,Put2,$G20,$G20,$V20,$J20,0,3))</f>
        <v>#VALUE!</v>
      </c>
      <c r="AI20" s="8" t="e">
        <f aca="false">IF(E20=1,G20,0)</f>
        <v>#VALUE!</v>
      </c>
      <c r="AJ20" s="8" t="e">
        <f aca="false">IF(E20=1,H20,0)</f>
        <v>#VALUE!</v>
      </c>
      <c r="AK20" s="8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</row>
    <row r="21" customFormat="false" ht="12.75" hidden="false" customHeight="false" outlineLevel="0" collapsed="false">
      <c r="A21" s="91" t="n">
        <f aca="false">Swap!A21</f>
        <v>37469</v>
      </c>
      <c r="B21" s="0" t="n">
        <f aca="false">B20+1</f>
        <v>12</v>
      </c>
      <c r="C21" s="91" t="e">
        <f aca="false">IF(AND(A21&gt;=Front!$E$11,A21&lt;=Front!$E$12),A21,"")</f>
        <v>#VALUE!</v>
      </c>
      <c r="D21" s="87" t="e">
        <f aca="false">Swap!AB21</f>
        <v>#VALUE!</v>
      </c>
      <c r="E21" s="87" t="e">
        <f aca="false">IF($C21="","",1)</f>
        <v>#VALUE!</v>
      </c>
      <c r="F21" s="88" t="e">
        <f aca="false">IF($C21="","",E21*H21)</f>
        <v>#VALUE!</v>
      </c>
      <c r="G21" s="31" t="n">
        <f aca="false">Swap!AG21</f>
        <v>0.0265684845285201</v>
      </c>
      <c r="H21" s="31" t="n">
        <f aca="false">Swap!AH21</f>
        <v>1.8424876037852</v>
      </c>
      <c r="I21" s="92" t="n">
        <f aca="false">INDEX(expery,MATCH(A21,exprymonth,0),2)</f>
        <v>37463</v>
      </c>
      <c r="J21" s="87" t="n">
        <f aca="false">I21-Front!$C$2</f>
        <v>-8463</v>
      </c>
      <c r="K21" s="8" t="n">
        <f aca="false">Swap!E21</f>
        <v>2.959</v>
      </c>
      <c r="L21" s="8" t="e">
        <f aca="false">IF(C21="","",(PriceSwitch=0)*K21+(PriceSwitch=1)*(Front!$H$21+K21)+(PriceSwitch=2)*Front!$H$21)</f>
        <v>#VALUE!</v>
      </c>
      <c r="M21" s="93" t="n">
        <f aca="false">INDEX(vols,MATCH(A21,volsmonth,0),2)</f>
        <v>0.4425</v>
      </c>
      <c r="N21" s="3" t="e">
        <f aca="false">IF(Skew_Switch=0,"",IF($C21="","",(Front!$E$20=0)*M21+(Front!$E$20=1)*(Front!$E$21+M21)+(Front!$E$20=2)*Front!$E$21))</f>
        <v>#VALUE!</v>
      </c>
      <c r="O21" s="94" t="e">
        <f aca="false">IF(Skew_Switch=0,"",IF(C21="","",((calcskew(Call1-$L21,$C21,a,b))/100)))</f>
        <v>#VALUE!</v>
      </c>
      <c r="P21" s="94" t="e">
        <f aca="false">IF(Skew_Switch=0,"",IF(C21="","",((calcskew(Put1-$L21,$C21,a,b))/100)))</f>
        <v>#VALUE!</v>
      </c>
      <c r="Q21" s="94" t="e">
        <f aca="false">IF(Skew_Switch=0,"",IF(C21="","",((calcskew(Call2-$L21,$C21,a,b))/100)))</f>
        <v>#VALUE!</v>
      </c>
      <c r="R21" s="94" t="e">
        <f aca="false">IF(Skew_Switch=0,"",IF(C21="","",((calcskew(Put2-$L21,$C21,a,b))/100)))</f>
        <v>#VALUE!</v>
      </c>
      <c r="S21" s="3" t="e">
        <f aca="false">IF($C21="","",(Front!$C$19=0)*$N21+(Front!$C$19=1)*($N21+O21))</f>
        <v>#VALUE!</v>
      </c>
      <c r="T21" s="3" t="e">
        <f aca="false">IF($C21="","",(Front!$C$19=0)*$N21+(Front!$C$19=1)*($N21+P21))</f>
        <v>#VALUE!</v>
      </c>
      <c r="U21" s="3" t="e">
        <f aca="false">IF($C21="","",(Front!$C$19=0)*$N21+(Front!$C$19=1)*($N21+Q21))</f>
        <v>#VALUE!</v>
      </c>
      <c r="V21" s="3" t="e">
        <f aca="false">IF($C21="","",(Front!$C$19=0)*$N21+(Front!$C$19=1)*($N21+R21))</f>
        <v>#VALUE!</v>
      </c>
      <c r="W21" s="90" t="e">
        <f aca="false">IF($C21="","",xEURO($L21,Call1,$G21,$G21,S21,$J21,1,0))</f>
        <v>#VALUE!</v>
      </c>
      <c r="X21" s="90" t="e">
        <f aca="false">IF($C21="","",xEURO($L21,Put1,$G21,$G21,T21,$J21,0,0))</f>
        <v>#VALUE!</v>
      </c>
      <c r="Y21" s="90" t="e">
        <f aca="false">IF($C21="","",xEURO($L21,Call2,$G21,$G21,U21,$J21,1,0))</f>
        <v>#VALUE!</v>
      </c>
      <c r="Z21" s="90" t="e">
        <f aca="false">IF($C21="","",xEURO($L21,Put2,$G21,$G21,V21,$J21,0,0))</f>
        <v>#VALUE!</v>
      </c>
      <c r="AA21" s="90" t="e">
        <f aca="false">IF($C21="","",xEURO($L21,Call1,$G21,$G21,$S21,$J21,1,1))</f>
        <v>#VALUE!</v>
      </c>
      <c r="AB21" s="90" t="e">
        <f aca="false">IF($C21="","",xEURO($L21,Put1,$G21,$G21,$T21,$J21,0,1))</f>
        <v>#VALUE!</v>
      </c>
      <c r="AC21" s="90" t="e">
        <f aca="false">IF($C21="","",xEURO($L21,Call2,$G21,$G21,$U21,$J21,1,1))</f>
        <v>#VALUE!</v>
      </c>
      <c r="AD21" s="90" t="e">
        <f aca="false">IF($C21="","",xEURO($L21,Put2,$G21,$G21,$V21,$J21,0,1))</f>
        <v>#VALUE!</v>
      </c>
      <c r="AE21" s="90" t="e">
        <f aca="false">IF($C21="","",xEURO($L21,Call1,$G21,$G21,$S21,$J21,1,3))</f>
        <v>#VALUE!</v>
      </c>
      <c r="AF21" s="90" t="e">
        <f aca="false">IF($C21="","",xEURO($L21,Put1,$G21,$G21,$T21,$J21,0,3))</f>
        <v>#VALUE!</v>
      </c>
      <c r="AG21" s="90" t="e">
        <f aca="false">IF($C21="","",xEURO($L21,Call2,$G21,$G21,$U21,$J21,1,3))</f>
        <v>#VALUE!</v>
      </c>
      <c r="AH21" s="90" t="e">
        <f aca="false">IF($C21="","",xEURO($L21,Put2,$G21,$G21,$V21,$J21,0,3))</f>
        <v>#VALUE!</v>
      </c>
      <c r="AI21" s="8" t="e">
        <f aca="false">IF(E21=1,G21,0)</f>
        <v>#VALUE!</v>
      </c>
      <c r="AJ21" s="8" t="e">
        <f aca="false">IF(E21=1,H21,0)</f>
        <v>#VALUE!</v>
      </c>
      <c r="AK21" s="8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</row>
    <row r="22" customFormat="false" ht="12.75" hidden="false" customHeight="false" outlineLevel="0" collapsed="false">
      <c r="A22" s="91" t="n">
        <f aca="false">Swap!A22</f>
        <v>37500</v>
      </c>
      <c r="B22" s="0" t="n">
        <f aca="false">B21+1</f>
        <v>13</v>
      </c>
      <c r="C22" s="91" t="e">
        <f aca="false">IF(AND(A22&gt;=Front!$E$11,A22&lt;=Front!$E$12),A22,"")</f>
        <v>#VALUE!</v>
      </c>
      <c r="D22" s="87" t="e">
        <f aca="false">Swap!AB22</f>
        <v>#VALUE!</v>
      </c>
      <c r="E22" s="87" t="e">
        <f aca="false">IF($C22="","",1)</f>
        <v>#VALUE!</v>
      </c>
      <c r="F22" s="88" t="e">
        <f aca="false">IF($C22="","",E22*H22)</f>
        <v>#VALUE!</v>
      </c>
      <c r="G22" s="31" t="n">
        <f aca="false">Swap!AG22</f>
        <v>0.0269693493511789</v>
      </c>
      <c r="H22" s="31" t="n">
        <f aca="false">Swap!AH22</f>
        <v>1.85521755627415</v>
      </c>
      <c r="I22" s="92" t="n">
        <f aca="false">INDEX(expery,MATCH(A22,exprymonth,0),2)</f>
        <v>37495</v>
      </c>
      <c r="J22" s="87" t="n">
        <f aca="false">I22-Front!$C$2</f>
        <v>-8431</v>
      </c>
      <c r="K22" s="8" t="n">
        <f aca="false">Swap!E22</f>
        <v>2.959</v>
      </c>
      <c r="L22" s="8" t="e">
        <f aca="false">IF(C22="","",(PriceSwitch=0)*K22+(PriceSwitch=1)*(Front!$H$21+K22)+(PriceSwitch=2)*Front!$H$21)</f>
        <v>#VALUE!</v>
      </c>
      <c r="M22" s="93" t="n">
        <f aca="false">INDEX(vols,MATCH(A22,volsmonth,0),2)</f>
        <v>0.445</v>
      </c>
      <c r="N22" s="3" t="e">
        <f aca="false">IF(Skew_Switch=0,"",IF($C22="","",(Front!$E$20=0)*M22+(Front!$E$20=1)*(Front!$E$21+M22)+(Front!$E$20=2)*Front!$E$21))</f>
        <v>#VALUE!</v>
      </c>
      <c r="O22" s="94" t="e">
        <f aca="false">IF(Skew_Switch=0,"",IF(C22="","",((calcskew(Call1-$L22,$C22,a,b))/100)))</f>
        <v>#VALUE!</v>
      </c>
      <c r="P22" s="94" t="e">
        <f aca="false">IF(Skew_Switch=0,"",IF(C22="","",((calcskew(Put1-$L22,$C22,a,b))/100)))</f>
        <v>#VALUE!</v>
      </c>
      <c r="Q22" s="94" t="e">
        <f aca="false">IF(Skew_Switch=0,"",IF(C22="","",((calcskew(Call2-$L22,$C22,a,b))/100)))</f>
        <v>#VALUE!</v>
      </c>
      <c r="R22" s="94" t="e">
        <f aca="false">IF(Skew_Switch=0,"",IF(C22="","",((calcskew(Put2-$L22,$C22,a,b))/100)))</f>
        <v>#VALUE!</v>
      </c>
      <c r="S22" s="3" t="e">
        <f aca="false">IF($C22="","",(Front!$C$19=0)*$N22+(Front!$C$19=1)*($N22+O22))</f>
        <v>#VALUE!</v>
      </c>
      <c r="T22" s="3" t="e">
        <f aca="false">IF($C22="","",(Front!$C$19=0)*$N22+(Front!$C$19=1)*($N22+P22))</f>
        <v>#VALUE!</v>
      </c>
      <c r="U22" s="3" t="e">
        <f aca="false">IF($C22="","",(Front!$C$19=0)*$N22+(Front!$C$19=1)*($N22+Q22))</f>
        <v>#VALUE!</v>
      </c>
      <c r="V22" s="3" t="e">
        <f aca="false">IF($C22="","",(Front!$C$19=0)*$N22+(Front!$C$19=1)*($N22+R22))</f>
        <v>#VALUE!</v>
      </c>
      <c r="W22" s="90" t="e">
        <f aca="false">IF($C22="","",xEURO($L22,Call1,$G22,$G22,S22,$J22,1,0))</f>
        <v>#VALUE!</v>
      </c>
      <c r="X22" s="90" t="e">
        <f aca="false">IF($C22="","",xEURO($L22,Put1,$G22,$G22,T22,$J22,0,0))</f>
        <v>#VALUE!</v>
      </c>
      <c r="Y22" s="90" t="e">
        <f aca="false">IF($C22="","",xEURO($L22,Call2,$G22,$G22,U22,$J22,1,0))</f>
        <v>#VALUE!</v>
      </c>
      <c r="Z22" s="90" t="e">
        <f aca="false">IF($C22="","",xEURO($L22,Put2,$G22,$G22,V22,$J22,0,0))</f>
        <v>#VALUE!</v>
      </c>
      <c r="AA22" s="90" t="e">
        <f aca="false">IF($C22="","",xEURO($L22,Call1,$G22,$G22,$S22,$J22,1,1))</f>
        <v>#VALUE!</v>
      </c>
      <c r="AB22" s="90" t="e">
        <f aca="false">IF($C22="","",xEURO($L22,Put1,$G22,$G22,$T22,$J22,0,1))</f>
        <v>#VALUE!</v>
      </c>
      <c r="AC22" s="90" t="e">
        <f aca="false">IF($C22="","",xEURO($L22,Call2,$G22,$G22,$U22,$J22,1,1))</f>
        <v>#VALUE!</v>
      </c>
      <c r="AD22" s="90" t="e">
        <f aca="false">IF($C22="","",xEURO($L22,Put2,$G22,$G22,$V22,$J22,0,1))</f>
        <v>#VALUE!</v>
      </c>
      <c r="AE22" s="90" t="e">
        <f aca="false">IF($C22="","",xEURO($L22,Call1,$G22,$G22,$S22,$J22,1,3))</f>
        <v>#VALUE!</v>
      </c>
      <c r="AF22" s="90" t="e">
        <f aca="false">IF($C22="","",xEURO($L22,Put1,$G22,$G22,$T22,$J22,0,3))</f>
        <v>#VALUE!</v>
      </c>
      <c r="AG22" s="90" t="e">
        <f aca="false">IF($C22="","",xEURO($L22,Call2,$G22,$G22,$U22,$J22,1,3))</f>
        <v>#VALUE!</v>
      </c>
      <c r="AH22" s="90" t="e">
        <f aca="false">IF($C22="","",xEURO($L22,Put2,$G22,$G22,$V22,$J22,0,3))</f>
        <v>#VALUE!</v>
      </c>
      <c r="AI22" s="8" t="e">
        <f aca="false">IF(E22=1,G22,0)</f>
        <v>#VALUE!</v>
      </c>
      <c r="AJ22" s="8" t="e">
        <f aca="false">IF(E22=1,H22,0)</f>
        <v>#VALUE!</v>
      </c>
      <c r="AK22" s="8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</row>
    <row r="23" customFormat="false" ht="12.75" hidden="false" customHeight="false" outlineLevel="0" collapsed="false">
      <c r="A23" s="91" t="n">
        <f aca="false">Swap!A23</f>
        <v>37530</v>
      </c>
      <c r="B23" s="0" t="n">
        <f aca="false">B22+1</f>
        <v>14</v>
      </c>
      <c r="C23" s="91" t="e">
        <f aca="false">IF(AND(A23&gt;=Front!$E$11,A23&lt;=Front!$E$12),A23,"")</f>
        <v>#VALUE!</v>
      </c>
      <c r="D23" s="87" t="e">
        <f aca="false">Swap!AB23</f>
        <v>#VALUE!</v>
      </c>
      <c r="E23" s="87" t="e">
        <f aca="false">IF($C23="","",1)</f>
        <v>#VALUE!</v>
      </c>
      <c r="F23" s="88" t="e">
        <f aca="false">IF($C23="","",E23*H23)</f>
        <v>#VALUE!</v>
      </c>
      <c r="G23" s="31" t="n">
        <f aca="false">Swap!AG23</f>
        <v>0.0274303975201287</v>
      </c>
      <c r="H23" s="31" t="n">
        <f aca="false">Swap!AH23</f>
        <v>1.87059683533117</v>
      </c>
      <c r="I23" s="92" t="n">
        <f aca="false">INDEX(expery,MATCH(A23,exprymonth,0),2)</f>
        <v>37524</v>
      </c>
      <c r="J23" s="87" t="n">
        <f aca="false">I23-Front!$C$2</f>
        <v>-8402</v>
      </c>
      <c r="K23" s="8" t="n">
        <f aca="false">Swap!E23</f>
        <v>2.979</v>
      </c>
      <c r="L23" s="8" t="e">
        <f aca="false">IF(C23="","",(PriceSwitch=0)*K23+(PriceSwitch=1)*(Front!$H$21+K23)+(PriceSwitch=2)*Front!$H$21)</f>
        <v>#VALUE!</v>
      </c>
      <c r="M23" s="93" t="n">
        <f aca="false">INDEX(vols,MATCH(A23,volsmonth,0),2)</f>
        <v>0.4425</v>
      </c>
      <c r="N23" s="3" t="e">
        <f aca="false">IF(Skew_Switch=0,"",IF($C23="","",(Front!$E$20=0)*M23+(Front!$E$20=1)*(Front!$E$21+M23)+(Front!$E$20=2)*Front!$E$21))</f>
        <v>#VALUE!</v>
      </c>
      <c r="O23" s="94" t="e">
        <f aca="false">IF(Skew_Switch=0,"",IF(C23="","",((calcskew(Call1-$L23,$C23,a,b))/100)))</f>
        <v>#VALUE!</v>
      </c>
      <c r="P23" s="94" t="e">
        <f aca="false">IF(Skew_Switch=0,"",IF(C23="","",((calcskew(Put1-$L23,$C23,a,b))/100)))</f>
        <v>#VALUE!</v>
      </c>
      <c r="Q23" s="94" t="e">
        <f aca="false">IF(Skew_Switch=0,"",IF(C23="","",((calcskew(Call2-$L23,$C23,a,b))/100)))</f>
        <v>#VALUE!</v>
      </c>
      <c r="R23" s="94" t="e">
        <f aca="false">IF(Skew_Switch=0,"",IF(C23="","",((calcskew(Put2-$L23,$C23,a,b))/100)))</f>
        <v>#VALUE!</v>
      </c>
      <c r="S23" s="3" t="e">
        <f aca="false">IF($C23="","",(Front!$C$19=0)*$N23+(Front!$C$19=1)*($N23+O23))</f>
        <v>#VALUE!</v>
      </c>
      <c r="T23" s="3" t="e">
        <f aca="false">IF($C23="","",(Front!$C$19=0)*$N23+(Front!$C$19=1)*($N23+P23))</f>
        <v>#VALUE!</v>
      </c>
      <c r="U23" s="3" t="e">
        <f aca="false">IF($C23="","",(Front!$C$19=0)*$N23+(Front!$C$19=1)*($N23+Q23))</f>
        <v>#VALUE!</v>
      </c>
      <c r="V23" s="3" t="e">
        <f aca="false">IF($C23="","",(Front!$C$19=0)*$N23+(Front!$C$19=1)*($N23+R23))</f>
        <v>#VALUE!</v>
      </c>
      <c r="W23" s="90" t="e">
        <f aca="false">IF($C23="","",xEURO($L23,Call1,$G23,$G23,S23,$J23,1,0))</f>
        <v>#VALUE!</v>
      </c>
      <c r="X23" s="90" t="e">
        <f aca="false">IF($C23="","",xEURO($L23,Put1,$G23,$G23,T23,$J23,0,0))</f>
        <v>#VALUE!</v>
      </c>
      <c r="Y23" s="90" t="e">
        <f aca="false">IF($C23="","",xEURO($L23,Call2,$G23,$G23,U23,$J23,1,0))</f>
        <v>#VALUE!</v>
      </c>
      <c r="Z23" s="90" t="e">
        <f aca="false">IF($C23="","",xEURO($L23,Put2,$G23,$G23,V23,$J23,0,0))</f>
        <v>#VALUE!</v>
      </c>
      <c r="AA23" s="90" t="e">
        <f aca="false">IF($C23="","",xEURO($L23,Call1,$G23,$G23,$S23,$J23,1,1))</f>
        <v>#VALUE!</v>
      </c>
      <c r="AB23" s="90" t="e">
        <f aca="false">IF($C23="","",xEURO($L23,Put1,$G23,$G23,$T23,$J23,0,1))</f>
        <v>#VALUE!</v>
      </c>
      <c r="AC23" s="90" t="e">
        <f aca="false">IF($C23="","",xEURO($L23,Call2,$G23,$G23,$U23,$J23,1,1))</f>
        <v>#VALUE!</v>
      </c>
      <c r="AD23" s="90" t="e">
        <f aca="false">IF($C23="","",xEURO($L23,Put2,$G23,$G23,$V23,$J23,0,1))</f>
        <v>#VALUE!</v>
      </c>
      <c r="AE23" s="90" t="e">
        <f aca="false">IF($C23="","",xEURO($L23,Call1,$G23,$G23,$S23,$J23,1,3))</f>
        <v>#VALUE!</v>
      </c>
      <c r="AF23" s="90" t="e">
        <f aca="false">IF($C23="","",xEURO($L23,Put1,$G23,$G23,$T23,$J23,0,3))</f>
        <v>#VALUE!</v>
      </c>
      <c r="AG23" s="90" t="e">
        <f aca="false">IF($C23="","",xEURO($L23,Call2,$G23,$G23,$U23,$J23,1,3))</f>
        <v>#VALUE!</v>
      </c>
      <c r="AH23" s="90" t="e">
        <f aca="false">IF($C23="","",xEURO($L23,Put2,$G23,$G23,$V23,$J23,0,3))</f>
        <v>#VALUE!</v>
      </c>
      <c r="AI23" s="8" t="e">
        <f aca="false">IF(E23=1,G23,0)</f>
        <v>#VALUE!</v>
      </c>
      <c r="AJ23" s="8" t="e">
        <f aca="false">IF(E23=1,H23,0)</f>
        <v>#VALUE!</v>
      </c>
      <c r="AK23" s="8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</row>
    <row r="24" customFormat="false" ht="12.75" hidden="false" customHeight="false" outlineLevel="0" collapsed="false">
      <c r="A24" s="91" t="n">
        <f aca="false">Swap!A24</f>
        <v>37561</v>
      </c>
      <c r="B24" s="0" t="n">
        <f aca="false">B23+1</f>
        <v>15</v>
      </c>
      <c r="C24" s="91" t="e">
        <f aca="false">IF(AND(A24&gt;=Front!$E$11,A24&lt;=Front!$E$12),A24,"")</f>
        <v>#VALUE!</v>
      </c>
      <c r="D24" s="87" t="e">
        <f aca="false">Swap!AB24</f>
        <v>#VALUE!</v>
      </c>
      <c r="E24" s="87" t="e">
        <f aca="false">IF($C24="","",1)</f>
        <v>#VALUE!</v>
      </c>
      <c r="F24" s="88" t="e">
        <f aca="false">IF($C24="","",E24*H24)</f>
        <v>#VALUE!</v>
      </c>
      <c r="G24" s="31" t="n">
        <f aca="false">Swap!AG24</f>
        <v>0.0280107872052118</v>
      </c>
      <c r="H24" s="31" t="n">
        <f aca="false">Swap!AH24</f>
        <v>1.8909052721266</v>
      </c>
      <c r="I24" s="92" t="n">
        <f aca="false">INDEX(expery,MATCH(A24,exprymonth,0),2)</f>
        <v>37557</v>
      </c>
      <c r="J24" s="87" t="n">
        <f aca="false">I24-Front!$C$2</f>
        <v>-8369</v>
      </c>
      <c r="K24" s="8" t="n">
        <f aca="false">Swap!E24</f>
        <v>3.144</v>
      </c>
      <c r="L24" s="8" t="e">
        <f aca="false">IF(C24="","",(PriceSwitch=0)*K24+(PriceSwitch=1)*(Front!$H$21+K24)+(PriceSwitch=2)*Front!$H$21)</f>
        <v>#VALUE!</v>
      </c>
      <c r="M24" s="93" t="n">
        <f aca="false">INDEX(vols,MATCH(A24,volsmonth,0),2)</f>
        <v>0.435</v>
      </c>
      <c r="N24" s="3" t="e">
        <f aca="false">IF(Skew_Switch=0,"",IF($C24="","",(Front!$E$20=0)*M24+(Front!$E$20=1)*(Front!$E$21+M24)+(Front!$E$20=2)*Front!$E$21))</f>
        <v>#VALUE!</v>
      </c>
      <c r="O24" s="94" t="e">
        <f aca="false">IF(Skew_Switch=0,"",IF(C24="","",((calcskew(Call1-$L24,$C24,a,b))/100)))</f>
        <v>#VALUE!</v>
      </c>
      <c r="P24" s="94" t="e">
        <f aca="false">IF(Skew_Switch=0,"",IF(C24="","",((calcskew(Put1-$L24,$C24,a,b))/100)))</f>
        <v>#VALUE!</v>
      </c>
      <c r="Q24" s="94" t="e">
        <f aca="false">IF(Skew_Switch=0,"",IF(C24="","",((calcskew(Call2-$L24,$C24,a,b))/100)))</f>
        <v>#VALUE!</v>
      </c>
      <c r="R24" s="94" t="e">
        <f aca="false">IF(Skew_Switch=0,"",IF(C24="","",((calcskew(Put2-$L24,$C24,a,b))/100)))</f>
        <v>#VALUE!</v>
      </c>
      <c r="S24" s="3" t="e">
        <f aca="false">IF($C24="","",(Front!$C$19=0)*$N24+(Front!$C$19=1)*($N24+O24))</f>
        <v>#VALUE!</v>
      </c>
      <c r="T24" s="3" t="e">
        <f aca="false">IF($C24="","",(Front!$C$19=0)*$N24+(Front!$C$19=1)*($N24+P24))</f>
        <v>#VALUE!</v>
      </c>
      <c r="U24" s="3" t="e">
        <f aca="false">IF($C24="","",(Front!$C$19=0)*$N24+(Front!$C$19=1)*($N24+Q24))</f>
        <v>#VALUE!</v>
      </c>
      <c r="V24" s="3" t="e">
        <f aca="false">IF($C24="","",(Front!$C$19=0)*$N24+(Front!$C$19=1)*($N24+R24))</f>
        <v>#VALUE!</v>
      </c>
      <c r="W24" s="90" t="e">
        <f aca="false">IF($C24="","",xEURO($L24,Call1,$G24,$G24,S24,$J24,1,0))</f>
        <v>#VALUE!</v>
      </c>
      <c r="X24" s="90" t="e">
        <f aca="false">IF($C24="","",xEURO($L24,Put1,$G24,$G24,T24,$J24,0,0))</f>
        <v>#VALUE!</v>
      </c>
      <c r="Y24" s="90" t="e">
        <f aca="false">IF($C24="","",xEURO($L24,Call2,$G24,$G24,U24,$J24,1,0))</f>
        <v>#VALUE!</v>
      </c>
      <c r="Z24" s="90" t="e">
        <f aca="false">IF($C24="","",xEURO($L24,Put2,$G24,$G24,V24,$J24,0,0))</f>
        <v>#VALUE!</v>
      </c>
      <c r="AA24" s="90" t="e">
        <f aca="false">IF($C24="","",xEURO($L24,Call1,$G24,$G24,$S24,$J24,1,1))</f>
        <v>#VALUE!</v>
      </c>
      <c r="AB24" s="90" t="e">
        <f aca="false">IF($C24="","",xEURO($L24,Put1,$G24,$G24,$T24,$J24,0,1))</f>
        <v>#VALUE!</v>
      </c>
      <c r="AC24" s="90" t="e">
        <f aca="false">IF($C24="","",xEURO($L24,Call2,$G24,$G24,$U24,$J24,1,1))</f>
        <v>#VALUE!</v>
      </c>
      <c r="AD24" s="90" t="e">
        <f aca="false">IF($C24="","",xEURO($L24,Put2,$G24,$G24,$V24,$J24,0,1))</f>
        <v>#VALUE!</v>
      </c>
      <c r="AE24" s="90" t="e">
        <f aca="false">IF($C24="","",xEURO($L24,Call1,$G24,$G24,$S24,$J24,1,3))</f>
        <v>#VALUE!</v>
      </c>
      <c r="AF24" s="90" t="e">
        <f aca="false">IF($C24="","",xEURO($L24,Put1,$G24,$G24,$T24,$J24,0,3))</f>
        <v>#VALUE!</v>
      </c>
      <c r="AG24" s="90" t="e">
        <f aca="false">IF($C24="","",xEURO($L24,Call2,$G24,$G24,$U24,$J24,1,3))</f>
        <v>#VALUE!</v>
      </c>
      <c r="AH24" s="90" t="e">
        <f aca="false">IF($C24="","",xEURO($L24,Put2,$G24,$G24,$V24,$J24,0,3))</f>
        <v>#VALUE!</v>
      </c>
      <c r="AI24" s="8" t="e">
        <f aca="false">IF(E24=1,G24,0)</f>
        <v>#VALUE!</v>
      </c>
      <c r="AJ24" s="8" t="e">
        <f aca="false">IF(E24=1,H24,0)</f>
        <v>#VALUE!</v>
      </c>
      <c r="AK24" s="8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</row>
    <row r="25" customFormat="false" ht="12.75" hidden="false" customHeight="false" outlineLevel="0" collapsed="false">
      <c r="A25" s="91" t="n">
        <f aca="false">Swap!A25</f>
        <v>37591</v>
      </c>
      <c r="B25" s="0" t="n">
        <f aca="false">B24+1</f>
        <v>16</v>
      </c>
      <c r="C25" s="91" t="e">
        <f aca="false">IF(AND(A25&gt;=Front!$E$11,A25&lt;=Front!$E$12),A25,"")</f>
        <v>#VALUE!</v>
      </c>
      <c r="D25" s="87" t="e">
        <f aca="false">Swap!AB25</f>
        <v>#VALUE!</v>
      </c>
      <c r="E25" s="87" t="e">
        <f aca="false">IF($C25="","",1)</f>
        <v>#VALUE!</v>
      </c>
      <c r="F25" s="88" t="e">
        <f aca="false">IF($C25="","",E25*H25)</f>
        <v>#VALUE!</v>
      </c>
      <c r="G25" s="31" t="n">
        <f aca="false">Swap!AG25</f>
        <v>0.0285724547506367</v>
      </c>
      <c r="H25" s="31" t="n">
        <f aca="false">Swap!AH25</f>
        <v>1.91058492808529</v>
      </c>
      <c r="I25" s="92" t="n">
        <f aca="false">INDEX(expery,MATCH(A25,exprymonth,0),2)</f>
        <v>37585</v>
      </c>
      <c r="J25" s="87" t="n">
        <f aca="false">I25-Front!$C$2</f>
        <v>-8341</v>
      </c>
      <c r="K25" s="8" t="n">
        <f aca="false">Swap!E25</f>
        <v>3.334</v>
      </c>
      <c r="L25" s="8" t="e">
        <f aca="false">IF(C25="","",(PriceSwitch=0)*K25+(PriceSwitch=1)*(Front!$H$21+K25)+(PriceSwitch=2)*Front!$H$21)</f>
        <v>#VALUE!</v>
      </c>
      <c r="M25" s="93" t="n">
        <f aca="false">INDEX(vols,MATCH(A25,volsmonth,0),2)</f>
        <v>0.435</v>
      </c>
      <c r="N25" s="3" t="e">
        <f aca="false">IF(Skew_Switch=0,"",IF($C25="","",(Front!$E$20=0)*M25+(Front!$E$20=1)*(Front!$E$21+M25)+(Front!$E$20=2)*Front!$E$21))</f>
        <v>#VALUE!</v>
      </c>
      <c r="O25" s="94" t="e">
        <f aca="false">IF(Skew_Switch=0,"",IF(C25="","",((calcskew(Call1-$L25,$C25,a,b))/100)))</f>
        <v>#VALUE!</v>
      </c>
      <c r="P25" s="94" t="e">
        <f aca="false">IF(Skew_Switch=0,"",IF(C25="","",((calcskew(Put1-$L25,$C25,a,b))/100)))</f>
        <v>#VALUE!</v>
      </c>
      <c r="Q25" s="94" t="e">
        <f aca="false">IF(Skew_Switch=0,"",IF(C25="","",((calcskew(Call2-$L25,$C25,a,b))/100)))</f>
        <v>#VALUE!</v>
      </c>
      <c r="R25" s="94" t="e">
        <f aca="false">IF(Skew_Switch=0,"",IF(C25="","",((calcskew(Put2-$L25,$C25,a,b))/100)))</f>
        <v>#VALUE!</v>
      </c>
      <c r="S25" s="3" t="e">
        <f aca="false">IF($C25="","",(Front!$C$19=0)*$N25+(Front!$C$19=1)*($N25+O25))</f>
        <v>#VALUE!</v>
      </c>
      <c r="T25" s="3" t="e">
        <f aca="false">IF($C25="","",(Front!$C$19=0)*$N25+(Front!$C$19=1)*($N25+P25))</f>
        <v>#VALUE!</v>
      </c>
      <c r="U25" s="3" t="e">
        <f aca="false">IF($C25="","",(Front!$C$19=0)*$N25+(Front!$C$19=1)*($N25+Q25))</f>
        <v>#VALUE!</v>
      </c>
      <c r="V25" s="3" t="e">
        <f aca="false">IF($C25="","",(Front!$C$19=0)*$N25+(Front!$C$19=1)*($N25+R25))</f>
        <v>#VALUE!</v>
      </c>
      <c r="W25" s="90" t="e">
        <f aca="false">IF($C25="","",xEURO($L25,Call1,$G25,$G25,S25,$J25,1,0))</f>
        <v>#VALUE!</v>
      </c>
      <c r="X25" s="90" t="e">
        <f aca="false">IF($C25="","",xEURO($L25,Put1,$G25,$G25,T25,$J25,0,0))</f>
        <v>#VALUE!</v>
      </c>
      <c r="Y25" s="90" t="e">
        <f aca="false">IF($C25="","",xEURO($L25,Call2,$G25,$G25,U25,$J25,1,0))</f>
        <v>#VALUE!</v>
      </c>
      <c r="Z25" s="90" t="e">
        <f aca="false">IF($C25="","",xEURO($L25,Put2,$G25,$G25,V25,$J25,0,0))</f>
        <v>#VALUE!</v>
      </c>
      <c r="AA25" s="90" t="e">
        <f aca="false">IF($C25="","",xEURO($L25,Call1,$G25,$G25,$S25,$J25,1,1))</f>
        <v>#VALUE!</v>
      </c>
      <c r="AB25" s="90" t="e">
        <f aca="false">IF($C25="","",xEURO($L25,Put1,$G25,$G25,$T25,$J25,0,1))</f>
        <v>#VALUE!</v>
      </c>
      <c r="AC25" s="90" t="e">
        <f aca="false">IF($C25="","",xEURO($L25,Call2,$G25,$G25,$U25,$J25,1,1))</f>
        <v>#VALUE!</v>
      </c>
      <c r="AD25" s="90" t="e">
        <f aca="false">IF($C25="","",xEURO($L25,Put2,$G25,$G25,$V25,$J25,0,1))</f>
        <v>#VALUE!</v>
      </c>
      <c r="AE25" s="90" t="e">
        <f aca="false">IF($C25="","",xEURO($L25,Call1,$G25,$G25,$S25,$J25,1,3))</f>
        <v>#VALUE!</v>
      </c>
      <c r="AF25" s="90" t="e">
        <f aca="false">IF($C25="","",xEURO($L25,Put1,$G25,$G25,$T25,$J25,0,3))</f>
        <v>#VALUE!</v>
      </c>
      <c r="AG25" s="90" t="e">
        <f aca="false">IF($C25="","",xEURO($L25,Call2,$G25,$G25,$U25,$J25,1,3))</f>
        <v>#VALUE!</v>
      </c>
      <c r="AH25" s="90" t="e">
        <f aca="false">IF($C25="","",xEURO($L25,Put2,$G25,$G25,$V25,$J25,0,3))</f>
        <v>#VALUE!</v>
      </c>
      <c r="AI25" s="8" t="e">
        <f aca="false">IF(E25=1,G25,0)</f>
        <v>#VALUE!</v>
      </c>
      <c r="AJ25" s="8" t="e">
        <f aca="false">IF(E25=1,H25,0)</f>
        <v>#VALUE!</v>
      </c>
      <c r="AK25" s="8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</row>
    <row r="26" customFormat="false" ht="12.75" hidden="false" customHeight="false" outlineLevel="0" collapsed="false">
      <c r="A26" s="91" t="n">
        <f aca="false">Swap!A26</f>
        <v>37622</v>
      </c>
      <c r="B26" s="0" t="n">
        <f aca="false">B25+1</f>
        <v>17</v>
      </c>
      <c r="C26" s="91" t="e">
        <f aca="false">IF(AND(A26&gt;=Front!$E$11,A26&lt;=Front!$E$12),A26,"")</f>
        <v>#VALUE!</v>
      </c>
      <c r="D26" s="87" t="e">
        <f aca="false">Swap!AB26</f>
        <v>#VALUE!</v>
      </c>
      <c r="E26" s="87" t="e">
        <f aca="false">IF($C26="","",1)</f>
        <v>#VALUE!</v>
      </c>
      <c r="F26" s="88" t="e">
        <f aca="false">IF($C26="","",E26*H26)</f>
        <v>#VALUE!</v>
      </c>
      <c r="G26" s="31" t="n">
        <f aca="false">Swap!AG26</f>
        <v>0.0291964221164136</v>
      </c>
      <c r="H26" s="31" t="n">
        <f aca="false">Swap!AH26</f>
        <v>1.9328306128389</v>
      </c>
      <c r="I26" s="92" t="n">
        <f aca="false">INDEX(expery,MATCH(A26,exprymonth,0),2)</f>
        <v>37616</v>
      </c>
      <c r="J26" s="87" t="n">
        <f aca="false">I26-Front!$C$2</f>
        <v>-8310</v>
      </c>
      <c r="K26" s="8" t="n">
        <f aca="false">Swap!E26</f>
        <v>3.421</v>
      </c>
      <c r="L26" s="8" t="e">
        <f aca="false">IF(C26="","",(PriceSwitch=0)*K26+(PriceSwitch=1)*(Front!$H$21+K26)+(PriceSwitch=2)*Front!$H$21)</f>
        <v>#VALUE!</v>
      </c>
      <c r="M26" s="93" t="n">
        <f aca="false">INDEX(vols,MATCH(A26,volsmonth,0),2)</f>
        <v>0.435</v>
      </c>
      <c r="N26" s="3" t="e">
        <f aca="false">IF(Skew_Switch=0,"",IF($C26="","",(Front!$E$20=0)*M26+(Front!$E$20=1)*(Front!$E$21+M26)+(Front!$E$20=2)*Front!$E$21))</f>
        <v>#VALUE!</v>
      </c>
      <c r="O26" s="94" t="e">
        <f aca="false">IF(Skew_Switch=0,"",IF(C26="","",((calcskew(Call1-$L26,$C26,a,b))/100)))</f>
        <v>#VALUE!</v>
      </c>
      <c r="P26" s="94" t="e">
        <f aca="false">IF(Skew_Switch=0,"",IF(C26="","",((calcskew(Put1-$L26,$C26,a,b))/100)))</f>
        <v>#VALUE!</v>
      </c>
      <c r="Q26" s="94" t="e">
        <f aca="false">IF(Skew_Switch=0,"",IF(C26="","",((calcskew(Call2-$L26,$C26,a,b))/100)))</f>
        <v>#VALUE!</v>
      </c>
      <c r="R26" s="94" t="e">
        <f aca="false">IF(Skew_Switch=0,"",IF(C26="","",((calcskew(Put2-$L26,$C26,a,b))/100)))</f>
        <v>#VALUE!</v>
      </c>
      <c r="S26" s="3" t="e">
        <f aca="false">IF($C26="","",(Front!$C$19=0)*$N26+(Front!$C$19=1)*($N26+O26))</f>
        <v>#VALUE!</v>
      </c>
      <c r="T26" s="3" t="e">
        <f aca="false">IF($C26="","",(Front!$C$19=0)*$N26+(Front!$C$19=1)*($N26+P26))</f>
        <v>#VALUE!</v>
      </c>
      <c r="U26" s="3" t="e">
        <f aca="false">IF($C26="","",(Front!$C$19=0)*$N26+(Front!$C$19=1)*($N26+Q26))</f>
        <v>#VALUE!</v>
      </c>
      <c r="V26" s="3" t="e">
        <f aca="false">IF($C26="","",(Front!$C$19=0)*$N26+(Front!$C$19=1)*($N26+R26))</f>
        <v>#VALUE!</v>
      </c>
      <c r="W26" s="90" t="e">
        <f aca="false">IF($C26="","",xEURO($L26,Call1,$G26,$G26,S26,$J26,1,0))</f>
        <v>#VALUE!</v>
      </c>
      <c r="X26" s="90" t="e">
        <f aca="false">IF($C26="","",xEURO($L26,Put1,$G26,$G26,T26,$J26,0,0))</f>
        <v>#VALUE!</v>
      </c>
      <c r="Y26" s="90" t="e">
        <f aca="false">IF($C26="","",xEURO($L26,Call2,$G26,$G26,U26,$J26,1,0))</f>
        <v>#VALUE!</v>
      </c>
      <c r="Z26" s="90" t="e">
        <f aca="false">IF($C26="","",xEURO($L26,Put2,$G26,$G26,V26,$J26,0,0))</f>
        <v>#VALUE!</v>
      </c>
      <c r="AA26" s="90" t="e">
        <f aca="false">IF($C26="","",xEURO($L26,Call1,$G26,$G26,$S26,$J26,1,1))</f>
        <v>#VALUE!</v>
      </c>
      <c r="AB26" s="90" t="e">
        <f aca="false">IF($C26="","",xEURO($L26,Put1,$G26,$G26,$T26,$J26,0,1))</f>
        <v>#VALUE!</v>
      </c>
      <c r="AC26" s="90" t="e">
        <f aca="false">IF($C26="","",xEURO($L26,Call2,$G26,$G26,$U26,$J26,1,1))</f>
        <v>#VALUE!</v>
      </c>
      <c r="AD26" s="90" t="e">
        <f aca="false">IF($C26="","",xEURO($L26,Put2,$G26,$G26,$V26,$J26,0,1))</f>
        <v>#VALUE!</v>
      </c>
      <c r="AE26" s="90" t="e">
        <f aca="false">IF($C26="","",xEURO($L26,Call1,$G26,$G26,$S26,$J26,1,3))</f>
        <v>#VALUE!</v>
      </c>
      <c r="AF26" s="90" t="e">
        <f aca="false">IF($C26="","",xEURO($L26,Put1,$G26,$G26,$T26,$J26,0,3))</f>
        <v>#VALUE!</v>
      </c>
      <c r="AG26" s="90" t="e">
        <f aca="false">IF($C26="","",xEURO($L26,Call2,$G26,$G26,$U26,$J26,1,3))</f>
        <v>#VALUE!</v>
      </c>
      <c r="AH26" s="90" t="e">
        <f aca="false">IF($C26="","",xEURO($L26,Put2,$G26,$G26,$V26,$J26,0,3))</f>
        <v>#VALUE!</v>
      </c>
      <c r="AI26" s="8" t="e">
        <f aca="false">IF(E26=1,G26,0)</f>
        <v>#VALUE!</v>
      </c>
      <c r="AJ26" s="8" t="e">
        <f aca="false">IF(E26=1,H26,0)</f>
        <v>#VALUE!</v>
      </c>
      <c r="AK26" s="8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</row>
    <row r="27" customFormat="false" ht="12.75" hidden="false" customHeight="false" outlineLevel="0" collapsed="false">
      <c r="A27" s="91" t="n">
        <f aca="false">Swap!A27</f>
        <v>37653</v>
      </c>
      <c r="B27" s="0" t="n">
        <f aca="false">B26+1</f>
        <v>18</v>
      </c>
      <c r="C27" s="91" t="e">
        <f aca="false">IF(AND(A27&gt;=Front!$E$11,A27&lt;=Front!$E$12),A27,"")</f>
        <v>#VALUE!</v>
      </c>
      <c r="D27" s="87" t="e">
        <f aca="false">Swap!AB27</f>
        <v>#VALUE!</v>
      </c>
      <c r="E27" s="87" t="e">
        <f aca="false">IF($C27="","",1)</f>
        <v>#VALUE!</v>
      </c>
      <c r="F27" s="88" t="e">
        <f aca="false">IF($C27="","",E27*H27)</f>
        <v>#VALUE!</v>
      </c>
      <c r="G27" s="31" t="n">
        <f aca="false">Swap!AG27</f>
        <v>0.0298733051090285</v>
      </c>
      <c r="H27" s="31" t="n">
        <f aca="false">Swap!AH27</f>
        <v>1.95743301867278</v>
      </c>
      <c r="I27" s="92" t="n">
        <f aca="false">INDEX(expery,MATCH(A27,exprymonth,0),2)</f>
        <v>37649</v>
      </c>
      <c r="J27" s="87" t="n">
        <f aca="false">I27-Front!$C$2</f>
        <v>-8277</v>
      </c>
      <c r="K27" s="8" t="n">
        <f aca="false">Swap!E27</f>
        <v>3.324</v>
      </c>
      <c r="L27" s="8" t="e">
        <f aca="false">IF(C27="","",(PriceSwitch=0)*K27+(PriceSwitch=1)*(Front!$H$21+K27)+(PriceSwitch=2)*Front!$H$21)</f>
        <v>#VALUE!</v>
      </c>
      <c r="M27" s="93" t="n">
        <f aca="false">INDEX(vols,MATCH(A27,volsmonth,0),2)</f>
        <v>0.4275</v>
      </c>
      <c r="N27" s="3" t="e">
        <f aca="false">IF(Skew_Switch=0,"",IF($C27="","",(Front!$E$20=0)*M27+(Front!$E$20=1)*(Front!$E$21+M27)+(Front!$E$20=2)*Front!$E$21))</f>
        <v>#VALUE!</v>
      </c>
      <c r="O27" s="94" t="e">
        <f aca="false">IF(Skew_Switch=0,"",IF(C27="","",((calcskew(Call1-$L27,$C27,a,b))/100)))</f>
        <v>#VALUE!</v>
      </c>
      <c r="P27" s="94" t="e">
        <f aca="false">IF(Skew_Switch=0,"",IF(C27="","",((calcskew(Put1-$L27,$C27,a,b))/100)))</f>
        <v>#VALUE!</v>
      </c>
      <c r="Q27" s="94" t="e">
        <f aca="false">IF(Skew_Switch=0,"",IF(C27="","",((calcskew(Call2-$L27,$C27,a,b))/100)))</f>
        <v>#VALUE!</v>
      </c>
      <c r="R27" s="94" t="e">
        <f aca="false">IF(Skew_Switch=0,"",IF(C27="","",((calcskew(Put2-$L27,$C27,a,b))/100)))</f>
        <v>#VALUE!</v>
      </c>
      <c r="S27" s="3" t="e">
        <f aca="false">IF($C27="","",(Front!$C$19=0)*$N27+(Front!$C$19=1)*($N27+O27))</f>
        <v>#VALUE!</v>
      </c>
      <c r="T27" s="3" t="e">
        <f aca="false">IF($C27="","",(Front!$C$19=0)*$N27+(Front!$C$19=1)*($N27+P27))</f>
        <v>#VALUE!</v>
      </c>
      <c r="U27" s="3" t="e">
        <f aca="false">IF($C27="","",(Front!$C$19=0)*$N27+(Front!$C$19=1)*($N27+Q27))</f>
        <v>#VALUE!</v>
      </c>
      <c r="V27" s="3" t="e">
        <f aca="false">IF($C27="","",(Front!$C$19=0)*$N27+(Front!$C$19=1)*($N27+R27))</f>
        <v>#VALUE!</v>
      </c>
      <c r="W27" s="90" t="e">
        <f aca="false">IF($C27="","",xEURO($L27,Call1,$G27,$G27,S27,$J27,1,0))</f>
        <v>#VALUE!</v>
      </c>
      <c r="X27" s="90" t="e">
        <f aca="false">IF($C27="","",xEURO($L27,Put1,$G27,$G27,T27,$J27,0,0))</f>
        <v>#VALUE!</v>
      </c>
      <c r="Y27" s="90" t="e">
        <f aca="false">IF($C27="","",xEURO($L27,Call2,$G27,$G27,U27,$J27,1,0))</f>
        <v>#VALUE!</v>
      </c>
      <c r="Z27" s="90" t="e">
        <f aca="false">IF($C27="","",xEURO($L27,Put2,$G27,$G27,V27,$J27,0,0))</f>
        <v>#VALUE!</v>
      </c>
      <c r="AA27" s="90" t="e">
        <f aca="false">IF($C27="","",xEURO($L27,Call1,$G27,$G27,$S27,$J27,1,1))</f>
        <v>#VALUE!</v>
      </c>
      <c r="AB27" s="90" t="e">
        <f aca="false">IF($C27="","",xEURO($L27,Put1,$G27,$G27,$T27,$J27,0,1))</f>
        <v>#VALUE!</v>
      </c>
      <c r="AC27" s="90" t="e">
        <f aca="false">IF($C27="","",xEURO($L27,Call2,$G27,$G27,$U27,$J27,1,1))</f>
        <v>#VALUE!</v>
      </c>
      <c r="AD27" s="90" t="e">
        <f aca="false">IF($C27="","",xEURO($L27,Put2,$G27,$G27,$V27,$J27,0,1))</f>
        <v>#VALUE!</v>
      </c>
      <c r="AE27" s="90" t="e">
        <f aca="false">IF($C27="","",xEURO($L27,Call1,$G27,$G27,$S27,$J27,1,3))</f>
        <v>#VALUE!</v>
      </c>
      <c r="AF27" s="90" t="e">
        <f aca="false">IF($C27="","",xEURO($L27,Put1,$G27,$G27,$T27,$J27,0,3))</f>
        <v>#VALUE!</v>
      </c>
      <c r="AG27" s="90" t="e">
        <f aca="false">IF($C27="","",xEURO($L27,Call2,$G27,$G27,$U27,$J27,1,3))</f>
        <v>#VALUE!</v>
      </c>
      <c r="AH27" s="90" t="e">
        <f aca="false">IF($C27="","",xEURO($L27,Put2,$G27,$G27,$V27,$J27,0,3))</f>
        <v>#VALUE!</v>
      </c>
      <c r="AI27" s="8" t="e">
        <f aca="false">IF(E27=1,G27,0)</f>
        <v>#VALUE!</v>
      </c>
      <c r="AJ27" s="8" t="e">
        <f aca="false">IF(E27=1,H27,0)</f>
        <v>#VALUE!</v>
      </c>
      <c r="AK27" s="8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</row>
    <row r="28" customFormat="false" ht="12.75" hidden="false" customHeight="false" outlineLevel="0" collapsed="false">
      <c r="A28" s="91" t="n">
        <f aca="false">Swap!A28</f>
        <v>37681</v>
      </c>
      <c r="B28" s="0" t="n">
        <f aca="false">B27+1</f>
        <v>19</v>
      </c>
      <c r="C28" s="91" t="e">
        <f aca="false">IF(AND(A28&gt;=Front!$E$11,A28&lt;=Front!$E$12),A28,"")</f>
        <v>#VALUE!</v>
      </c>
      <c r="D28" s="87" t="e">
        <f aca="false">Swap!AB28</f>
        <v>#VALUE!</v>
      </c>
      <c r="E28" s="87" t="e">
        <f aca="false">IF($C28="","",1)</f>
        <v>#VALUE!</v>
      </c>
      <c r="F28" s="88" t="e">
        <f aca="false">IF($C28="","",E28*H28)</f>
        <v>#VALUE!</v>
      </c>
      <c r="G28" s="31" t="n">
        <f aca="false">Swap!AG28</f>
        <v>0.0304846834286971</v>
      </c>
      <c r="H28" s="31" t="n">
        <f aca="false">Swap!AH28</f>
        <v>1.97972238609318</v>
      </c>
      <c r="I28" s="92" t="n">
        <f aca="false">INDEX(expery,MATCH(A28,exprymonth,0),2)</f>
        <v>37677</v>
      </c>
      <c r="J28" s="87" t="n">
        <f aca="false">I28-Front!$C$2</f>
        <v>-8249</v>
      </c>
      <c r="K28" s="8" t="n">
        <f aca="false">Swap!E28</f>
        <v>3.199</v>
      </c>
      <c r="L28" s="8" t="e">
        <f aca="false">IF(C28="","",(PriceSwitch=0)*K28+(PriceSwitch=1)*(Front!$H$21+K28)+(PriceSwitch=2)*Front!$H$21)</f>
        <v>#VALUE!</v>
      </c>
      <c r="M28" s="93" t="n">
        <f aca="false">INDEX(vols,MATCH(A28,volsmonth,0),2)</f>
        <v>0.4075</v>
      </c>
      <c r="N28" s="3" t="e">
        <f aca="false">IF(Skew_Switch=0,"",IF($C28="","",(Front!$E$20=0)*M28+(Front!$E$20=1)*(Front!$E$21+M28)+(Front!$E$20=2)*Front!$E$21))</f>
        <v>#VALUE!</v>
      </c>
      <c r="O28" s="94" t="e">
        <f aca="false">IF(Skew_Switch=0,"",IF(C28="","",((calcskew(Call1-$L28,$C28,a,b))/100)))</f>
        <v>#VALUE!</v>
      </c>
      <c r="P28" s="94" t="e">
        <f aca="false">IF(Skew_Switch=0,"",IF(C28="","",((calcskew(Put1-$L28,$C28,a,b))/100)))</f>
        <v>#VALUE!</v>
      </c>
      <c r="Q28" s="94" t="e">
        <f aca="false">IF(Skew_Switch=0,"",IF(C28="","",((calcskew(Call2-$L28,$C28,a,b))/100)))</f>
        <v>#VALUE!</v>
      </c>
      <c r="R28" s="94" t="e">
        <f aca="false">IF(Skew_Switch=0,"",IF(C28="","",((calcskew(Put2-$L28,$C28,a,b))/100)))</f>
        <v>#VALUE!</v>
      </c>
      <c r="S28" s="3" t="e">
        <f aca="false">IF($C28="","",(Front!$C$19=0)*$N28+(Front!$C$19=1)*($N28+O28))</f>
        <v>#VALUE!</v>
      </c>
      <c r="T28" s="3" t="e">
        <f aca="false">IF($C28="","",(Front!$C$19=0)*$N28+(Front!$C$19=1)*($N28+P28))</f>
        <v>#VALUE!</v>
      </c>
      <c r="U28" s="3" t="e">
        <f aca="false">IF($C28="","",(Front!$C$19=0)*$N28+(Front!$C$19=1)*($N28+Q28))</f>
        <v>#VALUE!</v>
      </c>
      <c r="V28" s="3" t="e">
        <f aca="false">IF($C28="","",(Front!$C$19=0)*$N28+(Front!$C$19=1)*($N28+R28))</f>
        <v>#VALUE!</v>
      </c>
      <c r="W28" s="90" t="e">
        <f aca="false">IF($C28="","",xEURO($L28,Call1,$G28,$G28,S28,$J28,1,0))</f>
        <v>#VALUE!</v>
      </c>
      <c r="X28" s="90" t="e">
        <f aca="false">IF($C28="","",xEURO($L28,Put1,$G28,$G28,T28,$J28,0,0))</f>
        <v>#VALUE!</v>
      </c>
      <c r="Y28" s="90" t="e">
        <f aca="false">IF($C28="","",xEURO($L28,Call2,$G28,$G28,U28,$J28,1,0))</f>
        <v>#VALUE!</v>
      </c>
      <c r="Z28" s="90" t="e">
        <f aca="false">IF($C28="","",xEURO($L28,Put2,$G28,$G28,V28,$J28,0,0))</f>
        <v>#VALUE!</v>
      </c>
      <c r="AA28" s="90" t="e">
        <f aca="false">IF($C28="","",xEURO($L28,Call1,$G28,$G28,$S28,$J28,1,1))</f>
        <v>#VALUE!</v>
      </c>
      <c r="AB28" s="90" t="e">
        <f aca="false">IF($C28="","",xEURO($L28,Put1,$G28,$G28,$T28,$J28,0,1))</f>
        <v>#VALUE!</v>
      </c>
      <c r="AC28" s="90" t="e">
        <f aca="false">IF($C28="","",xEURO($L28,Call2,$G28,$G28,$U28,$J28,1,1))</f>
        <v>#VALUE!</v>
      </c>
      <c r="AD28" s="90" t="e">
        <f aca="false">IF($C28="","",xEURO($L28,Put2,$G28,$G28,$V28,$J28,0,1))</f>
        <v>#VALUE!</v>
      </c>
      <c r="AE28" s="90" t="e">
        <f aca="false">IF($C28="","",xEURO($L28,Call1,$G28,$G28,$S28,$J28,1,3))</f>
        <v>#VALUE!</v>
      </c>
      <c r="AF28" s="90" t="e">
        <f aca="false">IF($C28="","",xEURO($L28,Put1,$G28,$G28,$T28,$J28,0,3))</f>
        <v>#VALUE!</v>
      </c>
      <c r="AG28" s="90" t="e">
        <f aca="false">IF($C28="","",xEURO($L28,Call2,$G28,$G28,$U28,$J28,1,3))</f>
        <v>#VALUE!</v>
      </c>
      <c r="AH28" s="90" t="e">
        <f aca="false">IF($C28="","",xEURO($L28,Put2,$G28,$G28,$V28,$J28,0,3))</f>
        <v>#VALUE!</v>
      </c>
      <c r="AI28" s="8" t="e">
        <f aca="false">IF(E28=1,G28,0)</f>
        <v>#VALUE!</v>
      </c>
      <c r="AJ28" s="8" t="e">
        <f aca="false">IF(E28=1,H28,0)</f>
        <v>#VALUE!</v>
      </c>
      <c r="AK28" s="8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</row>
    <row r="29" customFormat="false" ht="12.75" hidden="false" customHeight="false" outlineLevel="0" collapsed="false">
      <c r="A29" s="91" t="n">
        <f aca="false">Swap!A29</f>
        <v>37712</v>
      </c>
      <c r="B29" s="0" t="n">
        <f aca="false">B28+1</f>
        <v>20</v>
      </c>
      <c r="C29" s="91" t="e">
        <f aca="false">IF(AND(A29&gt;=Front!$E$11,A29&lt;=Front!$E$12),A29,"")</f>
        <v>#VALUE!</v>
      </c>
      <c r="D29" s="87" t="e">
        <f aca="false">Swap!AB29</f>
        <v>#VALUE!</v>
      </c>
      <c r="E29" s="87" t="e">
        <f aca="false">IF($C29="","",1)</f>
        <v>#VALUE!</v>
      </c>
      <c r="F29" s="88" t="e">
        <f aca="false">IF($C29="","",E29*H29)</f>
        <v>#VALUE!</v>
      </c>
      <c r="G29" s="31" t="n">
        <f aca="false">Swap!AG29</f>
        <v>0.0311482850542353</v>
      </c>
      <c r="H29" s="31" t="n">
        <f aca="false">Swap!AH29</f>
        <v>2.00388118850653</v>
      </c>
      <c r="I29" s="92" t="n">
        <f aca="false">INDEX(expery,MATCH(A29,exprymonth,0),2)</f>
        <v>37706</v>
      </c>
      <c r="J29" s="87" t="n">
        <f aca="false">I29-Front!$C$2</f>
        <v>-8220</v>
      </c>
      <c r="K29" s="8" t="n">
        <f aca="false">Swap!E29</f>
        <v>3.039</v>
      </c>
      <c r="L29" s="8" t="e">
        <f aca="false">IF(C29="","",(PriceSwitch=0)*K29+(PriceSwitch=1)*(Front!$H$21+K29)+(PriceSwitch=2)*Front!$H$21)</f>
        <v>#VALUE!</v>
      </c>
      <c r="M29" s="93" t="n">
        <f aca="false">INDEX(vols,MATCH(A29,volsmonth,0),2)</f>
        <v>0.365</v>
      </c>
      <c r="N29" s="3" t="e">
        <f aca="false">IF(Skew_Switch=0,"",IF($C29="","",(Front!$E$20=0)*M29+(Front!$E$20=1)*(Front!$E$21+M29)+(Front!$E$20=2)*Front!$E$21))</f>
        <v>#VALUE!</v>
      </c>
      <c r="O29" s="94" t="e">
        <f aca="false">IF(Skew_Switch=0,"",IF(C29="","",((calcskew(Call1-$L29,$C29,a,b))/100)))</f>
        <v>#VALUE!</v>
      </c>
      <c r="P29" s="94" t="e">
        <f aca="false">IF(Skew_Switch=0,"",IF(C29="","",((calcskew(Put1-$L29,$C29,a,b))/100)))</f>
        <v>#VALUE!</v>
      </c>
      <c r="Q29" s="94" t="e">
        <f aca="false">IF(Skew_Switch=0,"",IF(C29="","",((calcskew(Call2-$L29,$C29,a,b))/100)))</f>
        <v>#VALUE!</v>
      </c>
      <c r="R29" s="94" t="e">
        <f aca="false">IF(Skew_Switch=0,"",IF(C29="","",((calcskew(Put2-$L29,$C29,a,b))/100)))</f>
        <v>#VALUE!</v>
      </c>
      <c r="S29" s="3" t="e">
        <f aca="false">IF($C29="","",(Front!$C$19=0)*$N29+(Front!$C$19=1)*($N29+O29))</f>
        <v>#VALUE!</v>
      </c>
      <c r="T29" s="3" t="e">
        <f aca="false">IF($C29="","",(Front!$C$19=0)*$N29+(Front!$C$19=1)*($N29+P29))</f>
        <v>#VALUE!</v>
      </c>
      <c r="U29" s="3" t="e">
        <f aca="false">IF($C29="","",(Front!$C$19=0)*$N29+(Front!$C$19=1)*($N29+Q29))</f>
        <v>#VALUE!</v>
      </c>
      <c r="V29" s="3" t="e">
        <f aca="false">IF($C29="","",(Front!$C$19=0)*$N29+(Front!$C$19=1)*($N29+R29))</f>
        <v>#VALUE!</v>
      </c>
      <c r="W29" s="90" t="e">
        <f aca="false">IF($C29="","",xEURO($L29,Call1,$G29,$G29,S29,$J29,1,0))</f>
        <v>#VALUE!</v>
      </c>
      <c r="X29" s="90" t="e">
        <f aca="false">IF($C29="","",xEURO($L29,Put1,$G29,$G29,T29,$J29,0,0))</f>
        <v>#VALUE!</v>
      </c>
      <c r="Y29" s="90" t="e">
        <f aca="false">IF($C29="","",xEURO($L29,Call2,$G29,$G29,U29,$J29,1,0))</f>
        <v>#VALUE!</v>
      </c>
      <c r="Z29" s="90" t="e">
        <f aca="false">IF($C29="","",xEURO($L29,Put2,$G29,$G29,V29,$J29,0,0))</f>
        <v>#VALUE!</v>
      </c>
      <c r="AA29" s="90" t="e">
        <f aca="false">IF($C29="","",xEURO($L29,Call1,$G29,$G29,$S29,$J29,1,1))</f>
        <v>#VALUE!</v>
      </c>
      <c r="AB29" s="90" t="e">
        <f aca="false">IF($C29="","",xEURO($L29,Put1,$G29,$G29,$T29,$J29,0,1))</f>
        <v>#VALUE!</v>
      </c>
      <c r="AC29" s="90" t="e">
        <f aca="false">IF($C29="","",xEURO($L29,Call2,$G29,$G29,$U29,$J29,1,1))</f>
        <v>#VALUE!</v>
      </c>
      <c r="AD29" s="90" t="e">
        <f aca="false">IF($C29="","",xEURO($L29,Put2,$G29,$G29,$V29,$J29,0,1))</f>
        <v>#VALUE!</v>
      </c>
      <c r="AE29" s="90" t="e">
        <f aca="false">IF($C29="","",xEURO($L29,Call1,$G29,$G29,$S29,$J29,1,3))</f>
        <v>#VALUE!</v>
      </c>
      <c r="AF29" s="90" t="e">
        <f aca="false">IF($C29="","",xEURO($L29,Put1,$G29,$G29,$T29,$J29,0,3))</f>
        <v>#VALUE!</v>
      </c>
      <c r="AG29" s="90" t="e">
        <f aca="false">IF($C29="","",xEURO($L29,Call2,$G29,$G29,$U29,$J29,1,3))</f>
        <v>#VALUE!</v>
      </c>
      <c r="AH29" s="90" t="e">
        <f aca="false">IF($C29="","",xEURO($L29,Put2,$G29,$G29,$V29,$J29,0,3))</f>
        <v>#VALUE!</v>
      </c>
      <c r="AI29" s="8" t="e">
        <f aca="false">IF(E29=1,G29,0)</f>
        <v>#VALUE!</v>
      </c>
      <c r="AJ29" s="8" t="e">
        <f aca="false">IF(E29=1,H29,0)</f>
        <v>#VALUE!</v>
      </c>
      <c r="AK29" s="8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0" collapsed="false">
      <c r="A30" s="91" t="n">
        <f aca="false">Swap!A30</f>
        <v>37742</v>
      </c>
      <c r="B30" s="0" t="n">
        <f aca="false">B29+1</f>
        <v>21</v>
      </c>
      <c r="C30" s="91" t="e">
        <f aca="false">IF(AND(A30&gt;=Front!$E$11,A30&lt;=Front!$E$12),A30,"")</f>
        <v>#VALUE!</v>
      </c>
      <c r="D30" s="87" t="e">
        <f aca="false">Swap!AB30</f>
        <v>#VALUE!</v>
      </c>
      <c r="E30" s="87" t="e">
        <f aca="false">IF($C30="","",1)</f>
        <v>#VALUE!</v>
      </c>
      <c r="F30" s="88" t="e">
        <f aca="false">IF($C30="","",E30*H30)</f>
        <v>#VALUE!</v>
      </c>
      <c r="G30" s="31" t="n">
        <f aca="false">Swap!AG30</f>
        <v>0.0317664334084484</v>
      </c>
      <c r="H30" s="31" t="n">
        <f aca="false">Swap!AH30</f>
        <v>2.02624299808374</v>
      </c>
      <c r="I30" s="92" t="n">
        <f aca="false">INDEX(expery,MATCH(A30,exprymonth,0),2)</f>
        <v>37736</v>
      </c>
      <c r="J30" s="87" t="n">
        <f aca="false">I30-Front!$C$2</f>
        <v>-8190</v>
      </c>
      <c r="K30" s="8" t="n">
        <f aca="false">Swap!E30</f>
        <v>3.05</v>
      </c>
      <c r="L30" s="8" t="e">
        <f aca="false">IF(C30="","",(PriceSwitch=0)*K30+(PriceSwitch=1)*(Front!$H$21+K30)+(PriceSwitch=2)*Front!$H$21)</f>
        <v>#VALUE!</v>
      </c>
      <c r="M30" s="93" t="n">
        <f aca="false">INDEX(vols,MATCH(A30,volsmonth,0),2)</f>
        <v>0.345</v>
      </c>
      <c r="N30" s="3" t="e">
        <f aca="false">IF(Skew_Switch=0,"",IF($C30="","",(Front!$E$20=0)*M30+(Front!$E$20=1)*(Front!$E$21+M30)+(Front!$E$20=2)*Front!$E$21))</f>
        <v>#VALUE!</v>
      </c>
      <c r="O30" s="94" t="e">
        <f aca="false">IF(Skew_Switch=0,"",IF(C30="","",((calcskew(Call1-$L30,$C30,a,b))/100)))</f>
        <v>#VALUE!</v>
      </c>
      <c r="P30" s="94" t="e">
        <f aca="false">IF(Skew_Switch=0,"",IF(C30="","",((calcskew(Put1-$L30,$C30,a,b))/100)))</f>
        <v>#VALUE!</v>
      </c>
      <c r="Q30" s="94" t="e">
        <f aca="false">IF(Skew_Switch=0,"",IF(C30="","",((calcskew(Call2-$L30,$C30,a,b))/100)))</f>
        <v>#VALUE!</v>
      </c>
      <c r="R30" s="94" t="e">
        <f aca="false">IF(Skew_Switch=0,"",IF(C30="","",((calcskew(Put2-$L30,$C30,a,b))/100)))</f>
        <v>#VALUE!</v>
      </c>
      <c r="S30" s="3" t="e">
        <f aca="false">IF($C30="","",(Front!$C$19=0)*$N30+(Front!$C$19=1)*($N30+O30))</f>
        <v>#VALUE!</v>
      </c>
      <c r="T30" s="3" t="e">
        <f aca="false">IF($C30="","",(Front!$C$19=0)*$N30+(Front!$C$19=1)*($N30+P30))</f>
        <v>#VALUE!</v>
      </c>
      <c r="U30" s="3" t="e">
        <f aca="false">IF($C30="","",(Front!$C$19=0)*$N30+(Front!$C$19=1)*($N30+Q30))</f>
        <v>#VALUE!</v>
      </c>
      <c r="V30" s="3" t="e">
        <f aca="false">IF($C30="","",(Front!$C$19=0)*$N30+(Front!$C$19=1)*($N30+R30))</f>
        <v>#VALUE!</v>
      </c>
      <c r="W30" s="90" t="e">
        <f aca="false">IF($C30="","",xEURO($L30,Call1,$G30,$G30,S30,$J30,1,0))</f>
        <v>#VALUE!</v>
      </c>
      <c r="X30" s="90" t="e">
        <f aca="false">IF($C30="","",xEURO($L30,Put1,$G30,$G30,T30,$J30,0,0))</f>
        <v>#VALUE!</v>
      </c>
      <c r="Y30" s="90" t="e">
        <f aca="false">IF($C30="","",xEURO($L30,Call2,$G30,$G30,U30,$J30,1,0))</f>
        <v>#VALUE!</v>
      </c>
      <c r="Z30" s="90" t="e">
        <f aca="false">IF($C30="","",xEURO($L30,Put2,$G30,$G30,V30,$J30,0,0))</f>
        <v>#VALUE!</v>
      </c>
      <c r="AA30" s="90" t="e">
        <f aca="false">IF($C30="","",xEURO($L30,Call1,$G30,$G30,$S30,$J30,1,1))</f>
        <v>#VALUE!</v>
      </c>
      <c r="AB30" s="90" t="e">
        <f aca="false">IF($C30="","",xEURO($L30,Put1,$G30,$G30,$T30,$J30,0,1))</f>
        <v>#VALUE!</v>
      </c>
      <c r="AC30" s="90" t="e">
        <f aca="false">IF($C30="","",xEURO($L30,Call2,$G30,$G30,$U30,$J30,1,1))</f>
        <v>#VALUE!</v>
      </c>
      <c r="AD30" s="90" t="e">
        <f aca="false">IF($C30="","",xEURO($L30,Put2,$G30,$G30,$V30,$J30,0,1))</f>
        <v>#VALUE!</v>
      </c>
      <c r="AE30" s="90" t="e">
        <f aca="false">IF($C30="","",xEURO($L30,Call1,$G30,$G30,$S30,$J30,1,3))</f>
        <v>#VALUE!</v>
      </c>
      <c r="AF30" s="90" t="e">
        <f aca="false">IF($C30="","",xEURO($L30,Put1,$G30,$G30,$T30,$J30,0,3))</f>
        <v>#VALUE!</v>
      </c>
      <c r="AG30" s="90" t="e">
        <f aca="false">IF($C30="","",xEURO($L30,Call2,$G30,$G30,$U30,$J30,1,3))</f>
        <v>#VALUE!</v>
      </c>
      <c r="AH30" s="90" t="e">
        <f aca="false">IF($C30="","",xEURO($L30,Put2,$G30,$G30,$V30,$J30,0,3))</f>
        <v>#VALUE!</v>
      </c>
      <c r="AI30" s="8" t="e">
        <f aca="false">IF(E30=1,G30,0)</f>
        <v>#VALUE!</v>
      </c>
      <c r="AJ30" s="8" t="e">
        <f aca="false">IF(E30=1,H30,0)</f>
        <v>#VALUE!</v>
      </c>
      <c r="AK30" s="8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</row>
    <row r="31" customFormat="false" ht="12.75" hidden="false" customHeight="false" outlineLevel="0" collapsed="false">
      <c r="A31" s="91" t="n">
        <f aca="false">Swap!A31</f>
        <v>37773</v>
      </c>
      <c r="B31" s="0" t="n">
        <f aca="false">B30+1</f>
        <v>22</v>
      </c>
      <c r="C31" s="91" t="e">
        <f aca="false">IF(AND(A31&gt;=Front!$E$11,A31&lt;=Front!$E$12),A31,"")</f>
        <v>#VALUE!</v>
      </c>
      <c r="D31" s="87" t="e">
        <f aca="false">Swap!AB31</f>
        <v>#VALUE!</v>
      </c>
      <c r="E31" s="87" t="e">
        <f aca="false">IF($C31="","",1)</f>
        <v>#VALUE!</v>
      </c>
      <c r="F31" s="88" t="e">
        <f aca="false">IF($C31="","",E31*H31)</f>
        <v>#VALUE!</v>
      </c>
      <c r="G31" s="31" t="n">
        <f aca="false">Swap!AG31</f>
        <v>0.0324051868430342</v>
      </c>
      <c r="H31" s="31" t="n">
        <f aca="false">Swap!AH31</f>
        <v>2.04938824924723</v>
      </c>
      <c r="I31" s="92" t="n">
        <f aca="false">INDEX(expery,MATCH(A31,exprymonth,0),2)</f>
        <v>37768</v>
      </c>
      <c r="J31" s="87" t="n">
        <f aca="false">I31-Front!$C$2</f>
        <v>-8158</v>
      </c>
      <c r="K31" s="8" t="n">
        <f aca="false">Swap!E31</f>
        <v>3.078</v>
      </c>
      <c r="L31" s="8" t="e">
        <f aca="false">IF(C31="","",(PriceSwitch=0)*K31+(PriceSwitch=1)*(Front!$H$21+K31)+(PriceSwitch=2)*Front!$H$21)</f>
        <v>#VALUE!</v>
      </c>
      <c r="M31" s="93" t="n">
        <f aca="false">INDEX(vols,MATCH(A31,volsmonth,0),2)</f>
        <v>0.3375</v>
      </c>
      <c r="N31" s="3" t="e">
        <f aca="false">IF(Skew_Switch=0,"",IF($C31="","",(Front!$E$20=0)*M31+(Front!$E$20=1)*(Front!$E$21+M31)+(Front!$E$20=2)*Front!$E$21))</f>
        <v>#VALUE!</v>
      </c>
      <c r="O31" s="94" t="e">
        <f aca="false">IF(Skew_Switch=0,"",IF(C31="","",((calcskew(Call1-$L31,$C31,a,b))/100)))</f>
        <v>#VALUE!</v>
      </c>
      <c r="P31" s="94" t="e">
        <f aca="false">IF(Skew_Switch=0,"",IF(C31="","",((calcskew(Put1-$L31,$C31,a,b))/100)))</f>
        <v>#VALUE!</v>
      </c>
      <c r="Q31" s="94" t="e">
        <f aca="false">IF(Skew_Switch=0,"",IF(C31="","",((calcskew(Call2-$L31,$C31,a,b))/100)))</f>
        <v>#VALUE!</v>
      </c>
      <c r="R31" s="94" t="e">
        <f aca="false">IF(Skew_Switch=0,"",IF(C31="","",((calcskew(Put2-$L31,$C31,a,b))/100)))</f>
        <v>#VALUE!</v>
      </c>
      <c r="S31" s="3" t="e">
        <f aca="false">IF($C31="","",(Front!$C$19=0)*$N31+(Front!$C$19=1)*($N31+O31))</f>
        <v>#VALUE!</v>
      </c>
      <c r="T31" s="3" t="e">
        <f aca="false">IF($C31="","",(Front!$C$19=0)*$N31+(Front!$C$19=1)*($N31+P31))</f>
        <v>#VALUE!</v>
      </c>
      <c r="U31" s="3" t="e">
        <f aca="false">IF($C31="","",(Front!$C$19=0)*$N31+(Front!$C$19=1)*($N31+Q31))</f>
        <v>#VALUE!</v>
      </c>
      <c r="V31" s="3" t="e">
        <f aca="false">IF($C31="","",(Front!$C$19=0)*$N31+(Front!$C$19=1)*($N31+R31))</f>
        <v>#VALUE!</v>
      </c>
      <c r="W31" s="90" t="e">
        <f aca="false">IF($C31="","",xEURO($L31,Call1,$G31,$G31,S31,$J31,1,0))</f>
        <v>#VALUE!</v>
      </c>
      <c r="X31" s="90" t="e">
        <f aca="false">IF($C31="","",xEURO($L31,Put1,$G31,$G31,T31,$J31,0,0))</f>
        <v>#VALUE!</v>
      </c>
      <c r="Y31" s="90" t="e">
        <f aca="false">IF($C31="","",xEURO($L31,Call2,$G31,$G31,U31,$J31,1,0))</f>
        <v>#VALUE!</v>
      </c>
      <c r="Z31" s="90" t="e">
        <f aca="false">IF($C31="","",xEURO($L31,Put2,$G31,$G31,V31,$J31,0,0))</f>
        <v>#VALUE!</v>
      </c>
      <c r="AA31" s="90" t="e">
        <f aca="false">IF($C31="","",xEURO($L31,Call1,$G31,$G31,$S31,$J31,1,1))</f>
        <v>#VALUE!</v>
      </c>
      <c r="AB31" s="90" t="e">
        <f aca="false">IF($C31="","",xEURO($L31,Put1,$G31,$G31,$T31,$J31,0,1))</f>
        <v>#VALUE!</v>
      </c>
      <c r="AC31" s="90" t="e">
        <f aca="false">IF($C31="","",xEURO($L31,Call2,$G31,$G31,$U31,$J31,1,1))</f>
        <v>#VALUE!</v>
      </c>
      <c r="AD31" s="90" t="e">
        <f aca="false">IF($C31="","",xEURO($L31,Put2,$G31,$G31,$V31,$J31,0,1))</f>
        <v>#VALUE!</v>
      </c>
      <c r="AE31" s="90" t="e">
        <f aca="false">IF($C31="","",xEURO($L31,Call1,$G31,$G31,$S31,$J31,1,3))</f>
        <v>#VALUE!</v>
      </c>
      <c r="AF31" s="90" t="e">
        <f aca="false">IF($C31="","",xEURO($L31,Put1,$G31,$G31,$T31,$J31,0,3))</f>
        <v>#VALUE!</v>
      </c>
      <c r="AG31" s="90" t="e">
        <f aca="false">IF($C31="","",xEURO($L31,Call2,$G31,$G31,$U31,$J31,1,3))</f>
        <v>#VALUE!</v>
      </c>
      <c r="AH31" s="90" t="e">
        <f aca="false">IF($C31="","",xEURO($L31,Put2,$G31,$G31,$V31,$J31,0,3))</f>
        <v>#VALUE!</v>
      </c>
      <c r="AI31" s="8" t="e">
        <f aca="false">IF(E31=1,G31,0)</f>
        <v>#VALUE!</v>
      </c>
      <c r="AJ31" s="8" t="e">
        <f aca="false">IF(E31=1,H31,0)</f>
        <v>#VALUE!</v>
      </c>
      <c r="AK31" s="8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</row>
    <row r="32" customFormat="false" ht="12.75" hidden="false" customHeight="false" outlineLevel="0" collapsed="false">
      <c r="A32" s="91" t="n">
        <f aca="false">Swap!A32</f>
        <v>37803</v>
      </c>
      <c r="B32" s="0" t="n">
        <f aca="false">B31+1</f>
        <v>23</v>
      </c>
      <c r="C32" s="91" t="e">
        <f aca="false">IF(AND(A32&gt;=Front!$E$11,A32&lt;=Front!$E$12),A32,"")</f>
        <v>#VALUE!</v>
      </c>
      <c r="D32" s="87" t="e">
        <f aca="false">Swap!AB32</f>
        <v>#VALUE!</v>
      </c>
      <c r="E32" s="87" t="e">
        <f aca="false">IF($C32="","",1)</f>
        <v>#VALUE!</v>
      </c>
      <c r="F32" s="88" t="e">
        <f aca="false">IF($C32="","",E32*H32)</f>
        <v>#VALUE!</v>
      </c>
      <c r="G32" s="31" t="n">
        <f aca="false">Swap!AG32</f>
        <v>0.0330117009969246</v>
      </c>
      <c r="H32" s="31" t="n">
        <f aca="false">Swap!AH32</f>
        <v>2.07129209320576</v>
      </c>
      <c r="I32" s="92" t="n">
        <f aca="false">INDEX(expery,MATCH(A32,exprymonth,0),2)</f>
        <v>37797</v>
      </c>
      <c r="J32" s="87" t="n">
        <f aca="false">I32-Front!$C$2</f>
        <v>-8129</v>
      </c>
      <c r="K32" s="8" t="n">
        <f aca="false">Swap!E32</f>
        <v>3.098</v>
      </c>
      <c r="L32" s="8" t="e">
        <f aca="false">IF(C32="","",(PriceSwitch=0)*K32+(PriceSwitch=1)*(Front!$H$21+K32)+(PriceSwitch=2)*Front!$H$21)</f>
        <v>#VALUE!</v>
      </c>
      <c r="M32" s="93" t="n">
        <f aca="false">INDEX(vols,MATCH(A32,volsmonth,0),2)</f>
        <v>0.3375</v>
      </c>
      <c r="N32" s="3" t="e">
        <f aca="false">IF(Skew_Switch=0,"",IF($C32="","",(Front!$E$20=0)*M32+(Front!$E$20=1)*(Front!$E$21+M32)+(Front!$E$20=2)*Front!$E$21))</f>
        <v>#VALUE!</v>
      </c>
      <c r="O32" s="94" t="e">
        <f aca="false">IF(Skew_Switch=0,"",IF(C32="","",((calcskew(Call1-$L32,$C32,a,b))/100)))</f>
        <v>#VALUE!</v>
      </c>
      <c r="P32" s="94" t="e">
        <f aca="false">IF(Skew_Switch=0,"",IF(C32="","",((calcskew(Put1-$L32,$C32,a,b))/100)))</f>
        <v>#VALUE!</v>
      </c>
      <c r="Q32" s="94" t="e">
        <f aca="false">IF(Skew_Switch=0,"",IF(C32="","",((calcskew(Call2-$L32,$C32,a,b))/100)))</f>
        <v>#VALUE!</v>
      </c>
      <c r="R32" s="94" t="e">
        <f aca="false">IF(Skew_Switch=0,"",IF(C32="","",((calcskew(Put2-$L32,$C32,a,b))/100)))</f>
        <v>#VALUE!</v>
      </c>
      <c r="S32" s="3" t="e">
        <f aca="false">IF($C32="","",(Front!$C$19=0)*$N32+(Front!$C$19=1)*($N32+O32))</f>
        <v>#VALUE!</v>
      </c>
      <c r="T32" s="3" t="e">
        <f aca="false">IF($C32="","",(Front!$C$19=0)*$N32+(Front!$C$19=1)*($N32+P32))</f>
        <v>#VALUE!</v>
      </c>
      <c r="U32" s="3" t="e">
        <f aca="false">IF($C32="","",(Front!$C$19=0)*$N32+(Front!$C$19=1)*($N32+Q32))</f>
        <v>#VALUE!</v>
      </c>
      <c r="V32" s="3" t="e">
        <f aca="false">IF($C32="","",(Front!$C$19=0)*$N32+(Front!$C$19=1)*($N32+R32))</f>
        <v>#VALUE!</v>
      </c>
      <c r="W32" s="90" t="e">
        <f aca="false">IF($C32="","",xEURO($L32,Call1,$G32,$G32,S32,$J32,1,0))</f>
        <v>#VALUE!</v>
      </c>
      <c r="X32" s="90" t="e">
        <f aca="false">IF($C32="","",xEURO($L32,Put1,$G32,$G32,T32,$J32,0,0))</f>
        <v>#VALUE!</v>
      </c>
      <c r="Y32" s="90" t="e">
        <f aca="false">IF($C32="","",xEURO($L32,Call2,$G32,$G32,U32,$J32,1,0))</f>
        <v>#VALUE!</v>
      </c>
      <c r="Z32" s="90" t="e">
        <f aca="false">IF($C32="","",xEURO($L32,Put2,$G32,$G32,V32,$J32,0,0))</f>
        <v>#VALUE!</v>
      </c>
      <c r="AA32" s="90" t="e">
        <f aca="false">IF($C32="","",xEURO($L32,Call1,$G32,$G32,$S32,$J32,1,1))</f>
        <v>#VALUE!</v>
      </c>
      <c r="AB32" s="90" t="e">
        <f aca="false">IF($C32="","",xEURO($L32,Put1,$G32,$G32,$T32,$J32,0,1))</f>
        <v>#VALUE!</v>
      </c>
      <c r="AC32" s="90" t="e">
        <f aca="false">IF($C32="","",xEURO($L32,Call2,$G32,$G32,$U32,$J32,1,1))</f>
        <v>#VALUE!</v>
      </c>
      <c r="AD32" s="90" t="e">
        <f aca="false">IF($C32="","",xEURO($L32,Put2,$G32,$G32,$V32,$J32,0,1))</f>
        <v>#VALUE!</v>
      </c>
      <c r="AE32" s="90" t="e">
        <f aca="false">IF($C32="","",xEURO($L32,Call1,$G32,$G32,$S32,$J32,1,3))</f>
        <v>#VALUE!</v>
      </c>
      <c r="AF32" s="90" t="e">
        <f aca="false">IF($C32="","",xEURO($L32,Put1,$G32,$G32,$T32,$J32,0,3))</f>
        <v>#VALUE!</v>
      </c>
      <c r="AG32" s="90" t="e">
        <f aca="false">IF($C32="","",xEURO($L32,Call2,$G32,$G32,$U32,$J32,1,3))</f>
        <v>#VALUE!</v>
      </c>
      <c r="AH32" s="90" t="e">
        <f aca="false">IF($C32="","",xEURO($L32,Put2,$G32,$G32,$V32,$J32,0,3))</f>
        <v>#VALUE!</v>
      </c>
      <c r="AI32" s="8" t="e">
        <f aca="false">IF(E32=1,G32,0)</f>
        <v>#VALUE!</v>
      </c>
      <c r="AJ32" s="8" t="e">
        <f aca="false">IF(E32=1,H32,0)</f>
        <v>#VALUE!</v>
      </c>
      <c r="AK32" s="8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</row>
    <row r="33" customFormat="false" ht="12.75" hidden="false" customHeight="false" outlineLevel="0" collapsed="false">
      <c r="A33" s="91" t="n">
        <f aca="false">Swap!A33</f>
        <v>37834</v>
      </c>
      <c r="B33" s="0" t="n">
        <f aca="false">B32+1</f>
        <v>24</v>
      </c>
      <c r="C33" s="91" t="e">
        <f aca="false">IF(AND(A33&gt;=Front!$E$11,A33&lt;=Front!$E$12),A33,"")</f>
        <v>#VALUE!</v>
      </c>
      <c r="D33" s="87" t="e">
        <f aca="false">Swap!AB33</f>
        <v>#VALUE!</v>
      </c>
      <c r="E33" s="87" t="e">
        <f aca="false">IF($C33="","",1)</f>
        <v>#VALUE!</v>
      </c>
      <c r="F33" s="88" t="e">
        <f aca="false">IF($C33="","",E33*H33)</f>
        <v>#VALUE!</v>
      </c>
      <c r="G33" s="31" t="n">
        <f aca="false">Swap!AG33</f>
        <v>0.0336217829874497</v>
      </c>
      <c r="H33" s="31" t="n">
        <f aca="false">Swap!AH33</f>
        <v>2.09318824134624</v>
      </c>
      <c r="I33" s="92" t="n">
        <f aca="false">INDEX(expery,MATCH(A33,exprymonth,0),2)</f>
        <v>37830</v>
      </c>
      <c r="J33" s="87" t="n">
        <f aca="false">I33-Front!$C$2</f>
        <v>-8096</v>
      </c>
      <c r="K33" s="8" t="n">
        <f aca="false">Swap!E33</f>
        <v>3.118</v>
      </c>
      <c r="L33" s="8" t="e">
        <f aca="false">IF(C33="","",(PriceSwitch=0)*K33+(PriceSwitch=1)*(Front!$H$21+K33)+(PriceSwitch=2)*Front!$H$21)</f>
        <v>#VALUE!</v>
      </c>
      <c r="M33" s="93" t="n">
        <f aca="false">INDEX(vols,MATCH(A33,volsmonth,0),2)</f>
        <v>0.335</v>
      </c>
      <c r="N33" s="3" t="e">
        <f aca="false">IF(Skew_Switch=0,"",IF($C33="","",(Front!$E$20=0)*M33+(Front!$E$20=1)*(Front!$E$21+M33)+(Front!$E$20=2)*Front!$E$21))</f>
        <v>#VALUE!</v>
      </c>
      <c r="O33" s="94" t="e">
        <f aca="false">IF(Skew_Switch=0,"",IF(C33="","",((calcskew(Call1-$L33,$C33,a,b))/100)))</f>
        <v>#VALUE!</v>
      </c>
      <c r="P33" s="94" t="e">
        <f aca="false">IF(Skew_Switch=0,"",IF(C33="","",((calcskew(Put1-$L33,$C33,a,b))/100)))</f>
        <v>#VALUE!</v>
      </c>
      <c r="Q33" s="94" t="e">
        <f aca="false">IF(Skew_Switch=0,"",IF(C33="","",((calcskew(Call2-$L33,$C33,a,b))/100)))</f>
        <v>#VALUE!</v>
      </c>
      <c r="R33" s="94" t="e">
        <f aca="false">IF(Skew_Switch=0,"",IF(C33="","",((calcskew(Put2-$L33,$C33,a,b))/100)))</f>
        <v>#VALUE!</v>
      </c>
      <c r="S33" s="3" t="e">
        <f aca="false">IF($C33="","",(Front!$C$19=0)*$N33+(Front!$C$19=1)*($N33+O33))</f>
        <v>#VALUE!</v>
      </c>
      <c r="T33" s="3" t="e">
        <f aca="false">IF($C33="","",(Front!$C$19=0)*$N33+(Front!$C$19=1)*($N33+P33))</f>
        <v>#VALUE!</v>
      </c>
      <c r="U33" s="3" t="e">
        <f aca="false">IF($C33="","",(Front!$C$19=0)*$N33+(Front!$C$19=1)*($N33+Q33))</f>
        <v>#VALUE!</v>
      </c>
      <c r="V33" s="3" t="e">
        <f aca="false">IF($C33="","",(Front!$C$19=0)*$N33+(Front!$C$19=1)*($N33+R33))</f>
        <v>#VALUE!</v>
      </c>
      <c r="W33" s="90" t="e">
        <f aca="false">IF($C33="","",xEURO($L33,Call1,$G33,$G33,S33,$J33,1,0))</f>
        <v>#VALUE!</v>
      </c>
      <c r="X33" s="90" t="e">
        <f aca="false">IF($C33="","",xEURO($L33,Put1,$G33,$G33,T33,$J33,0,0))</f>
        <v>#VALUE!</v>
      </c>
      <c r="Y33" s="90" t="e">
        <f aca="false">IF($C33="","",xEURO($L33,Call2,$G33,$G33,U33,$J33,1,0))</f>
        <v>#VALUE!</v>
      </c>
      <c r="Z33" s="90" t="e">
        <f aca="false">IF($C33="","",xEURO($L33,Put2,$G33,$G33,V33,$J33,0,0))</f>
        <v>#VALUE!</v>
      </c>
      <c r="AA33" s="90" t="e">
        <f aca="false">IF($C33="","",xEURO($L33,Call1,$G33,$G33,$S33,$J33,1,1))</f>
        <v>#VALUE!</v>
      </c>
      <c r="AB33" s="90" t="e">
        <f aca="false">IF($C33="","",xEURO($L33,Put1,$G33,$G33,$T33,$J33,0,1))</f>
        <v>#VALUE!</v>
      </c>
      <c r="AC33" s="90" t="e">
        <f aca="false">IF($C33="","",xEURO($L33,Call2,$G33,$G33,$U33,$J33,1,1))</f>
        <v>#VALUE!</v>
      </c>
      <c r="AD33" s="90" t="e">
        <f aca="false">IF($C33="","",xEURO($L33,Put2,$G33,$G33,$V33,$J33,0,1))</f>
        <v>#VALUE!</v>
      </c>
      <c r="AE33" s="90" t="e">
        <f aca="false">IF($C33="","",xEURO($L33,Call1,$G33,$G33,$S33,$J33,1,3))</f>
        <v>#VALUE!</v>
      </c>
      <c r="AF33" s="90" t="e">
        <f aca="false">IF($C33="","",xEURO($L33,Put1,$G33,$G33,$T33,$J33,0,3))</f>
        <v>#VALUE!</v>
      </c>
      <c r="AG33" s="90" t="e">
        <f aca="false">IF($C33="","",xEURO($L33,Call2,$G33,$G33,$U33,$J33,1,3))</f>
        <v>#VALUE!</v>
      </c>
      <c r="AH33" s="90" t="e">
        <f aca="false">IF($C33="","",xEURO($L33,Put2,$G33,$G33,$V33,$J33,0,3))</f>
        <v>#VALUE!</v>
      </c>
      <c r="AI33" s="8" t="e">
        <f aca="false">IF(E33=1,G33,0)</f>
        <v>#VALUE!</v>
      </c>
      <c r="AJ33" s="8" t="e">
        <f aca="false">IF(E33=1,H33,0)</f>
        <v>#VALUE!</v>
      </c>
      <c r="AK33" s="8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</row>
    <row r="34" customFormat="false" ht="12.75" hidden="false" customHeight="false" outlineLevel="0" collapsed="false">
      <c r="A34" s="91" t="n">
        <f aca="false">Swap!A34</f>
        <v>37865</v>
      </c>
      <c r="B34" s="0" t="n">
        <f aca="false">B33+1</f>
        <v>25</v>
      </c>
      <c r="C34" s="91" t="e">
        <f aca="false">IF(AND(A34&gt;=Front!$E$11,A34&lt;=Front!$E$12),A34,"")</f>
        <v>#VALUE!</v>
      </c>
      <c r="D34" s="87" t="e">
        <f aca="false">Swap!AB34</f>
        <v>#VALUE!</v>
      </c>
      <c r="E34" s="87" t="e">
        <f aca="false">IF($C34="","",1)</f>
        <v>#VALUE!</v>
      </c>
      <c r="F34" s="88" t="e">
        <f aca="false">IF($C34="","",E34*H34)</f>
        <v>#VALUE!</v>
      </c>
      <c r="G34" s="31" t="n">
        <f aca="false">Swap!AG34</f>
        <v>0.0342318651032465</v>
      </c>
      <c r="H34" s="31" t="n">
        <f aca="false">Swap!AH34</f>
        <v>2.11509200213557</v>
      </c>
      <c r="I34" s="92" t="n">
        <f aca="false">INDEX(expery,MATCH(A34,exprymonth,0),2)</f>
        <v>37859</v>
      </c>
      <c r="J34" s="87" t="n">
        <f aca="false">I34-Front!$C$2</f>
        <v>-8067</v>
      </c>
      <c r="K34" s="8" t="n">
        <f aca="false">Swap!E34</f>
        <v>3.123</v>
      </c>
      <c r="L34" s="8" t="e">
        <f aca="false">IF(C34="","",(PriceSwitch=0)*K34+(PriceSwitch=1)*(Front!$H$21+K34)+(PriceSwitch=2)*Front!$H$21)</f>
        <v>#VALUE!</v>
      </c>
      <c r="M34" s="93" t="n">
        <f aca="false">INDEX(vols,MATCH(A34,volsmonth,0),2)</f>
        <v>0.3351</v>
      </c>
      <c r="N34" s="3" t="e">
        <f aca="false">IF(Skew_Switch=0,"",IF($C34="","",(Front!$E$20=0)*M34+(Front!$E$20=1)*(Front!$E$21+M34)+(Front!$E$20=2)*Front!$E$21))</f>
        <v>#VALUE!</v>
      </c>
      <c r="O34" s="94" t="e">
        <f aca="false">IF(Skew_Switch=0,"",IF(C34="","",((calcskew(Call1-$L34,$C34,a,b))/100)))</f>
        <v>#VALUE!</v>
      </c>
      <c r="P34" s="94" t="e">
        <f aca="false">IF(Skew_Switch=0,"",IF(C34="","",((calcskew(Put1-$L34,$C34,a,b))/100)))</f>
        <v>#VALUE!</v>
      </c>
      <c r="Q34" s="94" t="e">
        <f aca="false">IF(Skew_Switch=0,"",IF(C34="","",((calcskew(Call2-$L34,$C34,a,b))/100)))</f>
        <v>#VALUE!</v>
      </c>
      <c r="R34" s="94" t="e">
        <f aca="false">IF(Skew_Switch=0,"",IF(C34="","",((calcskew(Put2-$L34,$C34,a,b))/100)))</f>
        <v>#VALUE!</v>
      </c>
      <c r="S34" s="3" t="e">
        <f aca="false">IF($C34="","",(Front!$C$19=0)*$N34+(Front!$C$19=1)*($N34+O34))</f>
        <v>#VALUE!</v>
      </c>
      <c r="T34" s="3" t="e">
        <f aca="false">IF($C34="","",(Front!$C$19=0)*$N34+(Front!$C$19=1)*($N34+P34))</f>
        <v>#VALUE!</v>
      </c>
      <c r="U34" s="3" t="e">
        <f aca="false">IF($C34="","",(Front!$C$19=0)*$N34+(Front!$C$19=1)*($N34+Q34))</f>
        <v>#VALUE!</v>
      </c>
      <c r="V34" s="3" t="e">
        <f aca="false">IF($C34="","",(Front!$C$19=0)*$N34+(Front!$C$19=1)*($N34+R34))</f>
        <v>#VALUE!</v>
      </c>
      <c r="W34" s="90" t="e">
        <f aca="false">IF($C34="","",xEURO($L34,Call1,$G34,$G34,S34,$J34,1,0))</f>
        <v>#VALUE!</v>
      </c>
      <c r="X34" s="90" t="e">
        <f aca="false">IF($C34="","",xEURO($L34,Put1,$G34,$G34,T34,$J34,0,0))</f>
        <v>#VALUE!</v>
      </c>
      <c r="Y34" s="90" t="e">
        <f aca="false">IF($C34="","",xEURO($L34,Call2,$G34,$G34,U34,$J34,1,0))</f>
        <v>#VALUE!</v>
      </c>
      <c r="Z34" s="90" t="e">
        <f aca="false">IF($C34="","",xEURO($L34,Put2,$G34,$G34,V34,$J34,0,0))</f>
        <v>#VALUE!</v>
      </c>
      <c r="AA34" s="90" t="e">
        <f aca="false">IF($C34="","",xEURO($L34,Call1,$G34,$G34,$S34,$J34,1,1))</f>
        <v>#VALUE!</v>
      </c>
      <c r="AB34" s="90" t="e">
        <f aca="false">IF($C34="","",xEURO($L34,Put1,$G34,$G34,$T34,$J34,0,1))</f>
        <v>#VALUE!</v>
      </c>
      <c r="AC34" s="90" t="e">
        <f aca="false">IF($C34="","",xEURO($L34,Call2,$G34,$G34,$U34,$J34,1,1))</f>
        <v>#VALUE!</v>
      </c>
      <c r="AD34" s="90" t="e">
        <f aca="false">IF($C34="","",xEURO($L34,Put2,$G34,$G34,$V34,$J34,0,1))</f>
        <v>#VALUE!</v>
      </c>
      <c r="AE34" s="90" t="e">
        <f aca="false">IF($C34="","",xEURO($L34,Call1,$G34,$G34,$S34,$J34,1,3))</f>
        <v>#VALUE!</v>
      </c>
      <c r="AF34" s="90" t="e">
        <f aca="false">IF($C34="","",xEURO($L34,Put1,$G34,$G34,$T34,$J34,0,3))</f>
        <v>#VALUE!</v>
      </c>
      <c r="AG34" s="90" t="e">
        <f aca="false">IF($C34="","",xEURO($L34,Call2,$G34,$G34,$U34,$J34,1,3))</f>
        <v>#VALUE!</v>
      </c>
      <c r="AH34" s="90" t="e">
        <f aca="false">IF($C34="","",xEURO($L34,Put2,$G34,$G34,$V34,$J34,0,3))</f>
        <v>#VALUE!</v>
      </c>
      <c r="AI34" s="8" t="e">
        <f aca="false">IF(E34=1,G34,0)</f>
        <v>#VALUE!</v>
      </c>
      <c r="AJ34" s="8" t="e">
        <f aca="false">IF(E34=1,H34,0)</f>
        <v>#VALUE!</v>
      </c>
      <c r="AK34" s="8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12.75" hidden="false" customHeight="false" outlineLevel="0" collapsed="false">
      <c r="A35" s="91" t="n">
        <f aca="false">Swap!A35</f>
        <v>37895</v>
      </c>
      <c r="B35" s="0" t="n">
        <f aca="false">B34+1</f>
        <v>26</v>
      </c>
      <c r="C35" s="91" t="e">
        <f aca="false">IF(AND(A35&gt;=Front!$E$11,A35&lt;=Front!$E$12),A35,"")</f>
        <v>#VALUE!</v>
      </c>
      <c r="D35" s="87" t="e">
        <f aca="false">Swap!AB35</f>
        <v>#VALUE!</v>
      </c>
      <c r="E35" s="87" t="e">
        <f aca="false">IF($C35="","",1)</f>
        <v>#VALUE!</v>
      </c>
      <c r="F35" s="88" t="e">
        <f aca="false">IF($C35="","",E35*H35)</f>
        <v>#VALUE!</v>
      </c>
      <c r="G35" s="31" t="n">
        <f aca="false">Swap!AG35</f>
        <v>0.0348012213925286</v>
      </c>
      <c r="H35" s="31" t="n">
        <f aca="false">Swap!AH35</f>
        <v>2.13532078531823</v>
      </c>
      <c r="I35" s="92" t="n">
        <f aca="false">INDEX(expery,MATCH(A35,exprymonth,0),2)</f>
        <v>37889</v>
      </c>
      <c r="J35" s="87" t="n">
        <f aca="false">I35-Front!$C$2</f>
        <v>-8037</v>
      </c>
      <c r="K35" s="8" t="n">
        <f aca="false">Swap!E35</f>
        <v>3.133</v>
      </c>
      <c r="L35" s="8" t="e">
        <f aca="false">IF(C35="","",(PriceSwitch=0)*K35+(PriceSwitch=1)*(Front!$H$21+K35)+(PriceSwitch=2)*Front!$H$21)</f>
        <v>#VALUE!</v>
      </c>
      <c r="M35" s="93" t="n">
        <f aca="false">INDEX(vols,MATCH(A35,volsmonth,0),2)</f>
        <v>0.335</v>
      </c>
      <c r="N35" s="3" t="e">
        <f aca="false">IF(Skew_Switch=0,"",IF($C35="","",(Front!$E$20=0)*M35+(Front!$E$20=1)*(Front!$E$21+M35)+(Front!$E$20=2)*Front!$E$21))</f>
        <v>#VALUE!</v>
      </c>
      <c r="O35" s="94" t="e">
        <f aca="false">IF(Skew_Switch=0,"",IF(C35="","",((calcskew(Call1-$L35,$C35,a,b))/100)))</f>
        <v>#VALUE!</v>
      </c>
      <c r="P35" s="94" t="e">
        <f aca="false">IF(Skew_Switch=0,"",IF(C35="","",((calcskew(Put1-$L35,$C35,a,b))/100)))</f>
        <v>#VALUE!</v>
      </c>
      <c r="Q35" s="94" t="e">
        <f aca="false">IF(Skew_Switch=0,"",IF(C35="","",((calcskew(Call2-$L35,$C35,a,b))/100)))</f>
        <v>#VALUE!</v>
      </c>
      <c r="R35" s="94" t="e">
        <f aca="false">IF(Skew_Switch=0,"",IF(C35="","",((calcskew(Put2-$L35,$C35,a,b))/100)))</f>
        <v>#VALUE!</v>
      </c>
      <c r="S35" s="3" t="e">
        <f aca="false">IF($C35="","",(Front!$C$19=0)*$N35+(Front!$C$19=1)*($N35+O35))</f>
        <v>#VALUE!</v>
      </c>
      <c r="T35" s="3" t="e">
        <f aca="false">IF($C35="","",(Front!$C$19=0)*$N35+(Front!$C$19=1)*($N35+P35))</f>
        <v>#VALUE!</v>
      </c>
      <c r="U35" s="3" t="e">
        <f aca="false">IF($C35="","",(Front!$C$19=0)*$N35+(Front!$C$19=1)*($N35+Q35))</f>
        <v>#VALUE!</v>
      </c>
      <c r="V35" s="3" t="e">
        <f aca="false">IF($C35="","",(Front!$C$19=0)*$N35+(Front!$C$19=1)*($N35+R35))</f>
        <v>#VALUE!</v>
      </c>
      <c r="W35" s="90" t="e">
        <f aca="false">IF($C35="","",xEURO($L35,Call1,$G35,$G35,S35,$J35,1,0))</f>
        <v>#VALUE!</v>
      </c>
      <c r="X35" s="90" t="e">
        <f aca="false">IF($C35="","",xEURO($L35,Put1,$G35,$G35,T35,$J35,0,0))</f>
        <v>#VALUE!</v>
      </c>
      <c r="Y35" s="90" t="e">
        <f aca="false">IF($C35="","",xEURO($L35,Call2,$G35,$G35,U35,$J35,1,0))</f>
        <v>#VALUE!</v>
      </c>
      <c r="Z35" s="90" t="e">
        <f aca="false">IF($C35="","",xEURO($L35,Put2,$G35,$G35,V35,$J35,0,0))</f>
        <v>#VALUE!</v>
      </c>
      <c r="AA35" s="90" t="e">
        <f aca="false">IF($C35="","",xEURO($L35,Call1,$G35,$G35,$S35,$J35,1,1))</f>
        <v>#VALUE!</v>
      </c>
      <c r="AB35" s="90" t="e">
        <f aca="false">IF($C35="","",xEURO($L35,Put1,$G35,$G35,$T35,$J35,0,1))</f>
        <v>#VALUE!</v>
      </c>
      <c r="AC35" s="90" t="e">
        <f aca="false">IF($C35="","",xEURO($L35,Call2,$G35,$G35,$U35,$J35,1,1))</f>
        <v>#VALUE!</v>
      </c>
      <c r="AD35" s="90" t="e">
        <f aca="false">IF($C35="","",xEURO($L35,Put2,$G35,$G35,$V35,$J35,0,1))</f>
        <v>#VALUE!</v>
      </c>
      <c r="AE35" s="90" t="e">
        <f aca="false">IF($C35="","",xEURO($L35,Call1,$G35,$G35,$S35,$J35,1,3))</f>
        <v>#VALUE!</v>
      </c>
      <c r="AF35" s="90" t="e">
        <f aca="false">IF($C35="","",xEURO($L35,Put1,$G35,$G35,$T35,$J35,0,3))</f>
        <v>#VALUE!</v>
      </c>
      <c r="AG35" s="90" t="e">
        <f aca="false">IF($C35="","",xEURO($L35,Call2,$G35,$G35,$U35,$J35,1,3))</f>
        <v>#VALUE!</v>
      </c>
      <c r="AH35" s="90" t="e">
        <f aca="false">IF($C35="","",xEURO($L35,Put2,$G35,$G35,$V35,$J35,0,3))</f>
        <v>#VALUE!</v>
      </c>
      <c r="AI35" s="8" t="e">
        <f aca="false">IF(E35=1,G35,0)</f>
        <v>#VALUE!</v>
      </c>
      <c r="AJ35" s="8" t="e">
        <f aca="false">IF(E35=1,H35,0)</f>
        <v>#VALUE!</v>
      </c>
      <c r="AK35" s="8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12.75" hidden="false" customHeight="false" outlineLevel="0" collapsed="false">
      <c r="A36" s="91" t="n">
        <f aca="false">Swap!A36</f>
        <v>37926</v>
      </c>
      <c r="B36" s="0" t="n">
        <f aca="false">B35+1</f>
        <v>27</v>
      </c>
      <c r="C36" s="91" t="e">
        <f aca="false">IF(AND(A36&gt;=Front!$E$11,A36&lt;=Front!$E$12),A36,"")</f>
        <v>#VALUE!</v>
      </c>
      <c r="D36" s="87" t="e">
        <f aca="false">Swap!AB36</f>
        <v>#VALUE!</v>
      </c>
      <c r="E36" s="87" t="e">
        <f aca="false">IF($C36="","",1)</f>
        <v>#VALUE!</v>
      </c>
      <c r="F36" s="88" t="e">
        <f aca="false">IF($C36="","",E36*H36)</f>
        <v>#VALUE!</v>
      </c>
      <c r="G36" s="31" t="n">
        <f aca="false">Swap!AG36</f>
        <v>0.0353631998182551</v>
      </c>
      <c r="H36" s="31" t="n">
        <f aca="false">Swap!AH36</f>
        <v>2.15498832899405</v>
      </c>
      <c r="I36" s="92" t="n">
        <f aca="false">INDEX(expery,MATCH(A36,exprymonth,0),2)</f>
        <v>37922</v>
      </c>
      <c r="J36" s="87" t="n">
        <f aca="false">I36-Front!$C$2</f>
        <v>-8004</v>
      </c>
      <c r="K36" s="8" t="n">
        <f aca="false">Swap!E36</f>
        <v>3.298</v>
      </c>
      <c r="L36" s="8" t="e">
        <f aca="false">IF(C36="","",(PriceSwitch=0)*K36+(PriceSwitch=1)*(Front!$H$21+K36)+(PriceSwitch=2)*Front!$H$21)</f>
        <v>#VALUE!</v>
      </c>
      <c r="M36" s="93" t="n">
        <f aca="false">INDEX(vols,MATCH(A36,volsmonth,0),2)</f>
        <v>0.335</v>
      </c>
      <c r="N36" s="3" t="e">
        <f aca="false">IF(Skew_Switch=0,"",IF($C36="","",(Front!$E$20=0)*M36+(Front!$E$20=1)*(Front!$E$21+M36)+(Front!$E$20=2)*Front!$E$21))</f>
        <v>#VALUE!</v>
      </c>
      <c r="O36" s="94" t="e">
        <f aca="false">IF(Skew_Switch=0,"",IF(C36="","",((calcskew(Call1-$L36,$C36,a,b))/100)))</f>
        <v>#VALUE!</v>
      </c>
      <c r="P36" s="94" t="e">
        <f aca="false">IF(Skew_Switch=0,"",IF(C36="","",((calcskew(Put1-$L36,$C36,a,b))/100)))</f>
        <v>#VALUE!</v>
      </c>
      <c r="Q36" s="94" t="e">
        <f aca="false">IF(Skew_Switch=0,"",IF(C36="","",((calcskew(Call2-$L36,$C36,a,b))/100)))</f>
        <v>#VALUE!</v>
      </c>
      <c r="R36" s="94" t="e">
        <f aca="false">IF(Skew_Switch=0,"",IF(C36="","",((calcskew(Put2-$L36,$C36,a,b))/100)))</f>
        <v>#VALUE!</v>
      </c>
      <c r="S36" s="3" t="e">
        <f aca="false">IF($C36="","",(Front!$C$19=0)*$N36+(Front!$C$19=1)*($N36+O36))</f>
        <v>#VALUE!</v>
      </c>
      <c r="T36" s="3" t="e">
        <f aca="false">IF($C36="","",(Front!$C$19=0)*$N36+(Front!$C$19=1)*($N36+P36))</f>
        <v>#VALUE!</v>
      </c>
      <c r="U36" s="3" t="e">
        <f aca="false">IF($C36="","",(Front!$C$19=0)*$N36+(Front!$C$19=1)*($N36+Q36))</f>
        <v>#VALUE!</v>
      </c>
      <c r="V36" s="3" t="e">
        <f aca="false">IF($C36="","",(Front!$C$19=0)*$N36+(Front!$C$19=1)*($N36+R36))</f>
        <v>#VALUE!</v>
      </c>
      <c r="W36" s="90" t="e">
        <f aca="false">IF($C36="","",xEURO($L36,Call1,$G36,$G36,S36,$J36,1,0))</f>
        <v>#VALUE!</v>
      </c>
      <c r="X36" s="90" t="e">
        <f aca="false">IF($C36="","",xEURO($L36,Put1,$G36,$G36,T36,$J36,0,0))</f>
        <v>#VALUE!</v>
      </c>
      <c r="Y36" s="90" t="e">
        <f aca="false">IF($C36="","",xEURO($L36,Call2,$G36,$G36,U36,$J36,1,0))</f>
        <v>#VALUE!</v>
      </c>
      <c r="Z36" s="90" t="e">
        <f aca="false">IF($C36="","",xEURO($L36,Put2,$G36,$G36,V36,$J36,0,0))</f>
        <v>#VALUE!</v>
      </c>
      <c r="AA36" s="90" t="e">
        <f aca="false">IF($C36="","",xEURO($L36,Call1,$G36,$G36,$S36,$J36,1,1))</f>
        <v>#VALUE!</v>
      </c>
      <c r="AB36" s="90" t="e">
        <f aca="false">IF($C36="","",xEURO($L36,Put1,$G36,$G36,$T36,$J36,0,1))</f>
        <v>#VALUE!</v>
      </c>
      <c r="AC36" s="90" t="e">
        <f aca="false">IF($C36="","",xEURO($L36,Call2,$G36,$G36,$U36,$J36,1,1))</f>
        <v>#VALUE!</v>
      </c>
      <c r="AD36" s="90" t="e">
        <f aca="false">IF($C36="","",xEURO($L36,Put2,$G36,$G36,$V36,$J36,0,1))</f>
        <v>#VALUE!</v>
      </c>
      <c r="AE36" s="90" t="e">
        <f aca="false">IF($C36="","",xEURO($L36,Call1,$G36,$G36,$S36,$J36,1,3))</f>
        <v>#VALUE!</v>
      </c>
      <c r="AF36" s="90" t="e">
        <f aca="false">IF($C36="","",xEURO($L36,Put1,$G36,$G36,$T36,$J36,0,3))</f>
        <v>#VALUE!</v>
      </c>
      <c r="AG36" s="90" t="e">
        <f aca="false">IF($C36="","",xEURO($L36,Call2,$G36,$G36,$U36,$J36,1,3))</f>
        <v>#VALUE!</v>
      </c>
      <c r="AH36" s="90" t="e">
        <f aca="false">IF($C36="","",xEURO($L36,Put2,$G36,$G36,$V36,$J36,0,3))</f>
        <v>#VALUE!</v>
      </c>
      <c r="AI36" s="8" t="e">
        <f aca="false">IF(E36=1,G36,0)</f>
        <v>#VALUE!</v>
      </c>
      <c r="AJ36" s="8" t="e">
        <f aca="false">IF(E36=1,H36,0)</f>
        <v>#VALUE!</v>
      </c>
      <c r="AK36" s="8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91" t="n">
        <f aca="false">Swap!A37</f>
        <v>37956</v>
      </c>
      <c r="B37" s="0" t="n">
        <f aca="false">B36+1</f>
        <v>28</v>
      </c>
      <c r="C37" s="91" t="e">
        <f aca="false">IF(AND(A37&gt;=Front!$E$11,A37&lt;=Front!$E$12),A37,"")</f>
        <v>#VALUE!</v>
      </c>
      <c r="D37" s="87" t="e">
        <f aca="false">Swap!AB37</f>
        <v>#VALUE!</v>
      </c>
      <c r="E37" s="87" t="e">
        <f aca="false">IF($C37="","",1)</f>
        <v>#VALUE!</v>
      </c>
      <c r="F37" s="88" t="e">
        <f aca="false">IF($C37="","",E37*H37)</f>
        <v>#VALUE!</v>
      </c>
      <c r="G37" s="31" t="n">
        <f aca="false">Swap!AG37</f>
        <v>0.0359070500087895</v>
      </c>
      <c r="H37" s="31" t="n">
        <f aca="false">Swap!AH37</f>
        <v>2.17399295082589</v>
      </c>
      <c r="I37" s="92" t="n">
        <f aca="false">INDEX(expery,MATCH(A37,exprymonth,0),2)</f>
        <v>37949</v>
      </c>
      <c r="J37" s="87" t="n">
        <f aca="false">I37-Front!$C$2</f>
        <v>-7977</v>
      </c>
      <c r="K37" s="8" t="n">
        <f aca="false">Swap!E37</f>
        <v>3.463</v>
      </c>
      <c r="L37" s="8" t="e">
        <f aca="false">IF(C37="","",(PriceSwitch=0)*K37+(PriceSwitch=1)*(Front!$H$21+K37)+(PriceSwitch=2)*Front!$H$21)</f>
        <v>#VALUE!</v>
      </c>
      <c r="M37" s="93" t="n">
        <f aca="false">INDEX(vols,MATCH(A37,volsmonth,0),2)</f>
        <v>0.335</v>
      </c>
      <c r="N37" s="3" t="e">
        <f aca="false">IF(Skew_Switch=0,"",IF($C37="","",(Front!$E$20=0)*M37+(Front!$E$20=1)*(Front!$E$21+M37)+(Front!$E$20=2)*Front!$E$21))</f>
        <v>#VALUE!</v>
      </c>
      <c r="O37" s="94" t="e">
        <f aca="false">IF(Skew_Switch=0,"",IF(C37="","",((calcskew(Call1-$L37,$C37,a,b))/100)))</f>
        <v>#VALUE!</v>
      </c>
      <c r="P37" s="94" t="e">
        <f aca="false">IF(Skew_Switch=0,"",IF(C37="","",((calcskew(Put1-$L37,$C37,a,b))/100)))</f>
        <v>#VALUE!</v>
      </c>
      <c r="Q37" s="94" t="e">
        <f aca="false">IF(Skew_Switch=0,"",IF(C37="","",((calcskew(Call2-$L37,$C37,a,b))/100)))</f>
        <v>#VALUE!</v>
      </c>
      <c r="R37" s="94" t="e">
        <f aca="false">IF(Skew_Switch=0,"",IF(C37="","",((calcskew(Put2-$L37,$C37,a,b))/100)))</f>
        <v>#VALUE!</v>
      </c>
      <c r="S37" s="3" t="e">
        <f aca="false">IF($C37="","",(Front!$C$19=0)*$N37+(Front!$C$19=1)*($N37+O37))</f>
        <v>#VALUE!</v>
      </c>
      <c r="T37" s="3" t="e">
        <f aca="false">IF($C37="","",(Front!$C$19=0)*$N37+(Front!$C$19=1)*($N37+P37))</f>
        <v>#VALUE!</v>
      </c>
      <c r="U37" s="3" t="e">
        <f aca="false">IF($C37="","",(Front!$C$19=0)*$N37+(Front!$C$19=1)*($N37+Q37))</f>
        <v>#VALUE!</v>
      </c>
      <c r="V37" s="3" t="e">
        <f aca="false">IF($C37="","",(Front!$C$19=0)*$N37+(Front!$C$19=1)*($N37+R37))</f>
        <v>#VALUE!</v>
      </c>
      <c r="W37" s="90" t="e">
        <f aca="false">IF($C37="","",xEURO($L37,Call1,$G37,$G37,S37,$J37,1,0))</f>
        <v>#VALUE!</v>
      </c>
      <c r="X37" s="90" t="e">
        <f aca="false">IF($C37="","",xEURO($L37,Put1,$G37,$G37,T37,$J37,0,0))</f>
        <v>#VALUE!</v>
      </c>
      <c r="Y37" s="90" t="e">
        <f aca="false">IF($C37="","",xEURO($L37,Call2,$G37,$G37,U37,$J37,1,0))</f>
        <v>#VALUE!</v>
      </c>
      <c r="Z37" s="90" t="e">
        <f aca="false">IF($C37="","",xEURO($L37,Put2,$G37,$G37,V37,$J37,0,0))</f>
        <v>#VALUE!</v>
      </c>
      <c r="AA37" s="90" t="e">
        <f aca="false">IF($C37="","",xEURO($L37,Call1,$G37,$G37,$S37,$J37,1,1))</f>
        <v>#VALUE!</v>
      </c>
      <c r="AB37" s="90" t="e">
        <f aca="false">IF($C37="","",xEURO($L37,Put1,$G37,$G37,$T37,$J37,0,1))</f>
        <v>#VALUE!</v>
      </c>
      <c r="AC37" s="90" t="e">
        <f aca="false">IF($C37="","",xEURO($L37,Call2,$G37,$G37,$U37,$J37,1,1))</f>
        <v>#VALUE!</v>
      </c>
      <c r="AD37" s="90" t="e">
        <f aca="false">IF($C37="","",xEURO($L37,Put2,$G37,$G37,$V37,$J37,0,1))</f>
        <v>#VALUE!</v>
      </c>
      <c r="AE37" s="90" t="e">
        <f aca="false">IF($C37="","",xEURO($L37,Call1,$G37,$G37,$S37,$J37,1,3))</f>
        <v>#VALUE!</v>
      </c>
      <c r="AF37" s="90" t="e">
        <f aca="false">IF($C37="","",xEURO($L37,Put1,$G37,$G37,$T37,$J37,0,3))</f>
        <v>#VALUE!</v>
      </c>
      <c r="AG37" s="90" t="e">
        <f aca="false">IF($C37="","",xEURO($L37,Call2,$G37,$G37,$U37,$J37,1,3))</f>
        <v>#VALUE!</v>
      </c>
      <c r="AH37" s="90" t="e">
        <f aca="false">IF($C37="","",xEURO($L37,Put2,$G37,$G37,$V37,$J37,0,3))</f>
        <v>#VALUE!</v>
      </c>
      <c r="AI37" s="8" t="e">
        <f aca="false">IF(E37=1,G37,0)</f>
        <v>#VALUE!</v>
      </c>
      <c r="AJ37" s="8" t="e">
        <f aca="false">IF(E37=1,H37,0)</f>
        <v>#VALUE!</v>
      </c>
      <c r="AK37" s="8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91" t="n">
        <f aca="false">Swap!A38</f>
        <v>37987</v>
      </c>
      <c r="B38" s="0" t="n">
        <f aca="false">B37+1</f>
        <v>29</v>
      </c>
      <c r="C38" s="91" t="e">
        <f aca="false">IF(AND(A38&gt;=Front!$E$11,A38&lt;=Front!$E$12),A38,"")</f>
        <v>#VALUE!</v>
      </c>
      <c r="D38" s="87" t="e">
        <f aca="false">Swap!AB38</f>
        <v>#VALUE!</v>
      </c>
      <c r="E38" s="87" t="e">
        <f aca="false">IF($C38="","",1)</f>
        <v>#VALUE!</v>
      </c>
      <c r="F38" s="88" t="e">
        <f aca="false">IF($C38="","",E38*H38)</f>
        <v>#VALUE!</v>
      </c>
      <c r="G38" s="31" t="n">
        <f aca="false">Swap!AG38</f>
        <v>0.0364526633829243</v>
      </c>
      <c r="H38" s="31" t="n">
        <f aca="false">Swap!AH38</f>
        <v>2.19283153467514</v>
      </c>
      <c r="I38" s="92" t="n">
        <f aca="false">INDEX(expery,MATCH(A38,exprymonth,0),2)</f>
        <v>37981</v>
      </c>
      <c r="J38" s="87" t="n">
        <f aca="false">I38-Front!$C$2</f>
        <v>-7945</v>
      </c>
      <c r="K38" s="8" t="n">
        <f aca="false">Swap!E38</f>
        <v>3.518</v>
      </c>
      <c r="L38" s="8" t="e">
        <f aca="false">IF(C38="","",(PriceSwitch=0)*K38+(PriceSwitch=1)*(Front!$H$21+K38)+(PriceSwitch=2)*Front!$H$21)</f>
        <v>#VALUE!</v>
      </c>
      <c r="M38" s="93" t="n">
        <f aca="false">INDEX(vols,MATCH(A38,volsmonth,0),2)</f>
        <v>0.3325</v>
      </c>
      <c r="N38" s="3" t="e">
        <f aca="false">IF(Skew_Switch=0,"",IF($C38="","",(Front!$E$20=0)*M38+(Front!$E$20=1)*(Front!$E$21+M38)+(Front!$E$20=2)*Front!$E$21))</f>
        <v>#VALUE!</v>
      </c>
      <c r="O38" s="94" t="e">
        <f aca="false">IF(Skew_Switch=0,"",IF(C38="","",((calcskew(Call1-$L38,$C38,a,b))/100)))</f>
        <v>#VALUE!</v>
      </c>
      <c r="P38" s="94" t="e">
        <f aca="false">IF(Skew_Switch=0,"",IF(C38="","",((calcskew(Put1-$L38,$C38,a,b))/100)))</f>
        <v>#VALUE!</v>
      </c>
      <c r="Q38" s="94" t="e">
        <f aca="false">IF(Skew_Switch=0,"",IF(C38="","",((calcskew(Call2-$L38,$C38,a,b))/100)))</f>
        <v>#VALUE!</v>
      </c>
      <c r="R38" s="94" t="e">
        <f aca="false">IF(Skew_Switch=0,"",IF(C38="","",((calcskew(Put2-$L38,$C38,a,b))/100)))</f>
        <v>#VALUE!</v>
      </c>
      <c r="S38" s="3" t="e">
        <f aca="false">IF($C38="","",(Front!$C$19=0)*$N38+(Front!$C$19=1)*($N38+O38))</f>
        <v>#VALUE!</v>
      </c>
      <c r="T38" s="3" t="e">
        <f aca="false">IF($C38="","",(Front!$C$19=0)*$N38+(Front!$C$19=1)*($N38+P38))</f>
        <v>#VALUE!</v>
      </c>
      <c r="U38" s="3" t="e">
        <f aca="false">IF($C38="","",(Front!$C$19=0)*$N38+(Front!$C$19=1)*($N38+Q38))</f>
        <v>#VALUE!</v>
      </c>
      <c r="V38" s="3" t="e">
        <f aca="false">IF($C38="","",(Front!$C$19=0)*$N38+(Front!$C$19=1)*($N38+R38))</f>
        <v>#VALUE!</v>
      </c>
      <c r="W38" s="90" t="e">
        <f aca="false">IF($C38="","",xEURO($L38,Call1,$G38,$G38,S38,$J38,1,0))</f>
        <v>#VALUE!</v>
      </c>
      <c r="X38" s="90" t="e">
        <f aca="false">IF($C38="","",xEURO($L38,Put1,$G38,$G38,T38,$J38,0,0))</f>
        <v>#VALUE!</v>
      </c>
      <c r="Y38" s="90" t="e">
        <f aca="false">IF($C38="","",xEURO($L38,Call2,$G38,$G38,U38,$J38,1,0))</f>
        <v>#VALUE!</v>
      </c>
      <c r="Z38" s="90" t="e">
        <f aca="false">IF($C38="","",xEURO($L38,Put2,$G38,$G38,V38,$J38,0,0))</f>
        <v>#VALUE!</v>
      </c>
      <c r="AA38" s="90" t="e">
        <f aca="false">IF($C38="","",xEURO($L38,Call1,$G38,$G38,$S38,$J38,1,1))</f>
        <v>#VALUE!</v>
      </c>
      <c r="AB38" s="90" t="e">
        <f aca="false">IF($C38="","",xEURO($L38,Put1,$G38,$G38,$T38,$J38,0,1))</f>
        <v>#VALUE!</v>
      </c>
      <c r="AC38" s="90" t="e">
        <f aca="false">IF($C38="","",xEURO($L38,Call2,$G38,$G38,$U38,$J38,1,1))</f>
        <v>#VALUE!</v>
      </c>
      <c r="AD38" s="90" t="e">
        <f aca="false">IF($C38="","",xEURO($L38,Put2,$G38,$G38,$V38,$J38,0,1))</f>
        <v>#VALUE!</v>
      </c>
      <c r="AE38" s="90" t="e">
        <f aca="false">IF($C38="","",xEURO($L38,Call1,$G38,$G38,$S38,$J38,1,3))</f>
        <v>#VALUE!</v>
      </c>
      <c r="AF38" s="90" t="e">
        <f aca="false">IF($C38="","",xEURO($L38,Put1,$G38,$G38,$T38,$J38,0,3))</f>
        <v>#VALUE!</v>
      </c>
      <c r="AG38" s="90" t="e">
        <f aca="false">IF($C38="","",xEURO($L38,Call2,$G38,$G38,$U38,$J38,1,3))</f>
        <v>#VALUE!</v>
      </c>
      <c r="AH38" s="90" t="e">
        <f aca="false">IF($C38="","",xEURO($L38,Put2,$G38,$G38,$V38,$J38,0,3))</f>
        <v>#VALUE!</v>
      </c>
      <c r="AI38" s="8" t="e">
        <f aca="false">IF(E38=1,G38,0)</f>
        <v>#VALUE!</v>
      </c>
      <c r="AJ38" s="8" t="e">
        <f aca="false">IF(E38=1,H38,0)</f>
        <v>#VALUE!</v>
      </c>
      <c r="AK38" s="8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91" t="n">
        <f aca="false">Swap!A39</f>
        <v>38018</v>
      </c>
      <c r="B39" s="0" t="n">
        <f aca="false">B38+1</f>
        <v>30</v>
      </c>
      <c r="C39" s="91" t="e">
        <f aca="false">IF(AND(A39&gt;=Front!$E$11,A39&lt;=Front!$E$12),A39,"")</f>
        <v>#VALUE!</v>
      </c>
      <c r="D39" s="87" t="e">
        <f aca="false">Swap!AB39</f>
        <v>#VALUE!</v>
      </c>
      <c r="E39" s="87" t="e">
        <f aca="false">IF($C39="","",1)</f>
        <v>#VALUE!</v>
      </c>
      <c r="F39" s="88" t="e">
        <f aca="false">IF($C39="","",E39*H39)</f>
        <v>#VALUE!</v>
      </c>
      <c r="G39" s="31" t="n">
        <f aca="false">Swap!AG39</f>
        <v>0.036980820576094</v>
      </c>
      <c r="H39" s="31" t="n">
        <f aca="false">Swap!AH39</f>
        <v>2.2108047497799</v>
      </c>
      <c r="I39" s="92" t="n">
        <f aca="false">INDEX(expery,MATCH(A39,exprymonth,0),2)</f>
        <v>38013</v>
      </c>
      <c r="J39" s="87" t="n">
        <f aca="false">I39-Front!$C$2</f>
        <v>-7913</v>
      </c>
      <c r="K39" s="8" t="n">
        <f aca="false">Swap!E39</f>
        <v>3.404</v>
      </c>
      <c r="L39" s="8" t="e">
        <f aca="false">IF(C39="","",(PriceSwitch=0)*K39+(PriceSwitch=1)*(Front!$H$21+K39)+(PriceSwitch=2)*Front!$H$21)</f>
        <v>#VALUE!</v>
      </c>
      <c r="M39" s="93" t="n">
        <f aca="false">INDEX(vols,MATCH(A39,volsmonth,0),2)</f>
        <v>0.3275</v>
      </c>
      <c r="N39" s="3" t="e">
        <f aca="false">IF(Skew_Switch=0,"",IF($C39="","",(Front!$E$20=0)*M39+(Front!$E$20=1)*(Front!$E$21+M39)+(Front!$E$20=2)*Front!$E$21))</f>
        <v>#VALUE!</v>
      </c>
      <c r="O39" s="94" t="e">
        <f aca="false">IF(Skew_Switch=0,"",IF(C39="","",((calcskew(Call1-$L39,$C39,a,b))/100)))</f>
        <v>#VALUE!</v>
      </c>
      <c r="P39" s="94" t="e">
        <f aca="false">IF(Skew_Switch=0,"",IF(C39="","",((calcskew(Put1-$L39,$C39,a,b))/100)))</f>
        <v>#VALUE!</v>
      </c>
      <c r="Q39" s="94" t="e">
        <f aca="false">IF(Skew_Switch=0,"",IF(C39="","",((calcskew(Call2-$L39,$C39,a,b))/100)))</f>
        <v>#VALUE!</v>
      </c>
      <c r="R39" s="94" t="e">
        <f aca="false">IF(Skew_Switch=0,"",IF(C39="","",((calcskew(Put2-$L39,$C39,a,b))/100)))</f>
        <v>#VALUE!</v>
      </c>
      <c r="S39" s="3" t="e">
        <f aca="false">IF($C39="","",(Front!$C$19=0)*$N39+(Front!$C$19=1)*($N39+O39))</f>
        <v>#VALUE!</v>
      </c>
      <c r="T39" s="3" t="e">
        <f aca="false">IF($C39="","",(Front!$C$19=0)*$N39+(Front!$C$19=1)*($N39+P39))</f>
        <v>#VALUE!</v>
      </c>
      <c r="U39" s="3" t="e">
        <f aca="false">IF($C39="","",(Front!$C$19=0)*$N39+(Front!$C$19=1)*($N39+Q39))</f>
        <v>#VALUE!</v>
      </c>
      <c r="V39" s="3" t="e">
        <f aca="false">IF($C39="","",(Front!$C$19=0)*$N39+(Front!$C$19=1)*($N39+R39))</f>
        <v>#VALUE!</v>
      </c>
      <c r="W39" s="90" t="e">
        <f aca="false">IF($C39="","",xEURO($L39,Call1,$G39,$G39,S39,$J39,1,0))</f>
        <v>#VALUE!</v>
      </c>
      <c r="X39" s="90" t="e">
        <f aca="false">IF($C39="","",xEURO($L39,Put1,$G39,$G39,T39,$J39,0,0))</f>
        <v>#VALUE!</v>
      </c>
      <c r="Y39" s="90" t="e">
        <f aca="false">IF($C39="","",xEURO($L39,Call2,$G39,$G39,U39,$J39,1,0))</f>
        <v>#VALUE!</v>
      </c>
      <c r="Z39" s="90" t="e">
        <f aca="false">IF($C39="","",xEURO($L39,Put2,$G39,$G39,V39,$J39,0,0))</f>
        <v>#VALUE!</v>
      </c>
      <c r="AA39" s="90" t="e">
        <f aca="false">IF($C39="","",xEURO($L39,Call1,$G39,$G39,$S39,$J39,1,1))</f>
        <v>#VALUE!</v>
      </c>
      <c r="AB39" s="90" t="e">
        <f aca="false">IF($C39="","",xEURO($L39,Put1,$G39,$G39,$T39,$J39,0,1))</f>
        <v>#VALUE!</v>
      </c>
      <c r="AC39" s="90" t="e">
        <f aca="false">IF($C39="","",xEURO($L39,Call2,$G39,$G39,$U39,$J39,1,1))</f>
        <v>#VALUE!</v>
      </c>
      <c r="AD39" s="90" t="e">
        <f aca="false">IF($C39="","",xEURO($L39,Put2,$G39,$G39,$V39,$J39,0,1))</f>
        <v>#VALUE!</v>
      </c>
      <c r="AE39" s="90" t="e">
        <f aca="false">IF($C39="","",xEURO($L39,Call1,$G39,$G39,$S39,$J39,1,3))</f>
        <v>#VALUE!</v>
      </c>
      <c r="AF39" s="90" t="e">
        <f aca="false">IF($C39="","",xEURO($L39,Put1,$G39,$G39,$T39,$J39,0,3))</f>
        <v>#VALUE!</v>
      </c>
      <c r="AG39" s="90" t="e">
        <f aca="false">IF($C39="","",xEURO($L39,Call2,$G39,$G39,$U39,$J39,1,3))</f>
        <v>#VALUE!</v>
      </c>
      <c r="AH39" s="90" t="e">
        <f aca="false">IF($C39="","",xEURO($L39,Put2,$G39,$G39,$V39,$J39,0,3))</f>
        <v>#VALUE!</v>
      </c>
      <c r="AI39" s="8" t="e">
        <f aca="false">IF(E39=1,G39,0)</f>
        <v>#VALUE!</v>
      </c>
      <c r="AJ39" s="8" t="e">
        <f aca="false">IF(E39=1,H39,0)</f>
        <v>#VALUE!</v>
      </c>
      <c r="AK39" s="8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91" t="n">
        <f aca="false">Swap!A40</f>
        <v>38047</v>
      </c>
      <c r="B40" s="0" t="n">
        <f aca="false">B39+1</f>
        <v>31</v>
      </c>
      <c r="C40" s="91" t="e">
        <f aca="false">IF(AND(A40&gt;=Front!$E$11,A40&lt;=Front!$E$12),A40,"")</f>
        <v>#VALUE!</v>
      </c>
      <c r="D40" s="87" t="e">
        <f aca="false">Swap!AB40</f>
        <v>#VALUE!</v>
      </c>
      <c r="E40" s="87" t="e">
        <f aca="false">IF($C40="","",1)</f>
        <v>#VALUE!</v>
      </c>
      <c r="F40" s="88" t="e">
        <f aca="false">IF($C40="","",E40*H40)</f>
        <v>#VALUE!</v>
      </c>
      <c r="G40" s="31" t="n">
        <f aca="false">Swap!AG40</f>
        <v>0.0374749031964976</v>
      </c>
      <c r="H40" s="31" t="n">
        <f aca="false">Swap!AH40</f>
        <v>2.2275683536779</v>
      </c>
      <c r="I40" s="92" t="n">
        <f aca="false">INDEX(expery,MATCH(A40,exprymonth,0),2)</f>
        <v>38041</v>
      </c>
      <c r="J40" s="87" t="n">
        <f aca="false">I40-Front!$C$2</f>
        <v>-7885</v>
      </c>
      <c r="K40" s="8" t="n">
        <f aca="false">Swap!E40</f>
        <v>3.272</v>
      </c>
      <c r="L40" s="8" t="e">
        <f aca="false">IF(C40="","",(PriceSwitch=0)*K40+(PriceSwitch=1)*(Front!$H$21+K40)+(PriceSwitch=2)*Front!$H$21)</f>
        <v>#VALUE!</v>
      </c>
      <c r="M40" s="93" t="n">
        <f aca="false">INDEX(vols,MATCH(A40,volsmonth,0),2)</f>
        <v>0.315</v>
      </c>
      <c r="N40" s="3" t="e">
        <f aca="false">IF(Skew_Switch=0,"",IF($C40="","",(Front!$E$20=0)*M40+(Front!$E$20=1)*(Front!$E$21+M40)+(Front!$E$20=2)*Front!$E$21))</f>
        <v>#VALUE!</v>
      </c>
      <c r="O40" s="94" t="e">
        <f aca="false">IF(Skew_Switch=0,"",IF(C40="","",((calcskew(Call1-$L40,$C40,a,b))/100)))</f>
        <v>#VALUE!</v>
      </c>
      <c r="P40" s="94" t="e">
        <f aca="false">IF(Skew_Switch=0,"",IF(C40="","",((calcskew(Put1-$L40,$C40,a,b))/100)))</f>
        <v>#VALUE!</v>
      </c>
      <c r="Q40" s="94" t="e">
        <f aca="false">IF(Skew_Switch=0,"",IF(C40="","",((calcskew(Call2-$L40,$C40,a,b))/100)))</f>
        <v>#VALUE!</v>
      </c>
      <c r="R40" s="94" t="e">
        <f aca="false">IF(Skew_Switch=0,"",IF(C40="","",((calcskew(Put2-$L40,$C40,a,b))/100)))</f>
        <v>#VALUE!</v>
      </c>
      <c r="S40" s="3" t="e">
        <f aca="false">IF($C40="","",(Front!$C$19=0)*$N40+(Front!$C$19=1)*($N40+O40))</f>
        <v>#VALUE!</v>
      </c>
      <c r="T40" s="3" t="e">
        <f aca="false">IF($C40="","",(Front!$C$19=0)*$N40+(Front!$C$19=1)*($N40+P40))</f>
        <v>#VALUE!</v>
      </c>
      <c r="U40" s="3" t="e">
        <f aca="false">IF($C40="","",(Front!$C$19=0)*$N40+(Front!$C$19=1)*($N40+Q40))</f>
        <v>#VALUE!</v>
      </c>
      <c r="V40" s="3" t="e">
        <f aca="false">IF($C40="","",(Front!$C$19=0)*$N40+(Front!$C$19=1)*($N40+R40))</f>
        <v>#VALUE!</v>
      </c>
      <c r="W40" s="90" t="e">
        <f aca="false">IF($C40="","",xEURO($L40,Call1,$G40,$G40,S40,$J40,1,0))</f>
        <v>#VALUE!</v>
      </c>
      <c r="X40" s="90" t="e">
        <f aca="false">IF($C40="","",xEURO($L40,Put1,$G40,$G40,T40,$J40,0,0))</f>
        <v>#VALUE!</v>
      </c>
      <c r="Y40" s="90" t="e">
        <f aca="false">IF($C40="","",xEURO($L40,Call2,$G40,$G40,U40,$J40,1,0))</f>
        <v>#VALUE!</v>
      </c>
      <c r="Z40" s="90" t="e">
        <f aca="false">IF($C40="","",xEURO($L40,Put2,$G40,$G40,V40,$J40,0,0))</f>
        <v>#VALUE!</v>
      </c>
      <c r="AA40" s="90" t="e">
        <f aca="false">IF($C40="","",xEURO($L40,Call1,$G40,$G40,$S40,$J40,1,1))</f>
        <v>#VALUE!</v>
      </c>
      <c r="AB40" s="90" t="e">
        <f aca="false">IF($C40="","",xEURO($L40,Put1,$G40,$G40,$T40,$J40,0,1))</f>
        <v>#VALUE!</v>
      </c>
      <c r="AC40" s="90" t="e">
        <f aca="false">IF($C40="","",xEURO($L40,Call2,$G40,$G40,$U40,$J40,1,1))</f>
        <v>#VALUE!</v>
      </c>
      <c r="AD40" s="90" t="e">
        <f aca="false">IF($C40="","",xEURO($L40,Put2,$G40,$G40,$V40,$J40,0,1))</f>
        <v>#VALUE!</v>
      </c>
      <c r="AE40" s="90" t="e">
        <f aca="false">IF($C40="","",xEURO($L40,Call1,$G40,$G40,$S40,$J40,1,3))</f>
        <v>#VALUE!</v>
      </c>
      <c r="AF40" s="90" t="e">
        <f aca="false">IF($C40="","",xEURO($L40,Put1,$G40,$G40,$T40,$J40,0,3))</f>
        <v>#VALUE!</v>
      </c>
      <c r="AG40" s="90" t="e">
        <f aca="false">IF($C40="","",xEURO($L40,Call2,$G40,$G40,$U40,$J40,1,3))</f>
        <v>#VALUE!</v>
      </c>
      <c r="AH40" s="90" t="e">
        <f aca="false">IF($C40="","",xEURO($L40,Put2,$G40,$G40,$V40,$J40,0,3))</f>
        <v>#VALUE!</v>
      </c>
      <c r="AI40" s="8" t="e">
        <f aca="false">IF(E40=1,G40,0)</f>
        <v>#VALUE!</v>
      </c>
      <c r="AJ40" s="8" t="e">
        <f aca="false">IF(E40=1,H40,0)</f>
        <v>#VALUE!</v>
      </c>
      <c r="AK40" s="8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91" t="n">
        <f aca="false">Swap!A41</f>
        <v>38078</v>
      </c>
      <c r="B41" s="0" t="n">
        <f aca="false">B40+1</f>
        <v>32</v>
      </c>
      <c r="C41" s="91" t="e">
        <f aca="false">IF(AND(A41&gt;=Front!$E$11,A41&lt;=Front!$E$12),A41,"")</f>
        <v>#VALUE!</v>
      </c>
      <c r="D41" s="87" t="e">
        <f aca="false">Swap!AB41</f>
        <v>#VALUE!</v>
      </c>
      <c r="E41" s="87" t="e">
        <f aca="false">IF($C41="","",1)</f>
        <v>#VALUE!</v>
      </c>
      <c r="F41" s="88" t="e">
        <f aca="false">IF($C41="","",E41*H41)</f>
        <v>#VALUE!</v>
      </c>
      <c r="G41" s="31" t="n">
        <f aca="false">Swap!AG41</f>
        <v>0.037967565308378</v>
      </c>
      <c r="H41" s="31" t="n">
        <f aca="false">Swap!AH41</f>
        <v>2.24375113618804</v>
      </c>
      <c r="I41" s="92" t="n">
        <f aca="false">INDEX(expery,MATCH(A41,exprymonth,0),2)</f>
        <v>38072</v>
      </c>
      <c r="J41" s="87" t="n">
        <f aca="false">I41-Front!$C$2</f>
        <v>-7854</v>
      </c>
      <c r="K41" s="8" t="n">
        <f aca="false">Swap!E41</f>
        <v>3.102</v>
      </c>
      <c r="L41" s="8" t="e">
        <f aca="false">IF(C41="","",(PriceSwitch=0)*K41+(PriceSwitch=1)*(Front!$H$21+K41)+(PriceSwitch=2)*Front!$H$21)</f>
        <v>#VALUE!</v>
      </c>
      <c r="M41" s="93" t="n">
        <f aca="false">INDEX(vols,MATCH(A41,volsmonth,0),2)</f>
        <v>0.2925</v>
      </c>
      <c r="N41" s="3" t="e">
        <f aca="false">IF(Skew_Switch=0,"",IF($C41="","",(Front!$E$20=0)*M41+(Front!$E$20=1)*(Front!$E$21+M41)+(Front!$E$20=2)*Front!$E$21))</f>
        <v>#VALUE!</v>
      </c>
      <c r="O41" s="94" t="e">
        <f aca="false">IF(Skew_Switch=0,"",IF(C41="","",((calcskew(Call1-$L41,$C41,a,b))/100)))</f>
        <v>#VALUE!</v>
      </c>
      <c r="P41" s="94" t="e">
        <f aca="false">IF(Skew_Switch=0,"",IF(C41="","",((calcskew(Put1-$L41,$C41,a,b))/100)))</f>
        <v>#VALUE!</v>
      </c>
      <c r="Q41" s="94" t="e">
        <f aca="false">IF(Skew_Switch=0,"",IF(C41="","",((calcskew(Call2-$L41,$C41,a,b))/100)))</f>
        <v>#VALUE!</v>
      </c>
      <c r="R41" s="94" t="e">
        <f aca="false">IF(Skew_Switch=0,"",IF(C41="","",((calcskew(Put2-$L41,$C41,a,b))/100)))</f>
        <v>#VALUE!</v>
      </c>
      <c r="S41" s="3" t="e">
        <f aca="false">IF($C41="","",(Front!$C$19=0)*$N41+(Front!$C$19=1)*($N41+O41))</f>
        <v>#VALUE!</v>
      </c>
      <c r="T41" s="3" t="e">
        <f aca="false">IF($C41="","",(Front!$C$19=0)*$N41+(Front!$C$19=1)*($N41+P41))</f>
        <v>#VALUE!</v>
      </c>
      <c r="U41" s="3" t="e">
        <f aca="false">IF($C41="","",(Front!$C$19=0)*$N41+(Front!$C$19=1)*($N41+Q41))</f>
        <v>#VALUE!</v>
      </c>
      <c r="V41" s="3" t="e">
        <f aca="false">IF($C41="","",(Front!$C$19=0)*$N41+(Front!$C$19=1)*($N41+R41))</f>
        <v>#VALUE!</v>
      </c>
      <c r="W41" s="90" t="e">
        <f aca="false">IF($C41="","",xEURO($L41,Call1,$G41,$G41,S41,$J41,1,0))</f>
        <v>#VALUE!</v>
      </c>
      <c r="X41" s="90" t="e">
        <f aca="false">IF($C41="","",xEURO($L41,Put1,$G41,$G41,T41,$J41,0,0))</f>
        <v>#VALUE!</v>
      </c>
      <c r="Y41" s="90" t="e">
        <f aca="false">IF($C41="","",xEURO($L41,Call2,$G41,$G41,U41,$J41,1,0))</f>
        <v>#VALUE!</v>
      </c>
      <c r="Z41" s="90" t="e">
        <f aca="false">IF($C41="","",xEURO($L41,Put2,$G41,$G41,V41,$J41,0,0))</f>
        <v>#VALUE!</v>
      </c>
      <c r="AA41" s="90" t="e">
        <f aca="false">IF($C41="","",xEURO($L41,Call1,$G41,$G41,$S41,$J41,1,1))</f>
        <v>#VALUE!</v>
      </c>
      <c r="AB41" s="90" t="e">
        <f aca="false">IF($C41="","",xEURO($L41,Put1,$G41,$G41,$T41,$J41,0,1))</f>
        <v>#VALUE!</v>
      </c>
      <c r="AC41" s="90" t="e">
        <f aca="false">IF($C41="","",xEURO($L41,Call2,$G41,$G41,$U41,$J41,1,1))</f>
        <v>#VALUE!</v>
      </c>
      <c r="AD41" s="90" t="e">
        <f aca="false">IF($C41="","",xEURO($L41,Put2,$G41,$G41,$V41,$J41,0,1))</f>
        <v>#VALUE!</v>
      </c>
      <c r="AE41" s="90" t="e">
        <f aca="false">IF($C41="","",xEURO($L41,Call1,$G41,$G41,$S41,$J41,1,3))</f>
        <v>#VALUE!</v>
      </c>
      <c r="AF41" s="90" t="e">
        <f aca="false">IF($C41="","",xEURO($L41,Put1,$G41,$G41,$T41,$J41,0,3))</f>
        <v>#VALUE!</v>
      </c>
      <c r="AG41" s="90" t="e">
        <f aca="false">IF($C41="","",xEURO($L41,Call2,$G41,$G41,$U41,$J41,1,3))</f>
        <v>#VALUE!</v>
      </c>
      <c r="AH41" s="90" t="e">
        <f aca="false">IF($C41="","",xEURO($L41,Put2,$G41,$G41,$V41,$J41,0,3))</f>
        <v>#VALUE!</v>
      </c>
      <c r="AI41" s="8" t="e">
        <f aca="false">IF(E41=1,G41,0)</f>
        <v>#VALUE!</v>
      </c>
      <c r="AJ41" s="8" t="e">
        <f aca="false">IF(E41=1,H41,0)</f>
        <v>#VALUE!</v>
      </c>
      <c r="AK41" s="8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91" t="n">
        <f aca="false">Swap!A42</f>
        <v>38108</v>
      </c>
      <c r="B42" s="0" t="n">
        <f aca="false">B41+1</f>
        <v>33</v>
      </c>
      <c r="C42" s="91" t="e">
        <f aca="false">IF(AND(A42&gt;=Front!$E$11,A42&lt;=Front!$E$12),A42,"")</f>
        <v>#VALUE!</v>
      </c>
      <c r="D42" s="87" t="e">
        <f aca="false">Swap!AB42</f>
        <v>#VALUE!</v>
      </c>
      <c r="E42" s="87" t="e">
        <f aca="false">IF($C42="","",1)</f>
        <v>#VALUE!</v>
      </c>
      <c r="F42" s="88" t="e">
        <f aca="false">IF($C42="","",E42*H42)</f>
        <v>#VALUE!</v>
      </c>
      <c r="G42" s="31" t="n">
        <f aca="false">Swap!AG42</f>
        <v>0.0384076948951022</v>
      </c>
      <c r="H42" s="31" t="n">
        <f aca="false">Swap!AH42</f>
        <v>2.25760400954276</v>
      </c>
      <c r="I42" s="92" t="n">
        <f aca="false">INDEX(expery,MATCH(A42,exprymonth,0),2)</f>
        <v>38104</v>
      </c>
      <c r="J42" s="87" t="n">
        <f aca="false">I42-Front!$C$2</f>
        <v>-7822</v>
      </c>
      <c r="K42" s="8" t="n">
        <f aca="false">Swap!E42</f>
        <v>3.102</v>
      </c>
      <c r="L42" s="8" t="e">
        <f aca="false">IF(C42="","",(PriceSwitch=0)*K42+(PriceSwitch=1)*(Front!$H$21+K42)+(PriceSwitch=2)*Front!$H$21)</f>
        <v>#VALUE!</v>
      </c>
      <c r="M42" s="93" t="n">
        <f aca="false">INDEX(vols,MATCH(A42,volsmonth,0),2)</f>
        <v>0.2875</v>
      </c>
      <c r="N42" s="3" t="e">
        <f aca="false">IF(Skew_Switch=0,"",IF($C42="","",(Front!$E$20=0)*M42+(Front!$E$20=1)*(Front!$E$21+M42)+(Front!$E$20=2)*Front!$E$21))</f>
        <v>#VALUE!</v>
      </c>
      <c r="O42" s="94" t="e">
        <f aca="false">IF(Skew_Switch=0,"",IF(C42="","",((calcskew(Call1-$L42,$C42,a,b))/100)))</f>
        <v>#VALUE!</v>
      </c>
      <c r="P42" s="94" t="e">
        <f aca="false">IF(Skew_Switch=0,"",IF(C42="","",((calcskew(Put1-$L42,$C42,a,b))/100)))</f>
        <v>#VALUE!</v>
      </c>
      <c r="Q42" s="94" t="e">
        <f aca="false">IF(Skew_Switch=0,"",IF(C42="","",((calcskew(Call2-$L42,$C42,a,b))/100)))</f>
        <v>#VALUE!</v>
      </c>
      <c r="R42" s="94" t="e">
        <f aca="false">IF(Skew_Switch=0,"",IF(C42="","",((calcskew(Put2-$L42,$C42,a,b))/100)))</f>
        <v>#VALUE!</v>
      </c>
      <c r="S42" s="3" t="e">
        <f aca="false">IF($C42="","",(Front!$C$19=0)*$N42+(Front!$C$19=1)*($N42+O42))</f>
        <v>#VALUE!</v>
      </c>
      <c r="T42" s="3" t="e">
        <f aca="false">IF($C42="","",(Front!$C$19=0)*$N42+(Front!$C$19=1)*($N42+P42))</f>
        <v>#VALUE!</v>
      </c>
      <c r="U42" s="3" t="e">
        <f aca="false">IF($C42="","",(Front!$C$19=0)*$N42+(Front!$C$19=1)*($N42+Q42))</f>
        <v>#VALUE!</v>
      </c>
      <c r="V42" s="3" t="e">
        <f aca="false">IF($C42="","",(Front!$C$19=0)*$N42+(Front!$C$19=1)*($N42+R42))</f>
        <v>#VALUE!</v>
      </c>
      <c r="W42" s="90" t="e">
        <f aca="false">IF($C42="","",xEURO($L42,Call1,$G42,$G42,S42,$J42,1,0))</f>
        <v>#VALUE!</v>
      </c>
      <c r="X42" s="90" t="e">
        <f aca="false">IF($C42="","",xEURO($L42,Put1,$G42,$G42,T42,$J42,0,0))</f>
        <v>#VALUE!</v>
      </c>
      <c r="Y42" s="90" t="e">
        <f aca="false">IF($C42="","",xEURO($L42,Call2,$G42,$G42,U42,$J42,1,0))</f>
        <v>#VALUE!</v>
      </c>
      <c r="Z42" s="90" t="e">
        <f aca="false">IF($C42="","",xEURO($L42,Put2,$G42,$G42,V42,$J42,0,0))</f>
        <v>#VALUE!</v>
      </c>
      <c r="AA42" s="90" t="e">
        <f aca="false">IF($C42="","",xEURO($L42,Call1,$G42,$G42,$S42,$J42,1,1))</f>
        <v>#VALUE!</v>
      </c>
      <c r="AB42" s="90" t="e">
        <f aca="false">IF($C42="","",xEURO($L42,Put1,$G42,$G42,$T42,$J42,0,1))</f>
        <v>#VALUE!</v>
      </c>
      <c r="AC42" s="90" t="e">
        <f aca="false">IF($C42="","",xEURO($L42,Call2,$G42,$G42,$U42,$J42,1,1))</f>
        <v>#VALUE!</v>
      </c>
      <c r="AD42" s="90" t="e">
        <f aca="false">IF($C42="","",xEURO($L42,Put2,$G42,$G42,$V42,$J42,0,1))</f>
        <v>#VALUE!</v>
      </c>
      <c r="AE42" s="90" t="e">
        <f aca="false">IF($C42="","",xEURO($L42,Call1,$G42,$G42,$S42,$J42,1,3))</f>
        <v>#VALUE!</v>
      </c>
      <c r="AF42" s="90" t="e">
        <f aca="false">IF($C42="","",xEURO($L42,Put1,$G42,$G42,$T42,$J42,0,3))</f>
        <v>#VALUE!</v>
      </c>
      <c r="AG42" s="90" t="e">
        <f aca="false">IF($C42="","",xEURO($L42,Call2,$G42,$G42,$U42,$J42,1,3))</f>
        <v>#VALUE!</v>
      </c>
      <c r="AH42" s="90" t="e">
        <f aca="false">IF($C42="","",xEURO($L42,Put2,$G42,$G42,$V42,$J42,0,3))</f>
        <v>#VALUE!</v>
      </c>
      <c r="AI42" s="8" t="e">
        <f aca="false">IF(E42=1,G42,0)</f>
        <v>#VALUE!</v>
      </c>
      <c r="AJ42" s="8" t="e">
        <f aca="false">IF(E42=1,H42,0)</f>
        <v>#VALUE!</v>
      </c>
      <c r="AK42" s="8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91" t="n">
        <f aca="false">Swap!A43</f>
        <v>38139</v>
      </c>
      <c r="B43" s="0" t="n">
        <f aca="false">B42+1</f>
        <v>34</v>
      </c>
      <c r="C43" s="91" t="e">
        <f aca="false">IF(AND(A43&gt;=Front!$E$11,A43&lt;=Front!$E$12),A43,"")</f>
        <v>#VALUE!</v>
      </c>
      <c r="D43" s="87" t="e">
        <f aca="false">Swap!AB43</f>
        <v>#VALUE!</v>
      </c>
      <c r="E43" s="87" t="e">
        <f aca="false">IF($C43="","",1)</f>
        <v>#VALUE!</v>
      </c>
      <c r="F43" s="88" t="e">
        <f aca="false">IF($C43="","",E43*H43)</f>
        <v>#VALUE!</v>
      </c>
      <c r="G43" s="31" t="n">
        <f aca="false">Swap!AG43</f>
        <v>0.0388624955363848</v>
      </c>
      <c r="H43" s="31" t="n">
        <f aca="false">Swap!AH43</f>
        <v>2.27183442910293</v>
      </c>
      <c r="I43" s="92" t="n">
        <f aca="false">INDEX(expery,MATCH(A43,exprymonth,0),2)</f>
        <v>38132</v>
      </c>
      <c r="J43" s="87" t="n">
        <f aca="false">I43-Front!$C$2</f>
        <v>-7794</v>
      </c>
      <c r="K43" s="8" t="n">
        <f aca="false">Swap!E43</f>
        <v>3.134</v>
      </c>
      <c r="L43" s="8" t="e">
        <f aca="false">IF(C43="","",(PriceSwitch=0)*K43+(PriceSwitch=1)*(Front!$H$21+K43)+(PriceSwitch=2)*Front!$H$21)</f>
        <v>#VALUE!</v>
      </c>
      <c r="M43" s="93" t="n">
        <f aca="false">INDEX(vols,MATCH(A43,volsmonth,0),2)</f>
        <v>0.285</v>
      </c>
      <c r="N43" s="3" t="e">
        <f aca="false">IF(Skew_Switch=0,"",IF($C43="","",(Front!$E$20=0)*M43+(Front!$E$20=1)*(Front!$E$21+M43)+(Front!$E$20=2)*Front!$E$21))</f>
        <v>#VALUE!</v>
      </c>
      <c r="O43" s="94" t="e">
        <f aca="false">IF(Skew_Switch=0,"",IF(C43="","",((calcskew(Call1-$L43,$C43,a,b))/100)))</f>
        <v>#VALUE!</v>
      </c>
      <c r="P43" s="94" t="e">
        <f aca="false">IF(Skew_Switch=0,"",IF(C43="","",((calcskew(Put1-$L43,$C43,a,b))/100)))</f>
        <v>#VALUE!</v>
      </c>
      <c r="Q43" s="94" t="e">
        <f aca="false">IF(Skew_Switch=0,"",IF(C43="","",((calcskew(Call2-$L43,$C43,a,b))/100)))</f>
        <v>#VALUE!</v>
      </c>
      <c r="R43" s="94" t="e">
        <f aca="false">IF(Skew_Switch=0,"",IF(C43="","",((calcskew(Put2-$L43,$C43,a,b))/100)))</f>
        <v>#VALUE!</v>
      </c>
      <c r="S43" s="3" t="e">
        <f aca="false">IF($C43="","",(Front!$C$19=0)*$N43+(Front!$C$19=1)*($N43+O43))</f>
        <v>#VALUE!</v>
      </c>
      <c r="T43" s="3" t="e">
        <f aca="false">IF($C43="","",(Front!$C$19=0)*$N43+(Front!$C$19=1)*($N43+P43))</f>
        <v>#VALUE!</v>
      </c>
      <c r="U43" s="3" t="e">
        <f aca="false">IF($C43="","",(Front!$C$19=0)*$N43+(Front!$C$19=1)*($N43+Q43))</f>
        <v>#VALUE!</v>
      </c>
      <c r="V43" s="3" t="e">
        <f aca="false">IF($C43="","",(Front!$C$19=0)*$N43+(Front!$C$19=1)*($N43+R43))</f>
        <v>#VALUE!</v>
      </c>
      <c r="W43" s="90" t="e">
        <f aca="false">IF($C43="","",xEURO($L43,Call1,$G43,$G43,S43,$J43,1,0))</f>
        <v>#VALUE!</v>
      </c>
      <c r="X43" s="90" t="e">
        <f aca="false">IF($C43="","",xEURO($L43,Put1,$G43,$G43,T43,$J43,0,0))</f>
        <v>#VALUE!</v>
      </c>
      <c r="Y43" s="90" t="e">
        <f aca="false">IF($C43="","",xEURO($L43,Call2,$G43,$G43,U43,$J43,1,0))</f>
        <v>#VALUE!</v>
      </c>
      <c r="Z43" s="90" t="e">
        <f aca="false">IF($C43="","",xEURO($L43,Put2,$G43,$G43,V43,$J43,0,0))</f>
        <v>#VALUE!</v>
      </c>
      <c r="AA43" s="90" t="e">
        <f aca="false">IF($C43="","",xEURO($L43,Call1,$G43,$G43,$S43,$J43,1,1))</f>
        <v>#VALUE!</v>
      </c>
      <c r="AB43" s="90" t="e">
        <f aca="false">IF($C43="","",xEURO($L43,Put1,$G43,$G43,$T43,$J43,0,1))</f>
        <v>#VALUE!</v>
      </c>
      <c r="AC43" s="90" t="e">
        <f aca="false">IF($C43="","",xEURO($L43,Call2,$G43,$G43,$U43,$J43,1,1))</f>
        <v>#VALUE!</v>
      </c>
      <c r="AD43" s="90" t="e">
        <f aca="false">IF($C43="","",xEURO($L43,Put2,$G43,$G43,$V43,$J43,0,1))</f>
        <v>#VALUE!</v>
      </c>
      <c r="AE43" s="90" t="e">
        <f aca="false">IF($C43="","",xEURO($L43,Call1,$G43,$G43,$S43,$J43,1,3))</f>
        <v>#VALUE!</v>
      </c>
      <c r="AF43" s="90" t="e">
        <f aca="false">IF($C43="","",xEURO($L43,Put1,$G43,$G43,$T43,$J43,0,3))</f>
        <v>#VALUE!</v>
      </c>
      <c r="AG43" s="90" t="e">
        <f aca="false">IF($C43="","",xEURO($L43,Call2,$G43,$G43,$U43,$J43,1,3))</f>
        <v>#VALUE!</v>
      </c>
      <c r="AH43" s="90" t="e">
        <f aca="false">IF($C43="","",xEURO($L43,Put2,$G43,$G43,$V43,$J43,0,3))</f>
        <v>#VALUE!</v>
      </c>
      <c r="AI43" s="8" t="e">
        <f aca="false">IF(E43=1,G43,0)</f>
        <v>#VALUE!</v>
      </c>
      <c r="AJ43" s="8" t="e">
        <f aca="false">IF(E43=1,H43,0)</f>
        <v>#VALUE!</v>
      </c>
      <c r="AK43" s="8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91" t="n">
        <f aca="false">Swap!A44</f>
        <v>38169</v>
      </c>
      <c r="B44" s="0" t="n">
        <f aca="false">B43+1</f>
        <v>35</v>
      </c>
      <c r="C44" s="91" t="e">
        <f aca="false">IF(AND(A44&gt;=Front!$E$11,A44&lt;=Front!$E$12),A44,"")</f>
        <v>#VALUE!</v>
      </c>
      <c r="D44" s="87" t="e">
        <f aca="false">Swap!AB44</f>
        <v>#VALUE!</v>
      </c>
      <c r="E44" s="87" t="e">
        <f aca="false">IF($C44="","",1)</f>
        <v>#VALUE!</v>
      </c>
      <c r="F44" s="88" t="e">
        <f aca="false">IF($C44="","",E44*H44)</f>
        <v>#VALUE!</v>
      </c>
      <c r="G44" s="31" t="n">
        <f aca="false">Swap!AG44</f>
        <v>0.0392851046763427</v>
      </c>
      <c r="H44" s="31" t="n">
        <f aca="false">Swap!AH44</f>
        <v>2.28468789621086</v>
      </c>
      <c r="I44" s="92" t="n">
        <f aca="false">INDEX(expery,MATCH(A44,exprymonth,0),2)</f>
        <v>38163</v>
      </c>
      <c r="J44" s="87" t="n">
        <f aca="false">I44-Front!$C$2</f>
        <v>-7763</v>
      </c>
      <c r="K44" s="8" t="n">
        <f aca="false">Swap!E44</f>
        <v>3.184</v>
      </c>
      <c r="L44" s="8" t="e">
        <f aca="false">IF(C44="","",(PriceSwitch=0)*K44+(PriceSwitch=1)*(Front!$H$21+K44)+(PriceSwitch=2)*Front!$H$21)</f>
        <v>#VALUE!</v>
      </c>
      <c r="M44" s="93" t="n">
        <f aca="false">INDEX(vols,MATCH(A44,volsmonth,0),2)</f>
        <v>0.285</v>
      </c>
      <c r="N44" s="3" t="e">
        <f aca="false">IF(Skew_Switch=0,"",IF($C44="","",(Front!$E$20=0)*M44+(Front!$E$20=1)*(Front!$E$21+M44)+(Front!$E$20=2)*Front!$E$21))</f>
        <v>#VALUE!</v>
      </c>
      <c r="O44" s="94" t="e">
        <f aca="false">IF(Skew_Switch=0,"",IF(C44="","",((calcskew(Call1-$L44,$C44,a,b))/100)))</f>
        <v>#VALUE!</v>
      </c>
      <c r="P44" s="94" t="e">
        <f aca="false">IF(Skew_Switch=0,"",IF(C44="","",((calcskew(Put1-$L44,$C44,a,b))/100)))</f>
        <v>#VALUE!</v>
      </c>
      <c r="Q44" s="94" t="e">
        <f aca="false">IF(Skew_Switch=0,"",IF(C44="","",((calcskew(Call2-$L44,$C44,a,b))/100)))</f>
        <v>#VALUE!</v>
      </c>
      <c r="R44" s="94" t="e">
        <f aca="false">IF(Skew_Switch=0,"",IF(C44="","",((calcskew(Put2-$L44,$C44,a,b))/100)))</f>
        <v>#VALUE!</v>
      </c>
      <c r="S44" s="3" t="e">
        <f aca="false">IF($C44="","",(Front!$C$19=0)*$N44+(Front!$C$19=1)*($N44+O44))</f>
        <v>#VALUE!</v>
      </c>
      <c r="T44" s="3" t="e">
        <f aca="false">IF($C44="","",(Front!$C$19=0)*$N44+(Front!$C$19=1)*($N44+P44))</f>
        <v>#VALUE!</v>
      </c>
      <c r="U44" s="3" t="e">
        <f aca="false">IF($C44="","",(Front!$C$19=0)*$N44+(Front!$C$19=1)*($N44+Q44))</f>
        <v>#VALUE!</v>
      </c>
      <c r="V44" s="3" t="e">
        <f aca="false">IF($C44="","",(Front!$C$19=0)*$N44+(Front!$C$19=1)*($N44+R44))</f>
        <v>#VALUE!</v>
      </c>
      <c r="W44" s="90" t="e">
        <f aca="false">IF($C44="","",xEURO($L44,Call1,$G44,$G44,S44,$J44,1,0))</f>
        <v>#VALUE!</v>
      </c>
      <c r="X44" s="90" t="e">
        <f aca="false">IF($C44="","",xEURO($L44,Put1,$G44,$G44,T44,$J44,0,0))</f>
        <v>#VALUE!</v>
      </c>
      <c r="Y44" s="90" t="e">
        <f aca="false">IF($C44="","",xEURO($L44,Call2,$G44,$G44,U44,$J44,1,0))</f>
        <v>#VALUE!</v>
      </c>
      <c r="Z44" s="90" t="e">
        <f aca="false">IF($C44="","",xEURO($L44,Put2,$G44,$G44,V44,$J44,0,0))</f>
        <v>#VALUE!</v>
      </c>
      <c r="AA44" s="90" t="e">
        <f aca="false">IF($C44="","",xEURO($L44,Call1,$G44,$G44,$S44,$J44,1,1))</f>
        <v>#VALUE!</v>
      </c>
      <c r="AB44" s="90" t="e">
        <f aca="false">IF($C44="","",xEURO($L44,Put1,$G44,$G44,$T44,$J44,0,1))</f>
        <v>#VALUE!</v>
      </c>
      <c r="AC44" s="90" t="e">
        <f aca="false">IF($C44="","",xEURO($L44,Call2,$G44,$G44,$U44,$J44,1,1))</f>
        <v>#VALUE!</v>
      </c>
      <c r="AD44" s="90" t="e">
        <f aca="false">IF($C44="","",xEURO($L44,Put2,$G44,$G44,$V44,$J44,0,1))</f>
        <v>#VALUE!</v>
      </c>
      <c r="AE44" s="90" t="e">
        <f aca="false">IF($C44="","",xEURO($L44,Call1,$G44,$G44,$S44,$J44,1,3))</f>
        <v>#VALUE!</v>
      </c>
      <c r="AF44" s="90" t="e">
        <f aca="false">IF($C44="","",xEURO($L44,Put1,$G44,$G44,$T44,$J44,0,3))</f>
        <v>#VALUE!</v>
      </c>
      <c r="AG44" s="90" t="e">
        <f aca="false">IF($C44="","",xEURO($L44,Call2,$G44,$G44,$U44,$J44,1,3))</f>
        <v>#VALUE!</v>
      </c>
      <c r="AH44" s="90" t="e">
        <f aca="false">IF($C44="","",xEURO($L44,Put2,$G44,$G44,$V44,$J44,0,3))</f>
        <v>#VALUE!</v>
      </c>
      <c r="AI44" s="8" t="e">
        <f aca="false">IF(E44=1,G44,0)</f>
        <v>#VALUE!</v>
      </c>
      <c r="AJ44" s="8" t="e">
        <f aca="false">IF(E44=1,H44,0)</f>
        <v>#VALUE!</v>
      </c>
      <c r="AK44" s="8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  <row r="45" customFormat="false" ht="12.75" hidden="false" customHeight="false" outlineLevel="0" collapsed="false">
      <c r="A45" s="91" t="n">
        <f aca="false">Swap!A45</f>
        <v>38200</v>
      </c>
      <c r="B45" s="0" t="n">
        <f aca="false">B44+1</f>
        <v>36</v>
      </c>
      <c r="C45" s="91" t="e">
        <f aca="false">IF(AND(A45&gt;=Front!$E$11,A45&lt;=Front!$E$12),A45,"")</f>
        <v>#VALUE!</v>
      </c>
      <c r="D45" s="87" t="e">
        <f aca="false">Swap!AB45</f>
        <v>#VALUE!</v>
      </c>
      <c r="E45" s="87" t="e">
        <f aca="false">IF($C45="","",1)</f>
        <v>#VALUE!</v>
      </c>
      <c r="F45" s="88" t="e">
        <f aca="false">IF($C45="","",E45*H45)</f>
        <v>#VALUE!</v>
      </c>
      <c r="G45" s="31" t="n">
        <f aca="false">Swap!AG45</f>
        <v>0.0397025735186389</v>
      </c>
      <c r="H45" s="31" t="n">
        <f aca="false">Swap!AH45</f>
        <v>2.29696125980193</v>
      </c>
      <c r="I45" s="92" t="n">
        <f aca="false">INDEX(expery,MATCH(A45,exprymonth,0),2)</f>
        <v>38195</v>
      </c>
      <c r="J45" s="87" t="n">
        <f aca="false">I45-Front!$C$2</f>
        <v>-7731</v>
      </c>
      <c r="K45" s="8" t="n">
        <f aca="false">Swap!E45</f>
        <v>3.218</v>
      </c>
      <c r="L45" s="8" t="e">
        <f aca="false">IF(C45="","",(PriceSwitch=0)*K45+(PriceSwitch=1)*(Front!$H$21+K45)+(PriceSwitch=2)*Front!$H$21)</f>
        <v>#VALUE!</v>
      </c>
      <c r="M45" s="93" t="n">
        <f aca="false">INDEX(vols,MATCH(A45,volsmonth,0),2)</f>
        <v>0.285</v>
      </c>
      <c r="N45" s="3" t="e">
        <f aca="false">IF(Skew_Switch=0,"",IF($C45="","",(Front!$E$20=0)*M45+(Front!$E$20=1)*(Front!$E$21+M45)+(Front!$E$20=2)*Front!$E$21))</f>
        <v>#VALUE!</v>
      </c>
      <c r="O45" s="94" t="e">
        <f aca="false">IF(Skew_Switch=0,"",IF(C45="","",((calcskew(Call1-$L45,$C45,a,b))/100)))</f>
        <v>#VALUE!</v>
      </c>
      <c r="P45" s="94" t="e">
        <f aca="false">IF(Skew_Switch=0,"",IF(C45="","",((calcskew(Put1-$L45,$C45,a,b))/100)))</f>
        <v>#VALUE!</v>
      </c>
      <c r="Q45" s="94" t="e">
        <f aca="false">IF(Skew_Switch=0,"",IF(C45="","",((calcskew(Call2-$L45,$C45,a,b))/100)))</f>
        <v>#VALUE!</v>
      </c>
      <c r="R45" s="94" t="e">
        <f aca="false">IF(Skew_Switch=0,"",IF(C45="","",((calcskew(Put2-$L45,$C45,a,b))/100)))</f>
        <v>#VALUE!</v>
      </c>
      <c r="S45" s="3" t="e">
        <f aca="false">IF($C45="","",(Front!$C$19=0)*$N45+(Front!$C$19=1)*($N45+O45))</f>
        <v>#VALUE!</v>
      </c>
      <c r="T45" s="3" t="e">
        <f aca="false">IF($C45="","",(Front!$C$19=0)*$N45+(Front!$C$19=1)*($N45+P45))</f>
        <v>#VALUE!</v>
      </c>
      <c r="U45" s="3" t="e">
        <f aca="false">IF($C45="","",(Front!$C$19=0)*$N45+(Front!$C$19=1)*($N45+Q45))</f>
        <v>#VALUE!</v>
      </c>
      <c r="V45" s="3" t="e">
        <f aca="false">IF($C45="","",(Front!$C$19=0)*$N45+(Front!$C$19=1)*($N45+R45))</f>
        <v>#VALUE!</v>
      </c>
      <c r="W45" s="90" t="e">
        <f aca="false">IF($C45="","",xEURO($L45,Call1,$G45,$G45,S45,$J45,1,0))</f>
        <v>#VALUE!</v>
      </c>
      <c r="X45" s="90" t="e">
        <f aca="false">IF($C45="","",xEURO($L45,Put1,$G45,$G45,T45,$J45,0,0))</f>
        <v>#VALUE!</v>
      </c>
      <c r="Y45" s="90" t="e">
        <f aca="false">IF($C45="","",xEURO($L45,Call2,$G45,$G45,U45,$J45,1,0))</f>
        <v>#VALUE!</v>
      </c>
      <c r="Z45" s="90" t="e">
        <f aca="false">IF($C45="","",xEURO($L45,Put2,$G45,$G45,V45,$J45,0,0))</f>
        <v>#VALUE!</v>
      </c>
      <c r="AA45" s="90" t="e">
        <f aca="false">IF($C45="","",xEURO($L45,Call1,$G45,$G45,$S45,$J45,1,1))</f>
        <v>#VALUE!</v>
      </c>
      <c r="AB45" s="90" t="e">
        <f aca="false">IF($C45="","",xEURO($L45,Put1,$G45,$G45,$T45,$J45,0,1))</f>
        <v>#VALUE!</v>
      </c>
      <c r="AC45" s="90" t="e">
        <f aca="false">IF($C45="","",xEURO($L45,Call2,$G45,$G45,$U45,$J45,1,1))</f>
        <v>#VALUE!</v>
      </c>
      <c r="AD45" s="90" t="e">
        <f aca="false">IF($C45="","",xEURO($L45,Put2,$G45,$G45,$V45,$J45,0,1))</f>
        <v>#VALUE!</v>
      </c>
      <c r="AE45" s="90" t="e">
        <f aca="false">IF($C45="","",xEURO($L45,Call1,$G45,$G45,$S45,$J45,1,3))</f>
        <v>#VALUE!</v>
      </c>
      <c r="AF45" s="90" t="e">
        <f aca="false">IF($C45="","",xEURO($L45,Put1,$G45,$G45,$T45,$J45,0,3))</f>
        <v>#VALUE!</v>
      </c>
      <c r="AG45" s="90" t="e">
        <f aca="false">IF($C45="","",xEURO($L45,Call2,$G45,$G45,$U45,$J45,1,3))</f>
        <v>#VALUE!</v>
      </c>
      <c r="AH45" s="90" t="e">
        <f aca="false">IF($C45="","",xEURO($L45,Put2,$G45,$G45,$V45,$J45,0,3))</f>
        <v>#VALUE!</v>
      </c>
      <c r="AI45" s="8" t="e">
        <f aca="false">IF(E45=1,G45,0)</f>
        <v>#VALUE!</v>
      </c>
      <c r="AJ45" s="8" t="e">
        <f aca="false">IF(E45=1,H45,0)</f>
        <v>#VALUE!</v>
      </c>
      <c r="AK45" s="8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</row>
    <row r="46" customFormat="false" ht="12.75" hidden="false" customHeight="false" outlineLevel="0" collapsed="false">
      <c r="A46" s="91" t="n">
        <f aca="false">Swap!A46</f>
        <v>38231</v>
      </c>
      <c r="B46" s="0" t="n">
        <f aca="false">B45+1</f>
        <v>37</v>
      </c>
      <c r="C46" s="91" t="e">
        <f aca="false">IF(AND(A46&gt;=Front!$E$11,A46&lt;=Front!$E$12),A46,"")</f>
        <v>#VALUE!</v>
      </c>
      <c r="D46" s="87" t="e">
        <f aca="false">Swap!AB46</f>
        <v>#VALUE!</v>
      </c>
      <c r="E46" s="87" t="e">
        <f aca="false">IF($C46="","",1)</f>
        <v>#VALUE!</v>
      </c>
      <c r="F46" s="88" t="e">
        <f aca="false">IF($C46="","",E46*H46)</f>
        <v>#VALUE!</v>
      </c>
      <c r="G46" s="31" t="n">
        <f aca="false">Swap!AG46</f>
        <v>0.0401200424194181</v>
      </c>
      <c r="H46" s="31" t="n">
        <f aca="false">Swap!AH46</f>
        <v>2.30913601128304</v>
      </c>
      <c r="I46" s="92" t="n">
        <f aca="false">INDEX(expery,MATCH(A46,exprymonth,0),2)</f>
        <v>38225</v>
      </c>
      <c r="J46" s="87" t="n">
        <f aca="false">I46-Front!$C$2</f>
        <v>-7701</v>
      </c>
      <c r="K46" s="8" t="n">
        <f aca="false">Swap!E46</f>
        <v>3.231</v>
      </c>
      <c r="L46" s="8" t="e">
        <f aca="false">IF(C46="","",(PriceSwitch=0)*K46+(PriceSwitch=1)*(Front!$H$21+K46)+(PriceSwitch=2)*Front!$H$21)</f>
        <v>#VALUE!</v>
      </c>
      <c r="M46" s="93" t="n">
        <f aca="false">INDEX(vols,MATCH(A46,volsmonth,0),2)</f>
        <v>0.2875</v>
      </c>
      <c r="N46" s="3" t="e">
        <f aca="false">IF(Skew_Switch=0,"",IF($C46="","",(Front!$E$20=0)*M46+(Front!$E$20=1)*(Front!$E$21+M46)+(Front!$E$20=2)*Front!$E$21))</f>
        <v>#VALUE!</v>
      </c>
      <c r="O46" s="94" t="e">
        <f aca="false">IF(Skew_Switch=0,"",IF(C46="","",((calcskew(Call1-$L46,$C46,a,b))/100)))</f>
        <v>#VALUE!</v>
      </c>
      <c r="P46" s="94" t="e">
        <f aca="false">IF(Skew_Switch=0,"",IF(C46="","",((calcskew(Put1-$L46,$C46,a,b))/100)))</f>
        <v>#VALUE!</v>
      </c>
      <c r="Q46" s="94" t="e">
        <f aca="false">IF(Skew_Switch=0,"",IF(C46="","",((calcskew(Call2-$L46,$C46,a,b))/100)))</f>
        <v>#VALUE!</v>
      </c>
      <c r="R46" s="94" t="e">
        <f aca="false">IF(Skew_Switch=0,"",IF(C46="","",((calcskew(Put2-$L46,$C46,a,b))/100)))</f>
        <v>#VALUE!</v>
      </c>
      <c r="S46" s="3" t="e">
        <f aca="false">IF($C46="","",(Front!$C$19=0)*$N46+(Front!$C$19=1)*($N46+O46))</f>
        <v>#VALUE!</v>
      </c>
      <c r="T46" s="3" t="e">
        <f aca="false">IF($C46="","",(Front!$C$19=0)*$N46+(Front!$C$19=1)*($N46+P46))</f>
        <v>#VALUE!</v>
      </c>
      <c r="U46" s="3" t="e">
        <f aca="false">IF($C46="","",(Front!$C$19=0)*$N46+(Front!$C$19=1)*($N46+Q46))</f>
        <v>#VALUE!</v>
      </c>
      <c r="V46" s="3" t="e">
        <f aca="false">IF($C46="","",(Front!$C$19=0)*$N46+(Front!$C$19=1)*($N46+R46))</f>
        <v>#VALUE!</v>
      </c>
      <c r="W46" s="90" t="e">
        <f aca="false">IF($C46="","",xEURO($L46,Call1,$G46,$G46,S46,$J46,1,0))</f>
        <v>#VALUE!</v>
      </c>
      <c r="X46" s="90" t="e">
        <f aca="false">IF($C46="","",xEURO($L46,Put1,$G46,$G46,T46,$J46,0,0))</f>
        <v>#VALUE!</v>
      </c>
      <c r="Y46" s="90" t="e">
        <f aca="false">IF($C46="","",xEURO($L46,Call2,$G46,$G46,U46,$J46,1,0))</f>
        <v>#VALUE!</v>
      </c>
      <c r="Z46" s="90" t="e">
        <f aca="false">IF($C46="","",xEURO($L46,Put2,$G46,$G46,V46,$J46,0,0))</f>
        <v>#VALUE!</v>
      </c>
      <c r="AA46" s="90" t="e">
        <f aca="false">IF($C46="","",xEURO($L46,Call1,$G46,$G46,$S46,$J46,1,1))</f>
        <v>#VALUE!</v>
      </c>
      <c r="AB46" s="90" t="e">
        <f aca="false">IF($C46="","",xEURO($L46,Put1,$G46,$G46,$T46,$J46,0,1))</f>
        <v>#VALUE!</v>
      </c>
      <c r="AC46" s="90" t="e">
        <f aca="false">IF($C46="","",xEURO($L46,Call2,$G46,$G46,$U46,$J46,1,1))</f>
        <v>#VALUE!</v>
      </c>
      <c r="AD46" s="90" t="e">
        <f aca="false">IF($C46="","",xEURO($L46,Put2,$G46,$G46,$V46,$J46,0,1))</f>
        <v>#VALUE!</v>
      </c>
      <c r="AE46" s="90" t="e">
        <f aca="false">IF($C46="","",xEURO($L46,Call1,$G46,$G46,$S46,$J46,1,3))</f>
        <v>#VALUE!</v>
      </c>
      <c r="AF46" s="90" t="e">
        <f aca="false">IF($C46="","",xEURO($L46,Put1,$G46,$G46,$T46,$J46,0,3))</f>
        <v>#VALUE!</v>
      </c>
      <c r="AG46" s="90" t="e">
        <f aca="false">IF($C46="","",xEURO($L46,Call2,$G46,$G46,$U46,$J46,1,3))</f>
        <v>#VALUE!</v>
      </c>
      <c r="AH46" s="90" t="e">
        <f aca="false">IF($C46="","",xEURO($L46,Put2,$G46,$G46,$V46,$J46,0,3))</f>
        <v>#VALUE!</v>
      </c>
      <c r="AI46" s="8" t="e">
        <f aca="false">IF(E46=1,G46,0)</f>
        <v>#VALUE!</v>
      </c>
      <c r="AJ46" s="8" t="e">
        <f aca="false">IF(E46=1,H46,0)</f>
        <v>#VALUE!</v>
      </c>
      <c r="AK46" s="8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</row>
    <row r="47" customFormat="false" ht="12.75" hidden="false" customHeight="false" outlineLevel="0" collapsed="false">
      <c r="A47" s="91" t="n">
        <f aca="false">Swap!A47</f>
        <v>38261</v>
      </c>
      <c r="B47" s="0" t="n">
        <f aca="false">B46+1</f>
        <v>38</v>
      </c>
      <c r="C47" s="91" t="e">
        <f aca="false">IF(AND(A47&gt;=Front!$E$11,A47&lt;=Front!$E$12),A47,"")</f>
        <v>#VALUE!</v>
      </c>
      <c r="D47" s="87" t="e">
        <f aca="false">Swap!AB47</f>
        <v>#VALUE!</v>
      </c>
      <c r="E47" s="87" t="e">
        <f aca="false">IF($C47="","",1)</f>
        <v>#VALUE!</v>
      </c>
      <c r="F47" s="88" t="e">
        <f aca="false">IF($C47="","",E47*H47)</f>
        <v>#VALUE!</v>
      </c>
      <c r="G47" s="31" t="n">
        <f aca="false">Swap!AG47</f>
        <v>0.0405070341857994</v>
      </c>
      <c r="H47" s="31" t="n">
        <f aca="false">Swap!AH47</f>
        <v>2.32001017074728</v>
      </c>
      <c r="I47" s="92" t="n">
        <f aca="false">INDEX(expery,MATCH(A47,exprymonth,0),2)</f>
        <v>38257</v>
      </c>
      <c r="J47" s="87" t="n">
        <f aca="false">I47-Front!$C$2</f>
        <v>-7669</v>
      </c>
      <c r="K47" s="8" t="n">
        <f aca="false">Swap!E47</f>
        <v>3.223</v>
      </c>
      <c r="L47" s="8" t="e">
        <f aca="false">IF(C47="","",(PriceSwitch=0)*K47+(PriceSwitch=1)*(Front!$H$21+K47)+(PriceSwitch=2)*Front!$H$21)</f>
        <v>#VALUE!</v>
      </c>
      <c r="M47" s="93" t="n">
        <f aca="false">INDEX(vols,MATCH(A47,volsmonth,0),2)</f>
        <v>0.2875</v>
      </c>
      <c r="N47" s="3" t="e">
        <f aca="false">IF(Skew_Switch=0,"",IF($C47="","",(Front!$E$20=0)*M47+(Front!$E$20=1)*(Front!$E$21+M47)+(Front!$E$20=2)*Front!$E$21))</f>
        <v>#VALUE!</v>
      </c>
      <c r="O47" s="94" t="e">
        <f aca="false">IF(Skew_Switch=0,"",IF(C47="","",((calcskew(Call1-$L47,$C47,a,b))/100)))</f>
        <v>#VALUE!</v>
      </c>
      <c r="P47" s="94" t="e">
        <f aca="false">IF(Skew_Switch=0,"",IF(C47="","",((calcskew(Put1-$L47,$C47,a,b))/100)))</f>
        <v>#VALUE!</v>
      </c>
      <c r="Q47" s="94" t="e">
        <f aca="false">IF(Skew_Switch=0,"",IF(C47="","",((calcskew(Call2-$L47,$C47,a,b))/100)))</f>
        <v>#VALUE!</v>
      </c>
      <c r="R47" s="94" t="e">
        <f aca="false">IF(Skew_Switch=0,"",IF(C47="","",((calcskew(Put2-$L47,$C47,a,b))/100)))</f>
        <v>#VALUE!</v>
      </c>
      <c r="S47" s="3" t="e">
        <f aca="false">IF($C47="","",(Front!$C$19=0)*$N47+(Front!$C$19=1)*($N47+O47))</f>
        <v>#VALUE!</v>
      </c>
      <c r="T47" s="3" t="e">
        <f aca="false">IF($C47="","",(Front!$C$19=0)*$N47+(Front!$C$19=1)*($N47+P47))</f>
        <v>#VALUE!</v>
      </c>
      <c r="U47" s="3" t="e">
        <f aca="false">IF($C47="","",(Front!$C$19=0)*$N47+(Front!$C$19=1)*($N47+Q47))</f>
        <v>#VALUE!</v>
      </c>
      <c r="V47" s="3" t="e">
        <f aca="false">IF($C47="","",(Front!$C$19=0)*$N47+(Front!$C$19=1)*($N47+R47))</f>
        <v>#VALUE!</v>
      </c>
      <c r="W47" s="90" t="e">
        <f aca="false">IF($C47="","",xEURO($L47,Call1,$G47,$G47,S47,$J47,1,0))</f>
        <v>#VALUE!</v>
      </c>
      <c r="X47" s="90" t="e">
        <f aca="false">IF($C47="","",xEURO($L47,Put1,$G47,$G47,T47,$J47,0,0))</f>
        <v>#VALUE!</v>
      </c>
      <c r="Y47" s="90" t="e">
        <f aca="false">IF($C47="","",xEURO($L47,Call2,$G47,$G47,U47,$J47,1,0))</f>
        <v>#VALUE!</v>
      </c>
      <c r="Z47" s="90" t="e">
        <f aca="false">IF($C47="","",xEURO($L47,Put2,$G47,$G47,V47,$J47,0,0))</f>
        <v>#VALUE!</v>
      </c>
      <c r="AA47" s="90" t="e">
        <f aca="false">IF($C47="","",xEURO($L47,Call1,$G47,$G47,$S47,$J47,1,1))</f>
        <v>#VALUE!</v>
      </c>
      <c r="AB47" s="90" t="e">
        <f aca="false">IF($C47="","",xEURO($L47,Put1,$G47,$G47,$T47,$J47,0,1))</f>
        <v>#VALUE!</v>
      </c>
      <c r="AC47" s="90" t="e">
        <f aca="false">IF($C47="","",xEURO($L47,Call2,$G47,$G47,$U47,$J47,1,1))</f>
        <v>#VALUE!</v>
      </c>
      <c r="AD47" s="90" t="e">
        <f aca="false">IF($C47="","",xEURO($L47,Put2,$G47,$G47,$V47,$J47,0,1))</f>
        <v>#VALUE!</v>
      </c>
      <c r="AE47" s="90" t="e">
        <f aca="false">IF($C47="","",xEURO($L47,Call1,$G47,$G47,$S47,$J47,1,3))</f>
        <v>#VALUE!</v>
      </c>
      <c r="AF47" s="90" t="e">
        <f aca="false">IF($C47="","",xEURO($L47,Put1,$G47,$G47,$T47,$J47,0,3))</f>
        <v>#VALUE!</v>
      </c>
      <c r="AG47" s="90" t="e">
        <f aca="false">IF($C47="","",xEURO($L47,Call2,$G47,$G47,$U47,$J47,1,3))</f>
        <v>#VALUE!</v>
      </c>
      <c r="AH47" s="90" t="e">
        <f aca="false">IF($C47="","",xEURO($L47,Put2,$G47,$G47,$V47,$J47,0,3))</f>
        <v>#VALUE!</v>
      </c>
      <c r="AI47" s="8" t="e">
        <f aca="false">IF(E47=1,G47,0)</f>
        <v>#VALUE!</v>
      </c>
      <c r="AJ47" s="8" t="e">
        <f aca="false">IF(E47=1,H47,0)</f>
        <v>#VALUE!</v>
      </c>
      <c r="AK47" s="8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</row>
    <row r="48" customFormat="false" ht="12.75" hidden="false" customHeight="false" outlineLevel="0" collapsed="false">
      <c r="A48" s="91" t="n">
        <f aca="false">Swap!A48</f>
        <v>38292</v>
      </c>
      <c r="B48" s="0" t="n">
        <f aca="false">B47+1</f>
        <v>39</v>
      </c>
      <c r="C48" s="91" t="e">
        <f aca="false">IF(AND(A48&gt;=Front!$E$11,A48&lt;=Front!$E$12),A48,"")</f>
        <v>#VALUE!</v>
      </c>
      <c r="D48" s="87" t="e">
        <f aca="false">Swap!AB48</f>
        <v>#VALUE!</v>
      </c>
      <c r="E48" s="87" t="e">
        <f aca="false">IF($C48="","",1)</f>
        <v>#VALUE!</v>
      </c>
      <c r="F48" s="88" t="e">
        <f aca="false">IF($C48="","",E48*H48)</f>
        <v>#VALUE!</v>
      </c>
      <c r="G48" s="31" t="n">
        <f aca="false">Swap!AG48</f>
        <v>0.0408905733660889</v>
      </c>
      <c r="H48" s="31" t="n">
        <f aca="false">Swap!AH48</f>
        <v>2.33036367310492</v>
      </c>
      <c r="I48" s="92" t="n">
        <f aca="false">INDEX(expery,MATCH(A48,exprymonth,0),2)</f>
        <v>38286</v>
      </c>
      <c r="J48" s="87" t="n">
        <f aca="false">I48-Front!$C$2</f>
        <v>-7640</v>
      </c>
      <c r="K48" s="8" t="n">
        <f aca="false">Swap!E48</f>
        <v>3.393</v>
      </c>
      <c r="L48" s="8" t="e">
        <f aca="false">IF(C48="","",(PriceSwitch=0)*K48+(PriceSwitch=1)*(Front!$H$21+K48)+(PriceSwitch=2)*Front!$H$21)</f>
        <v>#VALUE!</v>
      </c>
      <c r="M48" s="93" t="n">
        <f aca="false">INDEX(vols,MATCH(A48,volsmonth,0),2)</f>
        <v>0.285</v>
      </c>
      <c r="N48" s="3" t="e">
        <f aca="false">IF(Skew_Switch=0,"",IF($C48="","",(Front!$E$20=0)*M48+(Front!$E$20=1)*(Front!$E$21+M48)+(Front!$E$20=2)*Front!$E$21))</f>
        <v>#VALUE!</v>
      </c>
      <c r="O48" s="94" t="e">
        <f aca="false">IF(Skew_Switch=0,"",IF(C48="","",((calcskew(Call1-$L48,$C48,a,b))/100)))</f>
        <v>#VALUE!</v>
      </c>
      <c r="P48" s="94" t="e">
        <f aca="false">IF(Skew_Switch=0,"",IF(C48="","",((calcskew(Put1-$L48,$C48,a,b))/100)))</f>
        <v>#VALUE!</v>
      </c>
      <c r="Q48" s="94" t="e">
        <f aca="false">IF(Skew_Switch=0,"",IF(C48="","",((calcskew(Call2-$L48,$C48,a,b))/100)))</f>
        <v>#VALUE!</v>
      </c>
      <c r="R48" s="94" t="e">
        <f aca="false">IF(Skew_Switch=0,"",IF(C48="","",((calcskew(Put2-$L48,$C48,a,b))/100)))</f>
        <v>#VALUE!</v>
      </c>
      <c r="S48" s="3" t="e">
        <f aca="false">IF($C48="","",(Front!$C$19=0)*$N48+(Front!$C$19=1)*($N48+O48))</f>
        <v>#VALUE!</v>
      </c>
      <c r="T48" s="3" t="e">
        <f aca="false">IF($C48="","",(Front!$C$19=0)*$N48+(Front!$C$19=1)*($N48+P48))</f>
        <v>#VALUE!</v>
      </c>
      <c r="U48" s="3" t="e">
        <f aca="false">IF($C48="","",(Front!$C$19=0)*$N48+(Front!$C$19=1)*($N48+Q48))</f>
        <v>#VALUE!</v>
      </c>
      <c r="V48" s="3" t="e">
        <f aca="false">IF($C48="","",(Front!$C$19=0)*$N48+(Front!$C$19=1)*($N48+R48))</f>
        <v>#VALUE!</v>
      </c>
      <c r="W48" s="90" t="e">
        <f aca="false">IF($C48="","",xEURO($L48,Call1,$G48,$G48,S48,$J48,1,0))</f>
        <v>#VALUE!</v>
      </c>
      <c r="X48" s="90" t="e">
        <f aca="false">IF($C48="","",xEURO($L48,Put1,$G48,$G48,T48,$J48,0,0))</f>
        <v>#VALUE!</v>
      </c>
      <c r="Y48" s="90" t="e">
        <f aca="false">IF($C48="","",xEURO($L48,Call2,$G48,$G48,U48,$J48,1,0))</f>
        <v>#VALUE!</v>
      </c>
      <c r="Z48" s="90" t="e">
        <f aca="false">IF($C48="","",xEURO($L48,Put2,$G48,$G48,V48,$J48,0,0))</f>
        <v>#VALUE!</v>
      </c>
      <c r="AA48" s="90" t="e">
        <f aca="false">IF($C48="","",xEURO($L48,Call1,$G48,$G48,$S48,$J48,1,1))</f>
        <v>#VALUE!</v>
      </c>
      <c r="AB48" s="90" t="e">
        <f aca="false">IF($C48="","",xEURO($L48,Put1,$G48,$G48,$T48,$J48,0,1))</f>
        <v>#VALUE!</v>
      </c>
      <c r="AC48" s="90" t="e">
        <f aca="false">IF($C48="","",xEURO($L48,Call2,$G48,$G48,$U48,$J48,1,1))</f>
        <v>#VALUE!</v>
      </c>
      <c r="AD48" s="90" t="e">
        <f aca="false">IF($C48="","",xEURO($L48,Put2,$G48,$G48,$V48,$J48,0,1))</f>
        <v>#VALUE!</v>
      </c>
      <c r="AE48" s="90" t="e">
        <f aca="false">IF($C48="","",xEURO($L48,Call1,$G48,$G48,$S48,$J48,1,3))</f>
        <v>#VALUE!</v>
      </c>
      <c r="AF48" s="90" t="e">
        <f aca="false">IF($C48="","",xEURO($L48,Put1,$G48,$G48,$T48,$J48,0,3))</f>
        <v>#VALUE!</v>
      </c>
      <c r="AG48" s="90" t="e">
        <f aca="false">IF($C48="","",xEURO($L48,Call2,$G48,$G48,$U48,$J48,1,3))</f>
        <v>#VALUE!</v>
      </c>
      <c r="AH48" s="90" t="e">
        <f aca="false">IF($C48="","",xEURO($L48,Put2,$G48,$G48,$V48,$J48,0,3))</f>
        <v>#VALUE!</v>
      </c>
      <c r="AI48" s="8" t="e">
        <f aca="false">IF(E48=1,G48,0)</f>
        <v>#VALUE!</v>
      </c>
      <c r="AJ48" s="8" t="e">
        <f aca="false">IF(E48=1,H48,0)</f>
        <v>#VALUE!</v>
      </c>
      <c r="AK48" s="8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</row>
    <row r="49" customFormat="false" ht="12.75" hidden="false" customHeight="false" outlineLevel="0" collapsed="false">
      <c r="A49" s="91" t="n">
        <f aca="false">Swap!A49</f>
        <v>38322</v>
      </c>
      <c r="B49" s="0" t="n">
        <f aca="false">B48+1</f>
        <v>40</v>
      </c>
      <c r="C49" s="91" t="e">
        <f aca="false">IF(AND(A49&gt;=Front!$E$11,A49&lt;=Front!$E$12),A49,"")</f>
        <v>#VALUE!</v>
      </c>
      <c r="D49" s="87" t="e">
        <f aca="false">Swap!AB49</f>
        <v>#VALUE!</v>
      </c>
      <c r="E49" s="87" t="e">
        <f aca="false">IF($C49="","",1)</f>
        <v>#VALUE!</v>
      </c>
      <c r="F49" s="88" t="e">
        <f aca="false">IF($C49="","",E49*H49)</f>
        <v>#VALUE!</v>
      </c>
      <c r="G49" s="31" t="n">
        <f aca="false">Swap!AG49</f>
        <v>0.0412617403617297</v>
      </c>
      <c r="H49" s="31" t="n">
        <f aca="false">Swap!AH49</f>
        <v>2.34028172675923</v>
      </c>
      <c r="I49" s="92" t="n">
        <f aca="false">INDEX(expery,MATCH(A49,exprymonth,0),2)</f>
        <v>38315</v>
      </c>
      <c r="J49" s="87" t="n">
        <f aca="false">I49-Front!$C$2</f>
        <v>-7611</v>
      </c>
      <c r="K49" s="8" t="n">
        <f aca="false">Swap!E49</f>
        <v>3.568</v>
      </c>
      <c r="L49" s="8" t="e">
        <f aca="false">IF(C49="","",(PriceSwitch=0)*K49+(PriceSwitch=1)*(Front!$H$21+K49)+(PriceSwitch=2)*Front!$H$21)</f>
        <v>#VALUE!</v>
      </c>
      <c r="M49" s="93" t="n">
        <f aca="false">INDEX(vols,MATCH(A49,volsmonth,0),2)</f>
        <v>0.2825</v>
      </c>
      <c r="N49" s="3" t="e">
        <f aca="false">IF(Skew_Switch=0,"",IF($C49="","",(Front!$E$20=0)*M49+(Front!$E$20=1)*(Front!$E$21+M49)+(Front!$E$20=2)*Front!$E$21))</f>
        <v>#VALUE!</v>
      </c>
      <c r="O49" s="94" t="e">
        <f aca="false">IF(Skew_Switch=0,"",IF(C49="","",((calcskew(Call1-$L49,$C49,a,b))/100)))</f>
        <v>#VALUE!</v>
      </c>
      <c r="P49" s="94" t="e">
        <f aca="false">IF(Skew_Switch=0,"",IF(C49="","",((calcskew(Put1-$L49,$C49,a,b))/100)))</f>
        <v>#VALUE!</v>
      </c>
      <c r="Q49" s="94" t="e">
        <f aca="false">IF(Skew_Switch=0,"",IF(C49="","",((calcskew(Call2-$L49,$C49,a,b))/100)))</f>
        <v>#VALUE!</v>
      </c>
      <c r="R49" s="94" t="e">
        <f aca="false">IF(Skew_Switch=0,"",IF(C49="","",((calcskew(Put2-$L49,$C49,a,b))/100)))</f>
        <v>#VALUE!</v>
      </c>
      <c r="S49" s="3" t="e">
        <f aca="false">IF($C49="","",(Front!$C$19=0)*$N49+(Front!$C$19=1)*($N49+O49))</f>
        <v>#VALUE!</v>
      </c>
      <c r="T49" s="3" t="e">
        <f aca="false">IF($C49="","",(Front!$C$19=0)*$N49+(Front!$C$19=1)*($N49+P49))</f>
        <v>#VALUE!</v>
      </c>
      <c r="U49" s="3" t="e">
        <f aca="false">IF($C49="","",(Front!$C$19=0)*$N49+(Front!$C$19=1)*($N49+Q49))</f>
        <v>#VALUE!</v>
      </c>
      <c r="V49" s="3" t="e">
        <f aca="false">IF($C49="","",(Front!$C$19=0)*$N49+(Front!$C$19=1)*($N49+R49))</f>
        <v>#VALUE!</v>
      </c>
      <c r="W49" s="90" t="e">
        <f aca="false">IF($C49="","",xEURO($L49,Call1,$G49,$G49,S49,$J49,1,0))</f>
        <v>#VALUE!</v>
      </c>
      <c r="X49" s="90" t="e">
        <f aca="false">IF($C49="","",xEURO($L49,Put1,$G49,$G49,T49,$J49,0,0))</f>
        <v>#VALUE!</v>
      </c>
      <c r="Y49" s="90" t="e">
        <f aca="false">IF($C49="","",xEURO($L49,Call2,$G49,$G49,U49,$J49,1,0))</f>
        <v>#VALUE!</v>
      </c>
      <c r="Z49" s="90" t="e">
        <f aca="false">IF($C49="","",xEURO($L49,Put2,$G49,$G49,V49,$J49,0,0))</f>
        <v>#VALUE!</v>
      </c>
      <c r="AA49" s="90" t="e">
        <f aca="false">IF($C49="","",xEURO($L49,Call1,$G49,$G49,$S49,$J49,1,1))</f>
        <v>#VALUE!</v>
      </c>
      <c r="AB49" s="90" t="e">
        <f aca="false">IF($C49="","",xEURO($L49,Put1,$G49,$G49,$T49,$J49,0,1))</f>
        <v>#VALUE!</v>
      </c>
      <c r="AC49" s="90" t="e">
        <f aca="false">IF($C49="","",xEURO($L49,Call2,$G49,$G49,$U49,$J49,1,1))</f>
        <v>#VALUE!</v>
      </c>
      <c r="AD49" s="90" t="e">
        <f aca="false">IF($C49="","",xEURO($L49,Put2,$G49,$G49,$V49,$J49,0,1))</f>
        <v>#VALUE!</v>
      </c>
      <c r="AE49" s="90" t="e">
        <f aca="false">IF($C49="","",xEURO($L49,Call1,$G49,$G49,$S49,$J49,1,3))</f>
        <v>#VALUE!</v>
      </c>
      <c r="AF49" s="90" t="e">
        <f aca="false">IF($C49="","",xEURO($L49,Put1,$G49,$G49,$T49,$J49,0,3))</f>
        <v>#VALUE!</v>
      </c>
      <c r="AG49" s="90" t="e">
        <f aca="false">IF($C49="","",xEURO($L49,Call2,$G49,$G49,$U49,$J49,1,3))</f>
        <v>#VALUE!</v>
      </c>
      <c r="AH49" s="90" t="e">
        <f aca="false">IF($C49="","",xEURO($L49,Put2,$G49,$G49,$V49,$J49,0,3))</f>
        <v>#VALUE!</v>
      </c>
      <c r="AI49" s="8" t="e">
        <f aca="false">IF(E49=1,G49,0)</f>
        <v>#VALUE!</v>
      </c>
      <c r="AJ49" s="8" t="e">
        <f aca="false">IF(E49=1,H49,0)</f>
        <v>#VALUE!</v>
      </c>
      <c r="AK49" s="8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</row>
    <row r="50" customFormat="false" ht="12.75" hidden="false" customHeight="false" outlineLevel="0" collapsed="false">
      <c r="A50" s="91" t="n">
        <f aca="false">Swap!A50</f>
        <v>38353</v>
      </c>
      <c r="B50" s="0" t="n">
        <f aca="false">B49+1</f>
        <v>41</v>
      </c>
      <c r="C50" s="91" t="e">
        <f aca="false">IF(AND(A50&gt;=Front!$E$11,A50&lt;=Front!$E$12),A50,"")</f>
        <v>#VALUE!</v>
      </c>
      <c r="D50" s="87" t="e">
        <f aca="false">Swap!AB50</f>
        <v>#VALUE!</v>
      </c>
      <c r="E50" s="87" t="e">
        <f aca="false">IF($C50="","",1)</f>
        <v>#VALUE!</v>
      </c>
      <c r="F50" s="88" t="e">
        <f aca="false">IF($C50="","",E50*H50)</f>
        <v>#VALUE!</v>
      </c>
      <c r="G50" s="31" t="n">
        <f aca="false">Swap!AG50</f>
        <v>0.0416369991837109</v>
      </c>
      <c r="H50" s="31" t="n">
        <f aca="false">Swap!AH50</f>
        <v>2.35002854796641</v>
      </c>
      <c r="I50" s="92" t="n">
        <f aca="false">INDEX(expery,MATCH(A50,exprymonth,0),2)</f>
        <v>38348</v>
      </c>
      <c r="J50" s="87" t="n">
        <f aca="false">I50-Front!$C$2</f>
        <v>-7578</v>
      </c>
      <c r="K50" s="8" t="n">
        <f aca="false">Swap!E50</f>
        <v>3.603</v>
      </c>
      <c r="L50" s="8" t="e">
        <f aca="false">IF(C50="","",(PriceSwitch=0)*K50+(PriceSwitch=1)*(Front!$H$21+K50)+(PriceSwitch=2)*Front!$H$21)</f>
        <v>#VALUE!</v>
      </c>
      <c r="M50" s="93" t="n">
        <f aca="false">INDEX(vols,MATCH(A50,volsmonth,0),2)</f>
        <v>0.285</v>
      </c>
      <c r="N50" s="3" t="e">
        <f aca="false">IF(Skew_Switch=0,"",IF($C50="","",(Front!$E$20=0)*M50+(Front!$E$20=1)*(Front!$E$21+M50)+(Front!$E$20=2)*Front!$E$21))</f>
        <v>#VALUE!</v>
      </c>
      <c r="O50" s="94" t="e">
        <f aca="false">IF(Skew_Switch=0,"",IF(C50="","",((calcskew(Call1-$L50,$C50,a,b))/100)))</f>
        <v>#VALUE!</v>
      </c>
      <c r="P50" s="94" t="e">
        <f aca="false">IF(Skew_Switch=0,"",IF(C50="","",((calcskew(Put1-$L50,$C50,a,b))/100)))</f>
        <v>#VALUE!</v>
      </c>
      <c r="Q50" s="94" t="e">
        <f aca="false">IF(Skew_Switch=0,"",IF(C50="","",((calcskew(Call2-$L50,$C50,a,b))/100)))</f>
        <v>#VALUE!</v>
      </c>
      <c r="R50" s="94" t="e">
        <f aca="false">IF(Skew_Switch=0,"",IF(C50="","",((calcskew(Put2-$L50,$C50,a,b))/100)))</f>
        <v>#VALUE!</v>
      </c>
      <c r="S50" s="3" t="e">
        <f aca="false">IF($C50="","",(Front!$C$19=0)*$N50+(Front!$C$19=1)*($N50+O50))</f>
        <v>#VALUE!</v>
      </c>
      <c r="T50" s="3" t="e">
        <f aca="false">IF($C50="","",(Front!$C$19=0)*$N50+(Front!$C$19=1)*($N50+P50))</f>
        <v>#VALUE!</v>
      </c>
      <c r="U50" s="3" t="e">
        <f aca="false">IF($C50="","",(Front!$C$19=0)*$N50+(Front!$C$19=1)*($N50+Q50))</f>
        <v>#VALUE!</v>
      </c>
      <c r="V50" s="3" t="e">
        <f aca="false">IF($C50="","",(Front!$C$19=0)*$N50+(Front!$C$19=1)*($N50+R50))</f>
        <v>#VALUE!</v>
      </c>
      <c r="W50" s="90" t="e">
        <f aca="false">IF($C50="","",xEURO($L50,Call1,$G50,$G50,S50,$J50,1,0))</f>
        <v>#VALUE!</v>
      </c>
      <c r="X50" s="90" t="e">
        <f aca="false">IF($C50="","",xEURO($L50,Put1,$G50,$G50,T50,$J50,0,0))</f>
        <v>#VALUE!</v>
      </c>
      <c r="Y50" s="90" t="e">
        <f aca="false">IF($C50="","",xEURO($L50,Call2,$G50,$G50,U50,$J50,1,0))</f>
        <v>#VALUE!</v>
      </c>
      <c r="Z50" s="90" t="e">
        <f aca="false">IF($C50="","",xEURO($L50,Put2,$G50,$G50,V50,$J50,0,0))</f>
        <v>#VALUE!</v>
      </c>
      <c r="AA50" s="90" t="e">
        <f aca="false">IF($C50="","",xEURO($L50,Call1,$G50,$G50,$S50,$J50,1,1))</f>
        <v>#VALUE!</v>
      </c>
      <c r="AB50" s="90" t="e">
        <f aca="false">IF($C50="","",xEURO($L50,Put1,$G50,$G50,$T50,$J50,0,1))</f>
        <v>#VALUE!</v>
      </c>
      <c r="AC50" s="90" t="e">
        <f aca="false">IF($C50="","",xEURO($L50,Call2,$G50,$G50,$U50,$J50,1,1))</f>
        <v>#VALUE!</v>
      </c>
      <c r="AD50" s="90" t="e">
        <f aca="false">IF($C50="","",xEURO($L50,Put2,$G50,$G50,$V50,$J50,0,1))</f>
        <v>#VALUE!</v>
      </c>
      <c r="AE50" s="90" t="e">
        <f aca="false">IF($C50="","",xEURO($L50,Call1,$G50,$G50,$S50,$J50,1,3))</f>
        <v>#VALUE!</v>
      </c>
      <c r="AF50" s="90" t="e">
        <f aca="false">IF($C50="","",xEURO($L50,Put1,$G50,$G50,$T50,$J50,0,3))</f>
        <v>#VALUE!</v>
      </c>
      <c r="AG50" s="90" t="e">
        <f aca="false">IF($C50="","",xEURO($L50,Call2,$G50,$G50,$U50,$J50,1,3))</f>
        <v>#VALUE!</v>
      </c>
      <c r="AH50" s="90" t="e">
        <f aca="false">IF($C50="","",xEURO($L50,Put2,$G50,$G50,$V50,$J50,0,3))</f>
        <v>#VALUE!</v>
      </c>
      <c r="AI50" s="8" t="e">
        <f aca="false">IF(E50=1,G50,0)</f>
        <v>#VALUE!</v>
      </c>
      <c r="AJ50" s="8" t="e">
        <f aca="false">IF(E50=1,H50,0)</f>
        <v>#VALUE!</v>
      </c>
      <c r="AK50" s="8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</row>
    <row r="51" customFormat="false" ht="12.75" hidden="false" customHeight="false" outlineLevel="0" collapsed="false">
      <c r="A51" s="91" t="n">
        <f aca="false">Swap!A51</f>
        <v>38384</v>
      </c>
      <c r="B51" s="0" t="n">
        <f aca="false">B50+1</f>
        <v>42</v>
      </c>
      <c r="C51" s="91" t="e">
        <f aca="false">IF(AND(A51&gt;=Front!$E$11,A51&lt;=Front!$E$12),A51,"")</f>
        <v>#VALUE!</v>
      </c>
      <c r="D51" s="87" t="e">
        <f aca="false">Swap!AB51</f>
        <v>#VALUE!</v>
      </c>
      <c r="E51" s="87" t="e">
        <f aca="false">IF($C51="","",1)</f>
        <v>#VALUE!</v>
      </c>
      <c r="F51" s="88" t="e">
        <f aca="false">IF($C51="","",E51*H51)</f>
        <v>#VALUE!</v>
      </c>
      <c r="G51" s="31" t="n">
        <f aca="false">Swap!AG51</f>
        <v>0.0420054388535163</v>
      </c>
      <c r="H51" s="31" t="n">
        <f aca="false">Swap!AH51</f>
        <v>2.35934000793847</v>
      </c>
      <c r="I51" s="92" t="n">
        <f aca="false">INDEX(expery,MATCH(A51,exprymonth,0),2)</f>
        <v>38378</v>
      </c>
      <c r="J51" s="87" t="n">
        <f aca="false">I51-Front!$C$2</f>
        <v>-7548</v>
      </c>
      <c r="K51" s="8" t="n">
        <f aca="false">Swap!E51</f>
        <v>3.489</v>
      </c>
      <c r="L51" s="8" t="e">
        <f aca="false">IF(C51="","",(PriceSwitch=0)*K51+(PriceSwitch=1)*(Front!$H$21+K51)+(PriceSwitch=2)*Front!$H$21)</f>
        <v>#VALUE!</v>
      </c>
      <c r="M51" s="93" t="n">
        <f aca="false">INDEX(vols,MATCH(A51,volsmonth,0),2)</f>
        <v>0.28</v>
      </c>
      <c r="N51" s="3" t="e">
        <f aca="false">IF(Skew_Switch=0,"",IF($C51="","",(Front!$E$20=0)*M51+(Front!$E$20=1)*(Front!$E$21+M51)+(Front!$E$20=2)*Front!$E$21))</f>
        <v>#VALUE!</v>
      </c>
      <c r="O51" s="94" t="e">
        <f aca="false">IF(Skew_Switch=0,"",IF(C51="","",((calcskew(Call1-$L51,$C51,a,b))/100)))</f>
        <v>#VALUE!</v>
      </c>
      <c r="P51" s="94" t="e">
        <f aca="false">IF(Skew_Switch=0,"",IF(C51="","",((calcskew(Put1-$L51,$C51,a,b))/100)))</f>
        <v>#VALUE!</v>
      </c>
      <c r="Q51" s="94" t="e">
        <f aca="false">IF(Skew_Switch=0,"",IF(C51="","",((calcskew(Call2-$L51,$C51,a,b))/100)))</f>
        <v>#VALUE!</v>
      </c>
      <c r="R51" s="94" t="e">
        <f aca="false">IF(Skew_Switch=0,"",IF(C51="","",((calcskew(Put2-$L51,$C51,a,b))/100)))</f>
        <v>#VALUE!</v>
      </c>
      <c r="S51" s="3" t="e">
        <f aca="false">IF($C51="","",(Front!$C$19=0)*$N51+(Front!$C$19=1)*($N51+O51))</f>
        <v>#VALUE!</v>
      </c>
      <c r="T51" s="3" t="e">
        <f aca="false">IF($C51="","",(Front!$C$19=0)*$N51+(Front!$C$19=1)*($N51+P51))</f>
        <v>#VALUE!</v>
      </c>
      <c r="U51" s="3" t="e">
        <f aca="false">IF($C51="","",(Front!$C$19=0)*$N51+(Front!$C$19=1)*($N51+Q51))</f>
        <v>#VALUE!</v>
      </c>
      <c r="V51" s="3" t="e">
        <f aca="false">IF($C51="","",(Front!$C$19=0)*$N51+(Front!$C$19=1)*($N51+R51))</f>
        <v>#VALUE!</v>
      </c>
      <c r="W51" s="90" t="e">
        <f aca="false">IF($C51="","",xEURO($L51,Call1,$G51,$G51,S51,$J51,1,0))</f>
        <v>#VALUE!</v>
      </c>
      <c r="X51" s="90" t="e">
        <f aca="false">IF($C51="","",xEURO($L51,Put1,$G51,$G51,T51,$J51,0,0))</f>
        <v>#VALUE!</v>
      </c>
      <c r="Y51" s="90" t="e">
        <f aca="false">IF($C51="","",xEURO($L51,Call2,$G51,$G51,U51,$J51,1,0))</f>
        <v>#VALUE!</v>
      </c>
      <c r="Z51" s="90" t="e">
        <f aca="false">IF($C51="","",xEURO($L51,Put2,$G51,$G51,V51,$J51,0,0))</f>
        <v>#VALUE!</v>
      </c>
      <c r="AA51" s="90" t="e">
        <f aca="false">IF($C51="","",xEURO($L51,Call1,$G51,$G51,$S51,$J51,1,1))</f>
        <v>#VALUE!</v>
      </c>
      <c r="AB51" s="90" t="e">
        <f aca="false">IF($C51="","",xEURO($L51,Put1,$G51,$G51,$T51,$J51,0,1))</f>
        <v>#VALUE!</v>
      </c>
      <c r="AC51" s="90" t="e">
        <f aca="false">IF($C51="","",xEURO($L51,Call2,$G51,$G51,$U51,$J51,1,1))</f>
        <v>#VALUE!</v>
      </c>
      <c r="AD51" s="90" t="e">
        <f aca="false">IF($C51="","",xEURO($L51,Put2,$G51,$G51,$V51,$J51,0,1))</f>
        <v>#VALUE!</v>
      </c>
      <c r="AE51" s="90" t="e">
        <f aca="false">IF($C51="","",xEURO($L51,Call1,$G51,$G51,$S51,$J51,1,3))</f>
        <v>#VALUE!</v>
      </c>
      <c r="AF51" s="90" t="e">
        <f aca="false">IF($C51="","",xEURO($L51,Put1,$G51,$G51,$T51,$J51,0,3))</f>
        <v>#VALUE!</v>
      </c>
      <c r="AG51" s="90" t="e">
        <f aca="false">IF($C51="","",xEURO($L51,Call2,$G51,$G51,$U51,$J51,1,3))</f>
        <v>#VALUE!</v>
      </c>
      <c r="AH51" s="90" t="e">
        <f aca="false">IF($C51="","",xEURO($L51,Put2,$G51,$G51,$V51,$J51,0,3))</f>
        <v>#VALUE!</v>
      </c>
      <c r="AI51" s="8" t="e">
        <f aca="false">IF(E51=1,G51,0)</f>
        <v>#VALUE!</v>
      </c>
      <c r="AJ51" s="8" t="e">
        <f aca="false">IF(E51=1,H51,0)</f>
        <v>#VALUE!</v>
      </c>
      <c r="AK51" s="8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91" t="n">
        <f aca="false">Swap!A52</f>
        <v>38412</v>
      </c>
      <c r="B52" s="0" t="n">
        <f aca="false">B51+1</f>
        <v>43</v>
      </c>
      <c r="C52" s="91" t="e">
        <f aca="false">IF(AND(A52&gt;=Front!$E$11,A52&lt;=Front!$E$12),A52,"")</f>
        <v>#VALUE!</v>
      </c>
      <c r="D52" s="87" t="e">
        <f aca="false">Swap!AB52</f>
        <v>#VALUE!</v>
      </c>
      <c r="E52" s="87" t="e">
        <f aca="false">IF($C52="","",1)</f>
        <v>#VALUE!</v>
      </c>
      <c r="F52" s="88" t="e">
        <f aca="false">IF($C52="","",E52*H52)</f>
        <v>#VALUE!</v>
      </c>
      <c r="G52" s="31" t="n">
        <f aca="false">Swap!AG52</f>
        <v>0.042338223110514</v>
      </c>
      <c r="H52" s="31" t="n">
        <f aca="false">Swap!AH52</f>
        <v>2.36765467099143</v>
      </c>
      <c r="I52" s="92" t="n">
        <f aca="false">INDEX(expery,MATCH(A52,exprymonth,0),2)</f>
        <v>38406</v>
      </c>
      <c r="J52" s="87" t="n">
        <f aca="false">I52-Front!$C$2</f>
        <v>-7520</v>
      </c>
      <c r="K52" s="8" t="n">
        <f aca="false">Swap!E52</f>
        <v>3.357</v>
      </c>
      <c r="L52" s="8" t="e">
        <f aca="false">IF(C52="","",(PriceSwitch=0)*K52+(PriceSwitch=1)*(Front!$H$21+K52)+(PriceSwitch=2)*Front!$H$21)</f>
        <v>#VALUE!</v>
      </c>
      <c r="M52" s="93" t="n">
        <f aca="false">INDEX(vols,MATCH(A52,volsmonth,0),2)</f>
        <v>0.265</v>
      </c>
      <c r="N52" s="3" t="e">
        <f aca="false">IF(Skew_Switch=0,"",IF($C52="","",(Front!$E$20=0)*M52+(Front!$E$20=1)*(Front!$E$21+M52)+(Front!$E$20=2)*Front!$E$21))</f>
        <v>#VALUE!</v>
      </c>
      <c r="O52" s="94" t="e">
        <f aca="false">IF(Skew_Switch=0,"",IF(C52="","",((calcskew(Call1-$L52,$C52,a,b))/100)))</f>
        <v>#VALUE!</v>
      </c>
      <c r="P52" s="94" t="e">
        <f aca="false">IF(Skew_Switch=0,"",IF(C52="","",((calcskew(Put1-$L52,$C52,a,b))/100)))</f>
        <v>#VALUE!</v>
      </c>
      <c r="Q52" s="94" t="e">
        <f aca="false">IF(Skew_Switch=0,"",IF(C52="","",((calcskew(Call2-$L52,$C52,a,b))/100)))</f>
        <v>#VALUE!</v>
      </c>
      <c r="R52" s="94" t="e">
        <f aca="false">IF(Skew_Switch=0,"",IF(C52="","",((calcskew(Put2-$L52,$C52,a,b))/100)))</f>
        <v>#VALUE!</v>
      </c>
      <c r="S52" s="3" t="e">
        <f aca="false">IF($C52="","",(Front!$C$19=0)*$N52+(Front!$C$19=1)*($N52+O52))</f>
        <v>#VALUE!</v>
      </c>
      <c r="T52" s="3" t="e">
        <f aca="false">IF($C52="","",(Front!$C$19=0)*$N52+(Front!$C$19=1)*($N52+P52))</f>
        <v>#VALUE!</v>
      </c>
      <c r="U52" s="3" t="e">
        <f aca="false">IF($C52="","",(Front!$C$19=0)*$N52+(Front!$C$19=1)*($N52+Q52))</f>
        <v>#VALUE!</v>
      </c>
      <c r="V52" s="3" t="e">
        <f aca="false">IF($C52="","",(Front!$C$19=0)*$N52+(Front!$C$19=1)*($N52+R52))</f>
        <v>#VALUE!</v>
      </c>
      <c r="W52" s="90" t="e">
        <f aca="false">IF($C52="","",xEURO($L52,Call1,$G52,$G52,S52,$J52,1,0))</f>
        <v>#VALUE!</v>
      </c>
      <c r="X52" s="90" t="e">
        <f aca="false">IF($C52="","",xEURO($L52,Put1,$G52,$G52,T52,$J52,0,0))</f>
        <v>#VALUE!</v>
      </c>
      <c r="Y52" s="90" t="e">
        <f aca="false">IF($C52="","",xEURO($L52,Call2,$G52,$G52,U52,$J52,1,0))</f>
        <v>#VALUE!</v>
      </c>
      <c r="Z52" s="90" t="e">
        <f aca="false">IF($C52="","",xEURO($L52,Put2,$G52,$G52,V52,$J52,0,0))</f>
        <v>#VALUE!</v>
      </c>
      <c r="AA52" s="90" t="e">
        <f aca="false">IF($C52="","",xEURO($L52,Call1,$G52,$G52,$S52,$J52,1,1))</f>
        <v>#VALUE!</v>
      </c>
      <c r="AB52" s="90" t="e">
        <f aca="false">IF($C52="","",xEURO($L52,Put1,$G52,$G52,$T52,$J52,0,1))</f>
        <v>#VALUE!</v>
      </c>
      <c r="AC52" s="90" t="e">
        <f aca="false">IF($C52="","",xEURO($L52,Call2,$G52,$G52,$U52,$J52,1,1))</f>
        <v>#VALUE!</v>
      </c>
      <c r="AD52" s="90" t="e">
        <f aca="false">IF($C52="","",xEURO($L52,Put2,$G52,$G52,$V52,$J52,0,1))</f>
        <v>#VALUE!</v>
      </c>
      <c r="AE52" s="90" t="e">
        <f aca="false">IF($C52="","",xEURO($L52,Call1,$G52,$G52,$S52,$J52,1,3))</f>
        <v>#VALUE!</v>
      </c>
      <c r="AF52" s="90" t="e">
        <f aca="false">IF($C52="","",xEURO($L52,Put1,$G52,$G52,$T52,$J52,0,3))</f>
        <v>#VALUE!</v>
      </c>
      <c r="AG52" s="90" t="e">
        <f aca="false">IF($C52="","",xEURO($L52,Call2,$G52,$G52,$U52,$J52,1,3))</f>
        <v>#VALUE!</v>
      </c>
      <c r="AH52" s="90" t="e">
        <f aca="false">IF($C52="","",xEURO($L52,Put2,$G52,$G52,$V52,$J52,0,3))</f>
        <v>#VALUE!</v>
      </c>
      <c r="AI52" s="8" t="e">
        <f aca="false">IF(E52=1,G52,0)</f>
        <v>#VALUE!</v>
      </c>
      <c r="AJ52" s="8" t="e">
        <f aca="false">IF(E52=1,H52,0)</f>
        <v>#VALUE!</v>
      </c>
      <c r="AK52" s="8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91" t="n">
        <f aca="false">Swap!A53</f>
        <v>38443</v>
      </c>
      <c r="B53" s="0" t="n">
        <f aca="false">B52+1</f>
        <v>44</v>
      </c>
      <c r="C53" s="91" t="e">
        <f aca="false">IF(AND(A53&gt;=Front!$E$11,A53&lt;=Front!$E$12),A53,"")</f>
        <v>#VALUE!</v>
      </c>
      <c r="D53" s="87" t="e">
        <f aca="false">Swap!AB53</f>
        <v>#VALUE!</v>
      </c>
      <c r="E53" s="87" t="e">
        <f aca="false">IF($C53="","",1)</f>
        <v>#VALUE!</v>
      </c>
      <c r="F53" s="88" t="e">
        <f aca="false">IF($C53="","",E53*H53)</f>
        <v>#VALUE!</v>
      </c>
      <c r="G53" s="31" t="n">
        <f aca="false">Swap!AG53</f>
        <v>0.0426831487342509</v>
      </c>
      <c r="H53" s="31" t="n">
        <f aca="false">Swap!AH53</f>
        <v>2.37563203886096</v>
      </c>
      <c r="I53" s="92" t="n">
        <f aca="false">INDEX(expery,MATCH(A53,exprymonth,0),2)</f>
        <v>38439</v>
      </c>
      <c r="J53" s="87" t="n">
        <f aca="false">I53-Front!$C$2</f>
        <v>-7487</v>
      </c>
      <c r="K53" s="8" t="n">
        <f aca="false">Swap!E53</f>
        <v>3.187</v>
      </c>
      <c r="L53" s="8" t="e">
        <f aca="false">IF(C53="","",(PriceSwitch=0)*K53+(PriceSwitch=1)*(Front!$H$21+K53)+(PriceSwitch=2)*Front!$H$21)</f>
        <v>#VALUE!</v>
      </c>
      <c r="M53" s="93" t="n">
        <f aca="false">INDEX(vols,MATCH(A53,volsmonth,0),2)</f>
        <v>0.25</v>
      </c>
      <c r="N53" s="3" t="e">
        <f aca="false">IF(Skew_Switch=0,"",IF($C53="","",(Front!$E$20=0)*M53+(Front!$E$20=1)*(Front!$E$21+M53)+(Front!$E$20=2)*Front!$E$21))</f>
        <v>#VALUE!</v>
      </c>
      <c r="O53" s="94" t="e">
        <f aca="false">IF(Skew_Switch=0,"",IF(C53="","",((calcskew(Call1-$L53,$C53,a,b))/100)))</f>
        <v>#VALUE!</v>
      </c>
      <c r="P53" s="94" t="e">
        <f aca="false">IF(Skew_Switch=0,"",IF(C53="","",((calcskew(Put1-$L53,$C53,a,b))/100)))</f>
        <v>#VALUE!</v>
      </c>
      <c r="Q53" s="94" t="e">
        <f aca="false">IF(Skew_Switch=0,"",IF(C53="","",((calcskew(Call2-$L53,$C53,a,b))/100)))</f>
        <v>#VALUE!</v>
      </c>
      <c r="R53" s="94" t="e">
        <f aca="false">IF(Skew_Switch=0,"",IF(C53="","",((calcskew(Put2-$L53,$C53,a,b))/100)))</f>
        <v>#VALUE!</v>
      </c>
      <c r="S53" s="3" t="e">
        <f aca="false">IF($C53="","",(Front!$C$19=0)*$N53+(Front!$C$19=1)*($N53+O53))</f>
        <v>#VALUE!</v>
      </c>
      <c r="T53" s="3" t="e">
        <f aca="false">IF($C53="","",(Front!$C$19=0)*$N53+(Front!$C$19=1)*($N53+P53))</f>
        <v>#VALUE!</v>
      </c>
      <c r="U53" s="3" t="e">
        <f aca="false">IF($C53="","",(Front!$C$19=0)*$N53+(Front!$C$19=1)*($N53+Q53))</f>
        <v>#VALUE!</v>
      </c>
      <c r="V53" s="3" t="e">
        <f aca="false">IF($C53="","",(Front!$C$19=0)*$N53+(Front!$C$19=1)*($N53+R53))</f>
        <v>#VALUE!</v>
      </c>
      <c r="W53" s="90" t="e">
        <f aca="false">IF($C53="","",xEURO($L53,Call1,$G53,$G53,S53,$J53,1,0))</f>
        <v>#VALUE!</v>
      </c>
      <c r="X53" s="90" t="e">
        <f aca="false">IF($C53="","",xEURO($L53,Put1,$G53,$G53,T53,$J53,0,0))</f>
        <v>#VALUE!</v>
      </c>
      <c r="Y53" s="90" t="e">
        <f aca="false">IF($C53="","",xEURO($L53,Call2,$G53,$G53,U53,$J53,1,0))</f>
        <v>#VALUE!</v>
      </c>
      <c r="Z53" s="90" t="e">
        <f aca="false">IF($C53="","",xEURO($L53,Put2,$G53,$G53,V53,$J53,0,0))</f>
        <v>#VALUE!</v>
      </c>
      <c r="AA53" s="90" t="e">
        <f aca="false">IF($C53="","",xEURO($L53,Call1,$G53,$G53,$S53,$J53,1,1))</f>
        <v>#VALUE!</v>
      </c>
      <c r="AB53" s="90" t="e">
        <f aca="false">IF($C53="","",xEURO($L53,Put1,$G53,$G53,$T53,$J53,0,1))</f>
        <v>#VALUE!</v>
      </c>
      <c r="AC53" s="90" t="e">
        <f aca="false">IF($C53="","",xEURO($L53,Call2,$G53,$G53,$U53,$J53,1,1))</f>
        <v>#VALUE!</v>
      </c>
      <c r="AD53" s="90" t="e">
        <f aca="false">IF($C53="","",xEURO($L53,Put2,$G53,$G53,$V53,$J53,0,1))</f>
        <v>#VALUE!</v>
      </c>
      <c r="AE53" s="90" t="e">
        <f aca="false">IF($C53="","",xEURO($L53,Call1,$G53,$G53,$S53,$J53,1,3))</f>
        <v>#VALUE!</v>
      </c>
      <c r="AF53" s="90" t="e">
        <f aca="false">IF($C53="","",xEURO($L53,Put1,$G53,$G53,$T53,$J53,0,3))</f>
        <v>#VALUE!</v>
      </c>
      <c r="AG53" s="90" t="e">
        <f aca="false">IF($C53="","",xEURO($L53,Call2,$G53,$G53,$U53,$J53,1,3))</f>
        <v>#VALUE!</v>
      </c>
      <c r="AH53" s="90" t="e">
        <f aca="false">IF($C53="","",xEURO($L53,Put2,$G53,$G53,$V53,$J53,0,3))</f>
        <v>#VALUE!</v>
      </c>
      <c r="AI53" s="8" t="e">
        <f aca="false">IF(E53=1,G53,0)</f>
        <v>#VALUE!</v>
      </c>
      <c r="AJ53" s="8" t="e">
        <f aca="false">IF(E53=1,H53,0)</f>
        <v>#VALUE!</v>
      </c>
      <c r="AK53" s="8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91" t="n">
        <f aca="false">Swap!A54</f>
        <v>38473</v>
      </c>
      <c r="B54" s="0" t="n">
        <f aca="false">B53+1</f>
        <v>45</v>
      </c>
      <c r="C54" s="91" t="e">
        <f aca="false">IF(AND(A54&gt;=Front!$E$11,A54&lt;=Front!$E$12),A54,"")</f>
        <v>#VALUE!</v>
      </c>
      <c r="D54" s="87" t="e">
        <f aca="false">Swap!AB54</f>
        <v>#VALUE!</v>
      </c>
      <c r="E54" s="87" t="e">
        <f aca="false">IF($C54="","",1)</f>
        <v>#VALUE!</v>
      </c>
      <c r="F54" s="88" t="e">
        <f aca="false">IF($C54="","",E54*H54)</f>
        <v>#VALUE!</v>
      </c>
      <c r="G54" s="31" t="n">
        <f aca="false">Swap!AG54</f>
        <v>0.0429963248307494</v>
      </c>
      <c r="H54" s="31" t="n">
        <f aca="false">Swap!AH54</f>
        <v>2.38226333469726</v>
      </c>
      <c r="I54" s="92" t="n">
        <f aca="false">INDEX(expery,MATCH(A54,exprymonth,0),2)</f>
        <v>38468</v>
      </c>
      <c r="J54" s="87" t="n">
        <f aca="false">I54-Front!$C$2</f>
        <v>-7458</v>
      </c>
      <c r="K54" s="8" t="n">
        <f aca="false">Swap!E54</f>
        <v>3.187</v>
      </c>
      <c r="L54" s="8" t="e">
        <f aca="false">IF(C54="","",(PriceSwitch=0)*K54+(PriceSwitch=1)*(Front!$H$21+K54)+(PriceSwitch=2)*Front!$H$21)</f>
        <v>#VALUE!</v>
      </c>
      <c r="M54" s="93" t="n">
        <f aca="false">INDEX(vols,MATCH(A54,volsmonth,0),2)</f>
        <v>0.2425</v>
      </c>
      <c r="N54" s="3" t="e">
        <f aca="false">IF(Skew_Switch=0,"",IF($C54="","",(Front!$E$20=0)*M54+(Front!$E$20=1)*(Front!$E$21+M54)+(Front!$E$20=2)*Front!$E$21))</f>
        <v>#VALUE!</v>
      </c>
      <c r="O54" s="94" t="e">
        <f aca="false">IF(Skew_Switch=0,"",IF(C54="","",((calcskew(Call1-$L54,$C54,a,b))/100)))</f>
        <v>#VALUE!</v>
      </c>
      <c r="P54" s="94" t="e">
        <f aca="false">IF(Skew_Switch=0,"",IF(C54="","",((calcskew(Put1-$L54,$C54,a,b))/100)))</f>
        <v>#VALUE!</v>
      </c>
      <c r="Q54" s="94" t="e">
        <f aca="false">IF(Skew_Switch=0,"",IF(C54="","",((calcskew(Call2-$L54,$C54,a,b))/100)))</f>
        <v>#VALUE!</v>
      </c>
      <c r="R54" s="94" t="e">
        <f aca="false">IF(Skew_Switch=0,"",IF(C54="","",((calcskew(Put2-$L54,$C54,a,b))/100)))</f>
        <v>#VALUE!</v>
      </c>
      <c r="S54" s="3" t="e">
        <f aca="false">IF($C54="","",(Front!$C$19=0)*$N54+(Front!$C$19=1)*($N54+O54))</f>
        <v>#VALUE!</v>
      </c>
      <c r="T54" s="3" t="e">
        <f aca="false">IF($C54="","",(Front!$C$19=0)*$N54+(Front!$C$19=1)*($N54+P54))</f>
        <v>#VALUE!</v>
      </c>
      <c r="U54" s="3" t="e">
        <f aca="false">IF($C54="","",(Front!$C$19=0)*$N54+(Front!$C$19=1)*($N54+Q54))</f>
        <v>#VALUE!</v>
      </c>
      <c r="V54" s="3" t="e">
        <f aca="false">IF($C54="","",(Front!$C$19=0)*$N54+(Front!$C$19=1)*($N54+R54))</f>
        <v>#VALUE!</v>
      </c>
      <c r="W54" s="90" t="e">
        <f aca="false">IF($C54="","",xEURO($L54,Call1,$G54,$G54,S54,$J54,1,0))</f>
        <v>#VALUE!</v>
      </c>
      <c r="X54" s="90" t="e">
        <f aca="false">IF($C54="","",xEURO($L54,Put1,$G54,$G54,T54,$J54,0,0))</f>
        <v>#VALUE!</v>
      </c>
      <c r="Y54" s="90" t="e">
        <f aca="false">IF($C54="","",xEURO($L54,Call2,$G54,$G54,U54,$J54,1,0))</f>
        <v>#VALUE!</v>
      </c>
      <c r="Z54" s="90" t="e">
        <f aca="false">IF($C54="","",xEURO($L54,Put2,$G54,$G54,V54,$J54,0,0))</f>
        <v>#VALUE!</v>
      </c>
      <c r="AA54" s="90" t="e">
        <f aca="false">IF($C54="","",xEURO($L54,Call1,$G54,$G54,$S54,$J54,1,1))</f>
        <v>#VALUE!</v>
      </c>
      <c r="AB54" s="90" t="e">
        <f aca="false">IF($C54="","",xEURO($L54,Put1,$G54,$G54,$T54,$J54,0,1))</f>
        <v>#VALUE!</v>
      </c>
      <c r="AC54" s="90" t="e">
        <f aca="false">IF($C54="","",xEURO($L54,Call2,$G54,$G54,$U54,$J54,1,1))</f>
        <v>#VALUE!</v>
      </c>
      <c r="AD54" s="90" t="e">
        <f aca="false">IF($C54="","",xEURO($L54,Put2,$G54,$G54,$V54,$J54,0,1))</f>
        <v>#VALUE!</v>
      </c>
      <c r="AE54" s="90" t="e">
        <f aca="false">IF($C54="","",xEURO($L54,Call1,$G54,$G54,$S54,$J54,1,3))</f>
        <v>#VALUE!</v>
      </c>
      <c r="AF54" s="90" t="e">
        <f aca="false">IF($C54="","",xEURO($L54,Put1,$G54,$G54,$T54,$J54,0,3))</f>
        <v>#VALUE!</v>
      </c>
      <c r="AG54" s="90" t="e">
        <f aca="false">IF($C54="","",xEURO($L54,Call2,$G54,$G54,$U54,$J54,1,3))</f>
        <v>#VALUE!</v>
      </c>
      <c r="AH54" s="90" t="e">
        <f aca="false">IF($C54="","",xEURO($L54,Put2,$G54,$G54,$V54,$J54,0,3))</f>
        <v>#VALUE!</v>
      </c>
      <c r="AI54" s="8" t="e">
        <f aca="false">IF(E54=1,G54,0)</f>
        <v>#VALUE!</v>
      </c>
      <c r="AJ54" s="8" t="e">
        <f aca="false">IF(E54=1,H54,0)</f>
        <v>#VALUE!</v>
      </c>
      <c r="AK54" s="8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91" t="n">
        <f aca="false">Swap!A55</f>
        <v>38504</v>
      </c>
      <c r="B55" s="0" t="n">
        <f aca="false">B54+1</f>
        <v>46</v>
      </c>
      <c r="C55" s="91" t="e">
        <f aca="false">IF(AND(A55&gt;=Front!$E$11,A55&lt;=Front!$E$12),A55,"")</f>
        <v>#VALUE!</v>
      </c>
      <c r="D55" s="87" t="e">
        <f aca="false">Swap!AB55</f>
        <v>#VALUE!</v>
      </c>
      <c r="E55" s="87" t="e">
        <f aca="false">IF($C55="","",1)</f>
        <v>#VALUE!</v>
      </c>
      <c r="F55" s="88" t="e">
        <f aca="false">IF($C55="","",E55*H55)</f>
        <v>#VALUE!</v>
      </c>
      <c r="G55" s="31" t="n">
        <f aca="false">Swap!AG55</f>
        <v>0.0433199401649849</v>
      </c>
      <c r="H55" s="31" t="n">
        <f aca="false">Swap!AH55</f>
        <v>2.3890063118876</v>
      </c>
      <c r="I55" s="92" t="n">
        <f aca="false">INDEX(expery,MATCH(A55,exprymonth,0),2)</f>
        <v>38497</v>
      </c>
      <c r="J55" s="87" t="n">
        <f aca="false">I55-Front!$C$2</f>
        <v>-7429</v>
      </c>
      <c r="K55" s="8" t="n">
        <f aca="false">Swap!E55</f>
        <v>3.219</v>
      </c>
      <c r="L55" s="8" t="e">
        <f aca="false">IF(C55="","",(PriceSwitch=0)*K55+(PriceSwitch=1)*(Front!$H$21+K55)+(PriceSwitch=2)*Front!$H$21)</f>
        <v>#VALUE!</v>
      </c>
      <c r="M55" s="93" t="n">
        <f aca="false">INDEX(vols,MATCH(A55,volsmonth,0),2)</f>
        <v>0.2375</v>
      </c>
      <c r="N55" s="3" t="e">
        <f aca="false">IF(Skew_Switch=0,"",IF($C55="","",(Front!$E$20=0)*M55+(Front!$E$20=1)*(Front!$E$21+M55)+(Front!$E$20=2)*Front!$E$21))</f>
        <v>#VALUE!</v>
      </c>
      <c r="O55" s="94" t="e">
        <f aca="false">IF(Skew_Switch=0,"",IF(C55="","",((calcskew(Call1-$L55,$C55,a,b))/100)))</f>
        <v>#VALUE!</v>
      </c>
      <c r="P55" s="94" t="e">
        <f aca="false">IF(Skew_Switch=0,"",IF(C55="","",((calcskew(Put1-$L55,$C55,a,b))/100)))</f>
        <v>#VALUE!</v>
      </c>
      <c r="Q55" s="94" t="e">
        <f aca="false">IF(Skew_Switch=0,"",IF(C55="","",((calcskew(Call2-$L55,$C55,a,b))/100)))</f>
        <v>#VALUE!</v>
      </c>
      <c r="R55" s="94" t="e">
        <f aca="false">IF(Skew_Switch=0,"",IF(C55="","",((calcskew(Put2-$L55,$C55,a,b))/100)))</f>
        <v>#VALUE!</v>
      </c>
      <c r="S55" s="3" t="e">
        <f aca="false">IF($C55="","",(Front!$C$19=0)*$N55+(Front!$C$19=1)*($N55+O55))</f>
        <v>#VALUE!</v>
      </c>
      <c r="T55" s="3" t="e">
        <f aca="false">IF($C55="","",(Front!$C$19=0)*$N55+(Front!$C$19=1)*($N55+P55))</f>
        <v>#VALUE!</v>
      </c>
      <c r="U55" s="3" t="e">
        <f aca="false">IF($C55="","",(Front!$C$19=0)*$N55+(Front!$C$19=1)*($N55+Q55))</f>
        <v>#VALUE!</v>
      </c>
      <c r="V55" s="3" t="e">
        <f aca="false">IF($C55="","",(Front!$C$19=0)*$N55+(Front!$C$19=1)*($N55+R55))</f>
        <v>#VALUE!</v>
      </c>
      <c r="W55" s="90" t="e">
        <f aca="false">IF($C55="","",xEURO($L55,Call1,$G55,$G55,S55,$J55,1,0))</f>
        <v>#VALUE!</v>
      </c>
      <c r="X55" s="90" t="e">
        <f aca="false">IF($C55="","",xEURO($L55,Put1,$G55,$G55,T55,$J55,0,0))</f>
        <v>#VALUE!</v>
      </c>
      <c r="Y55" s="90" t="e">
        <f aca="false">IF($C55="","",xEURO($L55,Call2,$G55,$G55,U55,$J55,1,0))</f>
        <v>#VALUE!</v>
      </c>
      <c r="Z55" s="90" t="e">
        <f aca="false">IF($C55="","",xEURO($L55,Put2,$G55,$G55,V55,$J55,0,0))</f>
        <v>#VALUE!</v>
      </c>
      <c r="AA55" s="90" t="e">
        <f aca="false">IF($C55="","",xEURO($L55,Call1,$G55,$G55,$S55,$J55,1,1))</f>
        <v>#VALUE!</v>
      </c>
      <c r="AB55" s="90" t="e">
        <f aca="false">IF($C55="","",xEURO($L55,Put1,$G55,$G55,$T55,$J55,0,1))</f>
        <v>#VALUE!</v>
      </c>
      <c r="AC55" s="90" t="e">
        <f aca="false">IF($C55="","",xEURO($L55,Call2,$G55,$G55,$U55,$J55,1,1))</f>
        <v>#VALUE!</v>
      </c>
      <c r="AD55" s="90" t="e">
        <f aca="false">IF($C55="","",xEURO($L55,Put2,$G55,$G55,$V55,$J55,0,1))</f>
        <v>#VALUE!</v>
      </c>
      <c r="AE55" s="90" t="e">
        <f aca="false">IF($C55="","",xEURO($L55,Call1,$G55,$G55,$S55,$J55,1,3))</f>
        <v>#VALUE!</v>
      </c>
      <c r="AF55" s="90" t="e">
        <f aca="false">IF($C55="","",xEURO($L55,Put1,$G55,$G55,$T55,$J55,0,3))</f>
        <v>#VALUE!</v>
      </c>
      <c r="AG55" s="90" t="e">
        <f aca="false">IF($C55="","",xEURO($L55,Call2,$G55,$G55,$U55,$J55,1,3))</f>
        <v>#VALUE!</v>
      </c>
      <c r="AH55" s="90" t="e">
        <f aca="false">IF($C55="","",xEURO($L55,Put2,$G55,$G55,$V55,$J55,0,3))</f>
        <v>#VALUE!</v>
      </c>
      <c r="AI55" s="8" t="e">
        <f aca="false">IF(E55=1,G55,0)</f>
        <v>#VALUE!</v>
      </c>
      <c r="AJ55" s="8" t="e">
        <f aca="false">IF(E55=1,H55,0)</f>
        <v>#VALUE!</v>
      </c>
      <c r="AK55" s="8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91" t="n">
        <f aca="false">Swap!A56</f>
        <v>38534</v>
      </c>
      <c r="B56" s="0" t="n">
        <f aca="false">B55+1</f>
        <v>47</v>
      </c>
      <c r="C56" s="91" t="e">
        <f aca="false">IF(AND(A56&gt;=Front!$E$11,A56&lt;=Front!$E$12),A56,"")</f>
        <v>#VALUE!</v>
      </c>
      <c r="D56" s="87" t="e">
        <f aca="false">Swap!AB56</f>
        <v>#VALUE!</v>
      </c>
      <c r="E56" s="87" t="e">
        <f aca="false">IF($C56="","",1)</f>
        <v>#VALUE!</v>
      </c>
      <c r="F56" s="88" t="e">
        <f aca="false">IF($C56="","",E56*H56)</f>
        <v>#VALUE!</v>
      </c>
      <c r="G56" s="31" t="n">
        <f aca="false">Swap!AG56</f>
        <v>0.0436221439160058</v>
      </c>
      <c r="H56" s="31" t="n">
        <f aca="false">Swap!AH56</f>
        <v>2.39490446623806</v>
      </c>
      <c r="I56" s="92" t="n">
        <f aca="false">INDEX(expery,MATCH(A56,exprymonth,0),2)</f>
        <v>38530</v>
      </c>
      <c r="J56" s="87" t="n">
        <f aca="false">I56-Front!$C$2</f>
        <v>-7396</v>
      </c>
      <c r="K56" s="8" t="n">
        <f aca="false">Swap!E56</f>
        <v>3.269</v>
      </c>
      <c r="L56" s="8" t="e">
        <f aca="false">IF(C56="","",(PriceSwitch=0)*K56+(PriceSwitch=1)*(Front!$H$21+K56)+(PriceSwitch=2)*Front!$H$21)</f>
        <v>#VALUE!</v>
      </c>
      <c r="M56" s="93" t="n">
        <f aca="false">INDEX(vols,MATCH(A56,volsmonth,0),2)</f>
        <v>0.2375</v>
      </c>
      <c r="N56" s="3" t="e">
        <f aca="false">IF(Skew_Switch=0,"",IF($C56="","",(Front!$E$20=0)*M56+(Front!$E$20=1)*(Front!$E$21+M56)+(Front!$E$20=2)*Front!$E$21))</f>
        <v>#VALUE!</v>
      </c>
      <c r="O56" s="94" t="e">
        <f aca="false">IF(Skew_Switch=0,"",IF(C56="","",((calcskew(Call1-$L56,$C56,a,b))/100)))</f>
        <v>#VALUE!</v>
      </c>
      <c r="P56" s="94" t="e">
        <f aca="false">IF(Skew_Switch=0,"",IF(C56="","",((calcskew(Put1-$L56,$C56,a,b))/100)))</f>
        <v>#VALUE!</v>
      </c>
      <c r="Q56" s="94" t="e">
        <f aca="false">IF(Skew_Switch=0,"",IF(C56="","",((calcskew(Call2-$L56,$C56,a,b))/100)))</f>
        <v>#VALUE!</v>
      </c>
      <c r="R56" s="94" t="e">
        <f aca="false">IF(Skew_Switch=0,"",IF(C56="","",((calcskew(Put2-$L56,$C56,a,b))/100)))</f>
        <v>#VALUE!</v>
      </c>
      <c r="S56" s="3" t="e">
        <f aca="false">IF($C56="","",(Front!$C$19=0)*$N56+(Front!$C$19=1)*($N56+O56))</f>
        <v>#VALUE!</v>
      </c>
      <c r="T56" s="3" t="e">
        <f aca="false">IF($C56="","",(Front!$C$19=0)*$N56+(Front!$C$19=1)*($N56+P56))</f>
        <v>#VALUE!</v>
      </c>
      <c r="U56" s="3" t="e">
        <f aca="false">IF($C56="","",(Front!$C$19=0)*$N56+(Front!$C$19=1)*($N56+Q56))</f>
        <v>#VALUE!</v>
      </c>
      <c r="V56" s="3" t="e">
        <f aca="false">IF($C56="","",(Front!$C$19=0)*$N56+(Front!$C$19=1)*($N56+R56))</f>
        <v>#VALUE!</v>
      </c>
      <c r="W56" s="90" t="e">
        <f aca="false">IF($C56="","",xEURO($L56,Call1,$G56,$G56,S56,$J56,1,0))</f>
        <v>#VALUE!</v>
      </c>
      <c r="X56" s="90" t="e">
        <f aca="false">IF($C56="","",xEURO($L56,Put1,$G56,$G56,T56,$J56,0,0))</f>
        <v>#VALUE!</v>
      </c>
      <c r="Y56" s="90" t="e">
        <f aca="false">IF($C56="","",xEURO($L56,Call2,$G56,$G56,U56,$J56,1,0))</f>
        <v>#VALUE!</v>
      </c>
      <c r="Z56" s="90" t="e">
        <f aca="false">IF($C56="","",xEURO($L56,Put2,$G56,$G56,V56,$J56,0,0))</f>
        <v>#VALUE!</v>
      </c>
      <c r="AA56" s="90" t="e">
        <f aca="false">IF($C56="","",xEURO($L56,Call1,$G56,$G56,$S56,$J56,1,1))</f>
        <v>#VALUE!</v>
      </c>
      <c r="AB56" s="90" t="e">
        <f aca="false">IF($C56="","",xEURO($L56,Put1,$G56,$G56,$T56,$J56,0,1))</f>
        <v>#VALUE!</v>
      </c>
      <c r="AC56" s="90" t="e">
        <f aca="false">IF($C56="","",xEURO($L56,Call2,$G56,$G56,$U56,$J56,1,1))</f>
        <v>#VALUE!</v>
      </c>
      <c r="AD56" s="90" t="e">
        <f aca="false">IF($C56="","",xEURO($L56,Put2,$G56,$G56,$V56,$J56,0,1))</f>
        <v>#VALUE!</v>
      </c>
      <c r="AE56" s="90" t="e">
        <f aca="false">IF($C56="","",xEURO($L56,Call1,$G56,$G56,$S56,$J56,1,3))</f>
        <v>#VALUE!</v>
      </c>
      <c r="AF56" s="90" t="e">
        <f aca="false">IF($C56="","",xEURO($L56,Put1,$G56,$G56,$T56,$J56,0,3))</f>
        <v>#VALUE!</v>
      </c>
      <c r="AG56" s="90" t="e">
        <f aca="false">IF($C56="","",xEURO($L56,Call2,$G56,$G56,$U56,$J56,1,3))</f>
        <v>#VALUE!</v>
      </c>
      <c r="AH56" s="90" t="e">
        <f aca="false">IF($C56="","",xEURO($L56,Put2,$G56,$G56,$V56,$J56,0,3))</f>
        <v>#VALUE!</v>
      </c>
      <c r="AI56" s="8" t="e">
        <f aca="false">IF(E56=1,G56,0)</f>
        <v>#VALUE!</v>
      </c>
      <c r="AJ56" s="8" t="e">
        <f aca="false">IF(E56=1,H56,0)</f>
        <v>#VALUE!</v>
      </c>
      <c r="AK56" s="8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91" t="n">
        <f aca="false">Swap!A57</f>
        <v>38565</v>
      </c>
      <c r="B57" s="0" t="n">
        <f aca="false">B56+1</f>
        <v>48</v>
      </c>
      <c r="C57" s="91" t="e">
        <f aca="false">IF(AND(A57&gt;=Front!$E$11,A57&lt;=Front!$E$12),A57,"")</f>
        <v>#VALUE!</v>
      </c>
      <c r="D57" s="87" t="e">
        <f aca="false">Swap!AB57</f>
        <v>#VALUE!</v>
      </c>
      <c r="E57" s="87" t="e">
        <f aca="false">IF($C57="","",1)</f>
        <v>#VALUE!</v>
      </c>
      <c r="F57" s="88" t="e">
        <f aca="false">IF($C57="","",E57*H57)</f>
        <v>#VALUE!</v>
      </c>
      <c r="G57" s="31" t="n">
        <f aca="false">Swap!AG57</f>
        <v>0.0439238619856588</v>
      </c>
      <c r="H57" s="31" t="n">
        <f aca="false">Swap!AH57</f>
        <v>2.40038986705849</v>
      </c>
      <c r="I57" s="92" t="n">
        <f aca="false">INDEX(expery,MATCH(A57,exprymonth,0),2)</f>
        <v>38559</v>
      </c>
      <c r="J57" s="87" t="n">
        <f aca="false">I57-Front!$C$2</f>
        <v>-7367</v>
      </c>
      <c r="K57" s="8" t="n">
        <f aca="false">Swap!E57</f>
        <v>3.303</v>
      </c>
      <c r="L57" s="8" t="e">
        <f aca="false">IF(C57="","",(PriceSwitch=0)*K57+(PriceSwitch=1)*(Front!$H$21+K57)+(PriceSwitch=2)*Front!$H$21)</f>
        <v>#VALUE!</v>
      </c>
      <c r="M57" s="93" t="n">
        <f aca="false">INDEX(vols,MATCH(A57,volsmonth,0),2)</f>
        <v>0.2375</v>
      </c>
      <c r="N57" s="3" t="e">
        <f aca="false">IF(Skew_Switch=0,"",IF($C57="","",(Front!$E$20=0)*M57+(Front!$E$20=1)*(Front!$E$21+M57)+(Front!$E$20=2)*Front!$E$21))</f>
        <v>#VALUE!</v>
      </c>
      <c r="O57" s="94" t="e">
        <f aca="false">IF(Skew_Switch=0,"",IF(C57="","",((calcskew(Call1-$L57,$C57,a,b))/100)))</f>
        <v>#VALUE!</v>
      </c>
      <c r="P57" s="94" t="e">
        <f aca="false">IF(Skew_Switch=0,"",IF(C57="","",((calcskew(Put1-$L57,$C57,a,b))/100)))</f>
        <v>#VALUE!</v>
      </c>
      <c r="Q57" s="94" t="e">
        <f aca="false">IF(Skew_Switch=0,"",IF(C57="","",((calcskew(Call2-$L57,$C57,a,b))/100)))</f>
        <v>#VALUE!</v>
      </c>
      <c r="R57" s="94" t="e">
        <f aca="false">IF(Skew_Switch=0,"",IF(C57="","",((calcskew(Put2-$L57,$C57,a,b))/100)))</f>
        <v>#VALUE!</v>
      </c>
      <c r="S57" s="3" t="e">
        <f aca="false">IF($C57="","",(Front!$C$19=0)*$N57+(Front!$C$19=1)*($N57+O57))</f>
        <v>#VALUE!</v>
      </c>
      <c r="T57" s="3" t="e">
        <f aca="false">IF($C57="","",(Front!$C$19=0)*$N57+(Front!$C$19=1)*($N57+P57))</f>
        <v>#VALUE!</v>
      </c>
      <c r="U57" s="3" t="e">
        <f aca="false">IF($C57="","",(Front!$C$19=0)*$N57+(Front!$C$19=1)*($N57+Q57))</f>
        <v>#VALUE!</v>
      </c>
      <c r="V57" s="3" t="e">
        <f aca="false">IF($C57="","",(Front!$C$19=0)*$N57+(Front!$C$19=1)*($N57+R57))</f>
        <v>#VALUE!</v>
      </c>
      <c r="W57" s="90" t="e">
        <f aca="false">IF($C57="","",xEURO($L57,Call1,$G57,$G57,S57,$J57,1,0))</f>
        <v>#VALUE!</v>
      </c>
      <c r="X57" s="90" t="e">
        <f aca="false">IF($C57="","",xEURO($L57,Put1,$G57,$G57,T57,$J57,0,0))</f>
        <v>#VALUE!</v>
      </c>
      <c r="Y57" s="90" t="e">
        <f aca="false">IF($C57="","",xEURO($L57,Call2,$G57,$G57,U57,$J57,1,0))</f>
        <v>#VALUE!</v>
      </c>
      <c r="Z57" s="90" t="e">
        <f aca="false">IF($C57="","",xEURO($L57,Put2,$G57,$G57,V57,$J57,0,0))</f>
        <v>#VALUE!</v>
      </c>
      <c r="AA57" s="90" t="e">
        <f aca="false">IF($C57="","",xEURO($L57,Call1,$G57,$G57,$S57,$J57,1,1))</f>
        <v>#VALUE!</v>
      </c>
      <c r="AB57" s="90" t="e">
        <f aca="false">IF($C57="","",xEURO($L57,Put1,$G57,$G57,$T57,$J57,0,1))</f>
        <v>#VALUE!</v>
      </c>
      <c r="AC57" s="90" t="e">
        <f aca="false">IF($C57="","",xEURO($L57,Call2,$G57,$G57,$U57,$J57,1,1))</f>
        <v>#VALUE!</v>
      </c>
      <c r="AD57" s="90" t="e">
        <f aca="false">IF($C57="","",xEURO($L57,Put2,$G57,$G57,$V57,$J57,0,1))</f>
        <v>#VALUE!</v>
      </c>
      <c r="AE57" s="90" t="e">
        <f aca="false">IF($C57="","",xEURO($L57,Call1,$G57,$G57,$S57,$J57,1,3))</f>
        <v>#VALUE!</v>
      </c>
      <c r="AF57" s="90" t="e">
        <f aca="false">IF($C57="","",xEURO($L57,Put1,$G57,$G57,$T57,$J57,0,3))</f>
        <v>#VALUE!</v>
      </c>
      <c r="AG57" s="90" t="e">
        <f aca="false">IF($C57="","",xEURO($L57,Call2,$G57,$G57,$U57,$J57,1,3))</f>
        <v>#VALUE!</v>
      </c>
      <c r="AH57" s="90" t="e">
        <f aca="false">IF($C57="","",xEURO($L57,Put2,$G57,$G57,$V57,$J57,0,3))</f>
        <v>#VALUE!</v>
      </c>
      <c r="AI57" s="8" t="e">
        <f aca="false">IF(E57=1,G57,0)</f>
        <v>#VALUE!</v>
      </c>
      <c r="AJ57" s="8" t="e">
        <f aca="false">IF(E57=1,H57,0)</f>
        <v>#VALUE!</v>
      </c>
      <c r="AK57" s="8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91" t="n">
        <f aca="false">Swap!A58</f>
        <v>38596</v>
      </c>
      <c r="B58" s="0" t="n">
        <f aca="false">B57+1</f>
        <v>49</v>
      </c>
      <c r="C58" s="91" t="e">
        <f aca="false">IF(AND(A58&gt;=Front!$E$11,A58&lt;=Front!$E$12),A58,"")</f>
        <v>#VALUE!</v>
      </c>
      <c r="D58" s="87" t="e">
        <f aca="false">Swap!AB58</f>
        <v>#VALUE!</v>
      </c>
      <c r="E58" s="87" t="e">
        <f aca="false">IF($C58="","",1)</f>
        <v>#VALUE!</v>
      </c>
      <c r="F58" s="88" t="e">
        <f aca="false">IF($C58="","",E58*H58)</f>
        <v>#VALUE!</v>
      </c>
      <c r="G58" s="31" t="n">
        <f aca="false">Swap!AG58</f>
        <v>0.0442255800857971</v>
      </c>
      <c r="H58" s="31" t="n">
        <f aca="false">Swap!AH58</f>
        <v>2.40576515217778</v>
      </c>
      <c r="I58" s="92" t="n">
        <f aca="false">INDEX(expery,MATCH(A58,exprymonth,0),2)</f>
        <v>38590</v>
      </c>
      <c r="J58" s="87" t="n">
        <f aca="false">I58-Front!$C$2</f>
        <v>-7336</v>
      </c>
      <c r="K58" s="8" t="n">
        <f aca="false">Swap!E58</f>
        <v>3.316</v>
      </c>
      <c r="L58" s="8" t="e">
        <f aca="false">IF(C58="","",(PriceSwitch=0)*K58+(PriceSwitch=1)*(Front!$H$21+K58)+(PriceSwitch=2)*Front!$H$21)</f>
        <v>#VALUE!</v>
      </c>
      <c r="M58" s="93" t="n">
        <f aca="false">INDEX(vols,MATCH(A58,volsmonth,0),2)</f>
        <v>0.2375</v>
      </c>
      <c r="N58" s="3" t="e">
        <f aca="false">IF(Skew_Switch=0,"",IF($C58="","",(Front!$E$20=0)*M58+(Front!$E$20=1)*(Front!$E$21+M58)+(Front!$E$20=2)*Front!$E$21))</f>
        <v>#VALUE!</v>
      </c>
      <c r="O58" s="94" t="e">
        <f aca="false">IF(Skew_Switch=0,"",IF(C58="","",((calcskew(Call1-$L58,$C58,a,b))/100)))</f>
        <v>#VALUE!</v>
      </c>
      <c r="P58" s="94" t="e">
        <f aca="false">IF(Skew_Switch=0,"",IF(C58="","",((calcskew(Put1-$L58,$C58,a,b))/100)))</f>
        <v>#VALUE!</v>
      </c>
      <c r="Q58" s="94" t="e">
        <f aca="false">IF(Skew_Switch=0,"",IF(C58="","",((calcskew(Call2-$L58,$C58,a,b))/100)))</f>
        <v>#VALUE!</v>
      </c>
      <c r="R58" s="94" t="e">
        <f aca="false">IF(Skew_Switch=0,"",IF(C58="","",((calcskew(Put2-$L58,$C58,a,b))/100)))</f>
        <v>#VALUE!</v>
      </c>
      <c r="S58" s="3" t="e">
        <f aca="false">IF($C58="","",(Front!$C$19=0)*$N58+(Front!$C$19=1)*($N58+O58))</f>
        <v>#VALUE!</v>
      </c>
      <c r="T58" s="3" t="e">
        <f aca="false">IF($C58="","",(Front!$C$19=0)*$N58+(Front!$C$19=1)*($N58+P58))</f>
        <v>#VALUE!</v>
      </c>
      <c r="U58" s="3" t="e">
        <f aca="false">IF($C58="","",(Front!$C$19=0)*$N58+(Front!$C$19=1)*($N58+Q58))</f>
        <v>#VALUE!</v>
      </c>
      <c r="V58" s="3" t="e">
        <f aca="false">IF($C58="","",(Front!$C$19=0)*$N58+(Front!$C$19=1)*($N58+R58))</f>
        <v>#VALUE!</v>
      </c>
      <c r="W58" s="90" t="e">
        <f aca="false">IF($C58="","",xEURO($L58,Call1,$G58,$G58,S58,$J58,1,0))</f>
        <v>#VALUE!</v>
      </c>
      <c r="X58" s="90" t="e">
        <f aca="false">IF($C58="","",xEURO($L58,Put1,$G58,$G58,T58,$J58,0,0))</f>
        <v>#VALUE!</v>
      </c>
      <c r="Y58" s="90" t="e">
        <f aca="false">IF($C58="","",xEURO($L58,Call2,$G58,$G58,U58,$J58,1,0))</f>
        <v>#VALUE!</v>
      </c>
      <c r="Z58" s="90" t="e">
        <f aca="false">IF($C58="","",xEURO($L58,Put2,$G58,$G58,V58,$J58,0,0))</f>
        <v>#VALUE!</v>
      </c>
      <c r="AA58" s="90" t="e">
        <f aca="false">IF($C58="","",xEURO($L58,Call1,$G58,$G58,$S58,$J58,1,1))</f>
        <v>#VALUE!</v>
      </c>
      <c r="AB58" s="90" t="e">
        <f aca="false">IF($C58="","",xEURO($L58,Put1,$G58,$G58,$T58,$J58,0,1))</f>
        <v>#VALUE!</v>
      </c>
      <c r="AC58" s="90" t="e">
        <f aca="false">IF($C58="","",xEURO($L58,Call2,$G58,$G58,$U58,$J58,1,1))</f>
        <v>#VALUE!</v>
      </c>
      <c r="AD58" s="90" t="e">
        <f aca="false">IF($C58="","",xEURO($L58,Put2,$G58,$G58,$V58,$J58,0,1))</f>
        <v>#VALUE!</v>
      </c>
      <c r="AE58" s="90" t="e">
        <f aca="false">IF($C58="","",xEURO($L58,Call1,$G58,$G58,$S58,$J58,1,3))</f>
        <v>#VALUE!</v>
      </c>
      <c r="AF58" s="90" t="e">
        <f aca="false">IF($C58="","",xEURO($L58,Put1,$G58,$G58,$T58,$J58,0,3))</f>
        <v>#VALUE!</v>
      </c>
      <c r="AG58" s="90" t="e">
        <f aca="false">IF($C58="","",xEURO($L58,Call2,$G58,$G58,$U58,$J58,1,3))</f>
        <v>#VALUE!</v>
      </c>
      <c r="AH58" s="90" t="e">
        <f aca="false">IF($C58="","",xEURO($L58,Put2,$G58,$G58,$V58,$J58,0,3))</f>
        <v>#VALUE!</v>
      </c>
      <c r="AI58" s="8" t="e">
        <f aca="false">IF(E58=1,G58,0)</f>
        <v>#VALUE!</v>
      </c>
      <c r="AJ58" s="8" t="e">
        <f aca="false">IF(E58=1,H58,0)</f>
        <v>#VALUE!</v>
      </c>
      <c r="AK58" s="8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91" t="n">
        <f aca="false">Swap!A59</f>
        <v>38626</v>
      </c>
      <c r="B59" s="0" t="n">
        <f aca="false">B58+1</f>
        <v>50</v>
      </c>
      <c r="C59" s="91" t="e">
        <f aca="false">IF(AND(A59&gt;=Front!$E$11,A59&lt;=Front!$E$12),A59,"")</f>
        <v>#VALUE!</v>
      </c>
      <c r="D59" s="87" t="e">
        <f aca="false">Swap!AB59</f>
        <v>#VALUE!</v>
      </c>
      <c r="E59" s="87" t="e">
        <f aca="false">IF($C59="","",1)</f>
        <v>#VALUE!</v>
      </c>
      <c r="F59" s="88" t="e">
        <f aca="false">IF($C59="","",E59*H59)</f>
        <v>#VALUE!</v>
      </c>
      <c r="G59" s="31" t="n">
        <f aca="false">Swap!AG59</f>
        <v>0.0445113774348504</v>
      </c>
      <c r="H59" s="31" t="n">
        <f aca="false">Swap!AH59</f>
        <v>2.41056982104535</v>
      </c>
      <c r="I59" s="92" t="n">
        <f aca="false">INDEX(expery,MATCH(A59,exprymonth,0),2)</f>
        <v>38622</v>
      </c>
      <c r="J59" s="87" t="n">
        <f aca="false">I59-Front!$C$2</f>
        <v>-7304</v>
      </c>
      <c r="K59" s="8" t="n">
        <f aca="false">Swap!E59</f>
        <v>3.308</v>
      </c>
      <c r="L59" s="8" t="e">
        <f aca="false">IF(C59="","",(PriceSwitch=0)*K59+(PriceSwitch=1)*(Front!$H$21+K59)+(PriceSwitch=2)*Front!$H$21)</f>
        <v>#VALUE!</v>
      </c>
      <c r="M59" s="93" t="n">
        <f aca="false">INDEX(vols,MATCH(A59,volsmonth,0),2)</f>
        <v>0.2375</v>
      </c>
      <c r="N59" s="3" t="e">
        <f aca="false">IF(Skew_Switch=0,"",IF($C59="","",(Front!$E$20=0)*M59+(Front!$E$20=1)*(Front!$E$21+M59)+(Front!$E$20=2)*Front!$E$21))</f>
        <v>#VALUE!</v>
      </c>
      <c r="O59" s="94" t="e">
        <f aca="false">IF(Skew_Switch=0,"",IF(C59="","",((calcskew(Call1-$L59,$C59,a,b))/100)))</f>
        <v>#VALUE!</v>
      </c>
      <c r="P59" s="94" t="e">
        <f aca="false">IF(Skew_Switch=0,"",IF(C59="","",((calcskew(Put1-$L59,$C59,a,b))/100)))</f>
        <v>#VALUE!</v>
      </c>
      <c r="Q59" s="94" t="e">
        <f aca="false">IF(Skew_Switch=0,"",IF(C59="","",((calcskew(Call2-$L59,$C59,a,b))/100)))</f>
        <v>#VALUE!</v>
      </c>
      <c r="R59" s="94" t="e">
        <f aca="false">IF(Skew_Switch=0,"",IF(C59="","",((calcskew(Put2-$L59,$C59,a,b))/100)))</f>
        <v>#VALUE!</v>
      </c>
      <c r="S59" s="3" t="e">
        <f aca="false">IF($C59="","",(Front!$C$19=0)*$N59+(Front!$C$19=1)*($N59+O59))</f>
        <v>#VALUE!</v>
      </c>
      <c r="T59" s="3" t="e">
        <f aca="false">IF($C59="","",(Front!$C$19=0)*$N59+(Front!$C$19=1)*($N59+P59))</f>
        <v>#VALUE!</v>
      </c>
      <c r="U59" s="3" t="e">
        <f aca="false">IF($C59="","",(Front!$C$19=0)*$N59+(Front!$C$19=1)*($N59+Q59))</f>
        <v>#VALUE!</v>
      </c>
      <c r="V59" s="3" t="e">
        <f aca="false">IF($C59="","",(Front!$C$19=0)*$N59+(Front!$C$19=1)*($N59+R59))</f>
        <v>#VALUE!</v>
      </c>
      <c r="W59" s="90" t="e">
        <f aca="false">IF($C59="","",xEURO($L59,Call1,$G59,$G59,S59,$J59,1,0))</f>
        <v>#VALUE!</v>
      </c>
      <c r="X59" s="90" t="e">
        <f aca="false">IF($C59="","",xEURO($L59,Put1,$G59,$G59,T59,$J59,0,0))</f>
        <v>#VALUE!</v>
      </c>
      <c r="Y59" s="90" t="e">
        <f aca="false">IF($C59="","",xEURO($L59,Call2,$G59,$G59,U59,$J59,1,0))</f>
        <v>#VALUE!</v>
      </c>
      <c r="Z59" s="90" t="e">
        <f aca="false">IF($C59="","",xEURO($L59,Put2,$G59,$G59,V59,$J59,0,0))</f>
        <v>#VALUE!</v>
      </c>
      <c r="AA59" s="90" t="e">
        <f aca="false">IF($C59="","",xEURO($L59,Call1,$G59,$G59,$S59,$J59,1,1))</f>
        <v>#VALUE!</v>
      </c>
      <c r="AB59" s="90" t="e">
        <f aca="false">IF($C59="","",xEURO($L59,Put1,$G59,$G59,$T59,$J59,0,1))</f>
        <v>#VALUE!</v>
      </c>
      <c r="AC59" s="90" t="e">
        <f aca="false">IF($C59="","",xEURO($L59,Call2,$G59,$G59,$U59,$J59,1,1))</f>
        <v>#VALUE!</v>
      </c>
      <c r="AD59" s="90" t="e">
        <f aca="false">IF($C59="","",xEURO($L59,Put2,$G59,$G59,$V59,$J59,0,1))</f>
        <v>#VALUE!</v>
      </c>
      <c r="AE59" s="90" t="e">
        <f aca="false">IF($C59="","",xEURO($L59,Call1,$G59,$G59,$S59,$J59,1,3))</f>
        <v>#VALUE!</v>
      </c>
      <c r="AF59" s="90" t="e">
        <f aca="false">IF($C59="","",xEURO($L59,Put1,$G59,$G59,$T59,$J59,0,3))</f>
        <v>#VALUE!</v>
      </c>
      <c r="AG59" s="90" t="e">
        <f aca="false">IF($C59="","",xEURO($L59,Call2,$G59,$G59,$U59,$J59,1,3))</f>
        <v>#VALUE!</v>
      </c>
      <c r="AH59" s="90" t="e">
        <f aca="false">IF($C59="","",xEURO($L59,Put2,$G59,$G59,$V59,$J59,0,3))</f>
        <v>#VALUE!</v>
      </c>
      <c r="AI59" s="8" t="e">
        <f aca="false">IF(E59=1,G59,0)</f>
        <v>#VALUE!</v>
      </c>
      <c r="AJ59" s="8" t="e">
        <f aca="false">IF(E59=1,H59,0)</f>
        <v>#VALUE!</v>
      </c>
      <c r="AK59" s="8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91" t="n">
        <f aca="false">Swap!A60</f>
        <v>38657</v>
      </c>
      <c r="B60" s="0" t="n">
        <f aca="false">B59+1</f>
        <v>51</v>
      </c>
      <c r="C60" s="91" t="e">
        <f aca="false">IF(AND(A60&gt;=Front!$E$11,A60&lt;=Front!$E$12),A60,"")</f>
        <v>#VALUE!</v>
      </c>
      <c r="D60" s="87" t="e">
        <f aca="false">Swap!AB60</f>
        <v>#VALUE!</v>
      </c>
      <c r="E60" s="87" t="e">
        <f aca="false">IF($C60="","",1)</f>
        <v>#VALUE!</v>
      </c>
      <c r="F60" s="88" t="e">
        <f aca="false">IF($C60="","",E60*H60)</f>
        <v>#VALUE!</v>
      </c>
      <c r="G60" s="31" t="n">
        <f aca="false">Swap!AG60</f>
        <v>0.0447909542532514</v>
      </c>
      <c r="H60" s="31" t="n">
        <f aca="false">Swap!AH60</f>
        <v>2.41468592953751</v>
      </c>
      <c r="I60" s="92" t="n">
        <f aca="false">INDEX(expery,MATCH(A60,exprymonth,0),2)</f>
        <v>38651</v>
      </c>
      <c r="J60" s="87" t="n">
        <f aca="false">I60-Front!$C$2</f>
        <v>-7275</v>
      </c>
      <c r="K60" s="8" t="n">
        <f aca="false">Swap!E60</f>
        <v>3.478</v>
      </c>
      <c r="L60" s="8" t="e">
        <f aca="false">IF(C60="","",(PriceSwitch=0)*K60+(PriceSwitch=1)*(Front!$H$21+K60)+(PriceSwitch=2)*Front!$H$21)</f>
        <v>#VALUE!</v>
      </c>
      <c r="M60" s="93" t="n">
        <f aca="false">INDEX(vols,MATCH(A60,volsmonth,0),2)</f>
        <v>0.24</v>
      </c>
      <c r="N60" s="3" t="e">
        <f aca="false">IF(Skew_Switch=0,"",IF($C60="","",(Front!$E$20=0)*M60+(Front!$E$20=1)*(Front!$E$21+M60)+(Front!$E$20=2)*Front!$E$21))</f>
        <v>#VALUE!</v>
      </c>
      <c r="O60" s="94" t="e">
        <f aca="false">IF(Skew_Switch=0,"",IF(C60="","",((calcskew(Call1-$L60,$C60,a,b))/100)))</f>
        <v>#VALUE!</v>
      </c>
      <c r="P60" s="94" t="e">
        <f aca="false">IF(Skew_Switch=0,"",IF(C60="","",((calcskew(Put1-$L60,$C60,a,b))/100)))</f>
        <v>#VALUE!</v>
      </c>
      <c r="Q60" s="94" t="e">
        <f aca="false">IF(Skew_Switch=0,"",IF(C60="","",((calcskew(Call2-$L60,$C60,a,b))/100)))</f>
        <v>#VALUE!</v>
      </c>
      <c r="R60" s="94" t="e">
        <f aca="false">IF(Skew_Switch=0,"",IF(C60="","",((calcskew(Put2-$L60,$C60,a,b))/100)))</f>
        <v>#VALUE!</v>
      </c>
      <c r="S60" s="3" t="e">
        <f aca="false">IF($C60="","",(Front!$C$19=0)*$N60+(Front!$C$19=1)*($N60+O60))</f>
        <v>#VALUE!</v>
      </c>
      <c r="T60" s="3" t="e">
        <f aca="false">IF($C60="","",(Front!$C$19=0)*$N60+(Front!$C$19=1)*($N60+P60))</f>
        <v>#VALUE!</v>
      </c>
      <c r="U60" s="3" t="e">
        <f aca="false">IF($C60="","",(Front!$C$19=0)*$N60+(Front!$C$19=1)*($N60+Q60))</f>
        <v>#VALUE!</v>
      </c>
      <c r="V60" s="3" t="e">
        <f aca="false">IF($C60="","",(Front!$C$19=0)*$N60+(Front!$C$19=1)*($N60+R60))</f>
        <v>#VALUE!</v>
      </c>
      <c r="W60" s="90" t="e">
        <f aca="false">IF($C60="","",xEURO($L60,Call1,$G60,$G60,S60,$J60,1,0))</f>
        <v>#VALUE!</v>
      </c>
      <c r="X60" s="90" t="e">
        <f aca="false">IF($C60="","",xEURO($L60,Put1,$G60,$G60,T60,$J60,0,0))</f>
        <v>#VALUE!</v>
      </c>
      <c r="Y60" s="90" t="e">
        <f aca="false">IF($C60="","",xEURO($L60,Call2,$G60,$G60,U60,$J60,1,0))</f>
        <v>#VALUE!</v>
      </c>
      <c r="Z60" s="90" t="e">
        <f aca="false">IF($C60="","",xEURO($L60,Put2,$G60,$G60,V60,$J60,0,0))</f>
        <v>#VALUE!</v>
      </c>
      <c r="AA60" s="90" t="e">
        <f aca="false">IF($C60="","",xEURO($L60,Call1,$G60,$G60,$S60,$J60,1,1))</f>
        <v>#VALUE!</v>
      </c>
      <c r="AB60" s="90" t="e">
        <f aca="false">IF($C60="","",xEURO($L60,Put1,$G60,$G60,$T60,$J60,0,1))</f>
        <v>#VALUE!</v>
      </c>
      <c r="AC60" s="90" t="e">
        <f aca="false">IF($C60="","",xEURO($L60,Call2,$G60,$G60,$U60,$J60,1,1))</f>
        <v>#VALUE!</v>
      </c>
      <c r="AD60" s="90" t="e">
        <f aca="false">IF($C60="","",xEURO($L60,Put2,$G60,$G60,$V60,$J60,0,1))</f>
        <v>#VALUE!</v>
      </c>
      <c r="AE60" s="90" t="e">
        <f aca="false">IF($C60="","",xEURO($L60,Call1,$G60,$G60,$S60,$J60,1,3))</f>
        <v>#VALUE!</v>
      </c>
      <c r="AF60" s="90" t="e">
        <f aca="false">IF($C60="","",xEURO($L60,Put1,$G60,$G60,$T60,$J60,0,3))</f>
        <v>#VALUE!</v>
      </c>
      <c r="AG60" s="90" t="e">
        <f aca="false">IF($C60="","",xEURO($L60,Call2,$G60,$G60,$U60,$J60,1,3))</f>
        <v>#VALUE!</v>
      </c>
      <c r="AH60" s="90" t="e">
        <f aca="false">IF($C60="","",xEURO($L60,Put2,$G60,$G60,$V60,$J60,0,3))</f>
        <v>#VALUE!</v>
      </c>
      <c r="AI60" s="8" t="e">
        <f aca="false">IF(E60=1,G60,0)</f>
        <v>#VALUE!</v>
      </c>
      <c r="AJ60" s="8" t="e">
        <f aca="false">IF(E60=1,H60,0)</f>
        <v>#VALUE!</v>
      </c>
      <c r="AK60" s="8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91" t="n">
        <f aca="false">Swap!A61</f>
        <v>38687</v>
      </c>
      <c r="B61" s="0" t="n">
        <f aca="false">B60+1</f>
        <v>52</v>
      </c>
      <c r="C61" s="91" t="e">
        <f aca="false">IF(AND(A61&gt;=Front!$E$11,A61&lt;=Front!$E$12),A61,"")</f>
        <v>#VALUE!</v>
      </c>
      <c r="D61" s="87" t="e">
        <f aca="false">Swap!AB61</f>
        <v>#VALUE!</v>
      </c>
      <c r="E61" s="87" t="e">
        <f aca="false">IF($C61="","",1)</f>
        <v>#VALUE!</v>
      </c>
      <c r="F61" s="88" t="e">
        <f aca="false">IF($C61="","",E61*H61)</f>
        <v>#VALUE!</v>
      </c>
      <c r="G61" s="31" t="n">
        <f aca="false">Swap!AG61</f>
        <v>0.0450615124895188</v>
      </c>
      <c r="H61" s="31" t="n">
        <f aca="false">Swap!AH61</f>
        <v>2.418567346552</v>
      </c>
      <c r="I61" s="92" t="n">
        <f aca="false">INDEX(expery,MATCH(A61,exprymonth,0),2)</f>
        <v>38681</v>
      </c>
      <c r="J61" s="87" t="n">
        <f aca="false">I61-Front!$C$2</f>
        <v>-7245</v>
      </c>
      <c r="K61" s="8" t="n">
        <f aca="false">Swap!E61</f>
        <v>3.653</v>
      </c>
      <c r="L61" s="8" t="e">
        <f aca="false">IF(C61="","",(PriceSwitch=0)*K61+(PriceSwitch=1)*(Front!$H$21+K61)+(PriceSwitch=2)*Front!$H$21)</f>
        <v>#VALUE!</v>
      </c>
      <c r="M61" s="93" t="n">
        <f aca="false">INDEX(vols,MATCH(A61,volsmonth,0),2)</f>
        <v>0.2425</v>
      </c>
      <c r="N61" s="3" t="e">
        <f aca="false">IF(Skew_Switch=0,"",IF($C61="","",(Front!$E$20=0)*M61+(Front!$E$20=1)*(Front!$E$21+M61)+(Front!$E$20=2)*Front!$E$21))</f>
        <v>#VALUE!</v>
      </c>
      <c r="O61" s="94" t="e">
        <f aca="false">IF(Skew_Switch=0,"",IF(C61="","",((calcskew(Call1-$L61,$C61,a,b))/100)))</f>
        <v>#VALUE!</v>
      </c>
      <c r="P61" s="94" t="e">
        <f aca="false">IF(Skew_Switch=0,"",IF(C61="","",((calcskew(Put1-$L61,$C61,a,b))/100)))</f>
        <v>#VALUE!</v>
      </c>
      <c r="Q61" s="94" t="e">
        <f aca="false">IF(Skew_Switch=0,"",IF(C61="","",((calcskew(Call2-$L61,$C61,a,b))/100)))</f>
        <v>#VALUE!</v>
      </c>
      <c r="R61" s="94" t="e">
        <f aca="false">IF(Skew_Switch=0,"",IF(C61="","",((calcskew(Put2-$L61,$C61,a,b))/100)))</f>
        <v>#VALUE!</v>
      </c>
      <c r="S61" s="3" t="e">
        <f aca="false">IF($C61="","",(Front!$C$19=0)*$N61+(Front!$C$19=1)*($N61+O61))</f>
        <v>#VALUE!</v>
      </c>
      <c r="T61" s="3" t="e">
        <f aca="false">IF($C61="","",(Front!$C$19=0)*$N61+(Front!$C$19=1)*($N61+P61))</f>
        <v>#VALUE!</v>
      </c>
      <c r="U61" s="3" t="e">
        <f aca="false">IF($C61="","",(Front!$C$19=0)*$N61+(Front!$C$19=1)*($N61+Q61))</f>
        <v>#VALUE!</v>
      </c>
      <c r="V61" s="3" t="e">
        <f aca="false">IF($C61="","",(Front!$C$19=0)*$N61+(Front!$C$19=1)*($N61+R61))</f>
        <v>#VALUE!</v>
      </c>
      <c r="W61" s="90" t="e">
        <f aca="false">IF($C61="","",xEURO($L61,Call1,$G61,$G61,S61,$J61,1,0))</f>
        <v>#VALUE!</v>
      </c>
      <c r="X61" s="90" t="e">
        <f aca="false">IF($C61="","",xEURO($L61,Put1,$G61,$G61,T61,$J61,0,0))</f>
        <v>#VALUE!</v>
      </c>
      <c r="Y61" s="90" t="e">
        <f aca="false">IF($C61="","",xEURO($L61,Call2,$G61,$G61,U61,$J61,1,0))</f>
        <v>#VALUE!</v>
      </c>
      <c r="Z61" s="90" t="e">
        <f aca="false">IF($C61="","",xEURO($L61,Put2,$G61,$G61,V61,$J61,0,0))</f>
        <v>#VALUE!</v>
      </c>
      <c r="AA61" s="90" t="e">
        <f aca="false">IF($C61="","",xEURO($L61,Call1,$G61,$G61,$S61,$J61,1,1))</f>
        <v>#VALUE!</v>
      </c>
      <c r="AB61" s="90" t="e">
        <f aca="false">IF($C61="","",xEURO($L61,Put1,$G61,$G61,$T61,$J61,0,1))</f>
        <v>#VALUE!</v>
      </c>
      <c r="AC61" s="90" t="e">
        <f aca="false">IF($C61="","",xEURO($L61,Call2,$G61,$G61,$U61,$J61,1,1))</f>
        <v>#VALUE!</v>
      </c>
      <c r="AD61" s="90" t="e">
        <f aca="false">IF($C61="","",xEURO($L61,Put2,$G61,$G61,$V61,$J61,0,1))</f>
        <v>#VALUE!</v>
      </c>
      <c r="AE61" s="90" t="e">
        <f aca="false">IF($C61="","",xEURO($L61,Call1,$G61,$G61,$S61,$J61,1,3))</f>
        <v>#VALUE!</v>
      </c>
      <c r="AF61" s="90" t="e">
        <f aca="false">IF($C61="","",xEURO($L61,Put1,$G61,$G61,$T61,$J61,0,3))</f>
        <v>#VALUE!</v>
      </c>
      <c r="AG61" s="90" t="e">
        <f aca="false">IF($C61="","",xEURO($L61,Call2,$G61,$G61,$U61,$J61,1,3))</f>
        <v>#VALUE!</v>
      </c>
      <c r="AH61" s="90" t="e">
        <f aca="false">IF($C61="","",xEURO($L61,Put2,$G61,$G61,$V61,$J61,0,3))</f>
        <v>#VALUE!</v>
      </c>
      <c r="AI61" s="8" t="e">
        <f aca="false">IF(E61=1,G61,0)</f>
        <v>#VALUE!</v>
      </c>
      <c r="AJ61" s="8" t="e">
        <f aca="false">IF(E61=1,H61,0)</f>
        <v>#VALUE!</v>
      </c>
      <c r="AK61" s="8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91" t="n">
        <f aca="false">Swap!A62</f>
        <v>38718</v>
      </c>
      <c r="B62" s="0" t="n">
        <f aca="false">B61+1</f>
        <v>53</v>
      </c>
      <c r="C62" s="91" t="e">
        <f aca="false">IF(AND(A62&gt;=Front!$E$11,A62&lt;=Front!$E$12),A62,"")</f>
        <v>#VALUE!</v>
      </c>
      <c r="D62" s="87" t="e">
        <f aca="false">Swap!AB62</f>
        <v>#VALUE!</v>
      </c>
      <c r="E62" s="87" t="e">
        <f aca="false">IF($C62="","",1)</f>
        <v>#VALUE!</v>
      </c>
      <c r="F62" s="88" t="e">
        <f aca="false">IF($C62="","",E62*H62)</f>
        <v>#VALUE!</v>
      </c>
      <c r="G62" s="31" t="n">
        <f aca="false">Swap!AG62</f>
        <v>0.0453345209356959</v>
      </c>
      <c r="H62" s="31" t="n">
        <f aca="false">Swap!AH62</f>
        <v>2.42216528377228</v>
      </c>
      <c r="I62" s="92" t="n">
        <f aca="false">INDEX(expery,MATCH(A62,exprymonth,0),2)</f>
        <v>38713</v>
      </c>
      <c r="J62" s="87" t="n">
        <f aca="false">I62-Front!$C$2</f>
        <v>-7213</v>
      </c>
      <c r="K62" s="8" t="n">
        <f aca="false">Swap!E62</f>
        <v>3.6905</v>
      </c>
      <c r="L62" s="8" t="e">
        <f aca="false">IF(C62="","",(PriceSwitch=0)*K62+(PriceSwitch=1)*(Front!$H$21+K62)+(PriceSwitch=2)*Front!$H$21)</f>
        <v>#VALUE!</v>
      </c>
      <c r="M62" s="93" t="n">
        <f aca="false">INDEX(vols,MATCH(A62,volsmonth,0),2)</f>
        <v>0.2425</v>
      </c>
      <c r="N62" s="3" t="e">
        <f aca="false">IF(Skew_Switch=0,"",IF($C62="","",(Front!$E$20=0)*M62+(Front!$E$20=1)*(Front!$E$21+M62)+(Front!$E$20=2)*Front!$E$21))</f>
        <v>#VALUE!</v>
      </c>
      <c r="O62" s="94" t="e">
        <f aca="false">IF(Skew_Switch=0,"",IF(C62="","",((calcskew(Call1-$L62,$C62,a,b))/100)))</f>
        <v>#VALUE!</v>
      </c>
      <c r="P62" s="94" t="e">
        <f aca="false">IF(Skew_Switch=0,"",IF(C62="","",((calcskew(Put1-$L62,$C62,a,b))/100)))</f>
        <v>#VALUE!</v>
      </c>
      <c r="Q62" s="94" t="e">
        <f aca="false">IF(Skew_Switch=0,"",IF(C62="","",((calcskew(Call2-$L62,$C62,a,b))/100)))</f>
        <v>#VALUE!</v>
      </c>
      <c r="R62" s="94" t="e">
        <f aca="false">IF(Skew_Switch=0,"",IF(C62="","",((calcskew(Put2-$L62,$C62,a,b))/100)))</f>
        <v>#VALUE!</v>
      </c>
      <c r="S62" s="3" t="e">
        <f aca="false">IF($C62="","",(Front!$C$19=0)*$N62+(Front!$C$19=1)*($N62+O62))</f>
        <v>#VALUE!</v>
      </c>
      <c r="T62" s="3" t="e">
        <f aca="false">IF($C62="","",(Front!$C$19=0)*$N62+(Front!$C$19=1)*($N62+P62))</f>
        <v>#VALUE!</v>
      </c>
      <c r="U62" s="3" t="e">
        <f aca="false">IF($C62="","",(Front!$C$19=0)*$N62+(Front!$C$19=1)*($N62+Q62))</f>
        <v>#VALUE!</v>
      </c>
      <c r="V62" s="3" t="e">
        <f aca="false">IF($C62="","",(Front!$C$19=0)*$N62+(Front!$C$19=1)*($N62+R62))</f>
        <v>#VALUE!</v>
      </c>
      <c r="W62" s="90" t="e">
        <f aca="false">IF($C62="","",xEURO($L62,Call1,$G62,$G62,S62,$J62,1,0))</f>
        <v>#VALUE!</v>
      </c>
      <c r="X62" s="90" t="e">
        <f aca="false">IF($C62="","",xEURO($L62,Put1,$G62,$G62,T62,$J62,0,0))</f>
        <v>#VALUE!</v>
      </c>
      <c r="Y62" s="90" t="e">
        <f aca="false">IF($C62="","",xEURO($L62,Call2,$G62,$G62,U62,$J62,1,0))</f>
        <v>#VALUE!</v>
      </c>
      <c r="Z62" s="90" t="e">
        <f aca="false">IF($C62="","",xEURO($L62,Put2,$G62,$G62,V62,$J62,0,0))</f>
        <v>#VALUE!</v>
      </c>
      <c r="AA62" s="90" t="e">
        <f aca="false">IF($C62="","",xEURO($L62,Call1,$G62,$G62,$S62,$J62,1,1))</f>
        <v>#VALUE!</v>
      </c>
      <c r="AB62" s="90" t="e">
        <f aca="false">IF($C62="","",xEURO($L62,Put1,$G62,$G62,$T62,$J62,0,1))</f>
        <v>#VALUE!</v>
      </c>
      <c r="AC62" s="90" t="e">
        <f aca="false">IF($C62="","",xEURO($L62,Call2,$G62,$G62,$U62,$J62,1,1))</f>
        <v>#VALUE!</v>
      </c>
      <c r="AD62" s="90" t="e">
        <f aca="false">IF($C62="","",xEURO($L62,Put2,$G62,$G62,$V62,$J62,0,1))</f>
        <v>#VALUE!</v>
      </c>
      <c r="AE62" s="90" t="e">
        <f aca="false">IF($C62="","",xEURO($L62,Call1,$G62,$G62,$S62,$J62,1,3))</f>
        <v>#VALUE!</v>
      </c>
      <c r="AF62" s="90" t="e">
        <f aca="false">IF($C62="","",xEURO($L62,Put1,$G62,$G62,$T62,$J62,0,3))</f>
        <v>#VALUE!</v>
      </c>
      <c r="AG62" s="90" t="e">
        <f aca="false">IF($C62="","",xEURO($L62,Call2,$G62,$G62,$U62,$J62,1,3))</f>
        <v>#VALUE!</v>
      </c>
      <c r="AH62" s="90" t="e">
        <f aca="false">IF($C62="","",xEURO($L62,Put2,$G62,$G62,$V62,$J62,0,3))</f>
        <v>#VALUE!</v>
      </c>
      <c r="AI62" s="8" t="e">
        <f aca="false">IF(E62=1,G62,0)</f>
        <v>#VALUE!</v>
      </c>
      <c r="AJ62" s="8" t="e">
        <f aca="false">IF(E62=1,H62,0)</f>
        <v>#VALUE!</v>
      </c>
      <c r="AK62" s="8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91" t="n">
        <f aca="false">Swap!A63</f>
        <v>38749</v>
      </c>
      <c r="B63" s="0" t="n">
        <f aca="false">B62+1</f>
        <v>54</v>
      </c>
      <c r="C63" s="91" t="e">
        <f aca="false">IF(AND(A63&gt;=Front!$E$11,A63&lt;=Front!$E$12),A63,"")</f>
        <v>#VALUE!</v>
      </c>
      <c r="D63" s="87" t="e">
        <f aca="false">Swap!AB63</f>
        <v>#VALUE!</v>
      </c>
      <c r="E63" s="87" t="e">
        <f aca="false">IF($C63="","",1)</f>
        <v>#VALUE!</v>
      </c>
      <c r="F63" s="88" t="e">
        <f aca="false">IF($C63="","",E63*H63)</f>
        <v>#VALUE!</v>
      </c>
      <c r="G63" s="31" t="n">
        <f aca="false">Swap!AG63</f>
        <v>0.0455955868172078</v>
      </c>
      <c r="H63" s="31" t="n">
        <f aca="false">Swap!AH63</f>
        <v>2.42510047990456</v>
      </c>
      <c r="I63" s="92" t="n">
        <f aca="false">INDEX(expery,MATCH(A63,exprymonth,0),2)</f>
        <v>38743</v>
      </c>
      <c r="J63" s="87" t="n">
        <f aca="false">I63-Front!$C$2</f>
        <v>-7183</v>
      </c>
      <c r="K63" s="8" t="n">
        <f aca="false">Swap!E63</f>
        <v>3.5765</v>
      </c>
      <c r="L63" s="8" t="e">
        <f aca="false">IF(C63="","",(PriceSwitch=0)*K63+(PriceSwitch=1)*(Front!$H$21+K63)+(PriceSwitch=2)*Front!$H$21)</f>
        <v>#VALUE!</v>
      </c>
      <c r="M63" s="93" t="n">
        <f aca="false">INDEX(vols,MATCH(A63,volsmonth,0),2)</f>
        <v>0.24</v>
      </c>
      <c r="N63" s="3" t="e">
        <f aca="false">IF(Skew_Switch=0,"",IF($C63="","",(Front!$E$20=0)*M63+(Front!$E$20=1)*(Front!$E$21+M63)+(Front!$E$20=2)*Front!$E$21))</f>
        <v>#VALUE!</v>
      </c>
      <c r="O63" s="94" t="e">
        <f aca="false">IF(Skew_Switch=0,"",IF(C63="","",((calcskew(Call1-$L63,$C63,a,b))/100)))</f>
        <v>#VALUE!</v>
      </c>
      <c r="P63" s="94" t="e">
        <f aca="false">IF(Skew_Switch=0,"",IF(C63="","",((calcskew(Put1-$L63,$C63,a,b))/100)))</f>
        <v>#VALUE!</v>
      </c>
      <c r="Q63" s="94" t="e">
        <f aca="false">IF(Skew_Switch=0,"",IF(C63="","",((calcskew(Call2-$L63,$C63,a,b))/100)))</f>
        <v>#VALUE!</v>
      </c>
      <c r="R63" s="94" t="e">
        <f aca="false">IF(Skew_Switch=0,"",IF(C63="","",((calcskew(Put2-$L63,$C63,a,b))/100)))</f>
        <v>#VALUE!</v>
      </c>
      <c r="S63" s="3" t="e">
        <f aca="false">IF($C63="","",(Front!$C$19=0)*$N63+(Front!$C$19=1)*($N63+O63))</f>
        <v>#VALUE!</v>
      </c>
      <c r="T63" s="3" t="e">
        <f aca="false">IF($C63="","",(Front!$C$19=0)*$N63+(Front!$C$19=1)*($N63+P63))</f>
        <v>#VALUE!</v>
      </c>
      <c r="U63" s="3" t="e">
        <f aca="false">IF($C63="","",(Front!$C$19=0)*$N63+(Front!$C$19=1)*($N63+Q63))</f>
        <v>#VALUE!</v>
      </c>
      <c r="V63" s="3" t="e">
        <f aca="false">IF($C63="","",(Front!$C$19=0)*$N63+(Front!$C$19=1)*($N63+R63))</f>
        <v>#VALUE!</v>
      </c>
      <c r="W63" s="90" t="e">
        <f aca="false">IF($C63="","",xEURO($L63,Call1,$G63,$G63,S63,$J63,1,0))</f>
        <v>#VALUE!</v>
      </c>
      <c r="X63" s="90" t="e">
        <f aca="false">IF($C63="","",xEURO($L63,Put1,$G63,$G63,T63,$J63,0,0))</f>
        <v>#VALUE!</v>
      </c>
      <c r="Y63" s="90" t="e">
        <f aca="false">IF($C63="","",xEURO($L63,Call2,$G63,$G63,U63,$J63,1,0))</f>
        <v>#VALUE!</v>
      </c>
      <c r="Z63" s="90" t="e">
        <f aca="false">IF($C63="","",xEURO($L63,Put2,$G63,$G63,V63,$J63,0,0))</f>
        <v>#VALUE!</v>
      </c>
      <c r="AA63" s="90" t="e">
        <f aca="false">IF($C63="","",xEURO($L63,Call1,$G63,$G63,$S63,$J63,1,1))</f>
        <v>#VALUE!</v>
      </c>
      <c r="AB63" s="90" t="e">
        <f aca="false">IF($C63="","",xEURO($L63,Put1,$G63,$G63,$T63,$J63,0,1))</f>
        <v>#VALUE!</v>
      </c>
      <c r="AC63" s="90" t="e">
        <f aca="false">IF($C63="","",xEURO($L63,Call2,$G63,$G63,$U63,$J63,1,1))</f>
        <v>#VALUE!</v>
      </c>
      <c r="AD63" s="90" t="e">
        <f aca="false">IF($C63="","",xEURO($L63,Put2,$G63,$G63,$V63,$J63,0,1))</f>
        <v>#VALUE!</v>
      </c>
      <c r="AE63" s="90" t="e">
        <f aca="false">IF($C63="","",xEURO($L63,Call1,$G63,$G63,$S63,$J63,1,3))</f>
        <v>#VALUE!</v>
      </c>
      <c r="AF63" s="90" t="e">
        <f aca="false">IF($C63="","",xEURO($L63,Put1,$G63,$G63,$T63,$J63,0,3))</f>
        <v>#VALUE!</v>
      </c>
      <c r="AG63" s="90" t="e">
        <f aca="false">IF($C63="","",xEURO($L63,Call2,$G63,$G63,$U63,$J63,1,3))</f>
        <v>#VALUE!</v>
      </c>
      <c r="AH63" s="90" t="e">
        <f aca="false">IF($C63="","",xEURO($L63,Put2,$G63,$G63,$V63,$J63,0,3))</f>
        <v>#VALUE!</v>
      </c>
      <c r="AI63" s="8" t="e">
        <f aca="false">IF(E63=1,G63,0)</f>
        <v>#VALUE!</v>
      </c>
      <c r="AJ63" s="8" t="e">
        <f aca="false">IF(E63=1,H63,0)</f>
        <v>#VALUE!</v>
      </c>
      <c r="AK63" s="8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91" t="n">
        <f aca="false">Swap!A64</f>
        <v>38777</v>
      </c>
      <c r="B64" s="0" t="n">
        <f aca="false">B63+1</f>
        <v>55</v>
      </c>
      <c r="C64" s="91" t="e">
        <f aca="false">IF(AND(A64&gt;=Front!$E$11,A64&lt;=Front!$E$12),A64,"")</f>
        <v>#VALUE!</v>
      </c>
      <c r="D64" s="87" t="e">
        <f aca="false">Swap!AB64</f>
        <v>#VALUE!</v>
      </c>
      <c r="E64" s="87" t="e">
        <f aca="false">IF($C64="","",1)</f>
        <v>#VALUE!</v>
      </c>
      <c r="F64" s="88" t="e">
        <f aca="false">IF($C64="","",E64*H64)</f>
        <v>#VALUE!</v>
      </c>
      <c r="G64" s="31" t="n">
        <f aca="false">Swap!AG64</f>
        <v>0.0458313882781751</v>
      </c>
      <c r="H64" s="31" t="n">
        <f aca="false">Swap!AH64</f>
        <v>2.427662936875</v>
      </c>
      <c r="I64" s="92" t="n">
        <f aca="false">INDEX(expery,MATCH(A64,exprymonth,0),2)</f>
        <v>38771</v>
      </c>
      <c r="J64" s="87" t="n">
        <f aca="false">I64-Front!$C$2</f>
        <v>-7155</v>
      </c>
      <c r="K64" s="8" t="n">
        <f aca="false">Swap!E64</f>
        <v>3.4445</v>
      </c>
      <c r="L64" s="8" t="e">
        <f aca="false">IF(C64="","",(PriceSwitch=0)*K64+(PriceSwitch=1)*(Front!$H$21+K64)+(PriceSwitch=2)*Front!$H$21)</f>
        <v>#VALUE!</v>
      </c>
      <c r="M64" s="93" t="n">
        <f aca="false">INDEX(vols,MATCH(A64,volsmonth,0),2)</f>
        <v>0.24</v>
      </c>
      <c r="N64" s="3" t="e">
        <f aca="false">IF(Skew_Switch=0,"",IF($C64="","",(Front!$E$20=0)*M64+(Front!$E$20=1)*(Front!$E$21+M64)+(Front!$E$20=2)*Front!$E$21))</f>
        <v>#VALUE!</v>
      </c>
      <c r="O64" s="94" t="e">
        <f aca="false">IF(Skew_Switch=0,"",IF(C64="","",((calcskew(Call1-$L64,$C64,a,b))/100)))</f>
        <v>#VALUE!</v>
      </c>
      <c r="P64" s="94" t="e">
        <f aca="false">IF(Skew_Switch=0,"",IF(C64="","",((calcskew(Put1-$L64,$C64,a,b))/100)))</f>
        <v>#VALUE!</v>
      </c>
      <c r="Q64" s="94" t="e">
        <f aca="false">IF(Skew_Switch=0,"",IF(C64="","",((calcskew(Call2-$L64,$C64,a,b))/100)))</f>
        <v>#VALUE!</v>
      </c>
      <c r="R64" s="94" t="e">
        <f aca="false">IF(Skew_Switch=0,"",IF(C64="","",((calcskew(Put2-$L64,$C64,a,b))/100)))</f>
        <v>#VALUE!</v>
      </c>
      <c r="S64" s="3" t="e">
        <f aca="false">IF($C64="","",(Front!$C$19=0)*$N64+(Front!$C$19=1)*($N64+O64))</f>
        <v>#VALUE!</v>
      </c>
      <c r="T64" s="3" t="e">
        <f aca="false">IF($C64="","",(Front!$C$19=0)*$N64+(Front!$C$19=1)*($N64+P64))</f>
        <v>#VALUE!</v>
      </c>
      <c r="U64" s="3" t="e">
        <f aca="false">IF($C64="","",(Front!$C$19=0)*$N64+(Front!$C$19=1)*($N64+Q64))</f>
        <v>#VALUE!</v>
      </c>
      <c r="V64" s="3" t="e">
        <f aca="false">IF($C64="","",(Front!$C$19=0)*$N64+(Front!$C$19=1)*($N64+R64))</f>
        <v>#VALUE!</v>
      </c>
      <c r="W64" s="90" t="e">
        <f aca="false">IF($C64="","",xEURO($L64,Call1,$G64,$G64,S64,$J64,1,0))</f>
        <v>#VALUE!</v>
      </c>
      <c r="X64" s="90" t="e">
        <f aca="false">IF($C64="","",xEURO($L64,Put1,$G64,$G64,T64,$J64,0,0))</f>
        <v>#VALUE!</v>
      </c>
      <c r="Y64" s="90" t="e">
        <f aca="false">IF($C64="","",xEURO($L64,Call2,$G64,$G64,U64,$J64,1,0))</f>
        <v>#VALUE!</v>
      </c>
      <c r="Z64" s="90" t="e">
        <f aca="false">IF($C64="","",xEURO($L64,Put2,$G64,$G64,V64,$J64,0,0))</f>
        <v>#VALUE!</v>
      </c>
      <c r="AA64" s="90" t="e">
        <f aca="false">IF($C64="","",xEURO($L64,Call1,$G64,$G64,$S64,$J64,1,1))</f>
        <v>#VALUE!</v>
      </c>
      <c r="AB64" s="90" t="e">
        <f aca="false">IF($C64="","",xEURO($L64,Put1,$G64,$G64,$T64,$J64,0,1))</f>
        <v>#VALUE!</v>
      </c>
      <c r="AC64" s="90" t="e">
        <f aca="false">IF($C64="","",xEURO($L64,Call2,$G64,$G64,$U64,$J64,1,1))</f>
        <v>#VALUE!</v>
      </c>
      <c r="AD64" s="90" t="e">
        <f aca="false">IF($C64="","",xEURO($L64,Put2,$G64,$G64,$V64,$J64,0,1))</f>
        <v>#VALUE!</v>
      </c>
      <c r="AE64" s="90" t="e">
        <f aca="false">IF($C64="","",xEURO($L64,Call1,$G64,$G64,$S64,$J64,1,3))</f>
        <v>#VALUE!</v>
      </c>
      <c r="AF64" s="90" t="e">
        <f aca="false">IF($C64="","",xEURO($L64,Put1,$G64,$G64,$T64,$J64,0,3))</f>
        <v>#VALUE!</v>
      </c>
      <c r="AG64" s="90" t="e">
        <f aca="false">IF($C64="","",xEURO($L64,Call2,$G64,$G64,$U64,$J64,1,3))</f>
        <v>#VALUE!</v>
      </c>
      <c r="AH64" s="90" t="e">
        <f aca="false">IF($C64="","",xEURO($L64,Put2,$G64,$G64,$V64,$J64,0,3))</f>
        <v>#VALUE!</v>
      </c>
      <c r="AI64" s="8" t="e">
        <f aca="false">IF(E64=1,G64,0)</f>
        <v>#VALUE!</v>
      </c>
      <c r="AJ64" s="8" t="e">
        <f aca="false">IF(E64=1,H64,0)</f>
        <v>#VALUE!</v>
      </c>
      <c r="AK64" s="8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91" t="n">
        <f aca="false">Swap!A65</f>
        <v>38808</v>
      </c>
      <c r="B65" s="0" t="n">
        <f aca="false">B64+1</f>
        <v>56</v>
      </c>
      <c r="C65" s="91" t="e">
        <f aca="false">IF(AND(A65&gt;=Front!$E$11,A65&lt;=Front!$E$12),A65,"")</f>
        <v>#VALUE!</v>
      </c>
      <c r="D65" s="87" t="e">
        <f aca="false">Swap!AB65</f>
        <v>#VALUE!</v>
      </c>
      <c r="E65" s="87" t="e">
        <f aca="false">IF($C65="","",1)</f>
        <v>#VALUE!</v>
      </c>
      <c r="F65" s="88" t="e">
        <f aca="false">IF($C65="","",E65*H65)</f>
        <v>#VALUE!</v>
      </c>
      <c r="G65" s="31" t="n">
        <f aca="false">Swap!AG65</f>
        <v>0.0460924542030874</v>
      </c>
      <c r="H65" s="31" t="n">
        <f aca="false">Swap!AH65</f>
        <v>2.43040143048641</v>
      </c>
      <c r="I65" s="92" t="n">
        <f aca="false">INDEX(expery,MATCH(A65,exprymonth,0),2)</f>
        <v>38804</v>
      </c>
      <c r="J65" s="87" t="n">
        <f aca="false">I65-Front!$C$2</f>
        <v>-7122</v>
      </c>
      <c r="K65" s="8" t="n">
        <f aca="false">Swap!E65</f>
        <v>3.2745</v>
      </c>
      <c r="L65" s="8" t="e">
        <f aca="false">IF(C65="","",(PriceSwitch=0)*K65+(PriceSwitch=1)*(Front!$H$21+K65)+(PriceSwitch=2)*Front!$H$21)</f>
        <v>#VALUE!</v>
      </c>
      <c r="M65" s="93" t="n">
        <f aca="false">INDEX(vols,MATCH(A65,volsmonth,0),2)</f>
        <v>0.24</v>
      </c>
      <c r="N65" s="3" t="e">
        <f aca="false">IF(Skew_Switch=0,"",IF($C65="","",(Front!$E$20=0)*M65+(Front!$E$20=1)*(Front!$E$21+M65)+(Front!$E$20=2)*Front!$E$21))</f>
        <v>#VALUE!</v>
      </c>
      <c r="O65" s="94" t="e">
        <f aca="false">IF(Skew_Switch=0,"",IF(C65="","",((calcskew(Call1-$L65,$C65,a,b))/100)))</f>
        <v>#VALUE!</v>
      </c>
      <c r="P65" s="94" t="e">
        <f aca="false">IF(Skew_Switch=0,"",IF(C65="","",((calcskew(Put1-$L65,$C65,a,b))/100)))</f>
        <v>#VALUE!</v>
      </c>
      <c r="Q65" s="94" t="e">
        <f aca="false">IF(Skew_Switch=0,"",IF(C65="","",((calcskew(Call2-$L65,$C65,a,b))/100)))</f>
        <v>#VALUE!</v>
      </c>
      <c r="R65" s="94" t="e">
        <f aca="false">IF(Skew_Switch=0,"",IF(C65="","",((calcskew(Put2-$L65,$C65,a,b))/100)))</f>
        <v>#VALUE!</v>
      </c>
      <c r="S65" s="3" t="e">
        <f aca="false">IF($C65="","",(Front!$C$19=0)*$N65+(Front!$C$19=1)*($N65+O65))</f>
        <v>#VALUE!</v>
      </c>
      <c r="T65" s="3" t="e">
        <f aca="false">IF($C65="","",(Front!$C$19=0)*$N65+(Front!$C$19=1)*($N65+P65))</f>
        <v>#VALUE!</v>
      </c>
      <c r="U65" s="3" t="e">
        <f aca="false">IF($C65="","",(Front!$C$19=0)*$N65+(Front!$C$19=1)*($N65+Q65))</f>
        <v>#VALUE!</v>
      </c>
      <c r="V65" s="3" t="e">
        <f aca="false">IF($C65="","",(Front!$C$19=0)*$N65+(Front!$C$19=1)*($N65+R65))</f>
        <v>#VALUE!</v>
      </c>
      <c r="W65" s="90" t="e">
        <f aca="false">IF($C65="","",xEURO($L65,Call1,$G65,$G65,S65,$J65,1,0))</f>
        <v>#VALUE!</v>
      </c>
      <c r="X65" s="90" t="e">
        <f aca="false">IF($C65="","",xEURO($L65,Put1,$G65,$G65,T65,$J65,0,0))</f>
        <v>#VALUE!</v>
      </c>
      <c r="Y65" s="90" t="e">
        <f aca="false">IF($C65="","",xEURO($L65,Call2,$G65,$G65,U65,$J65,1,0))</f>
        <v>#VALUE!</v>
      </c>
      <c r="Z65" s="90" t="e">
        <f aca="false">IF($C65="","",xEURO($L65,Put2,$G65,$G65,V65,$J65,0,0))</f>
        <v>#VALUE!</v>
      </c>
      <c r="AA65" s="90" t="e">
        <f aca="false">IF($C65="","",xEURO($L65,Call1,$G65,$G65,$S65,$J65,1,1))</f>
        <v>#VALUE!</v>
      </c>
      <c r="AB65" s="90" t="e">
        <f aca="false">IF($C65="","",xEURO($L65,Put1,$G65,$G65,$T65,$J65,0,1))</f>
        <v>#VALUE!</v>
      </c>
      <c r="AC65" s="90" t="e">
        <f aca="false">IF($C65="","",xEURO($L65,Call2,$G65,$G65,$U65,$J65,1,1))</f>
        <v>#VALUE!</v>
      </c>
      <c r="AD65" s="90" t="e">
        <f aca="false">IF($C65="","",xEURO($L65,Put2,$G65,$G65,$V65,$J65,0,1))</f>
        <v>#VALUE!</v>
      </c>
      <c r="AE65" s="90" t="e">
        <f aca="false">IF($C65="","",xEURO($L65,Call1,$G65,$G65,$S65,$J65,1,3))</f>
        <v>#VALUE!</v>
      </c>
      <c r="AF65" s="90" t="e">
        <f aca="false">IF($C65="","",xEURO($L65,Put1,$G65,$G65,$T65,$J65,0,3))</f>
        <v>#VALUE!</v>
      </c>
      <c r="AG65" s="90" t="e">
        <f aca="false">IF($C65="","",xEURO($L65,Call2,$G65,$G65,$U65,$J65,1,3))</f>
        <v>#VALUE!</v>
      </c>
      <c r="AH65" s="90" t="e">
        <f aca="false">IF($C65="","",xEURO($L65,Put2,$G65,$G65,$V65,$J65,0,3))</f>
        <v>#VALUE!</v>
      </c>
      <c r="AI65" s="8" t="e">
        <f aca="false">IF(E65=1,G65,0)</f>
        <v>#VALUE!</v>
      </c>
      <c r="AJ65" s="8" t="e">
        <f aca="false">IF(E65=1,H65,0)</f>
        <v>#VALUE!</v>
      </c>
      <c r="AK65" s="8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91" t="n">
        <f aca="false">Swap!A66</f>
        <v>38838</v>
      </c>
      <c r="B66" s="0" t="n">
        <f aca="false">B65+1</f>
        <v>57</v>
      </c>
      <c r="C66" s="91" t="e">
        <f aca="false">IF(AND(A66&gt;=Front!$E$11,A66&lt;=Front!$E$12),A66,"")</f>
        <v>#VALUE!</v>
      </c>
      <c r="D66" s="87" t="e">
        <f aca="false">Swap!AB66</f>
        <v>#VALUE!</v>
      </c>
      <c r="E66" s="87" t="e">
        <f aca="false">IF($C66="","",1)</f>
        <v>#VALUE!</v>
      </c>
      <c r="F66" s="88" t="e">
        <f aca="false">IF($C66="","",E66*H66)</f>
        <v>#VALUE!</v>
      </c>
      <c r="G66" s="31" t="n">
        <f aca="false">Swap!AG66</f>
        <v>0.0463450986682594</v>
      </c>
      <c r="H66" s="31" t="n">
        <f aca="false">Swap!AH66</f>
        <v>2.4329527124449</v>
      </c>
      <c r="I66" s="92" t="n">
        <f aca="false">INDEX(expery,MATCH(A66,exprymonth,0),2)</f>
        <v>38832</v>
      </c>
      <c r="J66" s="87" t="n">
        <f aca="false">I66-Front!$C$2</f>
        <v>-7094</v>
      </c>
      <c r="K66" s="8" t="n">
        <f aca="false">Swap!E66</f>
        <v>3.2745</v>
      </c>
      <c r="L66" s="8" t="e">
        <f aca="false">IF(C66="","",(PriceSwitch=0)*K66+(PriceSwitch=1)*(Front!$H$21+K66)+(PriceSwitch=2)*Front!$H$21)</f>
        <v>#VALUE!</v>
      </c>
      <c r="M66" s="93" t="n">
        <f aca="false">INDEX(vols,MATCH(A66,volsmonth,0),2)</f>
        <v>0.2375</v>
      </c>
      <c r="N66" s="3" t="e">
        <f aca="false">IF(Skew_Switch=0,"",IF($C66="","",(Front!$E$20=0)*M66+(Front!$E$20=1)*(Front!$E$21+M66)+(Front!$E$20=2)*Front!$E$21))</f>
        <v>#VALUE!</v>
      </c>
      <c r="O66" s="94" t="e">
        <f aca="false">IF(Skew_Switch=0,"",IF(C66="","",((calcskew(Call1-$L66,$C66,a,b))/100)))</f>
        <v>#VALUE!</v>
      </c>
      <c r="P66" s="94" t="e">
        <f aca="false">IF(Skew_Switch=0,"",IF(C66="","",((calcskew(Put1-$L66,$C66,a,b))/100)))</f>
        <v>#VALUE!</v>
      </c>
      <c r="Q66" s="94" t="e">
        <f aca="false">IF(Skew_Switch=0,"",IF(C66="","",((calcskew(Call2-$L66,$C66,a,b))/100)))</f>
        <v>#VALUE!</v>
      </c>
      <c r="R66" s="94" t="e">
        <f aca="false">IF(Skew_Switch=0,"",IF(C66="","",((calcskew(Put2-$L66,$C66,a,b))/100)))</f>
        <v>#VALUE!</v>
      </c>
      <c r="S66" s="3" t="e">
        <f aca="false">IF($C66="","",(Front!$C$19=0)*$N66+(Front!$C$19=1)*($N66+O66))</f>
        <v>#VALUE!</v>
      </c>
      <c r="T66" s="3" t="e">
        <f aca="false">IF($C66="","",(Front!$C$19=0)*$N66+(Front!$C$19=1)*($N66+P66))</f>
        <v>#VALUE!</v>
      </c>
      <c r="U66" s="3" t="e">
        <f aca="false">IF($C66="","",(Front!$C$19=0)*$N66+(Front!$C$19=1)*($N66+Q66))</f>
        <v>#VALUE!</v>
      </c>
      <c r="V66" s="3" t="e">
        <f aca="false">IF($C66="","",(Front!$C$19=0)*$N66+(Front!$C$19=1)*($N66+R66))</f>
        <v>#VALUE!</v>
      </c>
      <c r="W66" s="90" t="e">
        <f aca="false">IF($C66="","",xEURO($L66,Call1,$G66,$G66,S66,$J66,1,0))</f>
        <v>#VALUE!</v>
      </c>
      <c r="X66" s="90" t="e">
        <f aca="false">IF($C66="","",xEURO($L66,Put1,$G66,$G66,T66,$J66,0,0))</f>
        <v>#VALUE!</v>
      </c>
      <c r="Y66" s="90" t="e">
        <f aca="false">IF($C66="","",xEURO($L66,Call2,$G66,$G66,U66,$J66,1,0))</f>
        <v>#VALUE!</v>
      </c>
      <c r="Z66" s="90" t="e">
        <f aca="false">IF($C66="","",xEURO($L66,Put2,$G66,$G66,V66,$J66,0,0))</f>
        <v>#VALUE!</v>
      </c>
      <c r="AA66" s="90" t="e">
        <f aca="false">IF($C66="","",xEURO($L66,Call1,$G66,$G66,$S66,$J66,1,1))</f>
        <v>#VALUE!</v>
      </c>
      <c r="AB66" s="90" t="e">
        <f aca="false">IF($C66="","",xEURO($L66,Put1,$G66,$G66,$T66,$J66,0,1))</f>
        <v>#VALUE!</v>
      </c>
      <c r="AC66" s="90" t="e">
        <f aca="false">IF($C66="","",xEURO($L66,Call2,$G66,$G66,$U66,$J66,1,1))</f>
        <v>#VALUE!</v>
      </c>
      <c r="AD66" s="90" t="e">
        <f aca="false">IF($C66="","",xEURO($L66,Put2,$G66,$G66,$V66,$J66,0,1))</f>
        <v>#VALUE!</v>
      </c>
      <c r="AE66" s="90" t="e">
        <f aca="false">IF($C66="","",xEURO($L66,Call1,$G66,$G66,$S66,$J66,1,3))</f>
        <v>#VALUE!</v>
      </c>
      <c r="AF66" s="90" t="e">
        <f aca="false">IF($C66="","",xEURO($L66,Put1,$G66,$G66,$T66,$J66,0,3))</f>
        <v>#VALUE!</v>
      </c>
      <c r="AG66" s="90" t="e">
        <f aca="false">IF($C66="","",xEURO($L66,Call2,$G66,$G66,$U66,$J66,1,3))</f>
        <v>#VALUE!</v>
      </c>
      <c r="AH66" s="90" t="e">
        <f aca="false">IF($C66="","",xEURO($L66,Put2,$G66,$G66,$V66,$J66,0,3))</f>
        <v>#VALUE!</v>
      </c>
      <c r="AI66" s="8" t="e">
        <f aca="false">IF(E66=1,G66,0)</f>
        <v>#VALUE!</v>
      </c>
      <c r="AJ66" s="8" t="e">
        <f aca="false">IF(E66=1,H66,0)</f>
        <v>#VALUE!</v>
      </c>
      <c r="AK66" s="8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91" t="n">
        <f aca="false">Swap!A67</f>
        <v>38869</v>
      </c>
      <c r="B67" s="0" t="n">
        <f aca="false">B66+1</f>
        <v>58</v>
      </c>
      <c r="C67" s="91" t="e">
        <f aca="false">IF(AND(A67&gt;=Front!$E$11,A67&lt;=Front!$E$12),A67,"")</f>
        <v>#VALUE!</v>
      </c>
      <c r="D67" s="87" t="e">
        <f aca="false">Swap!AB67</f>
        <v>#VALUE!</v>
      </c>
      <c r="E67" s="87" t="e">
        <f aca="false">IF($C67="","",1)</f>
        <v>#VALUE!</v>
      </c>
      <c r="F67" s="88" t="e">
        <f aca="false">IF($C67="","",E67*H67)</f>
        <v>#VALUE!</v>
      </c>
      <c r="G67" s="31" t="n">
        <f aca="false">Swap!AG67</f>
        <v>0.0466061646380327</v>
      </c>
      <c r="H67" s="31" t="n">
        <f aca="false">Swap!AH67</f>
        <v>2.43548655293261</v>
      </c>
      <c r="I67" s="92" t="n">
        <f aca="false">INDEX(expery,MATCH(A67,exprymonth,0),2)</f>
        <v>38862</v>
      </c>
      <c r="J67" s="87" t="n">
        <f aca="false">I67-Front!$C$2</f>
        <v>-7064</v>
      </c>
      <c r="K67" s="8" t="n">
        <f aca="false">Swap!E67</f>
        <v>3.3065</v>
      </c>
      <c r="L67" s="8" t="e">
        <f aca="false">IF(C67="","",(PriceSwitch=0)*K67+(PriceSwitch=1)*(Front!$H$21+K67)+(PriceSwitch=2)*Front!$H$21)</f>
        <v>#VALUE!</v>
      </c>
      <c r="M67" s="93" t="n">
        <f aca="false">INDEX(vols,MATCH(A67,volsmonth,0),2)</f>
        <v>0.2375</v>
      </c>
      <c r="N67" s="3" t="e">
        <f aca="false">IF(Skew_Switch=0,"",IF($C67="","",(Front!$E$20=0)*M67+(Front!$E$20=1)*(Front!$E$21+M67)+(Front!$E$20=2)*Front!$E$21))</f>
        <v>#VALUE!</v>
      </c>
      <c r="O67" s="94" t="e">
        <f aca="false">IF(Skew_Switch=0,"",IF(C67="","",((calcskew(Call1-$L67,$C67,a,b))/100)))</f>
        <v>#VALUE!</v>
      </c>
      <c r="P67" s="94" t="e">
        <f aca="false">IF(Skew_Switch=0,"",IF(C67="","",((calcskew(Put1-$L67,$C67,a,b))/100)))</f>
        <v>#VALUE!</v>
      </c>
      <c r="Q67" s="94" t="e">
        <f aca="false">IF(Skew_Switch=0,"",IF(C67="","",((calcskew(Call2-$L67,$C67,a,b))/100)))</f>
        <v>#VALUE!</v>
      </c>
      <c r="R67" s="94" t="e">
        <f aca="false">IF(Skew_Switch=0,"",IF(C67="","",((calcskew(Put2-$L67,$C67,a,b))/100)))</f>
        <v>#VALUE!</v>
      </c>
      <c r="S67" s="3" t="e">
        <f aca="false">IF($C67="","",(Front!$C$19=0)*$N67+(Front!$C$19=1)*($N67+O67))</f>
        <v>#VALUE!</v>
      </c>
      <c r="T67" s="3" t="e">
        <f aca="false">IF($C67="","",(Front!$C$19=0)*$N67+(Front!$C$19=1)*($N67+P67))</f>
        <v>#VALUE!</v>
      </c>
      <c r="U67" s="3" t="e">
        <f aca="false">IF($C67="","",(Front!$C$19=0)*$N67+(Front!$C$19=1)*($N67+Q67))</f>
        <v>#VALUE!</v>
      </c>
      <c r="V67" s="3" t="e">
        <f aca="false">IF($C67="","",(Front!$C$19=0)*$N67+(Front!$C$19=1)*($N67+R67))</f>
        <v>#VALUE!</v>
      </c>
      <c r="W67" s="90" t="e">
        <f aca="false">IF($C67="","",xEURO($L67,Call1,$G67,$G67,S67,$J67,1,0))</f>
        <v>#VALUE!</v>
      </c>
      <c r="X67" s="90" t="e">
        <f aca="false">IF($C67="","",xEURO($L67,Put1,$G67,$G67,T67,$J67,0,0))</f>
        <v>#VALUE!</v>
      </c>
      <c r="Y67" s="90" t="e">
        <f aca="false">IF($C67="","",xEURO($L67,Call2,$G67,$G67,U67,$J67,1,0))</f>
        <v>#VALUE!</v>
      </c>
      <c r="Z67" s="90" t="e">
        <f aca="false">IF($C67="","",xEURO($L67,Put2,$G67,$G67,V67,$J67,0,0))</f>
        <v>#VALUE!</v>
      </c>
      <c r="AA67" s="90" t="e">
        <f aca="false">IF($C67="","",xEURO($L67,Call1,$G67,$G67,$S67,$J67,1,1))</f>
        <v>#VALUE!</v>
      </c>
      <c r="AB67" s="90" t="e">
        <f aca="false">IF($C67="","",xEURO($L67,Put1,$G67,$G67,$T67,$J67,0,1))</f>
        <v>#VALUE!</v>
      </c>
      <c r="AC67" s="90" t="e">
        <f aca="false">IF($C67="","",xEURO($L67,Call2,$G67,$G67,$U67,$J67,1,1))</f>
        <v>#VALUE!</v>
      </c>
      <c r="AD67" s="90" t="e">
        <f aca="false">IF($C67="","",xEURO($L67,Put2,$G67,$G67,$V67,$J67,0,1))</f>
        <v>#VALUE!</v>
      </c>
      <c r="AE67" s="90" t="e">
        <f aca="false">IF($C67="","",xEURO($L67,Call1,$G67,$G67,$S67,$J67,1,3))</f>
        <v>#VALUE!</v>
      </c>
      <c r="AF67" s="90" t="e">
        <f aca="false">IF($C67="","",xEURO($L67,Put1,$G67,$G67,$T67,$J67,0,3))</f>
        <v>#VALUE!</v>
      </c>
      <c r="AG67" s="90" t="e">
        <f aca="false">IF($C67="","",xEURO($L67,Call2,$G67,$G67,$U67,$J67,1,3))</f>
        <v>#VALUE!</v>
      </c>
      <c r="AH67" s="90" t="e">
        <f aca="false">IF($C67="","",xEURO($L67,Put2,$G67,$G67,$V67,$J67,0,3))</f>
        <v>#VALUE!</v>
      </c>
      <c r="AI67" s="8" t="e">
        <f aca="false">IF(E67=1,G67,0)</f>
        <v>#VALUE!</v>
      </c>
      <c r="AJ67" s="8" t="e">
        <f aca="false">IF(E67=1,H67,0)</f>
        <v>#VALUE!</v>
      </c>
      <c r="AK67" s="8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91" t="n">
        <f aca="false">Swap!A68</f>
        <v>38899</v>
      </c>
      <c r="B68" s="0" t="n">
        <f aca="false">B67+1</f>
        <v>59</v>
      </c>
      <c r="C68" s="91" t="e">
        <f aca="false">IF(AND(A68&gt;=Front!$E$11,A68&lt;=Front!$E$12),A68,"")</f>
        <v>#VALUE!</v>
      </c>
      <c r="D68" s="87" t="e">
        <f aca="false">Swap!AB68</f>
        <v>#VALUE!</v>
      </c>
      <c r="E68" s="87" t="e">
        <f aca="false">IF($C68="","",1)</f>
        <v>#VALUE!</v>
      </c>
      <c r="F68" s="88" t="e">
        <f aca="false">IF($C68="","",E68*H68)</f>
        <v>#VALUE!</v>
      </c>
      <c r="G68" s="31" t="n">
        <f aca="false">Swap!AG68</f>
        <v>0.0468588091466131</v>
      </c>
      <c r="H68" s="31" t="n">
        <f aca="false">Swap!AH68</f>
        <v>2.43783918890576</v>
      </c>
      <c r="I68" s="92" t="n">
        <f aca="false">INDEX(expery,MATCH(A68,exprymonth,0),2)</f>
        <v>38895</v>
      </c>
      <c r="J68" s="87" t="n">
        <f aca="false">I68-Front!$C$2</f>
        <v>-7031</v>
      </c>
      <c r="K68" s="8" t="n">
        <f aca="false">Swap!E68</f>
        <v>3.3565</v>
      </c>
      <c r="L68" s="8" t="e">
        <f aca="false">IF(C68="","",(PriceSwitch=0)*K68+(PriceSwitch=1)*(Front!$H$21+K68)+(PriceSwitch=2)*Front!$H$21)</f>
        <v>#VALUE!</v>
      </c>
      <c r="M68" s="93" t="n">
        <f aca="false">INDEX(vols,MATCH(A68,volsmonth,0),2)</f>
        <v>0.2375</v>
      </c>
      <c r="N68" s="3" t="e">
        <f aca="false">IF(Skew_Switch=0,"",IF($C68="","",(Front!$E$20=0)*M68+(Front!$E$20=1)*(Front!$E$21+M68)+(Front!$E$20=2)*Front!$E$21))</f>
        <v>#VALUE!</v>
      </c>
      <c r="O68" s="94" t="e">
        <f aca="false">IF(Skew_Switch=0,"",IF(C68="","",((calcskew(Call1-$L68,$C68,a,b))/100)))</f>
        <v>#VALUE!</v>
      </c>
      <c r="P68" s="94" t="e">
        <f aca="false">IF(Skew_Switch=0,"",IF(C68="","",((calcskew(Put1-$L68,$C68,a,b))/100)))</f>
        <v>#VALUE!</v>
      </c>
      <c r="Q68" s="94" t="e">
        <f aca="false">IF(Skew_Switch=0,"",IF(C68="","",((calcskew(Call2-$L68,$C68,a,b))/100)))</f>
        <v>#VALUE!</v>
      </c>
      <c r="R68" s="94" t="e">
        <f aca="false">IF(Skew_Switch=0,"",IF(C68="","",((calcskew(Put2-$L68,$C68,a,b))/100)))</f>
        <v>#VALUE!</v>
      </c>
      <c r="S68" s="3" t="e">
        <f aca="false">IF($C68="","",(Front!$C$19=0)*$N68+(Front!$C$19=1)*($N68+O68))</f>
        <v>#VALUE!</v>
      </c>
      <c r="T68" s="3" t="e">
        <f aca="false">IF($C68="","",(Front!$C$19=0)*$N68+(Front!$C$19=1)*($N68+P68))</f>
        <v>#VALUE!</v>
      </c>
      <c r="U68" s="3" t="e">
        <f aca="false">IF($C68="","",(Front!$C$19=0)*$N68+(Front!$C$19=1)*($N68+Q68))</f>
        <v>#VALUE!</v>
      </c>
      <c r="V68" s="3" t="e">
        <f aca="false">IF($C68="","",(Front!$C$19=0)*$N68+(Front!$C$19=1)*($N68+R68))</f>
        <v>#VALUE!</v>
      </c>
      <c r="W68" s="90" t="e">
        <f aca="false">IF($C68="","",xEURO($L68,Call1,$G68,$G68,S68,$J68,1,0))</f>
        <v>#VALUE!</v>
      </c>
      <c r="X68" s="90" t="e">
        <f aca="false">IF($C68="","",xEURO($L68,Put1,$G68,$G68,T68,$J68,0,0))</f>
        <v>#VALUE!</v>
      </c>
      <c r="Y68" s="90" t="e">
        <f aca="false">IF($C68="","",xEURO($L68,Call2,$G68,$G68,U68,$J68,1,0))</f>
        <v>#VALUE!</v>
      </c>
      <c r="Z68" s="90" t="e">
        <f aca="false">IF($C68="","",xEURO($L68,Put2,$G68,$G68,V68,$J68,0,0))</f>
        <v>#VALUE!</v>
      </c>
      <c r="AA68" s="90" t="e">
        <f aca="false">IF($C68="","",xEURO($L68,Call1,$G68,$G68,$S68,$J68,1,1))</f>
        <v>#VALUE!</v>
      </c>
      <c r="AB68" s="90" t="e">
        <f aca="false">IF($C68="","",xEURO($L68,Put1,$G68,$G68,$T68,$J68,0,1))</f>
        <v>#VALUE!</v>
      </c>
      <c r="AC68" s="90" t="e">
        <f aca="false">IF($C68="","",xEURO($L68,Call2,$G68,$G68,$U68,$J68,1,1))</f>
        <v>#VALUE!</v>
      </c>
      <c r="AD68" s="90" t="e">
        <f aca="false">IF($C68="","",xEURO($L68,Put2,$G68,$G68,$V68,$J68,0,1))</f>
        <v>#VALUE!</v>
      </c>
      <c r="AE68" s="90" t="e">
        <f aca="false">IF($C68="","",xEURO($L68,Call1,$G68,$G68,$S68,$J68,1,3))</f>
        <v>#VALUE!</v>
      </c>
      <c r="AF68" s="90" t="e">
        <f aca="false">IF($C68="","",xEURO($L68,Put1,$G68,$G68,$T68,$J68,0,3))</f>
        <v>#VALUE!</v>
      </c>
      <c r="AG68" s="90" t="e">
        <f aca="false">IF($C68="","",xEURO($L68,Call2,$G68,$G68,$U68,$J68,1,3))</f>
        <v>#VALUE!</v>
      </c>
      <c r="AH68" s="90" t="e">
        <f aca="false">IF($C68="","",xEURO($L68,Put2,$G68,$G68,$V68,$J68,0,3))</f>
        <v>#VALUE!</v>
      </c>
      <c r="AI68" s="8" t="e">
        <f aca="false">IF(E68=1,G68,0)</f>
        <v>#VALUE!</v>
      </c>
      <c r="AJ68" s="8" t="e">
        <f aca="false">IF(E68=1,H68,0)</f>
        <v>#VALUE!</v>
      </c>
      <c r="AK68" s="8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91" t="n">
        <f aca="false">Swap!A69</f>
        <v>38930</v>
      </c>
      <c r="B69" s="0" t="n">
        <f aca="false">B68+1</f>
        <v>60</v>
      </c>
      <c r="C69" s="91" t="e">
        <f aca="false">IF(AND(A69&gt;=Front!$E$11,A69&lt;=Front!$E$12),A69,"")</f>
        <v>#VALUE!</v>
      </c>
      <c r="D69" s="87" t="e">
        <f aca="false">Swap!AB69</f>
        <v>#VALUE!</v>
      </c>
      <c r="E69" s="87" t="e">
        <f aca="false">IF($C69="","",1)</f>
        <v>#VALUE!</v>
      </c>
      <c r="F69" s="88" t="e">
        <f aca="false">IF($C69="","",E69*H69)</f>
        <v>#VALUE!</v>
      </c>
      <c r="G69" s="31" t="n">
        <f aca="false">Swap!AG69</f>
        <v>0.0471198751612358</v>
      </c>
      <c r="H69" s="31" t="n">
        <f aca="false">Swap!AH69</f>
        <v>2.44016717330475</v>
      </c>
      <c r="I69" s="92" t="n">
        <f aca="false">INDEX(expery,MATCH(A69,exprymonth,0),2)</f>
        <v>38924</v>
      </c>
      <c r="J69" s="87" t="n">
        <f aca="false">I69-Front!$C$2</f>
        <v>-7002</v>
      </c>
      <c r="K69" s="8" t="n">
        <f aca="false">Swap!E69</f>
        <v>3.3905</v>
      </c>
      <c r="L69" s="8" t="e">
        <f aca="false">IF(C69="","",(PriceSwitch=0)*K69+(PriceSwitch=1)*(Front!$H$21+K69)+(PriceSwitch=2)*Front!$H$21)</f>
        <v>#VALUE!</v>
      </c>
      <c r="M69" s="93" t="n">
        <f aca="false">INDEX(vols,MATCH(A69,volsmonth,0),2)</f>
        <v>0.2375</v>
      </c>
      <c r="N69" s="3" t="e">
        <f aca="false">IF(Skew_Switch=0,"",IF($C69="","",(Front!$E$20=0)*M69+(Front!$E$20=1)*(Front!$E$21+M69)+(Front!$E$20=2)*Front!$E$21))</f>
        <v>#VALUE!</v>
      </c>
      <c r="O69" s="94" t="e">
        <f aca="false">IF(Skew_Switch=0,"",IF(C69="","",((calcskew(Call1-$L69,$C69,a,b))/100)))</f>
        <v>#VALUE!</v>
      </c>
      <c r="P69" s="94" t="e">
        <f aca="false">IF(Skew_Switch=0,"",IF(C69="","",((calcskew(Put1-$L69,$C69,a,b))/100)))</f>
        <v>#VALUE!</v>
      </c>
      <c r="Q69" s="94" t="e">
        <f aca="false">IF(Skew_Switch=0,"",IF(C69="","",((calcskew(Call2-$L69,$C69,a,b))/100)))</f>
        <v>#VALUE!</v>
      </c>
      <c r="R69" s="94" t="e">
        <f aca="false">IF(Skew_Switch=0,"",IF(C69="","",((calcskew(Put2-$L69,$C69,a,b))/100)))</f>
        <v>#VALUE!</v>
      </c>
      <c r="S69" s="3" t="e">
        <f aca="false">IF($C69="","",(Front!$C$19=0)*$N69+(Front!$C$19=1)*($N69+O69))</f>
        <v>#VALUE!</v>
      </c>
      <c r="T69" s="3" t="e">
        <f aca="false">IF($C69="","",(Front!$C$19=0)*$N69+(Front!$C$19=1)*($N69+P69))</f>
        <v>#VALUE!</v>
      </c>
      <c r="U69" s="3" t="e">
        <f aca="false">IF($C69="","",(Front!$C$19=0)*$N69+(Front!$C$19=1)*($N69+Q69))</f>
        <v>#VALUE!</v>
      </c>
      <c r="V69" s="3" t="e">
        <f aca="false">IF($C69="","",(Front!$C$19=0)*$N69+(Front!$C$19=1)*($N69+R69))</f>
        <v>#VALUE!</v>
      </c>
      <c r="W69" s="90" t="e">
        <f aca="false">IF($C69="","",xEURO($L69,Call1,$G69,$G69,S69,$J69,1,0))</f>
        <v>#VALUE!</v>
      </c>
      <c r="X69" s="90" t="e">
        <f aca="false">IF($C69="","",xEURO($L69,Put1,$G69,$G69,T69,$J69,0,0))</f>
        <v>#VALUE!</v>
      </c>
      <c r="Y69" s="90" t="e">
        <f aca="false">IF($C69="","",xEURO($L69,Call2,$G69,$G69,U69,$J69,1,0))</f>
        <v>#VALUE!</v>
      </c>
      <c r="Z69" s="90" t="e">
        <f aca="false">IF($C69="","",xEURO($L69,Put2,$G69,$G69,V69,$J69,0,0))</f>
        <v>#VALUE!</v>
      </c>
      <c r="AA69" s="90" t="e">
        <f aca="false">IF($C69="","",xEURO($L69,Call1,$G69,$G69,$S69,$J69,1,1))</f>
        <v>#VALUE!</v>
      </c>
      <c r="AB69" s="90" t="e">
        <f aca="false">IF($C69="","",xEURO($L69,Put1,$G69,$G69,$T69,$J69,0,1))</f>
        <v>#VALUE!</v>
      </c>
      <c r="AC69" s="90" t="e">
        <f aca="false">IF($C69="","",xEURO($L69,Call2,$G69,$G69,$U69,$J69,1,1))</f>
        <v>#VALUE!</v>
      </c>
      <c r="AD69" s="90" t="e">
        <f aca="false">IF($C69="","",xEURO($L69,Put2,$G69,$G69,$V69,$J69,0,1))</f>
        <v>#VALUE!</v>
      </c>
      <c r="AE69" s="90" t="e">
        <f aca="false">IF($C69="","",xEURO($L69,Call1,$G69,$G69,$S69,$J69,1,3))</f>
        <v>#VALUE!</v>
      </c>
      <c r="AF69" s="90" t="e">
        <f aca="false">IF($C69="","",xEURO($L69,Put1,$G69,$G69,$T69,$J69,0,3))</f>
        <v>#VALUE!</v>
      </c>
      <c r="AG69" s="90" t="e">
        <f aca="false">IF($C69="","",xEURO($L69,Call2,$G69,$G69,$U69,$J69,1,3))</f>
        <v>#VALUE!</v>
      </c>
      <c r="AH69" s="90" t="e">
        <f aca="false">IF($C69="","",xEURO($L69,Put2,$G69,$G69,$V69,$J69,0,3))</f>
        <v>#VALUE!</v>
      </c>
      <c r="AI69" s="8" t="e">
        <f aca="false">IF(E69=1,G69,0)</f>
        <v>#VALUE!</v>
      </c>
      <c r="AJ69" s="8" t="e">
        <f aca="false">IF(E69=1,H69,0)</f>
        <v>#VALUE!</v>
      </c>
      <c r="AK69" s="8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91" t="n">
        <f aca="false">Swap!A70</f>
        <v>38961</v>
      </c>
      <c r="B70" s="0" t="n">
        <f aca="false">B69+1</f>
        <v>61</v>
      </c>
      <c r="C70" s="91" t="e">
        <f aca="false">IF(AND(A70&gt;=Front!$E$11,A70&lt;=Front!$E$12),A70,"")</f>
        <v>#VALUE!</v>
      </c>
      <c r="D70" s="87" t="e">
        <f aca="false">Swap!AB70</f>
        <v>#VALUE!</v>
      </c>
      <c r="E70" s="87" t="e">
        <f aca="false">IF($C70="","",1)</f>
        <v>#VALUE!</v>
      </c>
      <c r="F70" s="88" t="e">
        <f aca="false">IF($C70="","",E70*H70)</f>
        <v>#VALUE!</v>
      </c>
      <c r="G70" s="31" t="n">
        <f aca="false">Swap!AG70</f>
        <v>0.0473809411986466</v>
      </c>
      <c r="H70" s="31" t="n">
        <f aca="false">Swap!AH70</f>
        <v>2.44239011433034</v>
      </c>
      <c r="I70" s="92" t="n">
        <f aca="false">INDEX(expery,MATCH(A70,exprymonth,0),2)</f>
        <v>38957</v>
      </c>
      <c r="J70" s="87" t="n">
        <f aca="false">I70-Front!$C$2</f>
        <v>-6969</v>
      </c>
      <c r="K70" s="8" t="n">
        <f aca="false">Swap!E70</f>
        <v>3.4035</v>
      </c>
      <c r="L70" s="8" t="e">
        <f aca="false">IF(C70="","",(PriceSwitch=0)*K70+(PriceSwitch=1)*(Front!$H$21+K70)+(PriceSwitch=2)*Front!$H$21)</f>
        <v>#VALUE!</v>
      </c>
      <c r="M70" s="93" t="n">
        <f aca="false">INDEX(vols,MATCH(A70,volsmonth,0),2)</f>
        <v>0.2375</v>
      </c>
      <c r="N70" s="3" t="e">
        <f aca="false">IF(Skew_Switch=0,"",IF($C70="","",(Front!$E$20=0)*M70+(Front!$E$20=1)*(Front!$E$21+M70)+(Front!$E$20=2)*Front!$E$21))</f>
        <v>#VALUE!</v>
      </c>
      <c r="O70" s="94" t="e">
        <f aca="false">IF(Skew_Switch=0,"",IF(C70="","",((calcskew(Call1-$L70,$C70,a,b))/100)))</f>
        <v>#VALUE!</v>
      </c>
      <c r="P70" s="94" t="e">
        <f aca="false">IF(Skew_Switch=0,"",IF(C70="","",((calcskew(Put1-$L70,$C70,a,b))/100)))</f>
        <v>#VALUE!</v>
      </c>
      <c r="Q70" s="94" t="e">
        <f aca="false">IF(Skew_Switch=0,"",IF(C70="","",((calcskew(Call2-$L70,$C70,a,b))/100)))</f>
        <v>#VALUE!</v>
      </c>
      <c r="R70" s="94" t="e">
        <f aca="false">IF(Skew_Switch=0,"",IF(C70="","",((calcskew(Put2-$L70,$C70,a,b))/100)))</f>
        <v>#VALUE!</v>
      </c>
      <c r="S70" s="3" t="e">
        <f aca="false">IF($C70="","",(Front!$C$19=0)*$N70+(Front!$C$19=1)*($N70+O70))</f>
        <v>#VALUE!</v>
      </c>
      <c r="T70" s="3" t="e">
        <f aca="false">IF($C70="","",(Front!$C$19=0)*$N70+(Front!$C$19=1)*($N70+P70))</f>
        <v>#VALUE!</v>
      </c>
      <c r="U70" s="3" t="e">
        <f aca="false">IF($C70="","",(Front!$C$19=0)*$N70+(Front!$C$19=1)*($N70+Q70))</f>
        <v>#VALUE!</v>
      </c>
      <c r="V70" s="3" t="e">
        <f aca="false">IF($C70="","",(Front!$C$19=0)*$N70+(Front!$C$19=1)*($N70+R70))</f>
        <v>#VALUE!</v>
      </c>
      <c r="W70" s="90" t="e">
        <f aca="false">IF($C70="","",xEURO($L70,Call1,$G70,$G70,S70,$J70,1,0))</f>
        <v>#VALUE!</v>
      </c>
      <c r="X70" s="90" t="e">
        <f aca="false">IF($C70="","",xEURO($L70,Put1,$G70,$G70,T70,$J70,0,0))</f>
        <v>#VALUE!</v>
      </c>
      <c r="Y70" s="90" t="e">
        <f aca="false">IF($C70="","",xEURO($L70,Call2,$G70,$G70,U70,$J70,1,0))</f>
        <v>#VALUE!</v>
      </c>
      <c r="Z70" s="90" t="e">
        <f aca="false">IF($C70="","",xEURO($L70,Put2,$G70,$G70,V70,$J70,0,0))</f>
        <v>#VALUE!</v>
      </c>
      <c r="AA70" s="90" t="e">
        <f aca="false">IF($C70="","",xEURO($L70,Call1,$G70,$G70,$S70,$J70,1,1))</f>
        <v>#VALUE!</v>
      </c>
      <c r="AB70" s="90" t="e">
        <f aca="false">IF($C70="","",xEURO($L70,Put1,$G70,$G70,$T70,$J70,0,1))</f>
        <v>#VALUE!</v>
      </c>
      <c r="AC70" s="90" t="e">
        <f aca="false">IF($C70="","",xEURO($L70,Call2,$G70,$G70,$U70,$J70,1,1))</f>
        <v>#VALUE!</v>
      </c>
      <c r="AD70" s="90" t="e">
        <f aca="false">IF($C70="","",xEURO($L70,Put2,$G70,$G70,$V70,$J70,0,1))</f>
        <v>#VALUE!</v>
      </c>
      <c r="AE70" s="90" t="e">
        <f aca="false">IF($C70="","",xEURO($L70,Call1,$G70,$G70,$S70,$J70,1,3))</f>
        <v>#VALUE!</v>
      </c>
      <c r="AF70" s="90" t="e">
        <f aca="false">IF($C70="","",xEURO($L70,Put1,$G70,$G70,$T70,$J70,0,3))</f>
        <v>#VALUE!</v>
      </c>
      <c r="AG70" s="90" t="e">
        <f aca="false">IF($C70="","",xEURO($L70,Call2,$G70,$G70,$U70,$J70,1,3))</f>
        <v>#VALUE!</v>
      </c>
      <c r="AH70" s="90" t="e">
        <f aca="false">IF($C70="","",xEURO($L70,Put2,$G70,$G70,$V70,$J70,0,3))</f>
        <v>#VALUE!</v>
      </c>
      <c r="AI70" s="8" t="e">
        <f aca="false">IF(E70=1,G70,0)</f>
        <v>#VALUE!</v>
      </c>
      <c r="AJ70" s="8" t="e">
        <f aca="false">IF(E70=1,H70,0)</f>
        <v>#VALUE!</v>
      </c>
      <c r="AK70" s="8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91" t="n">
        <f aca="false">Swap!A71</f>
        <v>38991</v>
      </c>
      <c r="B71" s="0" t="n">
        <f aca="false">B70+1</f>
        <v>62</v>
      </c>
      <c r="C71" s="91" t="e">
        <f aca="false">IF(AND(A71&gt;=Front!$E$11,A71&lt;=Front!$E$12),A71,"")</f>
        <v>#VALUE!</v>
      </c>
      <c r="D71" s="87" t="e">
        <f aca="false">Swap!AB71</f>
        <v>#VALUE!</v>
      </c>
      <c r="E71" s="87" t="e">
        <f aca="false">IF($C71="","",1)</f>
        <v>#VALUE!</v>
      </c>
      <c r="F71" s="88" t="e">
        <f aca="false">IF($C71="","",E71*H71)</f>
        <v>#VALUE!</v>
      </c>
      <c r="G71" s="31" t="n">
        <f aca="false">Swap!AG71</f>
        <v>0.0476197581730084</v>
      </c>
      <c r="H71" s="31" t="n">
        <f aca="false">Swap!AH71</f>
        <v>2.44381431045942</v>
      </c>
      <c r="I71" s="92" t="n">
        <f aca="false">INDEX(expery,MATCH(A71,exprymonth,0),2)</f>
        <v>38986</v>
      </c>
      <c r="J71" s="87" t="n">
        <f aca="false">I71-Front!$C$2</f>
        <v>-6940</v>
      </c>
      <c r="K71" s="8" t="n">
        <f aca="false">Swap!E71</f>
        <v>3.3955</v>
      </c>
      <c r="L71" s="8" t="e">
        <f aca="false">IF(C71="","",(PriceSwitch=0)*K71+(PriceSwitch=1)*(Front!$H$21+K71)+(PriceSwitch=2)*Front!$H$21)</f>
        <v>#VALUE!</v>
      </c>
      <c r="M71" s="93" t="n">
        <f aca="false">INDEX(vols,MATCH(A71,volsmonth,0),2)</f>
        <v>0.2375</v>
      </c>
      <c r="N71" s="3" t="e">
        <f aca="false">IF(Skew_Switch=0,"",IF($C71="","",(Front!$E$20=0)*M71+(Front!$E$20=1)*(Front!$E$21+M71)+(Front!$E$20=2)*Front!$E$21))</f>
        <v>#VALUE!</v>
      </c>
      <c r="O71" s="94" t="e">
        <f aca="false">IF(Skew_Switch=0,"",IF(C71="","",((calcskew(Call1-$L71,$C71,a,b))/100)))</f>
        <v>#VALUE!</v>
      </c>
      <c r="P71" s="94" t="e">
        <f aca="false">IF(Skew_Switch=0,"",IF(C71="","",((calcskew(Put1-$L71,$C71,a,b))/100)))</f>
        <v>#VALUE!</v>
      </c>
      <c r="Q71" s="94" t="e">
        <f aca="false">IF(Skew_Switch=0,"",IF(C71="","",((calcskew(Call2-$L71,$C71,a,b))/100)))</f>
        <v>#VALUE!</v>
      </c>
      <c r="R71" s="94" t="e">
        <f aca="false">IF(Skew_Switch=0,"",IF(C71="","",((calcskew(Put2-$L71,$C71,a,b))/100)))</f>
        <v>#VALUE!</v>
      </c>
      <c r="S71" s="3" t="e">
        <f aca="false">IF($C71="","",(Front!$C$19=0)*$N71+(Front!$C$19=1)*($N71+O71))</f>
        <v>#VALUE!</v>
      </c>
      <c r="T71" s="3" t="e">
        <f aca="false">IF($C71="","",(Front!$C$19=0)*$N71+(Front!$C$19=1)*($N71+P71))</f>
        <v>#VALUE!</v>
      </c>
      <c r="U71" s="3" t="e">
        <f aca="false">IF($C71="","",(Front!$C$19=0)*$N71+(Front!$C$19=1)*($N71+Q71))</f>
        <v>#VALUE!</v>
      </c>
      <c r="V71" s="3" t="e">
        <f aca="false">IF($C71="","",(Front!$C$19=0)*$N71+(Front!$C$19=1)*($N71+R71))</f>
        <v>#VALUE!</v>
      </c>
      <c r="W71" s="90" t="e">
        <f aca="false">IF($C71="","",xEURO($L71,Call1,$G71,$G71,S71,$J71,1,0))</f>
        <v>#VALUE!</v>
      </c>
      <c r="X71" s="90" t="e">
        <f aca="false">IF($C71="","",xEURO($L71,Put1,$G71,$G71,T71,$J71,0,0))</f>
        <v>#VALUE!</v>
      </c>
      <c r="Y71" s="90" t="e">
        <f aca="false">IF($C71="","",xEURO($L71,Call2,$G71,$G71,U71,$J71,1,0))</f>
        <v>#VALUE!</v>
      </c>
      <c r="Z71" s="90" t="e">
        <f aca="false">IF($C71="","",xEURO($L71,Put2,$G71,$G71,V71,$J71,0,0))</f>
        <v>#VALUE!</v>
      </c>
      <c r="AA71" s="90" t="e">
        <f aca="false">IF($C71="","",xEURO($L71,Call1,$G71,$G71,$S71,$J71,1,1))</f>
        <v>#VALUE!</v>
      </c>
      <c r="AB71" s="90" t="e">
        <f aca="false">IF($C71="","",xEURO($L71,Put1,$G71,$G71,$T71,$J71,0,1))</f>
        <v>#VALUE!</v>
      </c>
      <c r="AC71" s="90" t="e">
        <f aca="false">IF($C71="","",xEURO($L71,Call2,$G71,$G71,$U71,$J71,1,1))</f>
        <v>#VALUE!</v>
      </c>
      <c r="AD71" s="90" t="e">
        <f aca="false">IF($C71="","",xEURO($L71,Put2,$G71,$G71,$V71,$J71,0,1))</f>
        <v>#VALUE!</v>
      </c>
      <c r="AE71" s="90" t="e">
        <f aca="false">IF($C71="","",xEURO($L71,Call1,$G71,$G71,$S71,$J71,1,3))</f>
        <v>#VALUE!</v>
      </c>
      <c r="AF71" s="90" t="e">
        <f aca="false">IF($C71="","",xEURO($L71,Put1,$G71,$G71,$T71,$J71,0,3))</f>
        <v>#VALUE!</v>
      </c>
      <c r="AG71" s="90" t="e">
        <f aca="false">IF($C71="","",xEURO($L71,Call2,$G71,$G71,$U71,$J71,1,3))</f>
        <v>#VALUE!</v>
      </c>
      <c r="AH71" s="90" t="e">
        <f aca="false">IF($C71="","",xEURO($L71,Put2,$G71,$G71,$V71,$J71,0,3))</f>
        <v>#VALUE!</v>
      </c>
      <c r="AI71" s="8" t="e">
        <f aca="false">IF(E71=1,G71,0)</f>
        <v>#VALUE!</v>
      </c>
      <c r="AJ71" s="8" t="e">
        <f aca="false">IF(E71=1,H71,0)</f>
        <v>#VALUE!</v>
      </c>
      <c r="AK71" s="8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91" t="n">
        <f aca="false">Swap!A72</f>
        <v>39022</v>
      </c>
      <c r="B72" s="0" t="n">
        <f aca="false">B71+1</f>
        <v>63</v>
      </c>
      <c r="C72" s="91" t="e">
        <f aca="false">IF(AND(A72&gt;=Front!$E$11,A72&lt;=Front!$E$12),A72,"")</f>
        <v>#VALUE!</v>
      </c>
      <c r="D72" s="87" t="e">
        <f aca="false">Swap!AB72</f>
        <v>#VALUE!</v>
      </c>
      <c r="E72" s="87" t="e">
        <f aca="false">IF($C72="","",1)</f>
        <v>#VALUE!</v>
      </c>
      <c r="F72" s="88" t="e">
        <f aca="false">IF($C72="","",E72*H72)</f>
        <v>#VALUE!</v>
      </c>
      <c r="G72" s="31" t="n">
        <f aca="false">Swap!AG72</f>
        <v>0.0477950931300652</v>
      </c>
      <c r="H72" s="31" t="n">
        <f aca="false">Swap!AH72</f>
        <v>2.4419643207041</v>
      </c>
      <c r="I72" s="92" t="n">
        <f aca="false">INDEX(expery,MATCH(A72,exprymonth,0),2)</f>
        <v>39016</v>
      </c>
      <c r="J72" s="87" t="n">
        <f aca="false">I72-Front!$C$2</f>
        <v>-6910</v>
      </c>
      <c r="K72" s="8" t="n">
        <f aca="false">Swap!E72</f>
        <v>3.5655</v>
      </c>
      <c r="L72" s="8" t="e">
        <f aca="false">IF(C72="","",(PriceSwitch=0)*K72+(PriceSwitch=1)*(Front!$H$21+K72)+(PriceSwitch=2)*Front!$H$21)</f>
        <v>#VALUE!</v>
      </c>
      <c r="M72" s="93" t="n">
        <f aca="false">INDEX(vols,MATCH(A72,volsmonth,0),2)</f>
        <v>0.2375</v>
      </c>
      <c r="N72" s="3" t="e">
        <f aca="false">IF(Skew_Switch=0,"",IF($C72="","",(Front!$E$20=0)*M72+(Front!$E$20=1)*(Front!$E$21+M72)+(Front!$E$20=2)*Front!$E$21))</f>
        <v>#VALUE!</v>
      </c>
      <c r="O72" s="94" t="e">
        <f aca="false">IF(Skew_Switch=0,"",IF(C72="","",((calcskew(Call1-$L72,$C72,a,b))/100)))</f>
        <v>#VALUE!</v>
      </c>
      <c r="P72" s="94" t="e">
        <f aca="false">IF(Skew_Switch=0,"",IF(C72="","",((calcskew(Put1-$L72,$C72,a,b))/100)))</f>
        <v>#VALUE!</v>
      </c>
      <c r="Q72" s="94" t="e">
        <f aca="false">IF(Skew_Switch=0,"",IF(C72="","",((calcskew(Call2-$L72,$C72,a,b))/100)))</f>
        <v>#VALUE!</v>
      </c>
      <c r="R72" s="94" t="e">
        <f aca="false">IF(Skew_Switch=0,"",IF(C72="","",((calcskew(Put2-$L72,$C72,a,b))/100)))</f>
        <v>#VALUE!</v>
      </c>
      <c r="S72" s="3" t="e">
        <f aca="false">IF($C72="","",(Front!$C$19=0)*$N72+(Front!$C$19=1)*($N72+O72))</f>
        <v>#VALUE!</v>
      </c>
      <c r="T72" s="3" t="e">
        <f aca="false">IF($C72="","",(Front!$C$19=0)*$N72+(Front!$C$19=1)*($N72+P72))</f>
        <v>#VALUE!</v>
      </c>
      <c r="U72" s="3" t="e">
        <f aca="false">IF($C72="","",(Front!$C$19=0)*$N72+(Front!$C$19=1)*($N72+Q72))</f>
        <v>#VALUE!</v>
      </c>
      <c r="V72" s="3" t="e">
        <f aca="false">IF($C72="","",(Front!$C$19=0)*$N72+(Front!$C$19=1)*($N72+R72))</f>
        <v>#VALUE!</v>
      </c>
      <c r="W72" s="90" t="e">
        <f aca="false">IF($C72="","",xEURO($L72,Call1,$G72,$G72,S72,$J72,1,0))</f>
        <v>#VALUE!</v>
      </c>
      <c r="X72" s="90" t="e">
        <f aca="false">IF($C72="","",xEURO($L72,Put1,$G72,$G72,T72,$J72,0,0))</f>
        <v>#VALUE!</v>
      </c>
      <c r="Y72" s="90" t="e">
        <f aca="false">IF($C72="","",xEURO($L72,Call2,$G72,$G72,U72,$J72,1,0))</f>
        <v>#VALUE!</v>
      </c>
      <c r="Z72" s="90" t="e">
        <f aca="false">IF($C72="","",xEURO($L72,Put2,$G72,$G72,V72,$J72,0,0))</f>
        <v>#VALUE!</v>
      </c>
      <c r="AA72" s="90" t="e">
        <f aca="false">IF($C72="","",xEURO($L72,Call1,$G72,$G72,$S72,$J72,1,1))</f>
        <v>#VALUE!</v>
      </c>
      <c r="AB72" s="90" t="e">
        <f aca="false">IF($C72="","",xEURO($L72,Put1,$G72,$G72,$T72,$J72,0,1))</f>
        <v>#VALUE!</v>
      </c>
      <c r="AC72" s="90" t="e">
        <f aca="false">IF($C72="","",xEURO($L72,Call2,$G72,$G72,$U72,$J72,1,1))</f>
        <v>#VALUE!</v>
      </c>
      <c r="AD72" s="90" t="e">
        <f aca="false">IF($C72="","",xEURO($L72,Put2,$G72,$G72,$V72,$J72,0,1))</f>
        <v>#VALUE!</v>
      </c>
      <c r="AE72" s="90" t="e">
        <f aca="false">IF($C72="","",xEURO($L72,Call1,$G72,$G72,$S72,$J72,1,3))</f>
        <v>#VALUE!</v>
      </c>
      <c r="AF72" s="90" t="e">
        <f aca="false">IF($C72="","",xEURO($L72,Put1,$G72,$G72,$T72,$J72,0,3))</f>
        <v>#VALUE!</v>
      </c>
      <c r="AG72" s="90" t="e">
        <f aca="false">IF($C72="","",xEURO($L72,Call2,$G72,$G72,$U72,$J72,1,3))</f>
        <v>#VALUE!</v>
      </c>
      <c r="AH72" s="90" t="e">
        <f aca="false">IF($C72="","",xEURO($L72,Put2,$G72,$G72,$V72,$J72,0,3))</f>
        <v>#VALUE!</v>
      </c>
      <c r="AI72" s="8" t="e">
        <f aca="false">IF(E72=1,G72,0)</f>
        <v>#VALUE!</v>
      </c>
      <c r="AJ72" s="8" t="e">
        <f aca="false">IF(E72=1,H72,0)</f>
        <v>#VALUE!</v>
      </c>
      <c r="AK72" s="8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91" t="n">
        <f aca="false">Swap!A73</f>
        <v>39052</v>
      </c>
      <c r="B73" s="0" t="n">
        <f aca="false">B72+1</f>
        <v>64</v>
      </c>
      <c r="C73" s="91" t="e">
        <f aca="false">IF(AND(A73&gt;=Front!$E$11,A73&lt;=Front!$E$12),A73,"")</f>
        <v>#VALUE!</v>
      </c>
      <c r="D73" s="87" t="e">
        <f aca="false">Swap!AB73</f>
        <v>#VALUE!</v>
      </c>
      <c r="E73" s="87" t="e">
        <f aca="false">IF($C73="","",1)</f>
        <v>#VALUE!</v>
      </c>
      <c r="F73" s="88" t="e">
        <f aca="false">IF($C73="","",E73*H73)</f>
        <v>#VALUE!</v>
      </c>
      <c r="G73" s="31" t="n">
        <f aca="false">Swap!AG73</f>
        <v>0.0479647721305492</v>
      </c>
      <c r="H73" s="31" t="n">
        <f aca="false">Swap!AH73</f>
        <v>2.44010716334677</v>
      </c>
      <c r="I73" s="92" t="n">
        <f aca="false">INDEX(expery,MATCH(A73,exprymonth,0),2)</f>
        <v>39048</v>
      </c>
      <c r="J73" s="87" t="n">
        <f aca="false">I73-Front!$C$2</f>
        <v>-6878</v>
      </c>
      <c r="K73" s="8" t="n">
        <f aca="false">Swap!E73</f>
        <v>3.7405</v>
      </c>
      <c r="L73" s="8" t="e">
        <f aca="false">IF(C73="","",(PriceSwitch=0)*K73+(PriceSwitch=1)*(Front!$H$21+K73)+(PriceSwitch=2)*Front!$H$21)</f>
        <v>#VALUE!</v>
      </c>
      <c r="M73" s="93" t="n">
        <f aca="false">INDEX(vols,MATCH(A73,volsmonth,0),2)</f>
        <v>0.24</v>
      </c>
      <c r="N73" s="3" t="e">
        <f aca="false">IF(Skew_Switch=0,"",IF($C73="","",(Front!$E$20=0)*M73+(Front!$E$20=1)*(Front!$E$21+M73)+(Front!$E$20=2)*Front!$E$21))</f>
        <v>#VALUE!</v>
      </c>
      <c r="O73" s="94" t="e">
        <f aca="false">IF(Skew_Switch=0,"",IF(C73="","",((calcskew(Call1-$L73,$C73,a,b))/100)))</f>
        <v>#VALUE!</v>
      </c>
      <c r="P73" s="94" t="e">
        <f aca="false">IF(Skew_Switch=0,"",IF(C73="","",((calcskew(Put1-$L73,$C73,a,b))/100)))</f>
        <v>#VALUE!</v>
      </c>
      <c r="Q73" s="94" t="e">
        <f aca="false">IF(Skew_Switch=0,"",IF(C73="","",((calcskew(Call2-$L73,$C73,a,b))/100)))</f>
        <v>#VALUE!</v>
      </c>
      <c r="R73" s="94" t="e">
        <f aca="false">IF(Skew_Switch=0,"",IF(C73="","",((calcskew(Put2-$L73,$C73,a,b))/100)))</f>
        <v>#VALUE!</v>
      </c>
      <c r="S73" s="3" t="e">
        <f aca="false">IF($C73="","",(Front!$C$19=0)*$N73+(Front!$C$19=1)*($N73+O73))</f>
        <v>#VALUE!</v>
      </c>
      <c r="T73" s="3" t="e">
        <f aca="false">IF($C73="","",(Front!$C$19=0)*$N73+(Front!$C$19=1)*($N73+P73))</f>
        <v>#VALUE!</v>
      </c>
      <c r="U73" s="3" t="e">
        <f aca="false">IF($C73="","",(Front!$C$19=0)*$N73+(Front!$C$19=1)*($N73+Q73))</f>
        <v>#VALUE!</v>
      </c>
      <c r="V73" s="3" t="e">
        <f aca="false">IF($C73="","",(Front!$C$19=0)*$N73+(Front!$C$19=1)*($N73+R73))</f>
        <v>#VALUE!</v>
      </c>
      <c r="W73" s="90" t="e">
        <f aca="false">IF($C73="","",xEURO($L73,Call1,$G73,$G73,S73,$J73,1,0))</f>
        <v>#VALUE!</v>
      </c>
      <c r="X73" s="90" t="e">
        <f aca="false">IF($C73="","",xEURO($L73,Put1,$G73,$G73,T73,$J73,0,0))</f>
        <v>#VALUE!</v>
      </c>
      <c r="Y73" s="90" t="e">
        <f aca="false">IF($C73="","",xEURO($L73,Call2,$G73,$G73,U73,$J73,1,0))</f>
        <v>#VALUE!</v>
      </c>
      <c r="Z73" s="90" t="e">
        <f aca="false">IF($C73="","",xEURO($L73,Put2,$G73,$G73,V73,$J73,0,0))</f>
        <v>#VALUE!</v>
      </c>
      <c r="AA73" s="90" t="e">
        <f aca="false">IF($C73="","",xEURO($L73,Call1,$G73,$G73,$S73,$J73,1,1))</f>
        <v>#VALUE!</v>
      </c>
      <c r="AB73" s="90" t="e">
        <f aca="false">IF($C73="","",xEURO($L73,Put1,$G73,$G73,$T73,$J73,0,1))</f>
        <v>#VALUE!</v>
      </c>
      <c r="AC73" s="90" t="e">
        <f aca="false">IF($C73="","",xEURO($L73,Call2,$G73,$G73,$U73,$J73,1,1))</f>
        <v>#VALUE!</v>
      </c>
      <c r="AD73" s="90" t="e">
        <f aca="false">IF($C73="","",xEURO($L73,Put2,$G73,$G73,$V73,$J73,0,1))</f>
        <v>#VALUE!</v>
      </c>
      <c r="AE73" s="90" t="e">
        <f aca="false">IF($C73="","",xEURO($L73,Call1,$G73,$G73,$S73,$J73,1,3))</f>
        <v>#VALUE!</v>
      </c>
      <c r="AF73" s="90" t="e">
        <f aca="false">IF($C73="","",xEURO($L73,Put1,$G73,$G73,$T73,$J73,0,3))</f>
        <v>#VALUE!</v>
      </c>
      <c r="AG73" s="90" t="e">
        <f aca="false">IF($C73="","",xEURO($L73,Call2,$G73,$G73,$U73,$J73,1,3))</f>
        <v>#VALUE!</v>
      </c>
      <c r="AH73" s="90" t="e">
        <f aca="false">IF($C73="","",xEURO($L73,Put2,$G73,$G73,$V73,$J73,0,3))</f>
        <v>#VALUE!</v>
      </c>
      <c r="AI73" s="8" t="e">
        <f aca="false">IF(E73=1,G73,0)</f>
        <v>#VALUE!</v>
      </c>
      <c r="AJ73" s="8" t="e">
        <f aca="false">IF(E73=1,H73,0)</f>
        <v>#VALUE!</v>
      </c>
      <c r="AK73" s="8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91" t="n">
        <f aca="false">Swap!A74</f>
        <v>39083</v>
      </c>
      <c r="B74" s="0" t="n">
        <f aca="false">B73+1</f>
        <v>65</v>
      </c>
      <c r="C74" s="91" t="e">
        <f aca="false">IF(AND(A74&gt;=Front!$E$11,A74&lt;=Front!$E$12),A74,"")</f>
        <v>#VALUE!</v>
      </c>
      <c r="D74" s="87" t="e">
        <f aca="false">Swap!AB74</f>
        <v>#VALUE!</v>
      </c>
      <c r="E74" s="87" t="e">
        <f aca="false">IF($C74="","",1)</f>
        <v>#VALUE!</v>
      </c>
      <c r="F74" s="88" t="e">
        <f aca="false">IF($C74="","",E74*H74)</f>
        <v>#VALUE!</v>
      </c>
      <c r="G74" s="31" t="n">
        <f aca="false">Swap!AG74</f>
        <v>0.0481401071078245</v>
      </c>
      <c r="H74" s="31" t="n">
        <f aca="false">Swap!AH74</f>
        <v>2.43811920013638</v>
      </c>
      <c r="I74" s="92" t="n">
        <f aca="false">INDEX(expery,MATCH(A74,exprymonth,0),2)</f>
        <v>39077</v>
      </c>
      <c r="J74" s="87" t="n">
        <f aca="false">I74-Front!$C$2</f>
        <v>-6849</v>
      </c>
      <c r="K74" s="8" t="n">
        <f aca="false">Swap!E74</f>
        <v>3.7805</v>
      </c>
      <c r="L74" s="8" t="e">
        <f aca="false">IF(C74="","",(PriceSwitch=0)*K74+(PriceSwitch=1)*(Front!$H$21+K74)+(PriceSwitch=2)*Front!$H$21)</f>
        <v>#VALUE!</v>
      </c>
      <c r="M74" s="93" t="n">
        <f aca="false">INDEX(vols,MATCH(A74,volsmonth,0),2)</f>
        <v>0.2425</v>
      </c>
      <c r="N74" s="3" t="e">
        <f aca="false">IF(Skew_Switch=0,"",IF($C74="","",(Front!$E$20=0)*M74+(Front!$E$20=1)*(Front!$E$21+M74)+(Front!$E$20=2)*Front!$E$21))</f>
        <v>#VALUE!</v>
      </c>
      <c r="O74" s="94" t="e">
        <f aca="false">IF(Skew_Switch=0,"",IF(C74="","",((calcskew(Call1-$L74,$C74,a,b))/100)))</f>
        <v>#VALUE!</v>
      </c>
      <c r="P74" s="94" t="e">
        <f aca="false">IF(Skew_Switch=0,"",IF(C74="","",((calcskew(Put1-$L74,$C74,a,b))/100)))</f>
        <v>#VALUE!</v>
      </c>
      <c r="Q74" s="94" t="e">
        <f aca="false">IF(Skew_Switch=0,"",IF(C74="","",((calcskew(Call2-$L74,$C74,a,b))/100)))</f>
        <v>#VALUE!</v>
      </c>
      <c r="R74" s="94" t="e">
        <f aca="false">IF(Skew_Switch=0,"",IF(C74="","",((calcskew(Put2-$L74,$C74,a,b))/100)))</f>
        <v>#VALUE!</v>
      </c>
      <c r="S74" s="3" t="e">
        <f aca="false">IF($C74="","",(Front!$C$19=0)*$N74+(Front!$C$19=1)*($N74+O74))</f>
        <v>#VALUE!</v>
      </c>
      <c r="T74" s="3" t="e">
        <f aca="false">IF($C74="","",(Front!$C$19=0)*$N74+(Front!$C$19=1)*($N74+P74))</f>
        <v>#VALUE!</v>
      </c>
      <c r="U74" s="3" t="e">
        <f aca="false">IF($C74="","",(Front!$C$19=0)*$N74+(Front!$C$19=1)*($N74+Q74))</f>
        <v>#VALUE!</v>
      </c>
      <c r="V74" s="3" t="e">
        <f aca="false">IF($C74="","",(Front!$C$19=0)*$N74+(Front!$C$19=1)*($N74+R74))</f>
        <v>#VALUE!</v>
      </c>
      <c r="W74" s="90" t="e">
        <f aca="false">IF($C74="","",xEURO($L74,Call1,$G74,$G74,S74,$J74,1,0))</f>
        <v>#VALUE!</v>
      </c>
      <c r="X74" s="90" t="e">
        <f aca="false">IF($C74="","",xEURO($L74,Put1,$G74,$G74,T74,$J74,0,0))</f>
        <v>#VALUE!</v>
      </c>
      <c r="Y74" s="90" t="e">
        <f aca="false">IF($C74="","",xEURO($L74,Call2,$G74,$G74,U74,$J74,1,0))</f>
        <v>#VALUE!</v>
      </c>
      <c r="Z74" s="90" t="e">
        <f aca="false">IF($C74="","",xEURO($L74,Put2,$G74,$G74,V74,$J74,0,0))</f>
        <v>#VALUE!</v>
      </c>
      <c r="AA74" s="90" t="e">
        <f aca="false">IF($C74="","",xEURO($L74,Call1,$G74,$G74,$S74,$J74,1,1))</f>
        <v>#VALUE!</v>
      </c>
      <c r="AB74" s="90" t="e">
        <f aca="false">IF($C74="","",xEURO($L74,Put1,$G74,$G74,$T74,$J74,0,1))</f>
        <v>#VALUE!</v>
      </c>
      <c r="AC74" s="90" t="e">
        <f aca="false">IF($C74="","",xEURO($L74,Call2,$G74,$G74,$U74,$J74,1,1))</f>
        <v>#VALUE!</v>
      </c>
      <c r="AD74" s="90" t="e">
        <f aca="false">IF($C74="","",xEURO($L74,Put2,$G74,$G74,$V74,$J74,0,1))</f>
        <v>#VALUE!</v>
      </c>
      <c r="AE74" s="90" t="e">
        <f aca="false">IF($C74="","",xEURO($L74,Call1,$G74,$G74,$S74,$J74,1,3))</f>
        <v>#VALUE!</v>
      </c>
      <c r="AF74" s="90" t="e">
        <f aca="false">IF($C74="","",xEURO($L74,Put1,$G74,$G74,$T74,$J74,0,3))</f>
        <v>#VALUE!</v>
      </c>
      <c r="AG74" s="90" t="e">
        <f aca="false">IF($C74="","",xEURO($L74,Call2,$G74,$G74,$U74,$J74,1,3))</f>
        <v>#VALUE!</v>
      </c>
      <c r="AH74" s="90" t="e">
        <f aca="false">IF($C74="","",xEURO($L74,Put2,$G74,$G74,$V74,$J74,0,3))</f>
        <v>#VALUE!</v>
      </c>
      <c r="AI74" s="8" t="e">
        <f aca="false">IF(E74=1,G74,0)</f>
        <v>#VALUE!</v>
      </c>
      <c r="AJ74" s="8" t="e">
        <f aca="false">IF(E74=1,H74,0)</f>
        <v>#VALUE!</v>
      </c>
      <c r="AK74" s="8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91" t="n">
        <f aca="false">Swap!A75</f>
        <v>39114</v>
      </c>
      <c r="B75" s="0" t="n">
        <f aca="false">B74+1</f>
        <v>66</v>
      </c>
      <c r="C75" s="91" t="e">
        <f aca="false">IF(AND(A75&gt;=Front!$E$11,A75&lt;=Front!$E$12),A75,"")</f>
        <v>#VALUE!</v>
      </c>
      <c r="D75" s="87" t="e">
        <f aca="false">Swap!AB75</f>
        <v>#VALUE!</v>
      </c>
      <c r="E75" s="87" t="e">
        <f aca="false">IF($C75="","",1)</f>
        <v>#VALUE!</v>
      </c>
      <c r="F75" s="88" t="e">
        <f aca="false">IF($C75="","",E75*H75)</f>
        <v>#VALUE!</v>
      </c>
      <c r="G75" s="31" t="n">
        <f aca="false">Swap!AG75</f>
        <v>0.0483154420953738</v>
      </c>
      <c r="H75" s="31" t="n">
        <f aca="false">Swap!AH75</f>
        <v>2.43606138774659</v>
      </c>
      <c r="I75" s="92" t="n">
        <f aca="false">INDEX(expery,MATCH(A75,exprymonth,0),2)</f>
        <v>39108</v>
      </c>
      <c r="J75" s="87" t="n">
        <f aca="false">I75-Front!$C$2</f>
        <v>-6818</v>
      </c>
      <c r="K75" s="8" t="n">
        <f aca="false">Swap!E75</f>
        <v>3.6665</v>
      </c>
      <c r="L75" s="8" t="e">
        <f aca="false">IF(C75="","",(PriceSwitch=0)*K75+(PriceSwitch=1)*(Front!$H$21+K75)+(PriceSwitch=2)*Front!$H$21)</f>
        <v>#VALUE!</v>
      </c>
      <c r="M75" s="93" t="n">
        <f aca="false">INDEX(vols,MATCH(A75,volsmonth,0),2)</f>
        <v>0.2375</v>
      </c>
      <c r="N75" s="3" t="e">
        <f aca="false">IF(Skew_Switch=0,"",IF($C75="","",(Front!$E$20=0)*M75+(Front!$E$20=1)*(Front!$E$21+M75)+(Front!$E$20=2)*Front!$E$21))</f>
        <v>#VALUE!</v>
      </c>
      <c r="O75" s="94" t="e">
        <f aca="false">IF(Skew_Switch=0,"",IF(C75="","",((calcskew(Call1-$L75,$C75,a,b))/100)))</f>
        <v>#VALUE!</v>
      </c>
      <c r="P75" s="94" t="e">
        <f aca="false">IF(Skew_Switch=0,"",IF(C75="","",((calcskew(Put1-$L75,$C75,a,b))/100)))</f>
        <v>#VALUE!</v>
      </c>
      <c r="Q75" s="94" t="e">
        <f aca="false">IF(Skew_Switch=0,"",IF(C75="","",((calcskew(Call2-$L75,$C75,a,b))/100)))</f>
        <v>#VALUE!</v>
      </c>
      <c r="R75" s="94" t="e">
        <f aca="false">IF(Skew_Switch=0,"",IF(C75="","",((calcskew(Put2-$L75,$C75,a,b))/100)))</f>
        <v>#VALUE!</v>
      </c>
      <c r="S75" s="3" t="e">
        <f aca="false">IF($C75="","",(Front!$C$19=0)*$N75+(Front!$C$19=1)*($N75+O75))</f>
        <v>#VALUE!</v>
      </c>
      <c r="T75" s="3" t="e">
        <f aca="false">IF($C75="","",(Front!$C$19=0)*$N75+(Front!$C$19=1)*($N75+P75))</f>
        <v>#VALUE!</v>
      </c>
      <c r="U75" s="3" t="e">
        <f aca="false">IF($C75="","",(Front!$C$19=0)*$N75+(Front!$C$19=1)*($N75+Q75))</f>
        <v>#VALUE!</v>
      </c>
      <c r="V75" s="3" t="e">
        <f aca="false">IF($C75="","",(Front!$C$19=0)*$N75+(Front!$C$19=1)*($N75+R75))</f>
        <v>#VALUE!</v>
      </c>
      <c r="W75" s="90" t="e">
        <f aca="false">IF($C75="","",xEURO($L75,Call1,$G75,$G75,S75,$J75,1,0))</f>
        <v>#VALUE!</v>
      </c>
      <c r="X75" s="90" t="e">
        <f aca="false">IF($C75="","",xEURO($L75,Put1,$G75,$G75,T75,$J75,0,0))</f>
        <v>#VALUE!</v>
      </c>
      <c r="Y75" s="90" t="e">
        <f aca="false">IF($C75="","",xEURO($L75,Call2,$G75,$G75,U75,$J75,1,0))</f>
        <v>#VALUE!</v>
      </c>
      <c r="Z75" s="90" t="e">
        <f aca="false">IF($C75="","",xEURO($L75,Put2,$G75,$G75,V75,$J75,0,0))</f>
        <v>#VALUE!</v>
      </c>
      <c r="AA75" s="90" t="e">
        <f aca="false">IF($C75="","",xEURO($L75,Call1,$G75,$G75,$S75,$J75,1,1))</f>
        <v>#VALUE!</v>
      </c>
      <c r="AB75" s="90" t="e">
        <f aca="false">IF($C75="","",xEURO($L75,Put1,$G75,$G75,$T75,$J75,0,1))</f>
        <v>#VALUE!</v>
      </c>
      <c r="AC75" s="90" t="e">
        <f aca="false">IF($C75="","",xEURO($L75,Call2,$G75,$G75,$U75,$J75,1,1))</f>
        <v>#VALUE!</v>
      </c>
      <c r="AD75" s="90" t="e">
        <f aca="false">IF($C75="","",xEURO($L75,Put2,$G75,$G75,$V75,$J75,0,1))</f>
        <v>#VALUE!</v>
      </c>
      <c r="AE75" s="90" t="e">
        <f aca="false">IF($C75="","",xEURO($L75,Call1,$G75,$G75,$S75,$J75,1,3))</f>
        <v>#VALUE!</v>
      </c>
      <c r="AF75" s="90" t="e">
        <f aca="false">IF($C75="","",xEURO($L75,Put1,$G75,$G75,$T75,$J75,0,3))</f>
        <v>#VALUE!</v>
      </c>
      <c r="AG75" s="90" t="e">
        <f aca="false">IF($C75="","",xEURO($L75,Call2,$G75,$G75,$U75,$J75,1,3))</f>
        <v>#VALUE!</v>
      </c>
      <c r="AH75" s="90" t="e">
        <f aca="false">IF($C75="","",xEURO($L75,Put2,$G75,$G75,$V75,$J75,0,3))</f>
        <v>#VALUE!</v>
      </c>
      <c r="AI75" s="8" t="e">
        <f aca="false">IF(E75=1,G75,0)</f>
        <v>#VALUE!</v>
      </c>
      <c r="AJ75" s="8" t="e">
        <f aca="false">IF(E75=1,H75,0)</f>
        <v>#VALUE!</v>
      </c>
      <c r="AK75" s="8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91" t="n">
        <f aca="false">Swap!A76</f>
        <v>39142</v>
      </c>
      <c r="B76" s="0" t="n">
        <f aca="false">B75+1</f>
        <v>67</v>
      </c>
      <c r="C76" s="91" t="e">
        <f aca="false">IF(AND(A76&gt;=Front!$E$11,A76&lt;=Front!$E$12),A76,"")</f>
        <v>#VALUE!</v>
      </c>
      <c r="D76" s="87" t="e">
        <f aca="false">Swap!AB76</f>
        <v>#VALUE!</v>
      </c>
      <c r="E76" s="87" t="e">
        <f aca="false">IF($C76="","",1)</f>
        <v>#VALUE!</v>
      </c>
      <c r="F76" s="88" t="e">
        <f aca="false">IF($C76="","",E76*H76)</f>
        <v>#VALUE!</v>
      </c>
      <c r="G76" s="31" t="n">
        <f aca="false">Swap!AG76</f>
        <v>0.0484738091897317</v>
      </c>
      <c r="H76" s="31" t="n">
        <f aca="false">Swap!AH76</f>
        <v>2.4341428385825</v>
      </c>
      <c r="I76" s="92" t="n">
        <f aca="false">INDEX(expery,MATCH(A76,exprymonth,0),2)</f>
        <v>39136</v>
      </c>
      <c r="J76" s="87" t="n">
        <f aca="false">I76-Front!$C$2</f>
        <v>-6790</v>
      </c>
      <c r="K76" s="8" t="n">
        <f aca="false">Swap!E76</f>
        <v>3.5345</v>
      </c>
      <c r="L76" s="8" t="e">
        <f aca="false">IF(C76="","",(PriceSwitch=0)*K76+(PriceSwitch=1)*(Front!$H$21+K76)+(PriceSwitch=2)*Front!$H$21)</f>
        <v>#VALUE!</v>
      </c>
      <c r="M76" s="93" t="n">
        <f aca="false">INDEX(vols,MATCH(A76,volsmonth,0),2)</f>
        <v>0.2325</v>
      </c>
      <c r="N76" s="3" t="e">
        <f aca="false">IF(Skew_Switch=0,"",IF($C76="","",(Front!$E$20=0)*M76+(Front!$E$20=1)*(Front!$E$21+M76)+(Front!$E$20=2)*Front!$E$21))</f>
        <v>#VALUE!</v>
      </c>
      <c r="O76" s="94" t="e">
        <f aca="false">IF(Skew_Switch=0,"",IF(C76="","",((calcskew(Call1-$L76,$C76,a,b))/100)))</f>
        <v>#VALUE!</v>
      </c>
      <c r="P76" s="94" t="e">
        <f aca="false">IF(Skew_Switch=0,"",IF(C76="","",((calcskew(Put1-$L76,$C76,a,b))/100)))</f>
        <v>#VALUE!</v>
      </c>
      <c r="Q76" s="94" t="e">
        <f aca="false">IF(Skew_Switch=0,"",IF(C76="","",((calcskew(Call2-$L76,$C76,a,b))/100)))</f>
        <v>#VALUE!</v>
      </c>
      <c r="R76" s="94" t="e">
        <f aca="false">IF(Skew_Switch=0,"",IF(C76="","",((calcskew(Put2-$L76,$C76,a,b))/100)))</f>
        <v>#VALUE!</v>
      </c>
      <c r="S76" s="3" t="e">
        <f aca="false">IF($C76="","",(Front!$C$19=0)*$N76+(Front!$C$19=1)*($N76+O76))</f>
        <v>#VALUE!</v>
      </c>
      <c r="T76" s="3" t="e">
        <f aca="false">IF($C76="","",(Front!$C$19=0)*$N76+(Front!$C$19=1)*($N76+P76))</f>
        <v>#VALUE!</v>
      </c>
      <c r="U76" s="3" t="e">
        <f aca="false">IF($C76="","",(Front!$C$19=0)*$N76+(Front!$C$19=1)*($N76+Q76))</f>
        <v>#VALUE!</v>
      </c>
      <c r="V76" s="3" t="e">
        <f aca="false">IF($C76="","",(Front!$C$19=0)*$N76+(Front!$C$19=1)*($N76+R76))</f>
        <v>#VALUE!</v>
      </c>
      <c r="W76" s="90" t="e">
        <f aca="false">IF($C76="","",xEURO($L76,Call1,$G76,$G76,S76,$J76,1,0))</f>
        <v>#VALUE!</v>
      </c>
      <c r="X76" s="90" t="e">
        <f aca="false">IF($C76="","",xEURO($L76,Put1,$G76,$G76,T76,$J76,0,0))</f>
        <v>#VALUE!</v>
      </c>
      <c r="Y76" s="90" t="e">
        <f aca="false">IF($C76="","",xEURO($L76,Call2,$G76,$G76,U76,$J76,1,0))</f>
        <v>#VALUE!</v>
      </c>
      <c r="Z76" s="90" t="e">
        <f aca="false">IF($C76="","",xEURO($L76,Put2,$G76,$G76,V76,$J76,0,0))</f>
        <v>#VALUE!</v>
      </c>
      <c r="AA76" s="90" t="e">
        <f aca="false">IF($C76="","",xEURO($L76,Call1,$G76,$G76,$S76,$J76,1,1))</f>
        <v>#VALUE!</v>
      </c>
      <c r="AB76" s="90" t="e">
        <f aca="false">IF($C76="","",xEURO($L76,Put1,$G76,$G76,$T76,$J76,0,1))</f>
        <v>#VALUE!</v>
      </c>
      <c r="AC76" s="90" t="e">
        <f aca="false">IF($C76="","",xEURO($L76,Call2,$G76,$G76,$U76,$J76,1,1))</f>
        <v>#VALUE!</v>
      </c>
      <c r="AD76" s="90" t="e">
        <f aca="false">IF($C76="","",xEURO($L76,Put2,$G76,$G76,$V76,$J76,0,1))</f>
        <v>#VALUE!</v>
      </c>
      <c r="AE76" s="90" t="e">
        <f aca="false">IF($C76="","",xEURO($L76,Call1,$G76,$G76,$S76,$J76,1,3))</f>
        <v>#VALUE!</v>
      </c>
      <c r="AF76" s="90" t="e">
        <f aca="false">IF($C76="","",xEURO($L76,Put1,$G76,$G76,$T76,$J76,0,3))</f>
        <v>#VALUE!</v>
      </c>
      <c r="AG76" s="90" t="e">
        <f aca="false">IF($C76="","",xEURO($L76,Call2,$G76,$G76,$U76,$J76,1,3))</f>
        <v>#VALUE!</v>
      </c>
      <c r="AH76" s="90" t="e">
        <f aca="false">IF($C76="","",xEURO($L76,Put2,$G76,$G76,$V76,$J76,0,3))</f>
        <v>#VALUE!</v>
      </c>
      <c r="AI76" s="8" t="e">
        <f aca="false">IF(E76=1,G76,0)</f>
        <v>#VALUE!</v>
      </c>
      <c r="AJ76" s="8" t="e">
        <f aca="false">IF(E76=1,H76,0)</f>
        <v>#VALUE!</v>
      </c>
      <c r="AK76" s="8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91" t="n">
        <f aca="false">Swap!A77</f>
        <v>39173</v>
      </c>
      <c r="B77" s="0" t="n">
        <f aca="false">B76+1</f>
        <v>68</v>
      </c>
      <c r="C77" s="91" t="e">
        <f aca="false">IF(AND(A77&gt;=Front!$E$11,A77&lt;=Front!$E$12),A77,"")</f>
        <v>#VALUE!</v>
      </c>
      <c r="D77" s="87" t="e">
        <f aca="false">Swap!AB77</f>
        <v>#VALUE!</v>
      </c>
      <c r="E77" s="87" t="e">
        <f aca="false">IF($C77="","",1)</f>
        <v>#VALUE!</v>
      </c>
      <c r="F77" s="88" t="e">
        <f aca="false">IF($C77="","",E77*H77)</f>
        <v>#VALUE!</v>
      </c>
      <c r="G77" s="31" t="n">
        <f aca="false">Swap!AG77</f>
        <v>0.0486491441968315</v>
      </c>
      <c r="H77" s="31" t="n">
        <f aca="false">Swap!AH77</f>
        <v>2.43195261407167</v>
      </c>
      <c r="I77" s="92" t="n">
        <f aca="false">INDEX(expery,MATCH(A77,exprymonth,0),2)</f>
        <v>39168</v>
      </c>
      <c r="J77" s="87" t="n">
        <f aca="false">I77-Front!$C$2</f>
        <v>-6758</v>
      </c>
      <c r="K77" s="8" t="n">
        <f aca="false">Swap!E77</f>
        <v>3.3645</v>
      </c>
      <c r="L77" s="8" t="e">
        <f aca="false">IF(C77="","",(PriceSwitch=0)*K77+(PriceSwitch=1)*(Front!$H$21+K77)+(PriceSwitch=2)*Front!$H$21)</f>
        <v>#VALUE!</v>
      </c>
      <c r="M77" s="93" t="n">
        <f aca="false">INDEX(vols,MATCH(A77,volsmonth,0),2)</f>
        <v>0.2325</v>
      </c>
      <c r="N77" s="3" t="e">
        <f aca="false">IF(Skew_Switch=0,"",IF($C77="","",(Front!$E$20=0)*M77+(Front!$E$20=1)*(Front!$E$21+M77)+(Front!$E$20=2)*Front!$E$21))</f>
        <v>#VALUE!</v>
      </c>
      <c r="O77" s="94" t="e">
        <f aca="false">IF(Skew_Switch=0,"",IF(C77="","",((calcskew(Call1-$L77,$C77,a,b))/100)))</f>
        <v>#VALUE!</v>
      </c>
      <c r="P77" s="94" t="e">
        <f aca="false">IF(Skew_Switch=0,"",IF(C77="","",((calcskew(Put1-$L77,$C77,a,b))/100)))</f>
        <v>#VALUE!</v>
      </c>
      <c r="Q77" s="94" t="e">
        <f aca="false">IF(Skew_Switch=0,"",IF(C77="","",((calcskew(Call2-$L77,$C77,a,b))/100)))</f>
        <v>#VALUE!</v>
      </c>
      <c r="R77" s="94" t="e">
        <f aca="false">IF(Skew_Switch=0,"",IF(C77="","",((calcskew(Put2-$L77,$C77,a,b))/100)))</f>
        <v>#VALUE!</v>
      </c>
      <c r="S77" s="3" t="e">
        <f aca="false">IF($C77="","",(Front!$C$19=0)*$N77+(Front!$C$19=1)*($N77+O77))</f>
        <v>#VALUE!</v>
      </c>
      <c r="T77" s="3" t="e">
        <f aca="false">IF($C77="","",(Front!$C$19=0)*$N77+(Front!$C$19=1)*($N77+P77))</f>
        <v>#VALUE!</v>
      </c>
      <c r="U77" s="3" t="e">
        <f aca="false">IF($C77="","",(Front!$C$19=0)*$N77+(Front!$C$19=1)*($N77+Q77))</f>
        <v>#VALUE!</v>
      </c>
      <c r="V77" s="3" t="e">
        <f aca="false">IF($C77="","",(Front!$C$19=0)*$N77+(Front!$C$19=1)*($N77+R77))</f>
        <v>#VALUE!</v>
      </c>
      <c r="W77" s="90" t="e">
        <f aca="false">IF($C77="","",xEURO($L77,Call1,$G77,$G77,S77,$J77,1,0))</f>
        <v>#VALUE!</v>
      </c>
      <c r="X77" s="90" t="e">
        <f aca="false">IF($C77="","",xEURO($L77,Put1,$G77,$G77,T77,$J77,0,0))</f>
        <v>#VALUE!</v>
      </c>
      <c r="Y77" s="90" t="e">
        <f aca="false">IF($C77="","",xEURO($L77,Call2,$G77,$G77,U77,$J77,1,0))</f>
        <v>#VALUE!</v>
      </c>
      <c r="Z77" s="90" t="e">
        <f aca="false">IF($C77="","",xEURO($L77,Put2,$G77,$G77,V77,$J77,0,0))</f>
        <v>#VALUE!</v>
      </c>
      <c r="AA77" s="90" t="e">
        <f aca="false">IF($C77="","",xEURO($L77,Call1,$G77,$G77,$S77,$J77,1,1))</f>
        <v>#VALUE!</v>
      </c>
      <c r="AB77" s="90" t="e">
        <f aca="false">IF($C77="","",xEURO($L77,Put1,$G77,$G77,$T77,$J77,0,1))</f>
        <v>#VALUE!</v>
      </c>
      <c r="AC77" s="90" t="e">
        <f aca="false">IF($C77="","",xEURO($L77,Call2,$G77,$G77,$U77,$J77,1,1))</f>
        <v>#VALUE!</v>
      </c>
      <c r="AD77" s="90" t="e">
        <f aca="false">IF($C77="","",xEURO($L77,Put2,$G77,$G77,$V77,$J77,0,1))</f>
        <v>#VALUE!</v>
      </c>
      <c r="AE77" s="90" t="e">
        <f aca="false">IF($C77="","",xEURO($L77,Call1,$G77,$G77,$S77,$J77,1,3))</f>
        <v>#VALUE!</v>
      </c>
      <c r="AF77" s="90" t="e">
        <f aca="false">IF($C77="","",xEURO($L77,Put1,$G77,$G77,$T77,$J77,0,3))</f>
        <v>#VALUE!</v>
      </c>
      <c r="AG77" s="90" t="e">
        <f aca="false">IF($C77="","",xEURO($L77,Call2,$G77,$G77,$U77,$J77,1,3))</f>
        <v>#VALUE!</v>
      </c>
      <c r="AH77" s="90" t="e">
        <f aca="false">IF($C77="","",xEURO($L77,Put2,$G77,$G77,$V77,$J77,0,3))</f>
        <v>#VALUE!</v>
      </c>
      <c r="AI77" s="8" t="e">
        <f aca="false">IF(E77=1,G77,0)</f>
        <v>#VALUE!</v>
      </c>
      <c r="AJ77" s="8" t="e">
        <f aca="false">IF(E77=1,H77,0)</f>
        <v>#VALUE!</v>
      </c>
      <c r="AK77" s="8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91" t="n">
        <f aca="false">Swap!A78</f>
        <v>39203</v>
      </c>
      <c r="B78" s="0" t="n">
        <f aca="false">B77+1</f>
        <v>69</v>
      </c>
      <c r="C78" s="91" t="e">
        <f aca="false">IF(AND(A78&gt;=Front!$E$11,A78&lt;=Front!$E$12),A78,"")</f>
        <v>#VALUE!</v>
      </c>
      <c r="D78" s="87" t="e">
        <f aca="false">Swap!AB78</f>
        <v>#VALUE!</v>
      </c>
      <c r="E78" s="87" t="e">
        <f aca="false">IF($C78="","",1)</f>
        <v>#VALUE!</v>
      </c>
      <c r="F78" s="88" t="e">
        <f aca="false">IF($C78="","",E78*H78)</f>
        <v>#VALUE!</v>
      </c>
      <c r="G78" s="31" t="n">
        <f aca="false">Swap!AG78</f>
        <v>0.0488188232457398</v>
      </c>
      <c r="H78" s="31" t="n">
        <f aca="false">Swap!AH78</f>
        <v>2.429767071733</v>
      </c>
      <c r="I78" s="92" t="n">
        <f aca="false">INDEX(expery,MATCH(A78,exprymonth,0),2)</f>
        <v>39197</v>
      </c>
      <c r="J78" s="87" t="n">
        <f aca="false">I78-Front!$C$2</f>
        <v>-6729</v>
      </c>
      <c r="K78" s="8" t="n">
        <f aca="false">Swap!E78</f>
        <v>3.3645</v>
      </c>
      <c r="L78" s="8" t="e">
        <f aca="false">IF(C78="","",(PriceSwitch=0)*K78+(PriceSwitch=1)*(Front!$H$21+K78)+(PriceSwitch=2)*Front!$H$21)</f>
        <v>#VALUE!</v>
      </c>
      <c r="M78" s="93" t="n">
        <f aca="false">INDEX(vols,MATCH(A78,volsmonth,0),2)</f>
        <v>0.2325</v>
      </c>
      <c r="N78" s="3" t="e">
        <f aca="false">IF(Skew_Switch=0,"",IF($C78="","",(Front!$E$20=0)*M78+(Front!$E$20=1)*(Front!$E$21+M78)+(Front!$E$20=2)*Front!$E$21))</f>
        <v>#VALUE!</v>
      </c>
      <c r="O78" s="94" t="e">
        <f aca="false">IF(Skew_Switch=0,"",IF(C78="","",((calcskew(Call1-$L78,$C78,a,b))/100)))</f>
        <v>#VALUE!</v>
      </c>
      <c r="P78" s="94" t="e">
        <f aca="false">IF(Skew_Switch=0,"",IF(C78="","",((calcskew(Put1-$L78,$C78,a,b))/100)))</f>
        <v>#VALUE!</v>
      </c>
      <c r="Q78" s="94" t="e">
        <f aca="false">IF(Skew_Switch=0,"",IF(C78="","",((calcskew(Call2-$L78,$C78,a,b))/100)))</f>
        <v>#VALUE!</v>
      </c>
      <c r="R78" s="94" t="e">
        <f aca="false">IF(Skew_Switch=0,"",IF(C78="","",((calcskew(Put2-$L78,$C78,a,b))/100)))</f>
        <v>#VALUE!</v>
      </c>
      <c r="S78" s="3" t="e">
        <f aca="false">IF($C78="","",(Front!$C$19=0)*$N78+(Front!$C$19=1)*($N78+O78))</f>
        <v>#VALUE!</v>
      </c>
      <c r="T78" s="3" t="e">
        <f aca="false">IF($C78="","",(Front!$C$19=0)*$N78+(Front!$C$19=1)*($N78+P78))</f>
        <v>#VALUE!</v>
      </c>
      <c r="U78" s="3" t="e">
        <f aca="false">IF($C78="","",(Front!$C$19=0)*$N78+(Front!$C$19=1)*($N78+Q78))</f>
        <v>#VALUE!</v>
      </c>
      <c r="V78" s="3" t="e">
        <f aca="false">IF($C78="","",(Front!$C$19=0)*$N78+(Front!$C$19=1)*($N78+R78))</f>
        <v>#VALUE!</v>
      </c>
      <c r="W78" s="90" t="e">
        <f aca="false">IF($C78="","",xEURO($L78,Call1,$G78,$G78,S78,$J78,1,0))</f>
        <v>#VALUE!</v>
      </c>
      <c r="X78" s="90" t="e">
        <f aca="false">IF($C78="","",xEURO($L78,Put1,$G78,$G78,T78,$J78,0,0))</f>
        <v>#VALUE!</v>
      </c>
      <c r="Y78" s="90" t="e">
        <f aca="false">IF($C78="","",xEURO($L78,Call2,$G78,$G78,U78,$J78,1,0))</f>
        <v>#VALUE!</v>
      </c>
      <c r="Z78" s="90" t="e">
        <f aca="false">IF($C78="","",xEURO($L78,Put2,$G78,$G78,V78,$J78,0,0))</f>
        <v>#VALUE!</v>
      </c>
      <c r="AA78" s="90" t="e">
        <f aca="false">IF($C78="","",xEURO($L78,Call1,$G78,$G78,$S78,$J78,1,1))</f>
        <v>#VALUE!</v>
      </c>
      <c r="AB78" s="90" t="e">
        <f aca="false">IF($C78="","",xEURO($L78,Put1,$G78,$G78,$T78,$J78,0,1))</f>
        <v>#VALUE!</v>
      </c>
      <c r="AC78" s="90" t="e">
        <f aca="false">IF($C78="","",xEURO($L78,Call2,$G78,$G78,$U78,$J78,1,1))</f>
        <v>#VALUE!</v>
      </c>
      <c r="AD78" s="90" t="e">
        <f aca="false">IF($C78="","",xEURO($L78,Put2,$G78,$G78,$V78,$J78,0,1))</f>
        <v>#VALUE!</v>
      </c>
      <c r="AE78" s="90" t="e">
        <f aca="false">IF($C78="","",xEURO($L78,Call1,$G78,$G78,$S78,$J78,1,3))</f>
        <v>#VALUE!</v>
      </c>
      <c r="AF78" s="90" t="e">
        <f aca="false">IF($C78="","",xEURO($L78,Put1,$G78,$G78,$T78,$J78,0,3))</f>
        <v>#VALUE!</v>
      </c>
      <c r="AG78" s="90" t="e">
        <f aca="false">IF($C78="","",xEURO($L78,Call2,$G78,$G78,$U78,$J78,1,3))</f>
        <v>#VALUE!</v>
      </c>
      <c r="AH78" s="90" t="e">
        <f aca="false">IF($C78="","",xEURO($L78,Put2,$G78,$G78,$V78,$J78,0,3))</f>
        <v>#VALUE!</v>
      </c>
      <c r="AI78" s="8" t="e">
        <f aca="false">IF(E78=1,G78,0)</f>
        <v>#VALUE!</v>
      </c>
      <c r="AJ78" s="8" t="e">
        <f aca="false">IF(E78=1,H78,0)</f>
        <v>#VALUE!</v>
      </c>
      <c r="AK78" s="8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91" t="n">
        <f aca="false">Swap!A79</f>
        <v>39234</v>
      </c>
      <c r="B79" s="0" t="n">
        <f aca="false">B78+1</f>
        <v>70</v>
      </c>
      <c r="C79" s="91" t="e">
        <f aca="false">IF(AND(A79&gt;=Front!$E$11,A79&lt;=Front!$E$12),A79,"")</f>
        <v>#VALUE!</v>
      </c>
      <c r="D79" s="87" t="e">
        <f aca="false">Swap!AB79</f>
        <v>#VALUE!</v>
      </c>
      <c r="E79" s="87" t="e">
        <f aca="false">IF($C79="","",1)</f>
        <v>#VALUE!</v>
      </c>
      <c r="F79" s="88" t="e">
        <f aca="false">IF($C79="","",E79*H79)</f>
        <v>#VALUE!</v>
      </c>
      <c r="G79" s="31" t="n">
        <f aca="false">Swap!AG79</f>
        <v>0.0489941582730502</v>
      </c>
      <c r="H79" s="31" t="n">
        <f aca="false">Swap!AH79</f>
        <v>2.42744070914477</v>
      </c>
      <c r="I79" s="92" t="n">
        <f aca="false">INDEX(expery,MATCH(A79,exprymonth,0),2)</f>
        <v>39227</v>
      </c>
      <c r="J79" s="87" t="n">
        <f aca="false">I79-Front!$C$2</f>
        <v>-6699</v>
      </c>
      <c r="K79" s="8" t="n">
        <f aca="false">Swap!E79</f>
        <v>3.3965</v>
      </c>
      <c r="L79" s="8" t="e">
        <f aca="false">IF(C79="","",(PriceSwitch=0)*K79+(PriceSwitch=1)*(Front!$H$21+K79)+(PriceSwitch=2)*Front!$H$21)</f>
        <v>#VALUE!</v>
      </c>
      <c r="M79" s="93" t="n">
        <f aca="false">INDEX(vols,MATCH(A79,volsmonth,0),2)</f>
        <v>0.2325</v>
      </c>
      <c r="N79" s="3" t="e">
        <f aca="false">IF(Skew_Switch=0,"",IF($C79="","",(Front!$E$20=0)*M79+(Front!$E$20=1)*(Front!$E$21+M79)+(Front!$E$20=2)*Front!$E$21))</f>
        <v>#VALUE!</v>
      </c>
      <c r="O79" s="94" t="e">
        <f aca="false">IF(Skew_Switch=0,"",IF(C79="","",((calcskew(Call1-$L79,$C79,a,b))/100)))</f>
        <v>#VALUE!</v>
      </c>
      <c r="P79" s="94" t="e">
        <f aca="false">IF(Skew_Switch=0,"",IF(C79="","",((calcskew(Put1-$L79,$C79,a,b))/100)))</f>
        <v>#VALUE!</v>
      </c>
      <c r="Q79" s="94" t="e">
        <f aca="false">IF(Skew_Switch=0,"",IF(C79="","",((calcskew(Call2-$L79,$C79,a,b))/100)))</f>
        <v>#VALUE!</v>
      </c>
      <c r="R79" s="94" t="e">
        <f aca="false">IF(Skew_Switch=0,"",IF(C79="","",((calcskew(Put2-$L79,$C79,a,b))/100)))</f>
        <v>#VALUE!</v>
      </c>
      <c r="S79" s="3" t="e">
        <f aca="false">IF($C79="","",(Front!$C$19=0)*$N79+(Front!$C$19=1)*($N79+O79))</f>
        <v>#VALUE!</v>
      </c>
      <c r="T79" s="3" t="e">
        <f aca="false">IF($C79="","",(Front!$C$19=0)*$N79+(Front!$C$19=1)*($N79+P79))</f>
        <v>#VALUE!</v>
      </c>
      <c r="U79" s="3" t="e">
        <f aca="false">IF($C79="","",(Front!$C$19=0)*$N79+(Front!$C$19=1)*($N79+Q79))</f>
        <v>#VALUE!</v>
      </c>
      <c r="V79" s="3" t="e">
        <f aca="false">IF($C79="","",(Front!$C$19=0)*$N79+(Front!$C$19=1)*($N79+R79))</f>
        <v>#VALUE!</v>
      </c>
      <c r="W79" s="90" t="e">
        <f aca="false">IF($C79="","",xEURO($L79,Call1,$G79,$G79,S79,$J79,1,0))</f>
        <v>#VALUE!</v>
      </c>
      <c r="X79" s="90" t="e">
        <f aca="false">IF($C79="","",xEURO($L79,Put1,$G79,$G79,T79,$J79,0,0))</f>
        <v>#VALUE!</v>
      </c>
      <c r="Y79" s="90" t="e">
        <f aca="false">IF($C79="","",xEURO($L79,Call2,$G79,$G79,U79,$J79,1,0))</f>
        <v>#VALUE!</v>
      </c>
      <c r="Z79" s="90" t="e">
        <f aca="false">IF($C79="","",xEURO($L79,Put2,$G79,$G79,V79,$J79,0,0))</f>
        <v>#VALUE!</v>
      </c>
      <c r="AA79" s="90" t="e">
        <f aca="false">IF($C79="","",xEURO($L79,Call1,$G79,$G79,$S79,$J79,1,1))</f>
        <v>#VALUE!</v>
      </c>
      <c r="AB79" s="90" t="e">
        <f aca="false">IF($C79="","",xEURO($L79,Put1,$G79,$G79,$T79,$J79,0,1))</f>
        <v>#VALUE!</v>
      </c>
      <c r="AC79" s="90" t="e">
        <f aca="false">IF($C79="","",xEURO($L79,Call2,$G79,$G79,$U79,$J79,1,1))</f>
        <v>#VALUE!</v>
      </c>
      <c r="AD79" s="90" t="e">
        <f aca="false">IF($C79="","",xEURO($L79,Put2,$G79,$G79,$V79,$J79,0,1))</f>
        <v>#VALUE!</v>
      </c>
      <c r="AE79" s="90" t="e">
        <f aca="false">IF($C79="","",xEURO($L79,Call1,$G79,$G79,$S79,$J79,1,3))</f>
        <v>#VALUE!</v>
      </c>
      <c r="AF79" s="90" t="e">
        <f aca="false">IF($C79="","",xEURO($L79,Put1,$G79,$G79,$T79,$J79,0,3))</f>
        <v>#VALUE!</v>
      </c>
      <c r="AG79" s="90" t="e">
        <f aca="false">IF($C79="","",xEURO($L79,Call2,$G79,$G79,$U79,$J79,1,3))</f>
        <v>#VALUE!</v>
      </c>
      <c r="AH79" s="90" t="e">
        <f aca="false">IF($C79="","",xEURO($L79,Put2,$G79,$G79,$V79,$J79,0,3))</f>
        <v>#VALUE!</v>
      </c>
      <c r="AI79" s="8" t="e">
        <f aca="false">IF(E79=1,G79,0)</f>
        <v>#VALUE!</v>
      </c>
      <c r="AJ79" s="8" t="e">
        <f aca="false">IF(E79=1,H79,0)</f>
        <v>#VALUE!</v>
      </c>
      <c r="AK79" s="8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91" t="n">
        <f aca="false">Swap!A80</f>
        <v>39264</v>
      </c>
      <c r="B80" s="0" t="n">
        <f aca="false">B79+1</f>
        <v>71</v>
      </c>
      <c r="C80" s="91" t="e">
        <f aca="false">IF(AND(A80&gt;=Front!$E$11,A80&lt;=Front!$E$12),A80,"")</f>
        <v>#VALUE!</v>
      </c>
      <c r="D80" s="87" t="e">
        <f aca="false">Swap!AB80</f>
        <v>#VALUE!</v>
      </c>
      <c r="E80" s="87" t="e">
        <f aca="false">IF($C80="","",1)</f>
        <v>#VALUE!</v>
      </c>
      <c r="F80" s="88" t="e">
        <f aca="false">IF($C80="","",E80*H80)</f>
        <v>#VALUE!</v>
      </c>
      <c r="G80" s="31" t="n">
        <f aca="false">Swap!AG80</f>
        <v>0.0491638373415149</v>
      </c>
      <c r="H80" s="31" t="n">
        <f aca="false">Swap!AH80</f>
        <v>2.4251238114083</v>
      </c>
      <c r="I80" s="92" t="n">
        <f aca="false">INDEX(expery,MATCH(A80,exprymonth,0),2)</f>
        <v>39259</v>
      </c>
      <c r="J80" s="87" t="n">
        <f aca="false">I80-Front!$C$2</f>
        <v>-6667</v>
      </c>
      <c r="K80" s="8" t="n">
        <f aca="false">Swap!E80</f>
        <v>3.4465</v>
      </c>
      <c r="L80" s="8" t="e">
        <f aca="false">IF(C80="","",(PriceSwitch=0)*K80+(PriceSwitch=1)*(Front!$H$21+K80)+(PriceSwitch=2)*Front!$H$21)</f>
        <v>#VALUE!</v>
      </c>
      <c r="M80" s="93" t="n">
        <f aca="false">INDEX(vols,MATCH(A80,volsmonth,0),2)</f>
        <v>0.2325</v>
      </c>
      <c r="N80" s="3" t="e">
        <f aca="false">IF(Skew_Switch=0,"",IF($C80="","",(Front!$E$20=0)*M80+(Front!$E$20=1)*(Front!$E$21+M80)+(Front!$E$20=2)*Front!$E$21))</f>
        <v>#VALUE!</v>
      </c>
      <c r="O80" s="94" t="e">
        <f aca="false">IF(Skew_Switch=0,"",IF(C80="","",((calcskew(Call1-$L80,$C80,a,b))/100)))</f>
        <v>#VALUE!</v>
      </c>
      <c r="P80" s="94" t="e">
        <f aca="false">IF(Skew_Switch=0,"",IF(C80="","",((calcskew(Put1-$L80,$C80,a,b))/100)))</f>
        <v>#VALUE!</v>
      </c>
      <c r="Q80" s="94" t="e">
        <f aca="false">IF(Skew_Switch=0,"",IF(C80="","",((calcskew(Call2-$L80,$C80,a,b))/100)))</f>
        <v>#VALUE!</v>
      </c>
      <c r="R80" s="94" t="e">
        <f aca="false">IF(Skew_Switch=0,"",IF(C80="","",((calcskew(Put2-$L80,$C80,a,b))/100)))</f>
        <v>#VALUE!</v>
      </c>
      <c r="S80" s="3" t="e">
        <f aca="false">IF($C80="","",(Front!$C$19=0)*$N80+(Front!$C$19=1)*($N80+O80))</f>
        <v>#VALUE!</v>
      </c>
      <c r="T80" s="3" t="e">
        <f aca="false">IF($C80="","",(Front!$C$19=0)*$N80+(Front!$C$19=1)*($N80+P80))</f>
        <v>#VALUE!</v>
      </c>
      <c r="U80" s="3" t="e">
        <f aca="false">IF($C80="","",(Front!$C$19=0)*$N80+(Front!$C$19=1)*($N80+Q80))</f>
        <v>#VALUE!</v>
      </c>
      <c r="V80" s="3" t="e">
        <f aca="false">IF($C80="","",(Front!$C$19=0)*$N80+(Front!$C$19=1)*($N80+R80))</f>
        <v>#VALUE!</v>
      </c>
      <c r="W80" s="90" t="e">
        <f aca="false">IF($C80="","",xEURO($L80,Call1,$G80,$G80,S80,$J80,1,0))</f>
        <v>#VALUE!</v>
      </c>
      <c r="X80" s="90" t="e">
        <f aca="false">IF($C80="","",xEURO($L80,Put1,$G80,$G80,T80,$J80,0,0))</f>
        <v>#VALUE!</v>
      </c>
      <c r="Y80" s="90" t="e">
        <f aca="false">IF($C80="","",xEURO($L80,Call2,$G80,$G80,U80,$J80,1,0))</f>
        <v>#VALUE!</v>
      </c>
      <c r="Z80" s="90" t="e">
        <f aca="false">IF($C80="","",xEURO($L80,Put2,$G80,$G80,V80,$J80,0,0))</f>
        <v>#VALUE!</v>
      </c>
      <c r="AA80" s="90" t="e">
        <f aca="false">IF($C80="","",xEURO($L80,Call1,$G80,$G80,$S80,$J80,1,1))</f>
        <v>#VALUE!</v>
      </c>
      <c r="AB80" s="90" t="e">
        <f aca="false">IF($C80="","",xEURO($L80,Put1,$G80,$G80,$T80,$J80,0,1))</f>
        <v>#VALUE!</v>
      </c>
      <c r="AC80" s="90" t="e">
        <f aca="false">IF($C80="","",xEURO($L80,Call2,$G80,$G80,$U80,$J80,1,1))</f>
        <v>#VALUE!</v>
      </c>
      <c r="AD80" s="90" t="e">
        <f aca="false">IF($C80="","",xEURO($L80,Put2,$G80,$G80,$V80,$J80,0,1))</f>
        <v>#VALUE!</v>
      </c>
      <c r="AE80" s="90" t="e">
        <f aca="false">IF($C80="","",xEURO($L80,Call1,$G80,$G80,$S80,$J80,1,3))</f>
        <v>#VALUE!</v>
      </c>
      <c r="AF80" s="90" t="e">
        <f aca="false">IF($C80="","",xEURO($L80,Put1,$G80,$G80,$T80,$J80,0,3))</f>
        <v>#VALUE!</v>
      </c>
      <c r="AG80" s="90" t="e">
        <f aca="false">IF($C80="","",xEURO($L80,Call2,$G80,$G80,$U80,$J80,1,3))</f>
        <v>#VALUE!</v>
      </c>
      <c r="AH80" s="90" t="e">
        <f aca="false">IF($C80="","",xEURO($L80,Put2,$G80,$G80,$V80,$J80,0,3))</f>
        <v>#VALUE!</v>
      </c>
      <c r="AI80" s="8" t="e">
        <f aca="false">IF(E80=1,G80,0)</f>
        <v>#VALUE!</v>
      </c>
      <c r="AJ80" s="8" t="e">
        <f aca="false">IF(E80=1,H80,0)</f>
        <v>#VALUE!</v>
      </c>
      <c r="AK80" s="8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91" t="n">
        <f aca="false">Swap!A81</f>
        <v>39295</v>
      </c>
      <c r="B81" s="0" t="n">
        <f aca="false">B80+1</f>
        <v>72</v>
      </c>
      <c r="C81" s="91" t="e">
        <f aca="false">IF(AND(A81&gt;=Front!$E$11,A81&lt;=Front!$E$12),A81,"")</f>
        <v>#VALUE!</v>
      </c>
      <c r="D81" s="87" t="e">
        <f aca="false">Swap!AB81</f>
        <v>#VALUE!</v>
      </c>
      <c r="E81" s="87" t="e">
        <f aca="false">IF($C81="","",1)</f>
        <v>#VALUE!</v>
      </c>
      <c r="F81" s="88" t="e">
        <f aca="false">IF($C81="","",E81*H81)</f>
        <v>#VALUE!</v>
      </c>
      <c r="G81" s="31" t="n">
        <f aca="false">Swap!AG81</f>
        <v>0.0493391723890317</v>
      </c>
      <c r="H81" s="31" t="n">
        <f aca="false">Swap!AH81</f>
        <v>2.42266213025301</v>
      </c>
      <c r="I81" s="92" t="n">
        <f aca="false">INDEX(expery,MATCH(A81,exprymonth,0),2)</f>
        <v>39289</v>
      </c>
      <c r="J81" s="87" t="n">
        <f aca="false">I81-Front!$C$2</f>
        <v>-6637</v>
      </c>
      <c r="K81" s="8" t="n">
        <f aca="false">Swap!E81</f>
        <v>3.4805</v>
      </c>
      <c r="L81" s="8" t="e">
        <f aca="false">IF(C81="","",(PriceSwitch=0)*K81+(PriceSwitch=1)*(Front!$H$21+K81)+(PriceSwitch=2)*Front!$H$21)</f>
        <v>#VALUE!</v>
      </c>
      <c r="M81" s="93" t="n">
        <f aca="false">INDEX(vols,MATCH(A81,volsmonth,0),2)</f>
        <v>0.2325</v>
      </c>
      <c r="N81" s="3" t="e">
        <f aca="false">IF(Skew_Switch=0,"",IF($C81="","",(Front!$E$20=0)*M81+(Front!$E$20=1)*(Front!$E$21+M81)+(Front!$E$20=2)*Front!$E$21))</f>
        <v>#VALUE!</v>
      </c>
      <c r="O81" s="94" t="e">
        <f aca="false">IF(Skew_Switch=0,"",IF(C81="","",((calcskew(Call1-$L81,$C81,a,b))/100)))</f>
        <v>#VALUE!</v>
      </c>
      <c r="P81" s="94" t="e">
        <f aca="false">IF(Skew_Switch=0,"",IF(C81="","",((calcskew(Put1-$L81,$C81,a,b))/100)))</f>
        <v>#VALUE!</v>
      </c>
      <c r="Q81" s="94" t="e">
        <f aca="false">IF(Skew_Switch=0,"",IF(C81="","",((calcskew(Call2-$L81,$C81,a,b))/100)))</f>
        <v>#VALUE!</v>
      </c>
      <c r="R81" s="94" t="e">
        <f aca="false">IF(Skew_Switch=0,"",IF(C81="","",((calcskew(Put2-$L81,$C81,a,b))/100)))</f>
        <v>#VALUE!</v>
      </c>
      <c r="S81" s="3" t="e">
        <f aca="false">IF($C81="","",(Front!$C$19=0)*$N81+(Front!$C$19=1)*($N81+O81))</f>
        <v>#VALUE!</v>
      </c>
      <c r="T81" s="3" t="e">
        <f aca="false">IF($C81="","",(Front!$C$19=0)*$N81+(Front!$C$19=1)*($N81+P81))</f>
        <v>#VALUE!</v>
      </c>
      <c r="U81" s="3" t="e">
        <f aca="false">IF($C81="","",(Front!$C$19=0)*$N81+(Front!$C$19=1)*($N81+Q81))</f>
        <v>#VALUE!</v>
      </c>
      <c r="V81" s="3" t="e">
        <f aca="false">IF($C81="","",(Front!$C$19=0)*$N81+(Front!$C$19=1)*($N81+R81))</f>
        <v>#VALUE!</v>
      </c>
      <c r="W81" s="90" t="e">
        <f aca="false">IF($C81="","",xEURO($L81,Call1,$G81,$G81,S81,$J81,1,0))</f>
        <v>#VALUE!</v>
      </c>
      <c r="X81" s="90" t="e">
        <f aca="false">IF($C81="","",xEURO($L81,Put1,$G81,$G81,T81,$J81,0,0))</f>
        <v>#VALUE!</v>
      </c>
      <c r="Y81" s="90" t="e">
        <f aca="false">IF($C81="","",xEURO($L81,Call2,$G81,$G81,U81,$J81,1,0))</f>
        <v>#VALUE!</v>
      </c>
      <c r="Z81" s="90" t="e">
        <f aca="false">IF($C81="","",xEURO($L81,Put2,$G81,$G81,V81,$J81,0,0))</f>
        <v>#VALUE!</v>
      </c>
      <c r="AA81" s="90" t="e">
        <f aca="false">IF($C81="","",xEURO($L81,Call1,$G81,$G81,$S81,$J81,1,1))</f>
        <v>#VALUE!</v>
      </c>
      <c r="AB81" s="90" t="e">
        <f aca="false">IF($C81="","",xEURO($L81,Put1,$G81,$G81,$T81,$J81,0,1))</f>
        <v>#VALUE!</v>
      </c>
      <c r="AC81" s="90" t="e">
        <f aca="false">IF($C81="","",xEURO($L81,Call2,$G81,$G81,$U81,$J81,1,1))</f>
        <v>#VALUE!</v>
      </c>
      <c r="AD81" s="90" t="e">
        <f aca="false">IF($C81="","",xEURO($L81,Put2,$G81,$G81,$V81,$J81,0,1))</f>
        <v>#VALUE!</v>
      </c>
      <c r="AE81" s="90" t="e">
        <f aca="false">IF($C81="","",xEURO($L81,Call1,$G81,$G81,$S81,$J81,1,3))</f>
        <v>#VALUE!</v>
      </c>
      <c r="AF81" s="90" t="e">
        <f aca="false">IF($C81="","",xEURO($L81,Put1,$G81,$G81,$T81,$J81,0,3))</f>
        <v>#VALUE!</v>
      </c>
      <c r="AG81" s="90" t="e">
        <f aca="false">IF($C81="","",xEURO($L81,Call2,$G81,$G81,$U81,$J81,1,3))</f>
        <v>#VALUE!</v>
      </c>
      <c r="AH81" s="90" t="e">
        <f aca="false">IF($C81="","",xEURO($L81,Put2,$G81,$G81,$V81,$J81,0,3))</f>
        <v>#VALUE!</v>
      </c>
      <c r="AI81" s="8" t="e">
        <f aca="false">IF(E81=1,G81,0)</f>
        <v>#VALUE!</v>
      </c>
      <c r="AJ81" s="8" t="e">
        <f aca="false">IF(E81=1,H81,0)</f>
        <v>#VALUE!</v>
      </c>
      <c r="AK81" s="8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91" t="n">
        <f aca="false">Swap!A82</f>
        <v>39326</v>
      </c>
      <c r="B82" s="0" t="n">
        <f aca="false">B81+1</f>
        <v>73</v>
      </c>
      <c r="C82" s="91" t="e">
        <f aca="false">IF(AND(A82&gt;=Front!$E$11,A82&lt;=Front!$E$12),A82,"")</f>
        <v>#VALUE!</v>
      </c>
      <c r="D82" s="87" t="e">
        <f aca="false">Swap!AB82</f>
        <v>#VALUE!</v>
      </c>
      <c r="E82" s="87" t="e">
        <f aca="false">IF($C82="","",1)</f>
        <v>#VALUE!</v>
      </c>
      <c r="F82" s="88" t="e">
        <f aca="false">IF($C82="","",E82*H82)</f>
        <v>#VALUE!</v>
      </c>
      <c r="G82" s="31" t="n">
        <f aca="false">Swap!AG82</f>
        <v>0.049514507446816</v>
      </c>
      <c r="H82" s="31" t="n">
        <f aca="false">Swap!AH82</f>
        <v>2.42013200889583</v>
      </c>
      <c r="I82" s="92" t="n">
        <f aca="false">INDEX(expery,MATCH(A82,exprymonth,0),2)</f>
        <v>39322</v>
      </c>
      <c r="J82" s="87" t="n">
        <f aca="false">I82-Front!$C$2</f>
        <v>-6604</v>
      </c>
      <c r="K82" s="8" t="n">
        <f aca="false">Swap!E82</f>
        <v>3.4935</v>
      </c>
      <c r="L82" s="8" t="e">
        <f aca="false">IF(C82="","",(PriceSwitch=0)*K82+(PriceSwitch=1)*(Front!$H$21+K82)+(PriceSwitch=2)*Front!$H$21)</f>
        <v>#VALUE!</v>
      </c>
      <c r="M82" s="93" t="n">
        <f aca="false">INDEX(vols,MATCH(A82,volsmonth,0),2)</f>
        <v>0.2325</v>
      </c>
      <c r="N82" s="3" t="e">
        <f aca="false">IF(Skew_Switch=0,"",IF($C82="","",(Front!$E$20=0)*M82+(Front!$E$20=1)*(Front!$E$21+M82)+(Front!$E$20=2)*Front!$E$21))</f>
        <v>#VALUE!</v>
      </c>
      <c r="O82" s="94" t="e">
        <f aca="false">IF(Skew_Switch=0,"",IF(C82="","",((calcskew(Call1-$L82,$C82,a,b))/100)))</f>
        <v>#VALUE!</v>
      </c>
      <c r="P82" s="94" t="e">
        <f aca="false">IF(Skew_Switch=0,"",IF(C82="","",((calcskew(Put1-$L82,$C82,a,b))/100)))</f>
        <v>#VALUE!</v>
      </c>
      <c r="Q82" s="94" t="e">
        <f aca="false">IF(Skew_Switch=0,"",IF(C82="","",((calcskew(Call2-$L82,$C82,a,b))/100)))</f>
        <v>#VALUE!</v>
      </c>
      <c r="R82" s="94" t="e">
        <f aca="false">IF(Skew_Switch=0,"",IF(C82="","",((calcskew(Put2-$L82,$C82,a,b))/100)))</f>
        <v>#VALUE!</v>
      </c>
      <c r="S82" s="3" t="e">
        <f aca="false">IF($C82="","",(Front!$C$19=0)*$N82+(Front!$C$19=1)*($N82+O82))</f>
        <v>#VALUE!</v>
      </c>
      <c r="T82" s="3" t="e">
        <f aca="false">IF($C82="","",(Front!$C$19=0)*$N82+(Front!$C$19=1)*($N82+P82))</f>
        <v>#VALUE!</v>
      </c>
      <c r="U82" s="3" t="e">
        <f aca="false">IF($C82="","",(Front!$C$19=0)*$N82+(Front!$C$19=1)*($N82+Q82))</f>
        <v>#VALUE!</v>
      </c>
      <c r="V82" s="3" t="e">
        <f aca="false">IF($C82="","",(Front!$C$19=0)*$N82+(Front!$C$19=1)*($N82+R82))</f>
        <v>#VALUE!</v>
      </c>
      <c r="W82" s="90" t="e">
        <f aca="false">IF($C82="","",xEURO($L82,Call1,$G82,$G82,S82,$J82,1,0))</f>
        <v>#VALUE!</v>
      </c>
      <c r="X82" s="90" t="e">
        <f aca="false">IF($C82="","",xEURO($L82,Put1,$G82,$G82,T82,$J82,0,0))</f>
        <v>#VALUE!</v>
      </c>
      <c r="Y82" s="90" t="e">
        <f aca="false">IF($C82="","",xEURO($L82,Call2,$G82,$G82,U82,$J82,1,0))</f>
        <v>#VALUE!</v>
      </c>
      <c r="Z82" s="90" t="e">
        <f aca="false">IF($C82="","",xEURO($L82,Put2,$G82,$G82,V82,$J82,0,0))</f>
        <v>#VALUE!</v>
      </c>
      <c r="AA82" s="90" t="e">
        <f aca="false">IF($C82="","",xEURO($L82,Call1,$G82,$G82,$S82,$J82,1,1))</f>
        <v>#VALUE!</v>
      </c>
      <c r="AB82" s="90" t="e">
        <f aca="false">IF($C82="","",xEURO($L82,Put1,$G82,$G82,$T82,$J82,0,1))</f>
        <v>#VALUE!</v>
      </c>
      <c r="AC82" s="90" t="e">
        <f aca="false">IF($C82="","",xEURO($L82,Call2,$G82,$G82,$U82,$J82,1,1))</f>
        <v>#VALUE!</v>
      </c>
      <c r="AD82" s="90" t="e">
        <f aca="false">IF($C82="","",xEURO($L82,Put2,$G82,$G82,$V82,$J82,0,1))</f>
        <v>#VALUE!</v>
      </c>
      <c r="AE82" s="90" t="e">
        <f aca="false">IF($C82="","",xEURO($L82,Call1,$G82,$G82,$S82,$J82,1,3))</f>
        <v>#VALUE!</v>
      </c>
      <c r="AF82" s="90" t="e">
        <f aca="false">IF($C82="","",xEURO($L82,Put1,$G82,$G82,$T82,$J82,0,3))</f>
        <v>#VALUE!</v>
      </c>
      <c r="AG82" s="90" t="e">
        <f aca="false">IF($C82="","",xEURO($L82,Call2,$G82,$G82,$U82,$J82,1,3))</f>
        <v>#VALUE!</v>
      </c>
      <c r="AH82" s="90" t="e">
        <f aca="false">IF($C82="","",xEURO($L82,Put2,$G82,$G82,$V82,$J82,0,3))</f>
        <v>#VALUE!</v>
      </c>
      <c r="AI82" s="8" t="e">
        <f aca="false">IF(E82=1,G82,0)</f>
        <v>#VALUE!</v>
      </c>
      <c r="AJ82" s="8" t="e">
        <f aca="false">IF(E82=1,H82,0)</f>
        <v>#VALUE!</v>
      </c>
      <c r="AK82" s="8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95" t="n">
        <f aca="false">Swap!A83</f>
        <v>39356</v>
      </c>
      <c r="B83" s="96" t="n">
        <f aca="false">B82+1</f>
        <v>74</v>
      </c>
      <c r="C83" s="95" t="e">
        <f aca="false">IF(AND(A83&gt;=Front!$E$11,A83&lt;=Front!$E$12),A83,"")</f>
        <v>#VALUE!</v>
      </c>
      <c r="D83" s="87" t="e">
        <f aca="false">Swap!AB83</f>
        <v>#VALUE!</v>
      </c>
      <c r="E83" s="87" t="e">
        <f aca="false">IF($C83="","",1)</f>
        <v>#VALUE!</v>
      </c>
      <c r="F83" s="97" t="e">
        <f aca="false">IF($C83="","",E83*H83)</f>
        <v>#VALUE!</v>
      </c>
      <c r="G83" s="31" t="n">
        <f aca="false">Swap!AG83</f>
        <v>0.0496841865447699</v>
      </c>
      <c r="H83" s="31" t="n">
        <f aca="false">Swap!AH83</f>
        <v>2.41761855566308</v>
      </c>
      <c r="I83" s="92" t="n">
        <f aca="false">INDEX(expery,MATCH(A83,exprymonth,0),2)</f>
        <v>39350</v>
      </c>
      <c r="J83" s="98" t="n">
        <f aca="false">I83-Front!$C$2</f>
        <v>-6576</v>
      </c>
      <c r="K83" s="99" t="n">
        <f aca="false">Swap!E83</f>
        <v>3.4855</v>
      </c>
      <c r="L83" s="99" t="e">
        <f aca="false">IF(C83="","",(PriceSwitch=0)*K83+(PriceSwitch=1)*(Front!$H$21+K83)+(PriceSwitch=2)*Front!$H$21)</f>
        <v>#VALUE!</v>
      </c>
      <c r="M83" s="93" t="n">
        <f aca="false">INDEX(vols,MATCH(A83,volsmonth,0),2)</f>
        <v>0.2325</v>
      </c>
      <c r="N83" s="3" t="e">
        <f aca="false">IF(Skew_Switch=0,"",IF($C83="","",(Front!$E$20=0)*M83+(Front!$E$20=1)*(Front!$E$21+M83)+(Front!$E$20=2)*Front!$E$21))</f>
        <v>#VALUE!</v>
      </c>
      <c r="O83" s="94" t="e">
        <f aca="false">IF(Skew_Switch=0,"",IF(C83="","",((calcskew(Call1-$L83,$C83,a,b))/100)))</f>
        <v>#VALUE!</v>
      </c>
      <c r="P83" s="94" t="e">
        <f aca="false">IF(Skew_Switch=0,"",IF(C83="","",((calcskew(Put1-$L83,$C83,a,b))/100)))</f>
        <v>#VALUE!</v>
      </c>
      <c r="Q83" s="94" t="e">
        <f aca="false">IF(Skew_Switch=0,"",IF(C83="","",((calcskew(Call2-$L83,$C83,a,b))/100)))</f>
        <v>#VALUE!</v>
      </c>
      <c r="R83" s="94" t="e">
        <f aca="false">IF(Skew_Switch=0,"",IF(C83="","",((calcskew(Put2-$L83,$C83,a,b))/100)))</f>
        <v>#VALUE!</v>
      </c>
      <c r="S83" s="3" t="e">
        <f aca="false">IF($C83="","",(Front!$C$19=0)*$N83+(Front!$C$19=1)*($N83+O83))</f>
        <v>#VALUE!</v>
      </c>
      <c r="T83" s="3" t="e">
        <f aca="false">IF($C83="","",(Front!$C$19=0)*$N83+(Front!$C$19=1)*($N83+P83))</f>
        <v>#VALUE!</v>
      </c>
      <c r="U83" s="3" t="e">
        <f aca="false">IF($C83="","",(Front!$C$19=0)*$N83+(Front!$C$19=1)*($N83+Q83))</f>
        <v>#VALUE!</v>
      </c>
      <c r="V83" s="3" t="e">
        <f aca="false">IF($C83="","",(Front!$C$19=0)*$N83+(Front!$C$19=1)*($N83+R83))</f>
        <v>#VALUE!</v>
      </c>
      <c r="W83" s="90" t="e">
        <f aca="false">IF($C83="","",xEURO($L83,Call1,$G83,$G83,S83,$J83,1,0))</f>
        <v>#VALUE!</v>
      </c>
      <c r="X83" s="90" t="e">
        <f aca="false">IF($C83="","",xEURO($L83,Put1,$G83,$G83,T83,$J83,0,0))</f>
        <v>#VALUE!</v>
      </c>
      <c r="Y83" s="90" t="e">
        <f aca="false">IF($C83="","",xEURO($L83,Call2,$G83,$G83,U83,$J83,1,0))</f>
        <v>#VALUE!</v>
      </c>
      <c r="Z83" s="90" t="e">
        <f aca="false">IF($C83="","",xEURO($L83,Put2,$G83,$G83,V83,$J83,0,0))</f>
        <v>#VALUE!</v>
      </c>
      <c r="AA83" s="90" t="e">
        <f aca="false">IF($C83="","",xEURO($L83,Call1,$G83,$G83,$S83,$J83,1,1))</f>
        <v>#VALUE!</v>
      </c>
      <c r="AB83" s="90" t="e">
        <f aca="false">IF($C83="","",xEURO($L83,Put1,$G83,$G83,$T83,$J83,0,1))</f>
        <v>#VALUE!</v>
      </c>
      <c r="AC83" s="90" t="e">
        <f aca="false">IF($C83="","",xEURO($L83,Call2,$G83,$G83,$U83,$J83,1,1))</f>
        <v>#VALUE!</v>
      </c>
      <c r="AD83" s="90" t="e">
        <f aca="false">IF($C83="","",xEURO($L83,Put2,$G83,$G83,$V83,$J83,0,1))</f>
        <v>#VALUE!</v>
      </c>
      <c r="AE83" s="90" t="e">
        <f aca="false">IF($C83="","",xEURO($L83,Call1,$G83,$G83,$S83,$J83,1,3))</f>
        <v>#VALUE!</v>
      </c>
      <c r="AF83" s="90" t="e">
        <f aca="false">IF($C83="","",xEURO($L83,Put1,$G83,$G83,$T83,$J83,0,3))</f>
        <v>#VALUE!</v>
      </c>
      <c r="AG83" s="90" t="e">
        <f aca="false">IF($C83="","",xEURO($L83,Call2,$G83,$G83,$U83,$J83,1,3))</f>
        <v>#VALUE!</v>
      </c>
      <c r="AH83" s="90" t="e">
        <f aca="false">IF($C83="","",xEURO($L83,Put2,$G83,$G83,$V83,$J83,0,3))</f>
        <v>#VALUE!</v>
      </c>
      <c r="AI83" s="8" t="e">
        <f aca="false">IF(E83=1,G83,0)</f>
        <v>#VALUE!</v>
      </c>
      <c r="AJ83" s="8" t="e">
        <f aca="false">IF(E83=1,H83,0)</f>
        <v>#VALUE!</v>
      </c>
      <c r="AK83" s="8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95" t="n">
        <f aca="false">Swap!A84</f>
        <v>39387</v>
      </c>
      <c r="B84" s="96" t="n">
        <f aca="false">B83+1</f>
        <v>75</v>
      </c>
      <c r="C84" s="95" t="e">
        <f aca="false">IF(AND(A84&gt;=Front!$E$11,A84&lt;=Front!$E$12),A84,"")</f>
        <v>#VALUE!</v>
      </c>
      <c r="D84" s="87" t="e">
        <f aca="false">Swap!AB84</f>
        <v>#VALUE!</v>
      </c>
      <c r="E84" s="87" t="e">
        <f aca="false">IF($C84="","",1)</f>
        <v>#VALUE!</v>
      </c>
      <c r="F84" s="97" t="e">
        <f aca="false">IF($C84="","",E84*H84)</f>
        <v>#VALUE!</v>
      </c>
      <c r="G84" s="31" t="n">
        <f aca="false">Swap!AG84</f>
        <v>0.0498595216227558</v>
      </c>
      <c r="H84" s="31" t="n">
        <f aca="false">Swap!AH84</f>
        <v>2.41495443520699</v>
      </c>
      <c r="I84" s="92" t="n">
        <f aca="false">INDEX(expery,MATCH(A84,exprymonth,0),2)</f>
        <v>39381</v>
      </c>
      <c r="J84" s="98" t="n">
        <f aca="false">I84-Front!$C$2</f>
        <v>-6545</v>
      </c>
      <c r="K84" s="99" t="n">
        <f aca="false">Swap!E84</f>
        <v>3.6555</v>
      </c>
      <c r="L84" s="99" t="e">
        <f aca="false">IF(C84="","",(PriceSwitch=0)*K84+(PriceSwitch=1)*(Front!$H$21+K84)+(PriceSwitch=2)*Front!$H$21)</f>
        <v>#VALUE!</v>
      </c>
      <c r="M84" s="93" t="n">
        <f aca="false">INDEX(vols,MATCH(A84,volsmonth,0),2)</f>
        <v>0.2325</v>
      </c>
      <c r="N84" s="3" t="e">
        <f aca="false">IF(Skew_Switch=0,"",IF($C84="","",(Front!$E$20=0)*M84+(Front!$E$20=1)*(Front!$E$21+M84)+(Front!$E$20=2)*Front!$E$21))</f>
        <v>#VALUE!</v>
      </c>
      <c r="O84" s="94" t="e">
        <f aca="false">IF(Skew_Switch=0,"",IF(C84="","",((calcskew(Call1-$L84,$C84,a,b))/100)))</f>
        <v>#VALUE!</v>
      </c>
      <c r="P84" s="94" t="e">
        <f aca="false">IF(Skew_Switch=0,"",IF(C84="","",((calcskew(Put1-$L84,$C84,a,b))/100)))</f>
        <v>#VALUE!</v>
      </c>
      <c r="Q84" s="94" t="e">
        <f aca="false">IF(Skew_Switch=0,"",IF(C84="","",((calcskew(Call2-$L84,$C84,a,b))/100)))</f>
        <v>#VALUE!</v>
      </c>
      <c r="R84" s="94" t="e">
        <f aca="false">IF(Skew_Switch=0,"",IF(C84="","",((calcskew(Put2-$L84,$C84,a,b))/100)))</f>
        <v>#VALUE!</v>
      </c>
      <c r="S84" s="3" t="e">
        <f aca="false">IF($C84="","",(Front!$C$19=0)*$N84+(Front!$C$19=1)*($N84+O84))</f>
        <v>#VALUE!</v>
      </c>
      <c r="T84" s="3" t="e">
        <f aca="false">IF($C84="","",(Front!$C$19=0)*$N84+(Front!$C$19=1)*($N84+P84))</f>
        <v>#VALUE!</v>
      </c>
      <c r="U84" s="3" t="e">
        <f aca="false">IF($C84="","",(Front!$C$19=0)*$N84+(Front!$C$19=1)*($N84+Q84))</f>
        <v>#VALUE!</v>
      </c>
      <c r="V84" s="3" t="e">
        <f aca="false">IF($C84="","",(Front!$C$19=0)*$N84+(Front!$C$19=1)*($N84+R84))</f>
        <v>#VALUE!</v>
      </c>
      <c r="W84" s="90" t="e">
        <f aca="false">IF($C84="","",xEURO($L84,Call1,$G84,$G84,S84,$J84,1,0))</f>
        <v>#VALUE!</v>
      </c>
      <c r="X84" s="90" t="e">
        <f aca="false">IF($C84="","",xEURO($L84,Put1,$G84,$G84,T84,$J84,0,0))</f>
        <v>#VALUE!</v>
      </c>
      <c r="Y84" s="90" t="e">
        <f aca="false">IF($C84="","",xEURO($L84,Call2,$G84,$G84,U84,$J84,1,0))</f>
        <v>#VALUE!</v>
      </c>
      <c r="Z84" s="90" t="e">
        <f aca="false">IF($C84="","",xEURO($L84,Put2,$G84,$G84,V84,$J84,0,0))</f>
        <v>#VALUE!</v>
      </c>
      <c r="AA84" s="90" t="e">
        <f aca="false">IF($C84="","",xEURO($L84,Call1,$G84,$G84,$S84,$J84,1,1))</f>
        <v>#VALUE!</v>
      </c>
      <c r="AB84" s="90" t="e">
        <f aca="false">IF($C84="","",xEURO($L84,Put1,$G84,$G84,$T84,$J84,0,1))</f>
        <v>#VALUE!</v>
      </c>
      <c r="AC84" s="90" t="e">
        <f aca="false">IF($C84="","",xEURO($L84,Call2,$G84,$G84,$U84,$J84,1,1))</f>
        <v>#VALUE!</v>
      </c>
      <c r="AD84" s="90" t="e">
        <f aca="false">IF($C84="","",xEURO($L84,Put2,$G84,$G84,$V84,$J84,0,1))</f>
        <v>#VALUE!</v>
      </c>
      <c r="AE84" s="90" t="e">
        <f aca="false">IF($C84="","",xEURO($L84,Call1,$G84,$G84,$S84,$J84,1,3))</f>
        <v>#VALUE!</v>
      </c>
      <c r="AF84" s="90" t="e">
        <f aca="false">IF($C84="","",xEURO($L84,Put1,$G84,$G84,$T84,$J84,0,3))</f>
        <v>#VALUE!</v>
      </c>
      <c r="AG84" s="90" t="e">
        <f aca="false">IF($C84="","",xEURO($L84,Call2,$G84,$G84,$U84,$J84,1,3))</f>
        <v>#VALUE!</v>
      </c>
      <c r="AH84" s="90" t="e">
        <f aca="false">IF($C84="","",xEURO($L84,Put2,$G84,$G84,$V84,$J84,0,3))</f>
        <v>#VALUE!</v>
      </c>
      <c r="AI84" s="8" t="e">
        <f aca="false">IF(E84=1,G84,0)</f>
        <v>#VALUE!</v>
      </c>
      <c r="AJ84" s="8" t="e">
        <f aca="false">IF(E84=1,H84,0)</f>
        <v>#VALUE!</v>
      </c>
      <c r="AK84" s="8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95" t="n">
        <f aca="false">Swap!A85</f>
        <v>39417</v>
      </c>
      <c r="B85" s="96" t="n">
        <f aca="false">B84+1</f>
        <v>76</v>
      </c>
      <c r="C85" s="95" t="e">
        <f aca="false">IF(AND(A85&gt;=Front!$E$11,A85&lt;=Front!$E$12),A85,"")</f>
        <v>#VALUE!</v>
      </c>
      <c r="D85" s="87" t="e">
        <f aca="false">Swap!AB85</f>
        <v>#VALUE!</v>
      </c>
      <c r="E85" s="87" t="e">
        <f aca="false">IF($C85="","",1)</f>
        <v>#VALUE!</v>
      </c>
      <c r="F85" s="97" t="e">
        <f aca="false">IF($C85="","",E85*H85)</f>
        <v>#VALUE!</v>
      </c>
      <c r="G85" s="31" t="n">
        <f aca="false">Swap!AG85</f>
        <v>0.0500292007402581</v>
      </c>
      <c r="H85" s="31" t="n">
        <f aca="false">Swap!AH85</f>
        <v>2.41231174991845</v>
      </c>
      <c r="I85" s="92" t="n">
        <f aca="false">INDEX(expery,MATCH(A85,exprymonth,0),2)</f>
        <v>39413</v>
      </c>
      <c r="J85" s="98" t="n">
        <f aca="false">I85-Front!$C$2</f>
        <v>-6513</v>
      </c>
      <c r="K85" s="99" t="n">
        <f aca="false">Swap!E85</f>
        <v>3.8305</v>
      </c>
      <c r="L85" s="99" t="e">
        <f aca="false">IF(C85="","",(PriceSwitch=0)*K85+(PriceSwitch=1)*(Front!$H$21+K85)+(PriceSwitch=2)*Front!$H$21)</f>
        <v>#VALUE!</v>
      </c>
      <c r="M85" s="93" t="n">
        <f aca="false">INDEX(vols,MATCH(A85,volsmonth,0),2)</f>
        <v>0.2325</v>
      </c>
      <c r="N85" s="3" t="e">
        <f aca="false">IF(Skew_Switch=0,"",IF($C85="","",(Front!$E$20=0)*M85+(Front!$E$20=1)*(Front!$E$21+M85)+(Front!$E$20=2)*Front!$E$21))</f>
        <v>#VALUE!</v>
      </c>
      <c r="O85" s="94" t="e">
        <f aca="false">IF(Skew_Switch=0,"",IF(C85="","",((calcskew(Call1-$L85,$C85,a,b))/100)))</f>
        <v>#VALUE!</v>
      </c>
      <c r="P85" s="94" t="e">
        <f aca="false">IF(Skew_Switch=0,"",IF(C85="","",((calcskew(Put1-$L85,$C85,a,b))/100)))</f>
        <v>#VALUE!</v>
      </c>
      <c r="Q85" s="94" t="e">
        <f aca="false">IF(Skew_Switch=0,"",IF(C85="","",((calcskew(Call2-$L85,$C85,a,b))/100)))</f>
        <v>#VALUE!</v>
      </c>
      <c r="R85" s="94" t="e">
        <f aca="false">IF(Skew_Switch=0,"",IF(C85="","",((calcskew(Put2-$L85,$C85,a,b))/100)))</f>
        <v>#VALUE!</v>
      </c>
      <c r="S85" s="3" t="e">
        <f aca="false">IF($C85="","",(Front!$C$19=0)*$N85+(Front!$C$19=1)*($N85+O85))</f>
        <v>#VALUE!</v>
      </c>
      <c r="T85" s="3" t="e">
        <f aca="false">IF($C85="","",(Front!$C$19=0)*$N85+(Front!$C$19=1)*($N85+P85))</f>
        <v>#VALUE!</v>
      </c>
      <c r="U85" s="3" t="e">
        <f aca="false">IF($C85="","",(Front!$C$19=0)*$N85+(Front!$C$19=1)*($N85+Q85))</f>
        <v>#VALUE!</v>
      </c>
      <c r="V85" s="3" t="e">
        <f aca="false">IF($C85="","",(Front!$C$19=0)*$N85+(Front!$C$19=1)*($N85+R85))</f>
        <v>#VALUE!</v>
      </c>
      <c r="W85" s="90" t="e">
        <f aca="false">IF($C85="","",xEURO($L85,Call1,$G85,$G85,S85,$J85,1,0))</f>
        <v>#VALUE!</v>
      </c>
      <c r="X85" s="90" t="e">
        <f aca="false">IF($C85="","",xEURO($L85,Put1,$G85,$G85,T85,$J85,0,0))</f>
        <v>#VALUE!</v>
      </c>
      <c r="Y85" s="90" t="e">
        <f aca="false">IF($C85="","",xEURO($L85,Call2,$G85,$G85,U85,$J85,1,0))</f>
        <v>#VALUE!</v>
      </c>
      <c r="Z85" s="90" t="e">
        <f aca="false">IF($C85="","",xEURO($L85,Put2,$G85,$G85,V85,$J85,0,0))</f>
        <v>#VALUE!</v>
      </c>
      <c r="AA85" s="90" t="e">
        <f aca="false">IF($C85="","",xEURO($L85,Call1,$G85,$G85,$S85,$J85,1,1))</f>
        <v>#VALUE!</v>
      </c>
      <c r="AB85" s="90" t="e">
        <f aca="false">IF($C85="","",xEURO($L85,Put1,$G85,$G85,$T85,$J85,0,1))</f>
        <v>#VALUE!</v>
      </c>
      <c r="AC85" s="90" t="e">
        <f aca="false">IF($C85="","",xEURO($L85,Call2,$G85,$G85,$U85,$J85,1,1))</f>
        <v>#VALUE!</v>
      </c>
      <c r="AD85" s="90" t="e">
        <f aca="false">IF($C85="","",xEURO($L85,Put2,$G85,$G85,$V85,$J85,0,1))</f>
        <v>#VALUE!</v>
      </c>
      <c r="AE85" s="90" t="e">
        <f aca="false">IF($C85="","",xEURO($L85,Call1,$G85,$G85,$S85,$J85,1,3))</f>
        <v>#VALUE!</v>
      </c>
      <c r="AF85" s="90" t="e">
        <f aca="false">IF($C85="","",xEURO($L85,Put1,$G85,$G85,$T85,$J85,0,3))</f>
        <v>#VALUE!</v>
      </c>
      <c r="AG85" s="90" t="e">
        <f aca="false">IF($C85="","",xEURO($L85,Call2,$G85,$G85,$U85,$J85,1,3))</f>
        <v>#VALUE!</v>
      </c>
      <c r="AH85" s="90" t="e">
        <f aca="false">IF($C85="","",xEURO($L85,Put2,$G85,$G85,$V85,$J85,0,3))</f>
        <v>#VALUE!</v>
      </c>
      <c r="AI85" s="8" t="e">
        <f aca="false">IF(E85=1,G85,0)</f>
        <v>#VALUE!</v>
      </c>
      <c r="AJ85" s="8" t="e">
        <f aca="false">IF(E85=1,H85,0)</f>
        <v>#VALUE!</v>
      </c>
      <c r="AK85" s="8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95" t="n">
        <f aca="false">Swap!A86</f>
        <v>39448</v>
      </c>
      <c r="B86" s="96" t="n">
        <f aca="false">B85+1</f>
        <v>77</v>
      </c>
      <c r="C86" s="95" t="e">
        <f aca="false">IF(AND(A86&gt;=Front!$E$11,A86&lt;=Front!$E$12),A86,"")</f>
        <v>#VALUE!</v>
      </c>
      <c r="D86" s="87" t="e">
        <f aca="false">Swap!AB86</f>
        <v>#VALUE!</v>
      </c>
      <c r="E86" s="87" t="e">
        <f aca="false">IF($C86="","",1)</f>
        <v>#VALUE!</v>
      </c>
      <c r="F86" s="97" t="e">
        <f aca="false">IF($C86="","",E86*H86)</f>
        <v>#VALUE!</v>
      </c>
      <c r="G86" s="31" t="n">
        <f aca="false">Swap!AG86</f>
        <v>0.0502045358384424</v>
      </c>
      <c r="H86" s="31" t="n">
        <f aca="false">Swap!AH86</f>
        <v>2.409514559836</v>
      </c>
      <c r="I86" s="92" t="n">
        <f aca="false">INDEX(expery,MATCH(A86,exprymonth,0),2)</f>
        <v>39442</v>
      </c>
      <c r="J86" s="98" t="n">
        <f aca="false">I86-Front!$C$2</f>
        <v>-6484</v>
      </c>
      <c r="K86" s="99" t="n">
        <f aca="false">Swap!E86</f>
        <v>3.873</v>
      </c>
      <c r="L86" s="99" t="e">
        <f aca="false">IF(C86="","",(PriceSwitch=0)*K86+(PriceSwitch=1)*(Front!$H$21+K86)+(PriceSwitch=2)*Front!$H$21)</f>
        <v>#VALUE!</v>
      </c>
      <c r="M86" s="93" t="n">
        <f aca="false">INDEX(vols,MATCH(A86,volsmonth,0),2)</f>
        <v>0.2325</v>
      </c>
      <c r="N86" s="3" t="e">
        <f aca="false">IF(Skew_Switch=0,"",IF($C86="","",(Front!$E$20=0)*M86+(Front!$E$20=1)*(Front!$E$21+M86)+(Front!$E$20=2)*Front!$E$21))</f>
        <v>#VALUE!</v>
      </c>
      <c r="O86" s="94" t="e">
        <f aca="false">IF(Skew_Switch=0,"",IF(C86="","",((calcskew(Call1-$L86,$C86,a,b))/100)))</f>
        <v>#VALUE!</v>
      </c>
      <c r="P86" s="94" t="e">
        <f aca="false">IF(Skew_Switch=0,"",IF(C86="","",((calcskew(Put1-$L86,$C86,a,b))/100)))</f>
        <v>#VALUE!</v>
      </c>
      <c r="Q86" s="94" t="e">
        <f aca="false">IF(Skew_Switch=0,"",IF(C86="","",((calcskew(Call2-$L86,$C86,a,b))/100)))</f>
        <v>#VALUE!</v>
      </c>
      <c r="R86" s="94" t="e">
        <f aca="false">IF(Skew_Switch=0,"",IF(C86="","",((calcskew(Put2-$L86,$C86,a,b))/100)))</f>
        <v>#VALUE!</v>
      </c>
      <c r="S86" s="3" t="e">
        <f aca="false">IF($C86="","",(Front!$C$19=0)*$N86+(Front!$C$19=1)*($N86+O86))</f>
        <v>#VALUE!</v>
      </c>
      <c r="T86" s="3" t="e">
        <f aca="false">IF($C86="","",(Front!$C$19=0)*$N86+(Front!$C$19=1)*($N86+P86))</f>
        <v>#VALUE!</v>
      </c>
      <c r="U86" s="3" t="e">
        <f aca="false">IF($C86="","",(Front!$C$19=0)*$N86+(Front!$C$19=1)*($N86+Q86))</f>
        <v>#VALUE!</v>
      </c>
      <c r="V86" s="3" t="e">
        <f aca="false">IF($C86="","",(Front!$C$19=0)*$N86+(Front!$C$19=1)*($N86+R86))</f>
        <v>#VALUE!</v>
      </c>
      <c r="W86" s="90" t="e">
        <f aca="false">IF($C86="","",xEURO($L86,Call1,$G86,$G86,S86,$J86,1,0))</f>
        <v>#VALUE!</v>
      </c>
      <c r="X86" s="90" t="e">
        <f aca="false">IF($C86="","",xEURO($L86,Put1,$G86,$G86,T86,$J86,0,0))</f>
        <v>#VALUE!</v>
      </c>
      <c r="Y86" s="90" t="e">
        <f aca="false">IF($C86="","",xEURO($L86,Call2,$G86,$G86,U86,$J86,1,0))</f>
        <v>#VALUE!</v>
      </c>
      <c r="Z86" s="90" t="e">
        <f aca="false">IF($C86="","",xEURO($L86,Put2,$G86,$G86,V86,$J86,0,0))</f>
        <v>#VALUE!</v>
      </c>
      <c r="AA86" s="90" t="e">
        <f aca="false">IF($C86="","",xEURO($L86,Call1,$G86,$G86,$S86,$J86,1,1))</f>
        <v>#VALUE!</v>
      </c>
      <c r="AB86" s="90" t="e">
        <f aca="false">IF($C86="","",xEURO($L86,Put1,$G86,$G86,$T86,$J86,0,1))</f>
        <v>#VALUE!</v>
      </c>
      <c r="AC86" s="90" t="e">
        <f aca="false">IF($C86="","",xEURO($L86,Call2,$G86,$G86,$U86,$J86,1,1))</f>
        <v>#VALUE!</v>
      </c>
      <c r="AD86" s="90" t="e">
        <f aca="false">IF($C86="","",xEURO($L86,Put2,$G86,$G86,$V86,$J86,0,1))</f>
        <v>#VALUE!</v>
      </c>
      <c r="AE86" s="90" t="e">
        <f aca="false">IF($C86="","",xEURO($L86,Call1,$G86,$G86,$S86,$J86,1,3))</f>
        <v>#VALUE!</v>
      </c>
      <c r="AF86" s="90" t="e">
        <f aca="false">IF($C86="","",xEURO($L86,Put1,$G86,$G86,$T86,$J86,0,3))</f>
        <v>#VALUE!</v>
      </c>
      <c r="AG86" s="90" t="e">
        <f aca="false">IF($C86="","",xEURO($L86,Call2,$G86,$G86,$U86,$J86,1,3))</f>
        <v>#VALUE!</v>
      </c>
      <c r="AH86" s="90" t="e">
        <f aca="false">IF($C86="","",xEURO($L86,Put2,$G86,$G86,$V86,$J86,0,3))</f>
        <v>#VALUE!</v>
      </c>
      <c r="AI86" s="8" t="e">
        <f aca="false">IF(E86=1,G86,0)</f>
        <v>#VALUE!</v>
      </c>
      <c r="AJ86" s="8" t="e">
        <f aca="false">IF(E86=1,H86,0)</f>
        <v>#VALUE!</v>
      </c>
      <c r="AK86" s="8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95" t="n">
        <f aca="false">Swap!A87</f>
        <v>39479</v>
      </c>
      <c r="B87" s="96" t="n">
        <f aca="false">B86+1</f>
        <v>78</v>
      </c>
      <c r="C87" s="95" t="e">
        <f aca="false">IF(AND(A87&gt;=Front!$E$11,A87&lt;=Front!$E$12),A87,"")</f>
        <v>#VALUE!</v>
      </c>
      <c r="D87" s="87" t="e">
        <f aca="false">Swap!AB87</f>
        <v>#VALUE!</v>
      </c>
      <c r="E87" s="87" t="e">
        <f aca="false">IF($C87="","",1)</f>
        <v>#VALUE!</v>
      </c>
      <c r="F87" s="97" t="e">
        <f aca="false">IF($C87="","",E87*H87)</f>
        <v>#VALUE!</v>
      </c>
      <c r="G87" s="31" t="n">
        <f aca="false">Swap!AG87</f>
        <v>0.0503798709468901</v>
      </c>
      <c r="H87" s="31" t="n">
        <f aca="false">Swap!AH87</f>
        <v>2.40665011418059</v>
      </c>
      <c r="I87" s="92" t="n">
        <f aca="false">INDEX(expery,MATCH(A87,exprymonth,0),2)</f>
        <v>39475</v>
      </c>
      <c r="J87" s="98" t="n">
        <f aca="false">I87-Front!$C$2</f>
        <v>-6451</v>
      </c>
      <c r="K87" s="99" t="n">
        <f aca="false">Swap!E87</f>
        <v>3.759</v>
      </c>
      <c r="L87" s="99" t="e">
        <f aca="false">IF(C87="","",(PriceSwitch=0)*K87+(PriceSwitch=1)*(Front!$H$21+K87)+(PriceSwitch=2)*Front!$H$21)</f>
        <v>#VALUE!</v>
      </c>
      <c r="M87" s="93" t="n">
        <f aca="false">INDEX(vols,MATCH(A87,volsmonth,0),2)</f>
        <v>0.2325</v>
      </c>
      <c r="N87" s="3" t="e">
        <f aca="false">IF(Skew_Switch=0,"",IF($C87="","",(Front!$E$20=0)*M87+(Front!$E$20=1)*(Front!$E$21+M87)+(Front!$E$20=2)*Front!$E$21))</f>
        <v>#VALUE!</v>
      </c>
      <c r="O87" s="94" t="e">
        <f aca="false">IF(Skew_Switch=0,"",IF(C87="","",((calcskew(Call1-$L87,$C87,a,b))/100)))</f>
        <v>#VALUE!</v>
      </c>
      <c r="P87" s="94" t="e">
        <f aca="false">IF(Skew_Switch=0,"",IF(C87="","",((calcskew(Put1-$L87,$C87,a,b))/100)))</f>
        <v>#VALUE!</v>
      </c>
      <c r="Q87" s="94" t="e">
        <f aca="false">IF(Skew_Switch=0,"",IF(C87="","",((calcskew(Call2-$L87,$C87,a,b))/100)))</f>
        <v>#VALUE!</v>
      </c>
      <c r="R87" s="94" t="e">
        <f aca="false">IF(Skew_Switch=0,"",IF(C87="","",((calcskew(Put2-$L87,$C87,a,b))/100)))</f>
        <v>#VALUE!</v>
      </c>
      <c r="S87" s="3" t="e">
        <f aca="false">IF($C87="","",(Front!$C$19=0)*$N87+(Front!$C$19=1)*($N87+O87))</f>
        <v>#VALUE!</v>
      </c>
      <c r="T87" s="3" t="e">
        <f aca="false">IF($C87="","",(Front!$C$19=0)*$N87+(Front!$C$19=1)*($N87+P87))</f>
        <v>#VALUE!</v>
      </c>
      <c r="U87" s="3" t="e">
        <f aca="false">IF($C87="","",(Front!$C$19=0)*$N87+(Front!$C$19=1)*($N87+Q87))</f>
        <v>#VALUE!</v>
      </c>
      <c r="V87" s="3" t="e">
        <f aca="false">IF($C87="","",(Front!$C$19=0)*$N87+(Front!$C$19=1)*($N87+R87))</f>
        <v>#VALUE!</v>
      </c>
      <c r="W87" s="90" t="e">
        <f aca="false">IF($C87="","",xEURO($L87,Call1,$G87,$G87,S87,$J87,1,0))</f>
        <v>#VALUE!</v>
      </c>
      <c r="X87" s="90" t="e">
        <f aca="false">IF($C87="","",xEURO($L87,Put1,$G87,$G87,T87,$J87,0,0))</f>
        <v>#VALUE!</v>
      </c>
      <c r="Y87" s="90" t="e">
        <f aca="false">IF($C87="","",xEURO($L87,Call2,$G87,$G87,U87,$J87,1,0))</f>
        <v>#VALUE!</v>
      </c>
      <c r="Z87" s="90" t="e">
        <f aca="false">IF($C87="","",xEURO($L87,Put2,$G87,$G87,V87,$J87,0,0))</f>
        <v>#VALUE!</v>
      </c>
      <c r="AA87" s="90" t="e">
        <f aca="false">IF($C87="","",xEURO($L87,Call1,$G87,$G87,$S87,$J87,1,1))</f>
        <v>#VALUE!</v>
      </c>
      <c r="AB87" s="90" t="e">
        <f aca="false">IF($C87="","",xEURO($L87,Put1,$G87,$G87,$T87,$J87,0,1))</f>
        <v>#VALUE!</v>
      </c>
      <c r="AC87" s="90" t="e">
        <f aca="false">IF($C87="","",xEURO($L87,Call2,$G87,$G87,$U87,$J87,1,1))</f>
        <v>#VALUE!</v>
      </c>
      <c r="AD87" s="90" t="e">
        <f aca="false">IF($C87="","",xEURO($L87,Put2,$G87,$G87,$V87,$J87,0,1))</f>
        <v>#VALUE!</v>
      </c>
      <c r="AE87" s="90" t="e">
        <f aca="false">IF($C87="","",xEURO($L87,Call1,$G87,$G87,$S87,$J87,1,3))</f>
        <v>#VALUE!</v>
      </c>
      <c r="AF87" s="90" t="e">
        <f aca="false">IF($C87="","",xEURO($L87,Put1,$G87,$G87,$T87,$J87,0,3))</f>
        <v>#VALUE!</v>
      </c>
      <c r="AG87" s="90" t="e">
        <f aca="false">IF($C87="","",xEURO($L87,Call2,$G87,$G87,$U87,$J87,1,3))</f>
        <v>#VALUE!</v>
      </c>
      <c r="AH87" s="90" t="e">
        <f aca="false">IF($C87="","",xEURO($L87,Put2,$G87,$G87,$V87,$J87,0,3))</f>
        <v>#VALUE!</v>
      </c>
      <c r="AI87" s="8" t="e">
        <f aca="false">IF(E87=1,G87,0)</f>
        <v>#VALUE!</v>
      </c>
      <c r="AJ87" s="8" t="e">
        <f aca="false">IF(E87=1,H87,0)</f>
        <v>#VALUE!</v>
      </c>
      <c r="AK87" s="8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95" t="n">
        <f aca="false">Swap!A88</f>
        <v>39508</v>
      </c>
      <c r="B88" s="96" t="n">
        <f aca="false">B87+1</f>
        <v>79</v>
      </c>
      <c r="C88" s="95" t="e">
        <f aca="false">IF(AND(A88&gt;=Front!$E$11,A88&lt;=Front!$E$12),A88,"")</f>
        <v>#VALUE!</v>
      </c>
      <c r="D88" s="87" t="e">
        <f aca="false">Swap!AB88</f>
        <v>#VALUE!</v>
      </c>
      <c r="E88" s="87" t="e">
        <f aca="false">IF($C88="","",1)</f>
        <v>#VALUE!</v>
      </c>
      <c r="F88" s="97" t="e">
        <f aca="false">IF($C88="","",E88*H88)</f>
        <v>#VALUE!</v>
      </c>
      <c r="G88" s="31" t="n">
        <f aca="false">Swap!AG88</f>
        <v>0.0505438941221486</v>
      </c>
      <c r="H88" s="31" t="n">
        <f aca="false">Swap!AH88</f>
        <v>2.40390981186471</v>
      </c>
      <c r="I88" s="92" t="n">
        <f aca="false">INDEX(expery,MATCH(A88,exprymonth,0),2)</f>
        <v>39504</v>
      </c>
      <c r="J88" s="98" t="n">
        <f aca="false">I88-Front!$C$2</f>
        <v>-6422</v>
      </c>
      <c r="K88" s="99" t="n">
        <f aca="false">Swap!E88</f>
        <v>3.627</v>
      </c>
      <c r="L88" s="99" t="e">
        <f aca="false">IF(C88="","",(PriceSwitch=0)*K88+(PriceSwitch=1)*(Front!$H$21+K88)+(PriceSwitch=2)*Front!$H$21)</f>
        <v>#VALUE!</v>
      </c>
      <c r="M88" s="93" t="n">
        <f aca="false">INDEX(vols,MATCH(A88,volsmonth,0),2)</f>
        <v>0.2225</v>
      </c>
      <c r="N88" s="3" t="e">
        <f aca="false">IF(Skew_Switch=0,"",IF($C88="","",(Front!$E$20=0)*M88+(Front!$E$20=1)*(Front!$E$21+M88)+(Front!$E$20=2)*Front!$E$21))</f>
        <v>#VALUE!</v>
      </c>
      <c r="O88" s="94" t="e">
        <f aca="false">IF(Skew_Switch=0,"",IF(C88="","",((calcskew(Call1-$L88,$C88,a,b))/100)))</f>
        <v>#VALUE!</v>
      </c>
      <c r="P88" s="94" t="e">
        <f aca="false">IF(Skew_Switch=0,"",IF(C88="","",((calcskew(Put1-$L88,$C88,a,b))/100)))</f>
        <v>#VALUE!</v>
      </c>
      <c r="Q88" s="94" t="e">
        <f aca="false">IF(Skew_Switch=0,"",IF(C88="","",((calcskew(Call2-$L88,$C88,a,b))/100)))</f>
        <v>#VALUE!</v>
      </c>
      <c r="R88" s="94" t="e">
        <f aca="false">IF(Skew_Switch=0,"",IF(C88="","",((calcskew(Put2-$L88,$C88,a,b))/100)))</f>
        <v>#VALUE!</v>
      </c>
      <c r="S88" s="3" t="e">
        <f aca="false">IF($C88="","",(Front!$C$19=0)*$N88+(Front!$C$19=1)*($N88+O88))</f>
        <v>#VALUE!</v>
      </c>
      <c r="T88" s="3" t="e">
        <f aca="false">IF($C88="","",(Front!$C$19=0)*$N88+(Front!$C$19=1)*($N88+P88))</f>
        <v>#VALUE!</v>
      </c>
      <c r="U88" s="3" t="e">
        <f aca="false">IF($C88="","",(Front!$C$19=0)*$N88+(Front!$C$19=1)*($N88+Q88))</f>
        <v>#VALUE!</v>
      </c>
      <c r="V88" s="3" t="e">
        <f aca="false">IF($C88="","",(Front!$C$19=0)*$N88+(Front!$C$19=1)*($N88+R88))</f>
        <v>#VALUE!</v>
      </c>
      <c r="W88" s="90" t="e">
        <f aca="false">IF($C88="","",xEURO($L88,Call1,$G88,$G88,S88,$J88,1,0))</f>
        <v>#VALUE!</v>
      </c>
      <c r="X88" s="90" t="e">
        <f aca="false">IF($C88="","",xEURO($L88,Put1,$G88,$G88,T88,$J88,0,0))</f>
        <v>#VALUE!</v>
      </c>
      <c r="Y88" s="90" t="e">
        <f aca="false">IF($C88="","",xEURO($L88,Call2,$G88,$G88,U88,$J88,1,0))</f>
        <v>#VALUE!</v>
      </c>
      <c r="Z88" s="90" t="e">
        <f aca="false">IF($C88="","",xEURO($L88,Put2,$G88,$G88,V88,$J88,0,0))</f>
        <v>#VALUE!</v>
      </c>
      <c r="AA88" s="90" t="e">
        <f aca="false">IF($C88="","",xEURO($L88,Call1,$G88,$G88,$S88,$J88,1,1))</f>
        <v>#VALUE!</v>
      </c>
      <c r="AB88" s="90" t="e">
        <f aca="false">IF($C88="","",xEURO($L88,Put1,$G88,$G88,$T88,$J88,0,1))</f>
        <v>#VALUE!</v>
      </c>
      <c r="AC88" s="90" t="e">
        <f aca="false">IF($C88="","",xEURO($L88,Call2,$G88,$G88,$U88,$J88,1,1))</f>
        <v>#VALUE!</v>
      </c>
      <c r="AD88" s="90" t="e">
        <f aca="false">IF($C88="","",xEURO($L88,Put2,$G88,$G88,$V88,$J88,0,1))</f>
        <v>#VALUE!</v>
      </c>
      <c r="AE88" s="90" t="e">
        <f aca="false">IF($C88="","",xEURO($L88,Call1,$G88,$G88,$S88,$J88,1,3))</f>
        <v>#VALUE!</v>
      </c>
      <c r="AF88" s="90" t="e">
        <f aca="false">IF($C88="","",xEURO($L88,Put1,$G88,$G88,$T88,$J88,0,3))</f>
        <v>#VALUE!</v>
      </c>
      <c r="AG88" s="90" t="e">
        <f aca="false">IF($C88="","",xEURO($L88,Call2,$G88,$G88,$U88,$J88,1,3))</f>
        <v>#VALUE!</v>
      </c>
      <c r="AH88" s="90" t="e">
        <f aca="false">IF($C88="","",xEURO($L88,Put2,$G88,$G88,$V88,$J88,0,3))</f>
        <v>#VALUE!</v>
      </c>
      <c r="AI88" s="8" t="e">
        <f aca="false">IF(E88=1,G88,0)</f>
        <v>#VALUE!</v>
      </c>
      <c r="AJ88" s="8" t="e">
        <f aca="false">IF(E88=1,H88,0)</f>
        <v>#VALUE!</v>
      </c>
      <c r="AK88" s="8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95" t="n">
        <f aca="false">Swap!A89</f>
        <v>39539</v>
      </c>
      <c r="B89" s="96" t="n">
        <f aca="false">B88+1</f>
        <v>80</v>
      </c>
      <c r="C89" s="95" t="e">
        <f aca="false">IF(AND(A89&gt;=Front!$E$11,A89&lt;=Front!$E$12),A89,"")</f>
        <v>#VALUE!</v>
      </c>
      <c r="D89" s="87" t="e">
        <f aca="false">Swap!AB89</f>
        <v>#VALUE!</v>
      </c>
      <c r="E89" s="87" t="e">
        <f aca="false">IF($C89="","",1)</f>
        <v>#VALUE!</v>
      </c>
      <c r="F89" s="97" t="e">
        <f aca="false">IF($C89="","",E89*H89)</f>
        <v>#VALUE!</v>
      </c>
      <c r="G89" s="31" t="n">
        <f aca="false">Swap!AG89</f>
        <v>0.0507192292504577</v>
      </c>
      <c r="H89" s="31" t="n">
        <f aca="false">Swap!AH89</f>
        <v>2.40091592832831</v>
      </c>
      <c r="I89" s="92" t="n">
        <f aca="false">INDEX(expery,MATCH(A89,exprymonth,0),2)</f>
        <v>39533</v>
      </c>
      <c r="J89" s="98" t="n">
        <f aca="false">I89-Front!$C$2</f>
        <v>-6393</v>
      </c>
      <c r="K89" s="99" t="n">
        <f aca="false">Swap!E89</f>
        <v>3.457</v>
      </c>
      <c r="L89" s="99" t="e">
        <f aca="false">IF(C89="","",(PriceSwitch=0)*K89+(PriceSwitch=1)*(Front!$H$21+K89)+(PriceSwitch=2)*Front!$H$21)</f>
        <v>#VALUE!</v>
      </c>
      <c r="M89" s="93" t="n">
        <f aca="false">INDEX(vols,MATCH(A89,volsmonth,0),2)</f>
        <v>0.2225</v>
      </c>
      <c r="N89" s="3" t="e">
        <f aca="false">IF(Skew_Switch=0,"",IF($C89="","",(Front!$E$20=0)*M89+(Front!$E$20=1)*(Front!$E$21+M89)+(Front!$E$20=2)*Front!$E$21))</f>
        <v>#VALUE!</v>
      </c>
      <c r="O89" s="94" t="e">
        <f aca="false">IF(Skew_Switch=0,"",IF(C89="","",((calcskew(Call1-$L89,$C89,a,b))/100)))</f>
        <v>#VALUE!</v>
      </c>
      <c r="P89" s="94" t="e">
        <f aca="false">IF(Skew_Switch=0,"",IF(C89="","",((calcskew(Put1-$L89,$C89,a,b))/100)))</f>
        <v>#VALUE!</v>
      </c>
      <c r="Q89" s="94" t="e">
        <f aca="false">IF(Skew_Switch=0,"",IF(C89="","",((calcskew(Call2-$L89,$C89,a,b))/100)))</f>
        <v>#VALUE!</v>
      </c>
      <c r="R89" s="94" t="e">
        <f aca="false">IF(Skew_Switch=0,"",IF(C89="","",((calcskew(Put2-$L89,$C89,a,b))/100)))</f>
        <v>#VALUE!</v>
      </c>
      <c r="S89" s="3" t="e">
        <f aca="false">IF($C89="","",(Front!$C$19=0)*$N89+(Front!$C$19=1)*($N89+O89))</f>
        <v>#VALUE!</v>
      </c>
      <c r="T89" s="3" t="e">
        <f aca="false">IF($C89="","",(Front!$C$19=0)*$N89+(Front!$C$19=1)*($N89+P89))</f>
        <v>#VALUE!</v>
      </c>
      <c r="U89" s="3" t="e">
        <f aca="false">IF($C89="","",(Front!$C$19=0)*$N89+(Front!$C$19=1)*($N89+Q89))</f>
        <v>#VALUE!</v>
      </c>
      <c r="V89" s="3" t="e">
        <f aca="false">IF($C89="","",(Front!$C$19=0)*$N89+(Front!$C$19=1)*($N89+R89))</f>
        <v>#VALUE!</v>
      </c>
      <c r="W89" s="90" t="e">
        <f aca="false">IF($C89="","",xEURO($L89,Call1,$G89,$G89,S89,$J89,1,0))</f>
        <v>#VALUE!</v>
      </c>
      <c r="X89" s="90" t="e">
        <f aca="false">IF($C89="","",xEURO($L89,Put1,$G89,$G89,T89,$J89,0,0))</f>
        <v>#VALUE!</v>
      </c>
      <c r="Y89" s="90" t="e">
        <f aca="false">IF($C89="","",xEURO($L89,Call2,$G89,$G89,U89,$J89,1,0))</f>
        <v>#VALUE!</v>
      </c>
      <c r="Z89" s="90" t="e">
        <f aca="false">IF($C89="","",xEURO($L89,Put2,$G89,$G89,V89,$J89,0,0))</f>
        <v>#VALUE!</v>
      </c>
      <c r="AA89" s="90" t="e">
        <f aca="false">IF($C89="","",xEURO($L89,Call1,$G89,$G89,$S89,$J89,1,1))</f>
        <v>#VALUE!</v>
      </c>
      <c r="AB89" s="90" t="e">
        <f aca="false">IF($C89="","",xEURO($L89,Put1,$G89,$G89,$T89,$J89,0,1))</f>
        <v>#VALUE!</v>
      </c>
      <c r="AC89" s="90" t="e">
        <f aca="false">IF($C89="","",xEURO($L89,Call2,$G89,$G89,$U89,$J89,1,1))</f>
        <v>#VALUE!</v>
      </c>
      <c r="AD89" s="90" t="e">
        <f aca="false">IF($C89="","",xEURO($L89,Put2,$G89,$G89,$V89,$J89,0,1))</f>
        <v>#VALUE!</v>
      </c>
      <c r="AE89" s="90" t="e">
        <f aca="false">IF($C89="","",xEURO($L89,Call1,$G89,$G89,$S89,$J89,1,3))</f>
        <v>#VALUE!</v>
      </c>
      <c r="AF89" s="90" t="e">
        <f aca="false">IF($C89="","",xEURO($L89,Put1,$G89,$G89,$T89,$J89,0,3))</f>
        <v>#VALUE!</v>
      </c>
      <c r="AG89" s="90" t="e">
        <f aca="false">IF($C89="","",xEURO($L89,Call2,$G89,$G89,$U89,$J89,1,3))</f>
        <v>#VALUE!</v>
      </c>
      <c r="AH89" s="90" t="e">
        <f aca="false">IF($C89="","",xEURO($L89,Put2,$G89,$G89,$V89,$J89,0,3))</f>
        <v>#VALUE!</v>
      </c>
      <c r="AI89" s="8" t="e">
        <f aca="false">IF(E89=1,G89,0)</f>
        <v>#VALUE!</v>
      </c>
      <c r="AJ89" s="8" t="e">
        <f aca="false">IF(E89=1,H89,0)</f>
        <v>#VALUE!</v>
      </c>
      <c r="AK89" s="8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95" t="n">
        <f aca="false">Swap!A90</f>
        <v>39569</v>
      </c>
      <c r="B90" s="96" t="n">
        <f aca="false">B89+1</f>
        <v>81</v>
      </c>
      <c r="C90" s="95" t="e">
        <f aca="false">IF(AND(A90&gt;=Front!$E$11,A90&lt;=Front!$E$12),A90,"")</f>
        <v>#VALUE!</v>
      </c>
      <c r="D90" s="87" t="e">
        <f aca="false">Swap!AB90</f>
        <v>#VALUE!</v>
      </c>
      <c r="E90" s="87" t="e">
        <f aca="false">IF($C90="","",1)</f>
        <v>#VALUE!</v>
      </c>
      <c r="F90" s="97" t="e">
        <f aca="false">IF($C90="","",E90*H90)</f>
        <v>#VALUE!</v>
      </c>
      <c r="G90" s="31" t="n">
        <f aca="false">Swap!AG90</f>
        <v>0.0508889084166566</v>
      </c>
      <c r="H90" s="31" t="n">
        <f aca="false">Swap!AH90</f>
        <v>2.39795531511356</v>
      </c>
      <c r="I90" s="92" t="n">
        <f aca="false">INDEX(expery,MATCH(A90,exprymonth,0),2)</f>
        <v>39563</v>
      </c>
      <c r="J90" s="98" t="n">
        <f aca="false">I90-Front!$C$2</f>
        <v>-6363</v>
      </c>
      <c r="K90" s="99" t="n">
        <f aca="false">Swap!E90</f>
        <v>3.457</v>
      </c>
      <c r="L90" s="99" t="e">
        <f aca="false">IF(C90="","",(PriceSwitch=0)*K90+(PriceSwitch=1)*(Front!$H$21+K90)+(PriceSwitch=2)*Front!$H$21)</f>
        <v>#VALUE!</v>
      </c>
      <c r="M90" s="93" t="n">
        <f aca="false">INDEX(vols,MATCH(A90,volsmonth,0),2)</f>
        <v>0.2225</v>
      </c>
      <c r="N90" s="3" t="e">
        <f aca="false">IF(Skew_Switch=0,"",IF($C90="","",(Front!$E$20=0)*M90+(Front!$E$20=1)*(Front!$E$21+M90)+(Front!$E$20=2)*Front!$E$21))</f>
        <v>#VALUE!</v>
      </c>
      <c r="O90" s="94" t="e">
        <f aca="false">IF(Skew_Switch=0,"",IF(C90="","",((calcskew(Call1-$L90,$C90,a,b))/100)))</f>
        <v>#VALUE!</v>
      </c>
      <c r="P90" s="94" t="e">
        <f aca="false">IF(Skew_Switch=0,"",IF(C90="","",((calcskew(Put1-$L90,$C90,a,b))/100)))</f>
        <v>#VALUE!</v>
      </c>
      <c r="Q90" s="94" t="e">
        <f aca="false">IF(Skew_Switch=0,"",IF(C90="","",((calcskew(Call2-$L90,$C90,a,b))/100)))</f>
        <v>#VALUE!</v>
      </c>
      <c r="R90" s="94" t="e">
        <f aca="false">IF(Skew_Switch=0,"",IF(C90="","",((calcskew(Put2-$L90,$C90,a,b))/100)))</f>
        <v>#VALUE!</v>
      </c>
      <c r="S90" s="3" t="e">
        <f aca="false">IF($C90="","",(Front!$C$19=0)*$N90+(Front!$C$19=1)*($N90+O90))</f>
        <v>#VALUE!</v>
      </c>
      <c r="T90" s="3" t="e">
        <f aca="false">IF($C90="","",(Front!$C$19=0)*$N90+(Front!$C$19=1)*($N90+P90))</f>
        <v>#VALUE!</v>
      </c>
      <c r="U90" s="3" t="e">
        <f aca="false">IF($C90="","",(Front!$C$19=0)*$N90+(Front!$C$19=1)*($N90+Q90))</f>
        <v>#VALUE!</v>
      </c>
      <c r="V90" s="3" t="e">
        <f aca="false">IF($C90="","",(Front!$C$19=0)*$N90+(Front!$C$19=1)*($N90+R90))</f>
        <v>#VALUE!</v>
      </c>
      <c r="W90" s="90" t="e">
        <f aca="false">IF($C90="","",xEURO($L90,Call1,$G90,$G90,S90,$J90,1,0))</f>
        <v>#VALUE!</v>
      </c>
      <c r="X90" s="90" t="e">
        <f aca="false">IF($C90="","",xEURO($L90,Put1,$G90,$G90,T90,$J90,0,0))</f>
        <v>#VALUE!</v>
      </c>
      <c r="Y90" s="90" t="e">
        <f aca="false">IF($C90="","",xEURO($L90,Call2,$G90,$G90,U90,$J90,1,0))</f>
        <v>#VALUE!</v>
      </c>
      <c r="Z90" s="90" t="e">
        <f aca="false">IF($C90="","",xEURO($L90,Put2,$G90,$G90,V90,$J90,0,0))</f>
        <v>#VALUE!</v>
      </c>
      <c r="AA90" s="90" t="e">
        <f aca="false">IF($C90="","",xEURO($L90,Call1,$G90,$G90,$S90,$J90,1,1))</f>
        <v>#VALUE!</v>
      </c>
      <c r="AB90" s="90" t="e">
        <f aca="false">IF($C90="","",xEURO($L90,Put1,$G90,$G90,$T90,$J90,0,1))</f>
        <v>#VALUE!</v>
      </c>
      <c r="AC90" s="90" t="e">
        <f aca="false">IF($C90="","",xEURO($L90,Call2,$G90,$G90,$U90,$J90,1,1))</f>
        <v>#VALUE!</v>
      </c>
      <c r="AD90" s="90" t="e">
        <f aca="false">IF($C90="","",xEURO($L90,Put2,$G90,$G90,$V90,$J90,0,1))</f>
        <v>#VALUE!</v>
      </c>
      <c r="AE90" s="90" t="e">
        <f aca="false">IF($C90="","",xEURO($L90,Call1,$G90,$G90,$S90,$J90,1,3))</f>
        <v>#VALUE!</v>
      </c>
      <c r="AF90" s="90" t="e">
        <f aca="false">IF($C90="","",xEURO($L90,Put1,$G90,$G90,$T90,$J90,0,3))</f>
        <v>#VALUE!</v>
      </c>
      <c r="AG90" s="90" t="e">
        <f aca="false">IF($C90="","",xEURO($L90,Call2,$G90,$G90,$U90,$J90,1,3))</f>
        <v>#VALUE!</v>
      </c>
      <c r="AH90" s="90" t="e">
        <f aca="false">IF($C90="","",xEURO($L90,Put2,$G90,$G90,$V90,$J90,0,3))</f>
        <v>#VALUE!</v>
      </c>
      <c r="AI90" s="8" t="e">
        <f aca="false">IF(E90=1,G90,0)</f>
        <v>#VALUE!</v>
      </c>
      <c r="AJ90" s="8" t="e">
        <f aca="false">IF(E90=1,H90,0)</f>
        <v>#VALUE!</v>
      </c>
      <c r="AK90" s="8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95" t="n">
        <f aca="false">Swap!A91</f>
        <v>39600</v>
      </c>
      <c r="B91" s="96" t="n">
        <f aca="false">B90+1</f>
        <v>82</v>
      </c>
      <c r="C91" s="95" t="e">
        <f aca="false">IF(AND(A91&gt;=Front!$E$11,A91&lt;=Front!$E$12),A91,"")</f>
        <v>#VALUE!</v>
      </c>
      <c r="D91" s="87" t="e">
        <f aca="false">Swap!AB91</f>
        <v>#VALUE!</v>
      </c>
      <c r="E91" s="87" t="e">
        <f aca="false">IF($C91="","",1)</f>
        <v>#VALUE!</v>
      </c>
      <c r="F91" s="97" t="e">
        <f aca="false">IF($C91="","",E91*H91)</f>
        <v>#VALUE!</v>
      </c>
      <c r="G91" s="31" t="n">
        <f aca="false">Swap!AG91</f>
        <v>0.0510642435651558</v>
      </c>
      <c r="H91" s="31" t="n">
        <f aca="false">Swap!AH91</f>
        <v>2.39483086350317</v>
      </c>
      <c r="I91" s="92" t="n">
        <f aca="false">INDEX(expery,MATCH(A91,exprymonth,0),2)</f>
        <v>39595</v>
      </c>
      <c r="J91" s="98" t="n">
        <f aca="false">I91-Front!$C$2</f>
        <v>-6331</v>
      </c>
      <c r="K91" s="99" t="n">
        <f aca="false">Swap!E91</f>
        <v>3.489</v>
      </c>
      <c r="L91" s="99" t="e">
        <f aca="false">IF(C91="","",(PriceSwitch=0)*K91+(PriceSwitch=1)*(Front!$H$21+K91)+(PriceSwitch=2)*Front!$H$21)</f>
        <v>#VALUE!</v>
      </c>
      <c r="M91" s="93" t="n">
        <f aca="false">INDEX(vols,MATCH(A91,volsmonth,0),2)</f>
        <v>0.2225</v>
      </c>
      <c r="N91" s="3" t="e">
        <f aca="false">IF(Skew_Switch=0,"",IF($C91="","",(Front!$E$20=0)*M91+(Front!$E$20=1)*(Front!$E$21+M91)+(Front!$E$20=2)*Front!$E$21))</f>
        <v>#VALUE!</v>
      </c>
      <c r="O91" s="94" t="e">
        <f aca="false">IF(Skew_Switch=0,"",IF(C91="","",((calcskew(Call1-$L91,$C91,a,b))/100)))</f>
        <v>#VALUE!</v>
      </c>
      <c r="P91" s="94" t="e">
        <f aca="false">IF(Skew_Switch=0,"",IF(C91="","",((calcskew(Put1-$L91,$C91,a,b))/100)))</f>
        <v>#VALUE!</v>
      </c>
      <c r="Q91" s="94" t="e">
        <f aca="false">IF(Skew_Switch=0,"",IF(C91="","",((calcskew(Call2-$L91,$C91,a,b))/100)))</f>
        <v>#VALUE!</v>
      </c>
      <c r="R91" s="94" t="e">
        <f aca="false">IF(Skew_Switch=0,"",IF(C91="","",((calcskew(Put2-$L91,$C91,a,b))/100)))</f>
        <v>#VALUE!</v>
      </c>
      <c r="S91" s="3" t="e">
        <f aca="false">IF($C91="","",(Front!$C$19=0)*$N91+(Front!$C$19=1)*($N91+O91))</f>
        <v>#VALUE!</v>
      </c>
      <c r="T91" s="3" t="e">
        <f aca="false">IF($C91="","",(Front!$C$19=0)*$N91+(Front!$C$19=1)*($N91+P91))</f>
        <v>#VALUE!</v>
      </c>
      <c r="U91" s="3" t="e">
        <f aca="false">IF($C91="","",(Front!$C$19=0)*$N91+(Front!$C$19=1)*($N91+Q91))</f>
        <v>#VALUE!</v>
      </c>
      <c r="V91" s="3" t="e">
        <f aca="false">IF($C91="","",(Front!$C$19=0)*$N91+(Front!$C$19=1)*($N91+R91))</f>
        <v>#VALUE!</v>
      </c>
      <c r="W91" s="90" t="e">
        <f aca="false">IF($C91="","",xEURO($L91,Call1,$G91,$G91,S91,$J91,1,0))</f>
        <v>#VALUE!</v>
      </c>
      <c r="X91" s="90" t="e">
        <f aca="false">IF($C91="","",xEURO($L91,Put1,$G91,$G91,T91,$J91,0,0))</f>
        <v>#VALUE!</v>
      </c>
      <c r="Y91" s="90" t="e">
        <f aca="false">IF($C91="","",xEURO($L91,Call2,$G91,$G91,U91,$J91,1,0))</f>
        <v>#VALUE!</v>
      </c>
      <c r="Z91" s="90" t="e">
        <f aca="false">IF($C91="","",xEURO($L91,Put2,$G91,$G91,V91,$J91,0,0))</f>
        <v>#VALUE!</v>
      </c>
      <c r="AA91" s="90" t="e">
        <f aca="false">IF($C91="","",xEURO($L91,Call1,$G91,$G91,$S91,$J91,1,1))</f>
        <v>#VALUE!</v>
      </c>
      <c r="AB91" s="90" t="e">
        <f aca="false">IF($C91="","",xEURO($L91,Put1,$G91,$G91,$T91,$J91,0,1))</f>
        <v>#VALUE!</v>
      </c>
      <c r="AC91" s="90" t="e">
        <f aca="false">IF($C91="","",xEURO($L91,Call2,$G91,$G91,$U91,$J91,1,1))</f>
        <v>#VALUE!</v>
      </c>
      <c r="AD91" s="90" t="e">
        <f aca="false">IF($C91="","",xEURO($L91,Put2,$G91,$G91,$V91,$J91,0,1))</f>
        <v>#VALUE!</v>
      </c>
      <c r="AE91" s="90" t="e">
        <f aca="false">IF($C91="","",xEURO($L91,Call1,$G91,$G91,$S91,$J91,1,3))</f>
        <v>#VALUE!</v>
      </c>
      <c r="AF91" s="90" t="e">
        <f aca="false">IF($C91="","",xEURO($L91,Put1,$G91,$G91,$T91,$J91,0,3))</f>
        <v>#VALUE!</v>
      </c>
      <c r="AG91" s="90" t="e">
        <f aca="false">IF($C91="","",xEURO($L91,Call2,$G91,$G91,$U91,$J91,1,3))</f>
        <v>#VALUE!</v>
      </c>
      <c r="AH91" s="90" t="e">
        <f aca="false">IF($C91="","",xEURO($L91,Put2,$G91,$G91,$V91,$J91,0,3))</f>
        <v>#VALUE!</v>
      </c>
      <c r="AI91" s="8" t="e">
        <f aca="false">IF(E91=1,G91,0)</f>
        <v>#VALUE!</v>
      </c>
      <c r="AJ91" s="8" t="e">
        <f aca="false">IF(E91=1,H91,0)</f>
        <v>#VALUE!</v>
      </c>
      <c r="AK91" s="8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95" t="n">
        <f aca="false">Swap!A92</f>
        <v>39630</v>
      </c>
      <c r="B92" s="96" t="n">
        <f aca="false">B91+1</f>
        <v>83</v>
      </c>
      <c r="C92" s="95" t="e">
        <f aca="false">IF(AND(A92&gt;=Front!$E$11,A92&lt;=Front!$E$12),A92,"")</f>
        <v>#VALUE!</v>
      </c>
      <c r="D92" s="87" t="e">
        <f aca="false">Swap!AB92</f>
        <v>#VALUE!</v>
      </c>
      <c r="E92" s="87" t="e">
        <f aca="false">IF($C92="","",1)</f>
        <v>#VALUE!</v>
      </c>
      <c r="F92" s="97" t="e">
        <f aca="false">IF($C92="","",E92*H92)</f>
        <v>#VALUE!</v>
      </c>
      <c r="G92" s="31" t="n">
        <f aca="false">Swap!AG92</f>
        <v>0.0512339227508916</v>
      </c>
      <c r="H92" s="31" t="n">
        <f aca="false">Swap!AH92</f>
        <v>2.39174441013243</v>
      </c>
      <c r="I92" s="92" t="n">
        <f aca="false">INDEX(expery,MATCH(A92,exprymonth,0),2)</f>
        <v>39624</v>
      </c>
      <c r="J92" s="98" t="n">
        <f aca="false">I92-Front!$C$2</f>
        <v>-6302</v>
      </c>
      <c r="K92" s="99" t="n">
        <f aca="false">Swap!E92</f>
        <v>3.539</v>
      </c>
      <c r="L92" s="99" t="e">
        <f aca="false">IF(C92="","",(PriceSwitch=0)*K92+(PriceSwitch=1)*(Front!$H$21+K92)+(PriceSwitch=2)*Front!$H$21)</f>
        <v>#VALUE!</v>
      </c>
      <c r="M92" s="93" t="n">
        <f aca="false">INDEX(vols,MATCH(A92,volsmonth,0),2)</f>
        <v>0.22</v>
      </c>
      <c r="N92" s="3" t="e">
        <f aca="false">IF(Skew_Switch=0,"",IF($C92="","",(Front!$E$20=0)*M92+(Front!$E$20=1)*(Front!$E$21+M92)+(Front!$E$20=2)*Front!$E$21))</f>
        <v>#VALUE!</v>
      </c>
      <c r="O92" s="94" t="e">
        <f aca="false">IF(Skew_Switch=0,"",IF(C92="","",((calcskew(Call1-$L92,$C92,a,b))/100)))</f>
        <v>#VALUE!</v>
      </c>
      <c r="P92" s="94" t="e">
        <f aca="false">IF(Skew_Switch=0,"",IF(C92="","",((calcskew(Put1-$L92,$C92,a,b))/100)))</f>
        <v>#VALUE!</v>
      </c>
      <c r="Q92" s="94" t="e">
        <f aca="false">IF(Skew_Switch=0,"",IF(C92="","",((calcskew(Call2-$L92,$C92,a,b))/100)))</f>
        <v>#VALUE!</v>
      </c>
      <c r="R92" s="94" t="e">
        <f aca="false">IF(Skew_Switch=0,"",IF(C92="","",((calcskew(Put2-$L92,$C92,a,b))/100)))</f>
        <v>#VALUE!</v>
      </c>
      <c r="S92" s="3" t="e">
        <f aca="false">IF($C92="","",(Front!$C$19=0)*$N92+(Front!$C$19=1)*($N92+O92))</f>
        <v>#VALUE!</v>
      </c>
      <c r="T92" s="3" t="e">
        <f aca="false">IF($C92="","",(Front!$C$19=0)*$N92+(Front!$C$19=1)*($N92+P92))</f>
        <v>#VALUE!</v>
      </c>
      <c r="U92" s="3" t="e">
        <f aca="false">IF($C92="","",(Front!$C$19=0)*$N92+(Front!$C$19=1)*($N92+Q92))</f>
        <v>#VALUE!</v>
      </c>
      <c r="V92" s="3" t="e">
        <f aca="false">IF($C92="","",(Front!$C$19=0)*$N92+(Front!$C$19=1)*($N92+R92))</f>
        <v>#VALUE!</v>
      </c>
      <c r="W92" s="90" t="e">
        <f aca="false">IF($C92="","",xEURO($L92,Call1,$G92,$G92,S92,$J92,1,0))</f>
        <v>#VALUE!</v>
      </c>
      <c r="X92" s="90" t="e">
        <f aca="false">IF($C92="","",xEURO($L92,Put1,$G92,$G92,T92,$J92,0,0))</f>
        <v>#VALUE!</v>
      </c>
      <c r="Y92" s="90" t="e">
        <f aca="false">IF($C92="","",xEURO($L92,Call2,$G92,$G92,U92,$J92,1,0))</f>
        <v>#VALUE!</v>
      </c>
      <c r="Z92" s="90" t="e">
        <f aca="false">IF($C92="","",xEURO($L92,Put2,$G92,$G92,V92,$J92,0,0))</f>
        <v>#VALUE!</v>
      </c>
      <c r="AA92" s="90" t="e">
        <f aca="false">IF($C92="","",xEURO($L92,Call1,$G92,$G92,$S92,$J92,1,1))</f>
        <v>#VALUE!</v>
      </c>
      <c r="AB92" s="90" t="e">
        <f aca="false">IF($C92="","",xEURO($L92,Put1,$G92,$G92,$T92,$J92,0,1))</f>
        <v>#VALUE!</v>
      </c>
      <c r="AC92" s="90" t="e">
        <f aca="false">IF($C92="","",xEURO($L92,Call2,$G92,$G92,$U92,$J92,1,1))</f>
        <v>#VALUE!</v>
      </c>
      <c r="AD92" s="90" t="e">
        <f aca="false">IF($C92="","",xEURO($L92,Put2,$G92,$G92,$V92,$J92,0,1))</f>
        <v>#VALUE!</v>
      </c>
      <c r="AE92" s="90" t="e">
        <f aca="false">IF($C92="","",xEURO($L92,Call1,$G92,$G92,$S92,$J92,1,3))</f>
        <v>#VALUE!</v>
      </c>
      <c r="AF92" s="90" t="e">
        <f aca="false">IF($C92="","",xEURO($L92,Put1,$G92,$G92,$T92,$J92,0,3))</f>
        <v>#VALUE!</v>
      </c>
      <c r="AG92" s="90" t="e">
        <f aca="false">IF($C92="","",xEURO($L92,Call2,$G92,$G92,$U92,$J92,1,3))</f>
        <v>#VALUE!</v>
      </c>
      <c r="AH92" s="90" t="e">
        <f aca="false">IF($C92="","",xEURO($L92,Put2,$G92,$G92,$V92,$J92,0,3))</f>
        <v>#VALUE!</v>
      </c>
      <c r="AI92" s="8" t="e">
        <f aca="false">IF(E92=1,G92,0)</f>
        <v>#VALUE!</v>
      </c>
      <c r="AJ92" s="8" t="e">
        <f aca="false">IF(E92=1,H92,0)</f>
        <v>#VALUE!</v>
      </c>
      <c r="AK92" s="8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95" t="n">
        <f aca="false">Swap!A93</f>
        <v>39661</v>
      </c>
      <c r="B93" s="96" t="n">
        <f aca="false">B92+1</f>
        <v>84</v>
      </c>
      <c r="C93" s="95" t="e">
        <f aca="false">IF(AND(A93&gt;=Front!$E$11,A93&lt;=Front!$E$12),A93,"")</f>
        <v>#VALUE!</v>
      </c>
      <c r="D93" s="87" t="e">
        <f aca="false">Swap!AB93</f>
        <v>#VALUE!</v>
      </c>
      <c r="E93" s="87" t="e">
        <f aca="false">IF($C93="","",1)</f>
        <v>#VALUE!</v>
      </c>
      <c r="F93" s="97" t="e">
        <f aca="false">IF($C93="","",E93*H93)</f>
        <v>#VALUE!</v>
      </c>
      <c r="G93" s="31" t="n">
        <f aca="false">Swap!AG93</f>
        <v>0.0514092579195773</v>
      </c>
      <c r="H93" s="31" t="n">
        <f aca="false">Swap!AH93</f>
        <v>2.38849046729001</v>
      </c>
      <c r="I93" s="92" t="n">
        <f aca="false">INDEX(expery,MATCH(A93,exprymonth,0),2)</f>
        <v>39657</v>
      </c>
      <c r="J93" s="98" t="n">
        <f aca="false">I93-Front!$C$2</f>
        <v>-6269</v>
      </c>
      <c r="K93" s="99" t="n">
        <f aca="false">Swap!E93</f>
        <v>3.573</v>
      </c>
      <c r="L93" s="99" t="e">
        <f aca="false">IF(C93="","",(PriceSwitch=0)*K93+(PriceSwitch=1)*(Front!$H$21+K93)+(PriceSwitch=2)*Front!$H$21)</f>
        <v>#VALUE!</v>
      </c>
      <c r="M93" s="93" t="n">
        <f aca="false">INDEX(vols,MATCH(A93,volsmonth,0),2)</f>
        <v>0.22</v>
      </c>
      <c r="N93" s="3" t="e">
        <f aca="false">IF(Skew_Switch=0,"",IF($C93="","",(Front!$E$20=0)*M93+(Front!$E$20=1)*(Front!$E$21+M93)+(Front!$E$20=2)*Front!$E$21))</f>
        <v>#VALUE!</v>
      </c>
      <c r="O93" s="94" t="e">
        <f aca="false">IF(Skew_Switch=0,"",IF(C93="","",((calcskew(Call1-$L93,$C93,a,b))/100)))</f>
        <v>#VALUE!</v>
      </c>
      <c r="P93" s="94" t="e">
        <f aca="false">IF(Skew_Switch=0,"",IF(C93="","",((calcskew(Put1-$L93,$C93,a,b))/100)))</f>
        <v>#VALUE!</v>
      </c>
      <c r="Q93" s="94" t="e">
        <f aca="false">IF(Skew_Switch=0,"",IF(C93="","",((calcskew(Call2-$L93,$C93,a,b))/100)))</f>
        <v>#VALUE!</v>
      </c>
      <c r="R93" s="94" t="e">
        <f aca="false">IF(Skew_Switch=0,"",IF(C93="","",((calcskew(Put2-$L93,$C93,a,b))/100)))</f>
        <v>#VALUE!</v>
      </c>
      <c r="S93" s="3" t="e">
        <f aca="false">IF($C93="","",(Front!$C$19=0)*$N93+(Front!$C$19=1)*($N93+O93))</f>
        <v>#VALUE!</v>
      </c>
      <c r="T93" s="3" t="e">
        <f aca="false">IF($C93="","",(Front!$C$19=0)*$N93+(Front!$C$19=1)*($N93+P93))</f>
        <v>#VALUE!</v>
      </c>
      <c r="U93" s="3" t="e">
        <f aca="false">IF($C93="","",(Front!$C$19=0)*$N93+(Front!$C$19=1)*($N93+Q93))</f>
        <v>#VALUE!</v>
      </c>
      <c r="V93" s="3" t="e">
        <f aca="false">IF($C93="","",(Front!$C$19=0)*$N93+(Front!$C$19=1)*($N93+R93))</f>
        <v>#VALUE!</v>
      </c>
      <c r="W93" s="90" t="e">
        <f aca="false">IF($C93="","",xEURO($L93,Call1,$G93,$G93,S93,$J93,1,0))</f>
        <v>#VALUE!</v>
      </c>
      <c r="X93" s="90" t="e">
        <f aca="false">IF($C93="","",xEURO($L93,Put1,$G93,$G93,T93,$J93,0,0))</f>
        <v>#VALUE!</v>
      </c>
      <c r="Y93" s="90" t="e">
        <f aca="false">IF($C93="","",xEURO($L93,Call2,$G93,$G93,U93,$J93,1,0))</f>
        <v>#VALUE!</v>
      </c>
      <c r="Z93" s="90" t="e">
        <f aca="false">IF($C93="","",xEURO($L93,Put2,$G93,$G93,V93,$J93,0,0))</f>
        <v>#VALUE!</v>
      </c>
      <c r="AA93" s="90" t="e">
        <f aca="false">IF($C93="","",xEURO($L93,Call1,$G93,$G93,$S93,$J93,1,1))</f>
        <v>#VALUE!</v>
      </c>
      <c r="AB93" s="90" t="e">
        <f aca="false">IF($C93="","",xEURO($L93,Put1,$G93,$G93,$T93,$J93,0,1))</f>
        <v>#VALUE!</v>
      </c>
      <c r="AC93" s="90" t="e">
        <f aca="false">IF($C93="","",xEURO($L93,Call2,$G93,$G93,$U93,$J93,1,1))</f>
        <v>#VALUE!</v>
      </c>
      <c r="AD93" s="90" t="e">
        <f aca="false">IF($C93="","",xEURO($L93,Put2,$G93,$G93,$V93,$J93,0,1))</f>
        <v>#VALUE!</v>
      </c>
      <c r="AE93" s="90" t="e">
        <f aca="false">IF($C93="","",xEURO($L93,Call1,$G93,$G93,$S93,$J93,1,3))</f>
        <v>#VALUE!</v>
      </c>
      <c r="AF93" s="90" t="e">
        <f aca="false">IF($C93="","",xEURO($L93,Put1,$G93,$G93,$T93,$J93,0,3))</f>
        <v>#VALUE!</v>
      </c>
      <c r="AG93" s="90" t="e">
        <f aca="false">IF($C93="","",xEURO($L93,Call2,$G93,$G93,$U93,$J93,1,3))</f>
        <v>#VALUE!</v>
      </c>
      <c r="AH93" s="90" t="e">
        <f aca="false">IF($C93="","",xEURO($L93,Put2,$G93,$G93,$V93,$J93,0,3))</f>
        <v>#VALUE!</v>
      </c>
      <c r="AI93" s="8" t="e">
        <f aca="false">IF(E93=1,G93,0)</f>
        <v>#VALUE!</v>
      </c>
      <c r="AJ93" s="8" t="e">
        <f aca="false">IF(E93=1,H93,0)</f>
        <v>#VALUE!</v>
      </c>
      <c r="AK93" s="8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95" t="n">
        <f aca="false">Swap!A94</f>
        <v>39692</v>
      </c>
      <c r="B94" s="96" t="n">
        <f aca="false">B93+1</f>
        <v>85</v>
      </c>
      <c r="C94" s="95" t="e">
        <f aca="false">IF(AND(A94&gt;=Front!$E$11,A94&lt;=Front!$E$12),A94,"")</f>
        <v>#VALUE!</v>
      </c>
      <c r="D94" s="87" t="e">
        <f aca="false">Swap!AB94</f>
        <v>#VALUE!</v>
      </c>
      <c r="E94" s="87" t="e">
        <f aca="false">IF($C94="","",1)</f>
        <v>#VALUE!</v>
      </c>
      <c r="F94" s="97" t="e">
        <f aca="false">IF($C94="","",E94*H94)</f>
        <v>#VALUE!</v>
      </c>
      <c r="G94" s="31" t="n">
        <f aca="false">Swap!AG94</f>
        <v>0.0515845930985206</v>
      </c>
      <c r="H94" s="31" t="n">
        <f aca="false">Swap!AH94</f>
        <v>2.38517114322365</v>
      </c>
      <c r="I94" s="92" t="n">
        <f aca="false">INDEX(expery,MATCH(A94,exprymonth,0),2)</f>
        <v>39686</v>
      </c>
      <c r="J94" s="98" t="n">
        <f aca="false">I94-Front!$C$2</f>
        <v>-6240</v>
      </c>
      <c r="K94" s="99" t="n">
        <f aca="false">Swap!E94</f>
        <v>3.586</v>
      </c>
      <c r="L94" s="99" t="e">
        <f aca="false">IF(C94="","",(PriceSwitch=0)*K94+(PriceSwitch=1)*(Front!$H$21+K94)+(PriceSwitch=2)*Front!$H$21)</f>
        <v>#VALUE!</v>
      </c>
      <c r="M94" s="93" t="n">
        <f aca="false">INDEX(vols,MATCH(A94,volsmonth,0),2)</f>
        <v>0.22</v>
      </c>
      <c r="N94" s="3" t="e">
        <f aca="false">IF(Skew_Switch=0,"",IF($C94="","",(Front!$E$20=0)*M94+(Front!$E$20=1)*(Front!$E$21+M94)+(Front!$E$20=2)*Front!$E$21))</f>
        <v>#VALUE!</v>
      </c>
      <c r="O94" s="94" t="e">
        <f aca="false">IF(Skew_Switch=0,"",IF(C94="","",((calcskew(Call1-$L94,$C94,a,b))/100)))</f>
        <v>#VALUE!</v>
      </c>
      <c r="P94" s="94" t="e">
        <f aca="false">IF(Skew_Switch=0,"",IF(C94="","",((calcskew(Put1-$L94,$C94,a,b))/100)))</f>
        <v>#VALUE!</v>
      </c>
      <c r="Q94" s="94" t="e">
        <f aca="false">IF(Skew_Switch=0,"",IF(C94="","",((calcskew(Call2-$L94,$C94,a,b))/100)))</f>
        <v>#VALUE!</v>
      </c>
      <c r="R94" s="94" t="e">
        <f aca="false">IF(Skew_Switch=0,"",IF(C94="","",((calcskew(Put2-$L94,$C94,a,b))/100)))</f>
        <v>#VALUE!</v>
      </c>
      <c r="S94" s="3" t="e">
        <f aca="false">IF($C94="","",(Front!$C$19=0)*$N94+(Front!$C$19=1)*($N94+O94))</f>
        <v>#VALUE!</v>
      </c>
      <c r="T94" s="3" t="e">
        <f aca="false">IF($C94="","",(Front!$C$19=0)*$N94+(Front!$C$19=1)*($N94+P94))</f>
        <v>#VALUE!</v>
      </c>
      <c r="U94" s="3" t="e">
        <f aca="false">IF($C94="","",(Front!$C$19=0)*$N94+(Front!$C$19=1)*($N94+Q94))</f>
        <v>#VALUE!</v>
      </c>
      <c r="V94" s="3" t="e">
        <f aca="false">IF($C94="","",(Front!$C$19=0)*$N94+(Front!$C$19=1)*($N94+R94))</f>
        <v>#VALUE!</v>
      </c>
      <c r="W94" s="90" t="e">
        <f aca="false">IF($C94="","",xEURO($L94,Call1,$G94,$G94,S94,$J94,1,0))</f>
        <v>#VALUE!</v>
      </c>
      <c r="X94" s="90" t="e">
        <f aca="false">IF($C94="","",xEURO($L94,Put1,$G94,$G94,T94,$J94,0,0))</f>
        <v>#VALUE!</v>
      </c>
      <c r="Y94" s="90" t="e">
        <f aca="false">IF($C94="","",xEURO($L94,Call2,$G94,$G94,U94,$J94,1,0))</f>
        <v>#VALUE!</v>
      </c>
      <c r="Z94" s="90" t="e">
        <f aca="false">IF($C94="","",xEURO($L94,Put2,$G94,$G94,V94,$J94,0,0))</f>
        <v>#VALUE!</v>
      </c>
      <c r="AA94" s="90" t="e">
        <f aca="false">IF($C94="","",xEURO($L94,Call1,$G94,$G94,$S94,$J94,1,1))</f>
        <v>#VALUE!</v>
      </c>
      <c r="AB94" s="90" t="e">
        <f aca="false">IF($C94="","",xEURO($L94,Put1,$G94,$G94,$T94,$J94,0,1))</f>
        <v>#VALUE!</v>
      </c>
      <c r="AC94" s="90" t="e">
        <f aca="false">IF($C94="","",xEURO($L94,Call2,$G94,$G94,$U94,$J94,1,1))</f>
        <v>#VALUE!</v>
      </c>
      <c r="AD94" s="90" t="e">
        <f aca="false">IF($C94="","",xEURO($L94,Put2,$G94,$G94,$V94,$J94,0,1))</f>
        <v>#VALUE!</v>
      </c>
      <c r="AE94" s="90" t="e">
        <f aca="false">IF($C94="","",xEURO($L94,Call1,$G94,$G94,$S94,$J94,1,3))</f>
        <v>#VALUE!</v>
      </c>
      <c r="AF94" s="90" t="e">
        <f aca="false">IF($C94="","",xEURO($L94,Put1,$G94,$G94,$T94,$J94,0,3))</f>
        <v>#VALUE!</v>
      </c>
      <c r="AG94" s="90" t="e">
        <f aca="false">IF($C94="","",xEURO($L94,Call2,$G94,$G94,$U94,$J94,1,3))</f>
        <v>#VALUE!</v>
      </c>
      <c r="AH94" s="90" t="e">
        <f aca="false">IF($C94="","",xEURO($L94,Put2,$G94,$G94,$V94,$J94,0,3))</f>
        <v>#VALUE!</v>
      </c>
      <c r="AI94" s="8" t="e">
        <f aca="false">IF(E94=1,G94,0)</f>
        <v>#VALUE!</v>
      </c>
      <c r="AJ94" s="8" t="e">
        <f aca="false">IF(E94=1,H94,0)</f>
        <v>#VALUE!</v>
      </c>
      <c r="AK94" s="8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95" t="n">
        <f aca="false">Swap!A95</f>
        <v>39722</v>
      </c>
      <c r="B95" s="96" t="n">
        <f aca="false">B94+1</f>
        <v>86</v>
      </c>
      <c r="C95" s="95" t="e">
        <f aca="false">IF(AND(A95&gt;=Front!$E$11,A95&lt;=Front!$E$12),A95,"")</f>
        <v>#VALUE!</v>
      </c>
      <c r="D95" s="87" t="e">
        <f aca="false">Swap!AB95</f>
        <v>#VALUE!</v>
      </c>
      <c r="E95" s="87" t="e">
        <f aca="false">IF($C95="","",1)</f>
        <v>#VALUE!</v>
      </c>
      <c r="F95" s="97" t="e">
        <f aca="false">IF($C95="","",E95*H95)</f>
        <v>#VALUE!</v>
      </c>
      <c r="G95" s="31" t="n">
        <f aca="false">Swap!AG95</f>
        <v>0.0517447871679981</v>
      </c>
      <c r="H95" s="31" t="n">
        <f aca="false">Swap!AH95</f>
        <v>2.38152287759085</v>
      </c>
      <c r="I95" s="92" t="n">
        <f aca="false">INDEX(expery,MATCH(A95,exprymonth,0),2)</f>
        <v>39716</v>
      </c>
      <c r="J95" s="98" t="n">
        <f aca="false">I95-Front!$C$2</f>
        <v>-6210</v>
      </c>
      <c r="K95" s="99" t="n">
        <f aca="false">Swap!E95</f>
        <v>3.578</v>
      </c>
      <c r="L95" s="99" t="e">
        <f aca="false">IF(C95="","",(PriceSwitch=0)*K95+(PriceSwitch=1)*(Front!$H$21+K95)+(PriceSwitch=2)*Front!$H$21)</f>
        <v>#VALUE!</v>
      </c>
      <c r="M95" s="93" t="n">
        <f aca="false">INDEX(vols,MATCH(A95,volsmonth,0),2)</f>
        <v>0.22</v>
      </c>
      <c r="N95" s="3" t="e">
        <f aca="false">IF(Skew_Switch=0,"",IF($C95="","",(Front!$E$20=0)*M95+(Front!$E$20=1)*(Front!$E$21+M95)+(Front!$E$20=2)*Front!$E$21))</f>
        <v>#VALUE!</v>
      </c>
      <c r="O95" s="94" t="e">
        <f aca="false">IF(Skew_Switch=0,"",IF(C95="","",((calcskew(Call1-$L95,$C95,a,b))/100)))</f>
        <v>#VALUE!</v>
      </c>
      <c r="P95" s="94" t="e">
        <f aca="false">IF(Skew_Switch=0,"",IF(C95="","",((calcskew(Put1-$L95,$C95,a,b))/100)))</f>
        <v>#VALUE!</v>
      </c>
      <c r="Q95" s="94" t="e">
        <f aca="false">IF(Skew_Switch=0,"",IF(C95="","",((calcskew(Call2-$L95,$C95,a,b))/100)))</f>
        <v>#VALUE!</v>
      </c>
      <c r="R95" s="94" t="e">
        <f aca="false">IF(Skew_Switch=0,"",IF(C95="","",((calcskew(Put2-$L95,$C95,a,b))/100)))</f>
        <v>#VALUE!</v>
      </c>
      <c r="S95" s="3" t="e">
        <f aca="false">IF($C95="","",(Front!$C$19=0)*$N95+(Front!$C$19=1)*($N95+O95))</f>
        <v>#VALUE!</v>
      </c>
      <c r="T95" s="3" t="e">
        <f aca="false">IF($C95="","",(Front!$C$19=0)*$N95+(Front!$C$19=1)*($N95+P95))</f>
        <v>#VALUE!</v>
      </c>
      <c r="U95" s="3" t="e">
        <f aca="false">IF($C95="","",(Front!$C$19=0)*$N95+(Front!$C$19=1)*($N95+Q95))</f>
        <v>#VALUE!</v>
      </c>
      <c r="V95" s="3" t="e">
        <f aca="false">IF($C95="","",(Front!$C$19=0)*$N95+(Front!$C$19=1)*($N95+R95))</f>
        <v>#VALUE!</v>
      </c>
      <c r="W95" s="90" t="e">
        <f aca="false">IF($C95="","",xEURO($L95,Call1,$G95,$G95,S95,$J95,1,0))</f>
        <v>#VALUE!</v>
      </c>
      <c r="X95" s="90" t="e">
        <f aca="false">IF($C95="","",xEURO($L95,Put1,$G95,$G95,T95,$J95,0,0))</f>
        <v>#VALUE!</v>
      </c>
      <c r="Y95" s="90" t="e">
        <f aca="false">IF($C95="","",xEURO($L95,Call2,$G95,$G95,U95,$J95,1,0))</f>
        <v>#VALUE!</v>
      </c>
      <c r="Z95" s="90" t="e">
        <f aca="false">IF($C95="","",xEURO($L95,Put2,$G95,$G95,V95,$J95,0,0))</f>
        <v>#VALUE!</v>
      </c>
      <c r="AA95" s="90" t="e">
        <f aca="false">IF($C95="","",xEURO($L95,Call1,$G95,$G95,$S95,$J95,1,1))</f>
        <v>#VALUE!</v>
      </c>
      <c r="AB95" s="90" t="e">
        <f aca="false">IF($C95="","",xEURO($L95,Put1,$G95,$G95,$T95,$J95,0,1))</f>
        <v>#VALUE!</v>
      </c>
      <c r="AC95" s="90" t="e">
        <f aca="false">IF($C95="","",xEURO($L95,Call2,$G95,$G95,$U95,$J95,1,1))</f>
        <v>#VALUE!</v>
      </c>
      <c r="AD95" s="90" t="e">
        <f aca="false">IF($C95="","",xEURO($L95,Put2,$G95,$G95,$V95,$J95,0,1))</f>
        <v>#VALUE!</v>
      </c>
      <c r="AE95" s="90" t="e">
        <f aca="false">IF($C95="","",xEURO($L95,Call1,$G95,$G95,$S95,$J95,1,3))</f>
        <v>#VALUE!</v>
      </c>
      <c r="AF95" s="90" t="e">
        <f aca="false">IF($C95="","",xEURO($L95,Put1,$G95,$G95,$T95,$J95,0,3))</f>
        <v>#VALUE!</v>
      </c>
      <c r="AG95" s="90" t="e">
        <f aca="false">IF($C95="","",xEURO($L95,Call2,$G95,$G95,$U95,$J95,1,3))</f>
        <v>#VALUE!</v>
      </c>
      <c r="AH95" s="90" t="e">
        <f aca="false">IF($C95="","",xEURO($L95,Put2,$G95,$G95,$V95,$J95,0,3))</f>
        <v>#VALUE!</v>
      </c>
      <c r="AI95" s="8" t="e">
        <f aca="false">IF(E95=1,G95,0)</f>
        <v>#VALUE!</v>
      </c>
      <c r="AJ95" s="8" t="e">
        <f aca="false">IF(E95=1,H95,0)</f>
        <v>#VALUE!</v>
      </c>
      <c r="AK95" s="8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95" t="n">
        <f aca="false">Swap!A96</f>
        <v>39753</v>
      </c>
      <c r="B96" s="96" t="n">
        <f aca="false">B95+1</f>
        <v>87</v>
      </c>
      <c r="C96" s="95" t="e">
        <f aca="false">IF(AND(A96&gt;=Front!$E$11,A96&lt;=Front!$E$12),A96,"")</f>
        <v>#VALUE!</v>
      </c>
      <c r="D96" s="87" t="e">
        <f aca="false">Swap!AB96</f>
        <v>#VALUE!</v>
      </c>
      <c r="E96" s="87" t="e">
        <f aca="false">IF($C96="","",1)</f>
        <v>#VALUE!</v>
      </c>
      <c r="F96" s="97" t="e">
        <f aca="false">IF($C96="","",E96*H96)</f>
        <v>#VALUE!</v>
      </c>
      <c r="G96" s="31" t="n">
        <f aca="false">Swap!AG96</f>
        <v>0.0518613144603499</v>
      </c>
      <c r="H96" s="31" t="n">
        <f aca="false">Swap!AH96</f>
        <v>2.37577552407625</v>
      </c>
      <c r="I96" s="92" t="n">
        <f aca="false">INDEX(expery,MATCH(A96,exprymonth,0),2)</f>
        <v>39749</v>
      </c>
      <c r="J96" s="98" t="n">
        <f aca="false">I96-Front!$C$2</f>
        <v>-6177</v>
      </c>
      <c r="K96" s="99" t="n">
        <f aca="false">Swap!E96</f>
        <v>3.748</v>
      </c>
      <c r="L96" s="99" t="e">
        <f aca="false">IF(C96="","",(PriceSwitch=0)*K96+(PriceSwitch=1)*(Front!$H$21+K96)+(PriceSwitch=2)*Front!$H$21)</f>
        <v>#VALUE!</v>
      </c>
      <c r="M96" s="93" t="n">
        <f aca="false">INDEX(vols,MATCH(A96,volsmonth,0),2)</f>
        <v>0.22</v>
      </c>
      <c r="N96" s="3" t="e">
        <f aca="false">IF(Skew_Switch=0,"",IF($C96="","",(Front!$E$20=0)*M96+(Front!$E$20=1)*(Front!$E$21+M96)+(Front!$E$20=2)*Front!$E$21))</f>
        <v>#VALUE!</v>
      </c>
      <c r="O96" s="94" t="e">
        <f aca="false">IF(Skew_Switch=0,"",IF(C96="","",((calcskew(Call1-$L96,$C96,a,b))/100)))</f>
        <v>#VALUE!</v>
      </c>
      <c r="P96" s="94" t="e">
        <f aca="false">IF(Skew_Switch=0,"",IF(C96="","",((calcskew(Put1-$L96,$C96,a,b))/100)))</f>
        <v>#VALUE!</v>
      </c>
      <c r="Q96" s="94" t="e">
        <f aca="false">IF(Skew_Switch=0,"",IF(C96="","",((calcskew(Call2-$L96,$C96,a,b))/100)))</f>
        <v>#VALUE!</v>
      </c>
      <c r="R96" s="94" t="e">
        <f aca="false">IF(Skew_Switch=0,"",IF(C96="","",((calcskew(Put2-$L96,$C96,a,b))/100)))</f>
        <v>#VALUE!</v>
      </c>
      <c r="S96" s="3" t="e">
        <f aca="false">IF($C96="","",(Front!$C$19=0)*$N96+(Front!$C$19=1)*($N96+O96))</f>
        <v>#VALUE!</v>
      </c>
      <c r="T96" s="3" t="e">
        <f aca="false">IF($C96="","",(Front!$C$19=0)*$N96+(Front!$C$19=1)*($N96+P96))</f>
        <v>#VALUE!</v>
      </c>
      <c r="U96" s="3" t="e">
        <f aca="false">IF($C96="","",(Front!$C$19=0)*$N96+(Front!$C$19=1)*($N96+Q96))</f>
        <v>#VALUE!</v>
      </c>
      <c r="V96" s="3" t="e">
        <f aca="false">IF($C96="","",(Front!$C$19=0)*$N96+(Front!$C$19=1)*($N96+R96))</f>
        <v>#VALUE!</v>
      </c>
      <c r="W96" s="90" t="e">
        <f aca="false">IF($C96="","",xEURO($L96,Call1,$G96,$G96,S96,$J96,1,0))</f>
        <v>#VALUE!</v>
      </c>
      <c r="X96" s="90" t="e">
        <f aca="false">IF($C96="","",xEURO($L96,Put1,$G96,$G96,T96,$J96,0,0))</f>
        <v>#VALUE!</v>
      </c>
      <c r="Y96" s="90" t="e">
        <f aca="false">IF($C96="","",xEURO($L96,Call2,$G96,$G96,U96,$J96,1,0))</f>
        <v>#VALUE!</v>
      </c>
      <c r="Z96" s="90" t="e">
        <f aca="false">IF($C96="","",xEURO($L96,Put2,$G96,$G96,V96,$J96,0,0))</f>
        <v>#VALUE!</v>
      </c>
      <c r="AA96" s="90" t="e">
        <f aca="false">IF($C96="","",xEURO($L96,Call1,$G96,$G96,$S96,$J96,1,1))</f>
        <v>#VALUE!</v>
      </c>
      <c r="AB96" s="90" t="e">
        <f aca="false">IF($C96="","",xEURO($L96,Put1,$G96,$G96,$T96,$J96,0,1))</f>
        <v>#VALUE!</v>
      </c>
      <c r="AC96" s="90" t="e">
        <f aca="false">IF($C96="","",xEURO($L96,Call2,$G96,$G96,$U96,$J96,1,1))</f>
        <v>#VALUE!</v>
      </c>
      <c r="AD96" s="90" t="e">
        <f aca="false">IF($C96="","",xEURO($L96,Put2,$G96,$G96,$V96,$J96,0,1))</f>
        <v>#VALUE!</v>
      </c>
      <c r="AE96" s="90" t="e">
        <f aca="false">IF($C96="","",xEURO($L96,Call1,$G96,$G96,$S96,$J96,1,3))</f>
        <v>#VALUE!</v>
      </c>
      <c r="AF96" s="90" t="e">
        <f aca="false">IF($C96="","",xEURO($L96,Put1,$G96,$G96,$T96,$J96,0,3))</f>
        <v>#VALUE!</v>
      </c>
      <c r="AG96" s="90" t="e">
        <f aca="false">IF($C96="","",xEURO($L96,Call2,$G96,$G96,$U96,$J96,1,3))</f>
        <v>#VALUE!</v>
      </c>
      <c r="AH96" s="90" t="e">
        <f aca="false">IF($C96="","",xEURO($L96,Put2,$G96,$G96,$V96,$J96,0,3))</f>
        <v>#VALUE!</v>
      </c>
      <c r="AI96" s="8" t="e">
        <f aca="false">IF(E96=1,G96,0)</f>
        <v>#VALUE!</v>
      </c>
      <c r="AJ96" s="8" t="e">
        <f aca="false">IF(E96=1,H96,0)</f>
        <v>#VALUE!</v>
      </c>
      <c r="AK96" s="8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95" t="n">
        <f aca="false">Swap!A97</f>
        <v>39783</v>
      </c>
      <c r="B97" s="96" t="n">
        <f aca="false">B96+1</f>
        <v>88</v>
      </c>
      <c r="C97" s="95" t="e">
        <f aca="false">IF(AND(A97&gt;=Front!$E$11,A97&lt;=Front!$E$12),A97,"")</f>
        <v>#VALUE!</v>
      </c>
      <c r="D97" s="87" t="e">
        <f aca="false">Swap!AB97</f>
        <v>#VALUE!</v>
      </c>
      <c r="E97" s="87" t="e">
        <f aca="false">IF($C97="","",1)</f>
        <v>#VALUE!</v>
      </c>
      <c r="F97" s="97" t="e">
        <f aca="false">IF($C97="","",E97*H97)</f>
        <v>#VALUE!</v>
      </c>
      <c r="G97" s="31" t="n">
        <f aca="false">Swap!AG97</f>
        <v>0.0519740828120998</v>
      </c>
      <c r="H97" s="31" t="n">
        <f aca="false">Swap!AH97</f>
        <v>2.37018301917123</v>
      </c>
      <c r="I97" s="92" t="n">
        <f aca="false">INDEX(expery,MATCH(A97,exprymonth,0),2)</f>
        <v>39776</v>
      </c>
      <c r="J97" s="98" t="n">
        <f aca="false">I97-Front!$C$2</f>
        <v>-6150</v>
      </c>
      <c r="K97" s="99" t="n">
        <f aca="false">Swap!E97</f>
        <v>3.923</v>
      </c>
      <c r="L97" s="99" t="e">
        <f aca="false">IF(C97="","",(PriceSwitch=0)*K97+(PriceSwitch=1)*(Front!$H$21+K97)+(PriceSwitch=2)*Front!$H$21)</f>
        <v>#VALUE!</v>
      </c>
      <c r="M97" s="93" t="n">
        <f aca="false">INDEX(vols,MATCH(A97,volsmonth,0),2)</f>
        <v>0.2225</v>
      </c>
      <c r="N97" s="3" t="e">
        <f aca="false">IF(Skew_Switch=0,"",IF($C97="","",(Front!$E$20=0)*M97+(Front!$E$20=1)*(Front!$E$21+M97)+(Front!$E$20=2)*Front!$E$21))</f>
        <v>#VALUE!</v>
      </c>
      <c r="O97" s="94" t="e">
        <f aca="false">IF(Skew_Switch=0,"",IF(C97="","",((calcskew(Call1-$L97,$C97,a,b))/100)))</f>
        <v>#VALUE!</v>
      </c>
      <c r="P97" s="94" t="e">
        <f aca="false">IF(Skew_Switch=0,"",IF(C97="","",((calcskew(Put1-$L97,$C97,a,b))/100)))</f>
        <v>#VALUE!</v>
      </c>
      <c r="Q97" s="94" t="e">
        <f aca="false">IF(Skew_Switch=0,"",IF(C97="","",((calcskew(Call2-$L97,$C97,a,b))/100)))</f>
        <v>#VALUE!</v>
      </c>
      <c r="R97" s="94" t="e">
        <f aca="false">IF(Skew_Switch=0,"",IF(C97="","",((calcskew(Put2-$L97,$C97,a,b))/100)))</f>
        <v>#VALUE!</v>
      </c>
      <c r="S97" s="3" t="e">
        <f aca="false">IF($C97="","",(Front!$C$19=0)*$N97+(Front!$C$19=1)*($N97+O97))</f>
        <v>#VALUE!</v>
      </c>
      <c r="T97" s="3" t="e">
        <f aca="false">IF($C97="","",(Front!$C$19=0)*$N97+(Front!$C$19=1)*($N97+P97))</f>
        <v>#VALUE!</v>
      </c>
      <c r="U97" s="3" t="e">
        <f aca="false">IF($C97="","",(Front!$C$19=0)*$N97+(Front!$C$19=1)*($N97+Q97))</f>
        <v>#VALUE!</v>
      </c>
      <c r="V97" s="3" t="e">
        <f aca="false">IF($C97="","",(Front!$C$19=0)*$N97+(Front!$C$19=1)*($N97+R97))</f>
        <v>#VALUE!</v>
      </c>
      <c r="W97" s="90" t="e">
        <f aca="false">IF($C97="","",xEURO($L97,Call1,$G97,$G97,S97,$J97,1,0))</f>
        <v>#VALUE!</v>
      </c>
      <c r="X97" s="90" t="e">
        <f aca="false">IF($C97="","",xEURO($L97,Put1,$G97,$G97,T97,$J97,0,0))</f>
        <v>#VALUE!</v>
      </c>
      <c r="Y97" s="90" t="e">
        <f aca="false">IF($C97="","",xEURO($L97,Call2,$G97,$G97,U97,$J97,1,0))</f>
        <v>#VALUE!</v>
      </c>
      <c r="Z97" s="90" t="e">
        <f aca="false">IF($C97="","",xEURO($L97,Put2,$G97,$G97,V97,$J97,0,0))</f>
        <v>#VALUE!</v>
      </c>
      <c r="AA97" s="90" t="e">
        <f aca="false">IF($C97="","",xEURO($L97,Call1,$G97,$G97,$S97,$J97,1,1))</f>
        <v>#VALUE!</v>
      </c>
      <c r="AB97" s="90" t="e">
        <f aca="false">IF($C97="","",xEURO($L97,Put1,$G97,$G97,$T97,$J97,0,1))</f>
        <v>#VALUE!</v>
      </c>
      <c r="AC97" s="90" t="e">
        <f aca="false">IF($C97="","",xEURO($L97,Call2,$G97,$G97,$U97,$J97,1,1))</f>
        <v>#VALUE!</v>
      </c>
      <c r="AD97" s="90" t="e">
        <f aca="false">IF($C97="","",xEURO($L97,Put2,$G97,$G97,$V97,$J97,0,1))</f>
        <v>#VALUE!</v>
      </c>
      <c r="AE97" s="90" t="e">
        <f aca="false">IF($C97="","",xEURO($L97,Call1,$G97,$G97,$S97,$J97,1,3))</f>
        <v>#VALUE!</v>
      </c>
      <c r="AF97" s="90" t="e">
        <f aca="false">IF($C97="","",xEURO($L97,Put1,$G97,$G97,$T97,$J97,0,3))</f>
        <v>#VALUE!</v>
      </c>
      <c r="AG97" s="90" t="e">
        <f aca="false">IF($C97="","",xEURO($L97,Call2,$G97,$G97,$U97,$J97,1,3))</f>
        <v>#VALUE!</v>
      </c>
      <c r="AH97" s="90" t="e">
        <f aca="false">IF($C97="","",xEURO($L97,Put2,$G97,$G97,$V97,$J97,0,3))</f>
        <v>#VALUE!</v>
      </c>
      <c r="AI97" s="8" t="e">
        <f aca="false">IF(E97=1,G97,0)</f>
        <v>#VALUE!</v>
      </c>
      <c r="AJ97" s="8" t="e">
        <f aca="false">IF(E97=1,H97,0)</f>
        <v>#VALUE!</v>
      </c>
      <c r="AK97" s="8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95" t="n">
        <f aca="false">Swap!A98</f>
        <v>39814</v>
      </c>
      <c r="B98" s="96" t="n">
        <f aca="false">B97+1</f>
        <v>89</v>
      </c>
      <c r="C98" s="95" t="e">
        <f aca="false">IF(AND(A98&gt;=Front!$E$11,A98&lt;=Front!$E$12),A98,"")</f>
        <v>#VALUE!</v>
      </c>
      <c r="D98" s="87" t="e">
        <f aca="false">Swap!AB98</f>
        <v>#VALUE!</v>
      </c>
      <c r="E98" s="87" t="e">
        <f aca="false">IF($C98="","",1)</f>
        <v>#VALUE!</v>
      </c>
      <c r="F98" s="97" t="e">
        <f aca="false">IF($C98="","",E98*H98)</f>
        <v>#VALUE!</v>
      </c>
      <c r="G98" s="31" t="n">
        <f aca="false">Swap!AG98</f>
        <v>0.0520906101133645</v>
      </c>
      <c r="H98" s="31" t="n">
        <f aca="false">Swap!AH98</f>
        <v>2.36437282682757</v>
      </c>
      <c r="I98" s="92" t="n">
        <f aca="false">INDEX(expery,MATCH(A98,exprymonth,0),2)</f>
        <v>39808</v>
      </c>
      <c r="J98" s="98" t="n">
        <f aca="false">I98-Front!$C$2</f>
        <v>-6118</v>
      </c>
      <c r="K98" s="99" t="n">
        <f aca="false">Swap!E98</f>
        <v>3.968</v>
      </c>
      <c r="L98" s="99" t="e">
        <f aca="false">IF(C98="","",(PriceSwitch=0)*K98+(PriceSwitch=1)*(Front!$H$21+K98)+(PriceSwitch=2)*Front!$H$21)</f>
        <v>#VALUE!</v>
      </c>
      <c r="M98" s="93" t="n">
        <f aca="false">INDEX(vols,MATCH(A98,volsmonth,0),2)</f>
        <v>0.225</v>
      </c>
      <c r="N98" s="3" t="e">
        <f aca="false">IF(Skew_Switch=0,"",IF($C98="","",(Front!$E$20=0)*M98+(Front!$E$20=1)*(Front!$E$21+M98)+(Front!$E$20=2)*Front!$E$21))</f>
        <v>#VALUE!</v>
      </c>
      <c r="O98" s="94" t="e">
        <f aca="false">IF(Skew_Switch=0,"",IF(C98="","",((calcskew(Call1-$L98,$C98,a,b))/100)))</f>
        <v>#VALUE!</v>
      </c>
      <c r="P98" s="94" t="e">
        <f aca="false">IF(Skew_Switch=0,"",IF(C98="","",((calcskew(Put1-$L98,$C98,a,b))/100)))</f>
        <v>#VALUE!</v>
      </c>
      <c r="Q98" s="94" t="e">
        <f aca="false">IF(Skew_Switch=0,"",IF(C98="","",((calcskew(Call2-$L98,$C98,a,b))/100)))</f>
        <v>#VALUE!</v>
      </c>
      <c r="R98" s="94" t="e">
        <f aca="false">IF(Skew_Switch=0,"",IF(C98="","",((calcskew(Put2-$L98,$C98,a,b))/100)))</f>
        <v>#VALUE!</v>
      </c>
      <c r="S98" s="3" t="e">
        <f aca="false">IF($C98="","",(Front!$C$19=0)*$N98+(Front!$C$19=1)*($N98+O98))</f>
        <v>#VALUE!</v>
      </c>
      <c r="T98" s="3" t="e">
        <f aca="false">IF($C98="","",(Front!$C$19=0)*$N98+(Front!$C$19=1)*($N98+P98))</f>
        <v>#VALUE!</v>
      </c>
      <c r="U98" s="3" t="e">
        <f aca="false">IF($C98="","",(Front!$C$19=0)*$N98+(Front!$C$19=1)*($N98+Q98))</f>
        <v>#VALUE!</v>
      </c>
      <c r="V98" s="3" t="e">
        <f aca="false">IF($C98="","",(Front!$C$19=0)*$N98+(Front!$C$19=1)*($N98+R98))</f>
        <v>#VALUE!</v>
      </c>
      <c r="W98" s="90" t="e">
        <f aca="false">IF($C98="","",xEURO($L98,Call1,$G98,$G98,S98,$J98,1,0))</f>
        <v>#VALUE!</v>
      </c>
      <c r="X98" s="90" t="e">
        <f aca="false">IF($C98="","",xEURO($L98,Put1,$G98,$G98,T98,$J98,0,0))</f>
        <v>#VALUE!</v>
      </c>
      <c r="Y98" s="90" t="e">
        <f aca="false">IF($C98="","",xEURO($L98,Call2,$G98,$G98,U98,$J98,1,0))</f>
        <v>#VALUE!</v>
      </c>
      <c r="Z98" s="90" t="e">
        <f aca="false">IF($C98="","",xEURO($L98,Put2,$G98,$G98,V98,$J98,0,0))</f>
        <v>#VALUE!</v>
      </c>
      <c r="AA98" s="90" t="e">
        <f aca="false">IF($C98="","",xEURO($L98,Call1,$G98,$G98,$S98,$J98,1,1))</f>
        <v>#VALUE!</v>
      </c>
      <c r="AB98" s="90" t="e">
        <f aca="false">IF($C98="","",xEURO($L98,Put1,$G98,$G98,$T98,$J98,0,1))</f>
        <v>#VALUE!</v>
      </c>
      <c r="AC98" s="90" t="e">
        <f aca="false">IF($C98="","",xEURO($L98,Call2,$G98,$G98,$U98,$J98,1,1))</f>
        <v>#VALUE!</v>
      </c>
      <c r="AD98" s="90" t="e">
        <f aca="false">IF($C98="","",xEURO($L98,Put2,$G98,$G98,$V98,$J98,0,1))</f>
        <v>#VALUE!</v>
      </c>
      <c r="AE98" s="90" t="e">
        <f aca="false">IF($C98="","",xEURO($L98,Call1,$G98,$G98,$S98,$J98,1,3))</f>
        <v>#VALUE!</v>
      </c>
      <c r="AF98" s="90" t="e">
        <f aca="false">IF($C98="","",xEURO($L98,Put1,$G98,$G98,$T98,$J98,0,3))</f>
        <v>#VALUE!</v>
      </c>
      <c r="AG98" s="90" t="e">
        <f aca="false">IF($C98="","",xEURO($L98,Call2,$G98,$G98,$U98,$J98,1,3))</f>
        <v>#VALUE!</v>
      </c>
      <c r="AH98" s="90" t="e">
        <f aca="false">IF($C98="","",xEURO($L98,Put2,$G98,$G98,$V98,$J98,0,3))</f>
        <v>#VALUE!</v>
      </c>
      <c r="AI98" s="8" t="e">
        <f aca="false">IF(E98=1,G98,0)</f>
        <v>#VALUE!</v>
      </c>
      <c r="AJ98" s="8" t="e">
        <f aca="false">IF(E98=1,H98,0)</f>
        <v>#VALUE!</v>
      </c>
      <c r="AK98" s="8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95" t="n">
        <f aca="false">Swap!A99</f>
        <v>39845</v>
      </c>
      <c r="B99" s="96" t="n">
        <f aca="false">B98+1</f>
        <v>90</v>
      </c>
      <c r="C99" s="95" t="e">
        <f aca="false">IF(AND(A99&gt;=Front!$E$11,A99&lt;=Front!$E$12),A99,"")</f>
        <v>#VALUE!</v>
      </c>
      <c r="D99" s="87" t="e">
        <f aca="false">Swap!AB99</f>
        <v>#VALUE!</v>
      </c>
      <c r="E99" s="87" t="e">
        <f aca="false">IF($C99="","",1)</f>
        <v>#VALUE!</v>
      </c>
      <c r="F99" s="97" t="e">
        <f aca="false">IF($C99="","",E99*H99)</f>
        <v>#VALUE!</v>
      </c>
      <c r="G99" s="31" t="n">
        <f aca="false">Swap!AG99</f>
        <v>0.0522071374191584</v>
      </c>
      <c r="H99" s="31" t="n">
        <f aca="false">Swap!AH99</f>
        <v>2.35853115478375</v>
      </c>
      <c r="I99" s="92" t="n">
        <f aca="false">INDEX(expery,MATCH(A99,exprymonth,0),2)</f>
        <v>39840</v>
      </c>
      <c r="J99" s="98" t="n">
        <f aca="false">I99-Front!$C$2</f>
        <v>-6086</v>
      </c>
      <c r="K99" s="99" t="n">
        <f aca="false">Swap!E99</f>
        <v>3.854</v>
      </c>
      <c r="L99" s="99" t="e">
        <f aca="false">IF(C99="","",(PriceSwitch=0)*K99+(PriceSwitch=1)*(Front!$H$21+K99)+(PriceSwitch=2)*Front!$H$21)</f>
        <v>#VALUE!</v>
      </c>
      <c r="M99" s="93" t="n">
        <f aca="false">INDEX(vols,MATCH(A99,volsmonth,0),2)</f>
        <v>0.22</v>
      </c>
      <c r="N99" s="3" t="e">
        <f aca="false">IF(Skew_Switch=0,"",IF($C99="","",(Front!$E$20=0)*M99+(Front!$E$20=1)*(Front!$E$21+M99)+(Front!$E$20=2)*Front!$E$21))</f>
        <v>#VALUE!</v>
      </c>
      <c r="O99" s="94" t="e">
        <f aca="false">IF(Skew_Switch=0,"",IF(C99="","",((calcskew(Call1-$L99,$C99,a,b))/100)))</f>
        <v>#VALUE!</v>
      </c>
      <c r="P99" s="94" t="e">
        <f aca="false">IF(Skew_Switch=0,"",IF(C99="","",((calcskew(Put1-$L99,$C99,a,b))/100)))</f>
        <v>#VALUE!</v>
      </c>
      <c r="Q99" s="94" t="e">
        <f aca="false">IF(Skew_Switch=0,"",IF(C99="","",((calcskew(Call2-$L99,$C99,a,b))/100)))</f>
        <v>#VALUE!</v>
      </c>
      <c r="R99" s="94" t="e">
        <f aca="false">IF(Skew_Switch=0,"",IF(C99="","",((calcskew(Put2-$L99,$C99,a,b))/100)))</f>
        <v>#VALUE!</v>
      </c>
      <c r="S99" s="3" t="e">
        <f aca="false">IF($C99="","",(Front!$C$19=0)*$N99+(Front!$C$19=1)*($N99+O99))</f>
        <v>#VALUE!</v>
      </c>
      <c r="T99" s="3" t="e">
        <f aca="false">IF($C99="","",(Front!$C$19=0)*$N99+(Front!$C$19=1)*($N99+P99))</f>
        <v>#VALUE!</v>
      </c>
      <c r="U99" s="3" t="e">
        <f aca="false">IF($C99="","",(Front!$C$19=0)*$N99+(Front!$C$19=1)*($N99+Q99))</f>
        <v>#VALUE!</v>
      </c>
      <c r="V99" s="3" t="e">
        <f aca="false">IF($C99="","",(Front!$C$19=0)*$N99+(Front!$C$19=1)*($N99+R99))</f>
        <v>#VALUE!</v>
      </c>
      <c r="W99" s="90" t="e">
        <f aca="false">IF($C99="","",xEURO($L99,Call1,$G99,$G99,S99,$J99,1,0))</f>
        <v>#VALUE!</v>
      </c>
      <c r="X99" s="90" t="e">
        <f aca="false">IF($C99="","",xEURO($L99,Put1,$G99,$G99,T99,$J99,0,0))</f>
        <v>#VALUE!</v>
      </c>
      <c r="Y99" s="90" t="e">
        <f aca="false">IF($C99="","",xEURO($L99,Call2,$G99,$G99,U99,$J99,1,0))</f>
        <v>#VALUE!</v>
      </c>
      <c r="Z99" s="90" t="e">
        <f aca="false">IF($C99="","",xEURO($L99,Put2,$G99,$G99,V99,$J99,0,0))</f>
        <v>#VALUE!</v>
      </c>
      <c r="AA99" s="90" t="e">
        <f aca="false">IF($C99="","",xEURO($L99,Call1,$G99,$G99,$S99,$J99,1,1))</f>
        <v>#VALUE!</v>
      </c>
      <c r="AB99" s="90" t="e">
        <f aca="false">IF($C99="","",xEURO($L99,Put1,$G99,$G99,$T99,$J99,0,1))</f>
        <v>#VALUE!</v>
      </c>
      <c r="AC99" s="90" t="e">
        <f aca="false">IF($C99="","",xEURO($L99,Call2,$G99,$G99,$U99,$J99,1,1))</f>
        <v>#VALUE!</v>
      </c>
      <c r="AD99" s="90" t="e">
        <f aca="false">IF($C99="","",xEURO($L99,Put2,$G99,$G99,$V99,$J99,0,1))</f>
        <v>#VALUE!</v>
      </c>
      <c r="AE99" s="90" t="e">
        <f aca="false">IF($C99="","",xEURO($L99,Call1,$G99,$G99,$S99,$J99,1,3))</f>
        <v>#VALUE!</v>
      </c>
      <c r="AF99" s="90" t="e">
        <f aca="false">IF($C99="","",xEURO($L99,Put1,$G99,$G99,$T99,$J99,0,3))</f>
        <v>#VALUE!</v>
      </c>
      <c r="AG99" s="90" t="e">
        <f aca="false">IF($C99="","",xEURO($L99,Call2,$G99,$G99,$U99,$J99,1,3))</f>
        <v>#VALUE!</v>
      </c>
      <c r="AH99" s="90" t="e">
        <f aca="false">IF($C99="","",xEURO($L99,Put2,$G99,$G99,$V99,$J99,0,3))</f>
        <v>#VALUE!</v>
      </c>
      <c r="AI99" s="8" t="e">
        <f aca="false">IF(E99=1,G99,0)</f>
        <v>#VALUE!</v>
      </c>
      <c r="AJ99" s="8" t="e">
        <f aca="false">IF(E99=1,H99,0)</f>
        <v>#VALUE!</v>
      </c>
      <c r="AK99" s="8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95" t="n">
        <f aca="false">Swap!A100</f>
        <v>39873</v>
      </c>
      <c r="B100" s="96" t="n">
        <f aca="false">B99+1</f>
        <v>91</v>
      </c>
      <c r="C100" s="95" t="e">
        <f aca="false">IF(AND(A100&gt;=Front!$E$11,A100&lt;=Front!$E$12),A100,"")</f>
        <v>#VALUE!</v>
      </c>
      <c r="D100" s="87" t="e">
        <f aca="false">Swap!AB100</f>
        <v>#VALUE!</v>
      </c>
      <c r="E100" s="87" t="e">
        <f aca="false">IF($C100="","",1)</f>
        <v>#VALUE!</v>
      </c>
      <c r="F100" s="97" t="e">
        <f aca="false">IF($C100="","",E100*H100)</f>
        <v>#VALUE!</v>
      </c>
      <c r="G100" s="31" t="n">
        <f aca="false">Swap!AG100</f>
        <v>0.0523123878927998</v>
      </c>
      <c r="H100" s="31" t="n">
        <f aca="false">Swap!AH100</f>
        <v>2.35322800443614</v>
      </c>
      <c r="I100" s="92" t="n">
        <f aca="false">INDEX(expery,MATCH(A100,exprymonth,0),2)</f>
        <v>39868</v>
      </c>
      <c r="J100" s="98" t="n">
        <f aca="false">I100-Front!$C$2</f>
        <v>-6058</v>
      </c>
      <c r="K100" s="99" t="n">
        <f aca="false">Swap!E100</f>
        <v>3.722</v>
      </c>
      <c r="L100" s="99" t="e">
        <f aca="false">IF(C100="","",(PriceSwitch=0)*K100+(PriceSwitch=1)*(Front!$H$21+K100)+(PriceSwitch=2)*Front!$H$21)</f>
        <v>#VALUE!</v>
      </c>
      <c r="M100" s="93" t="n">
        <f aca="false">INDEX(vols,MATCH(A100,volsmonth,0),2)</f>
        <v>0.205</v>
      </c>
      <c r="N100" s="3" t="e">
        <f aca="false">IF(Skew_Switch=0,"",IF($C100="","",(Front!$E$20=0)*M100+(Front!$E$20=1)*(Front!$E$21+M100)+(Front!$E$20=2)*Front!$E$21))</f>
        <v>#VALUE!</v>
      </c>
      <c r="O100" s="94" t="e">
        <f aca="false">IF(Skew_Switch=0,"",IF(C100="","",((calcskew(Call1-$L100,$C100,a,b))/100)))</f>
        <v>#VALUE!</v>
      </c>
      <c r="P100" s="94" t="e">
        <f aca="false">IF(Skew_Switch=0,"",IF(C100="","",((calcskew(Put1-$L100,$C100,a,b))/100)))</f>
        <v>#VALUE!</v>
      </c>
      <c r="Q100" s="94" t="e">
        <f aca="false">IF(Skew_Switch=0,"",IF(C100="","",((calcskew(Call2-$L100,$C100,a,b))/100)))</f>
        <v>#VALUE!</v>
      </c>
      <c r="R100" s="94" t="e">
        <f aca="false">IF(Skew_Switch=0,"",IF(C100="","",((calcskew(Put2-$L100,$C100,a,b))/100)))</f>
        <v>#VALUE!</v>
      </c>
      <c r="S100" s="3" t="e">
        <f aca="false">IF($C100="","",(Front!$C$19=0)*$N100+(Front!$C$19=1)*($N100+O100))</f>
        <v>#VALUE!</v>
      </c>
      <c r="T100" s="3" t="e">
        <f aca="false">IF($C100="","",(Front!$C$19=0)*$N100+(Front!$C$19=1)*($N100+P100))</f>
        <v>#VALUE!</v>
      </c>
      <c r="U100" s="3" t="e">
        <f aca="false">IF($C100="","",(Front!$C$19=0)*$N100+(Front!$C$19=1)*($N100+Q100))</f>
        <v>#VALUE!</v>
      </c>
      <c r="V100" s="3" t="e">
        <f aca="false">IF($C100="","",(Front!$C$19=0)*$N100+(Front!$C$19=1)*($N100+R100))</f>
        <v>#VALUE!</v>
      </c>
      <c r="W100" s="90" t="e">
        <f aca="false">IF($C100="","",xEURO($L100,Call1,$G100,$G100,S100,$J100,1,0))</f>
        <v>#VALUE!</v>
      </c>
      <c r="X100" s="90" t="e">
        <f aca="false">IF($C100="","",xEURO($L100,Put1,$G100,$G100,T100,$J100,0,0))</f>
        <v>#VALUE!</v>
      </c>
      <c r="Y100" s="90" t="e">
        <f aca="false">IF($C100="","",xEURO($L100,Call2,$G100,$G100,U100,$J100,1,0))</f>
        <v>#VALUE!</v>
      </c>
      <c r="Z100" s="90" t="e">
        <f aca="false">IF($C100="","",xEURO($L100,Put2,$G100,$G100,V100,$J100,0,0))</f>
        <v>#VALUE!</v>
      </c>
      <c r="AA100" s="90" t="e">
        <f aca="false">IF($C100="","",xEURO($L100,Call1,$G100,$G100,$S100,$J100,1,1))</f>
        <v>#VALUE!</v>
      </c>
      <c r="AB100" s="90" t="e">
        <f aca="false">IF($C100="","",xEURO($L100,Put1,$G100,$G100,$T100,$J100,0,1))</f>
        <v>#VALUE!</v>
      </c>
      <c r="AC100" s="90" t="e">
        <f aca="false">IF($C100="","",xEURO($L100,Call2,$G100,$G100,$U100,$J100,1,1))</f>
        <v>#VALUE!</v>
      </c>
      <c r="AD100" s="90" t="e">
        <f aca="false">IF($C100="","",xEURO($L100,Put2,$G100,$G100,$V100,$J100,0,1))</f>
        <v>#VALUE!</v>
      </c>
      <c r="AE100" s="90" t="e">
        <f aca="false">IF($C100="","",xEURO($L100,Call1,$G100,$G100,$S100,$J100,1,3))</f>
        <v>#VALUE!</v>
      </c>
      <c r="AF100" s="90" t="e">
        <f aca="false">IF($C100="","",xEURO($L100,Put1,$G100,$G100,$T100,$J100,0,3))</f>
        <v>#VALUE!</v>
      </c>
      <c r="AG100" s="90" t="e">
        <f aca="false">IF($C100="","",xEURO($L100,Call2,$G100,$G100,$U100,$J100,1,3))</f>
        <v>#VALUE!</v>
      </c>
      <c r="AH100" s="90" t="e">
        <f aca="false">IF($C100="","",xEURO($L100,Put2,$G100,$G100,$V100,$J100,0,3))</f>
        <v>#VALUE!</v>
      </c>
      <c r="AI100" s="8" t="e">
        <f aca="false">IF(E100=1,G100,0)</f>
        <v>#VALUE!</v>
      </c>
      <c r="AJ100" s="8" t="e">
        <f aca="false">IF(E100=1,H100,0)</f>
        <v>#VALUE!</v>
      </c>
      <c r="AK100" s="8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95" t="n">
        <f aca="false">Swap!A101</f>
        <v>39904</v>
      </c>
      <c r="B101" s="96" t="n">
        <f aca="false">B100+1</f>
        <v>92</v>
      </c>
      <c r="C101" s="95" t="e">
        <f aca="false">IF(AND(A101&gt;=Front!$E$11,A101&lt;=Front!$E$12),A101,"")</f>
        <v>#VALUE!</v>
      </c>
      <c r="D101" s="87" t="e">
        <f aca="false">Swap!AB101</f>
        <v>#VALUE!</v>
      </c>
      <c r="E101" s="87" t="e">
        <f aca="false">IF($C101="","",1)</f>
        <v>#VALUE!</v>
      </c>
      <c r="F101" s="97" t="e">
        <f aca="false">IF($C101="","",E101*H101)</f>
        <v>#VALUE!</v>
      </c>
      <c r="G101" s="31" t="n">
        <f aca="false">Swap!AG101</f>
        <v>0.0524289152072126</v>
      </c>
      <c r="H101" s="31" t="n">
        <f aca="false">Swap!AH101</f>
        <v>2.34732727084461</v>
      </c>
      <c r="I101" s="92" t="n">
        <f aca="false">INDEX(expery,MATCH(A101,exprymonth,0),2)</f>
        <v>39898</v>
      </c>
      <c r="J101" s="98" t="n">
        <f aca="false">I101-Front!$C$2</f>
        <v>-6028</v>
      </c>
      <c r="K101" s="99" t="n">
        <f aca="false">Swap!E101</f>
        <v>3.552</v>
      </c>
      <c r="L101" s="99" t="e">
        <f aca="false">IF(C101="","",(PriceSwitch=0)*K101+(PriceSwitch=1)*(Front!$H$21+K101)+(PriceSwitch=2)*Front!$H$21)</f>
        <v>#VALUE!</v>
      </c>
      <c r="M101" s="93" t="n">
        <f aca="false">INDEX(vols,MATCH(A101,volsmonth,0),2)</f>
        <v>0.195</v>
      </c>
      <c r="N101" s="3" t="e">
        <f aca="false">IF(Skew_Switch=0,"",IF($C101="","",(Front!$E$20=0)*M101+(Front!$E$20=1)*(Front!$E$21+M101)+(Front!$E$20=2)*Front!$E$21))</f>
        <v>#VALUE!</v>
      </c>
      <c r="O101" s="94" t="e">
        <f aca="false">IF(Skew_Switch=0,"",IF(C101="","",((calcskew(Call1-$L101,$C101,a,b))/100)))</f>
        <v>#VALUE!</v>
      </c>
      <c r="P101" s="94" t="e">
        <f aca="false">IF(Skew_Switch=0,"",IF(C101="","",((calcskew(Put1-$L101,$C101,a,b))/100)))</f>
        <v>#VALUE!</v>
      </c>
      <c r="Q101" s="94" t="e">
        <f aca="false">IF(Skew_Switch=0,"",IF(C101="","",((calcskew(Call2-$L101,$C101,a,b))/100)))</f>
        <v>#VALUE!</v>
      </c>
      <c r="R101" s="94" t="e">
        <f aca="false">IF(Skew_Switch=0,"",IF(C101="","",((calcskew(Put2-$L101,$C101,a,b))/100)))</f>
        <v>#VALUE!</v>
      </c>
      <c r="S101" s="3" t="e">
        <f aca="false">IF($C101="","",(Front!$C$19=0)*$N101+(Front!$C$19=1)*($N101+O101))</f>
        <v>#VALUE!</v>
      </c>
      <c r="T101" s="3" t="e">
        <f aca="false">IF($C101="","",(Front!$C$19=0)*$N101+(Front!$C$19=1)*($N101+P101))</f>
        <v>#VALUE!</v>
      </c>
      <c r="U101" s="3" t="e">
        <f aca="false">IF($C101="","",(Front!$C$19=0)*$N101+(Front!$C$19=1)*($N101+Q101))</f>
        <v>#VALUE!</v>
      </c>
      <c r="V101" s="3" t="e">
        <f aca="false">IF($C101="","",(Front!$C$19=0)*$N101+(Front!$C$19=1)*($N101+R101))</f>
        <v>#VALUE!</v>
      </c>
      <c r="W101" s="90" t="e">
        <f aca="false">IF($C101="","",xEURO($L101,Call1,$G101,$G101,S101,$J101,1,0))</f>
        <v>#VALUE!</v>
      </c>
      <c r="X101" s="90" t="e">
        <f aca="false">IF($C101="","",xEURO($L101,Put1,$G101,$G101,T101,$J101,0,0))</f>
        <v>#VALUE!</v>
      </c>
      <c r="Y101" s="90" t="e">
        <f aca="false">IF($C101="","",xEURO($L101,Call2,$G101,$G101,U101,$J101,1,0))</f>
        <v>#VALUE!</v>
      </c>
      <c r="Z101" s="90" t="e">
        <f aca="false">IF($C101="","",xEURO($L101,Put2,$G101,$G101,V101,$J101,0,0))</f>
        <v>#VALUE!</v>
      </c>
      <c r="AA101" s="90" t="e">
        <f aca="false">IF($C101="","",xEURO($L101,Call1,$G101,$G101,$S101,$J101,1,1))</f>
        <v>#VALUE!</v>
      </c>
      <c r="AB101" s="90" t="e">
        <f aca="false">IF($C101="","",xEURO($L101,Put1,$G101,$G101,$T101,$J101,0,1))</f>
        <v>#VALUE!</v>
      </c>
      <c r="AC101" s="90" t="e">
        <f aca="false">IF($C101="","",xEURO($L101,Call2,$G101,$G101,$U101,$J101,1,1))</f>
        <v>#VALUE!</v>
      </c>
      <c r="AD101" s="90" t="e">
        <f aca="false">IF($C101="","",xEURO($L101,Put2,$G101,$G101,$V101,$J101,0,1))</f>
        <v>#VALUE!</v>
      </c>
      <c r="AE101" s="90" t="e">
        <f aca="false">IF($C101="","",xEURO($L101,Call1,$G101,$G101,$S101,$J101,1,3))</f>
        <v>#VALUE!</v>
      </c>
      <c r="AF101" s="90" t="e">
        <f aca="false">IF($C101="","",xEURO($L101,Put1,$G101,$G101,$T101,$J101,0,3))</f>
        <v>#VALUE!</v>
      </c>
      <c r="AG101" s="90" t="e">
        <f aca="false">IF($C101="","",xEURO($L101,Call2,$G101,$G101,$U101,$J101,1,3))</f>
        <v>#VALUE!</v>
      </c>
      <c r="AH101" s="90" t="e">
        <f aca="false">IF($C101="","",xEURO($L101,Put2,$G101,$G101,$V101,$J101,0,3))</f>
        <v>#VALUE!</v>
      </c>
      <c r="AI101" s="8" t="e">
        <f aca="false">IF(E101=1,G101,0)</f>
        <v>#VALUE!</v>
      </c>
      <c r="AJ101" s="8" t="e">
        <f aca="false">IF(E101=1,H101,0)</f>
        <v>#VALUE!</v>
      </c>
      <c r="AK101" s="8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95" t="n">
        <f aca="false">Swap!A102</f>
        <v>39934</v>
      </c>
      <c r="B102" s="96" t="n">
        <f aca="false">B101+1</f>
        <v>93</v>
      </c>
      <c r="C102" s="95" t="e">
        <f aca="false">IF(AND(A102&gt;=Front!$E$11,A102&lt;=Front!$E$12),A102,"")</f>
        <v>#VALUE!</v>
      </c>
      <c r="D102" s="87" t="e">
        <f aca="false">Swap!AB102</f>
        <v>#VALUE!</v>
      </c>
      <c r="E102" s="87" t="e">
        <f aca="false">IF($C102="","",1)</f>
        <v>#VALUE!</v>
      </c>
      <c r="F102" s="97" t="e">
        <f aca="false">IF($C102="","",E102*H102)</f>
        <v>#VALUE!</v>
      </c>
      <c r="G102" s="31" t="n">
        <f aca="false">Swap!AG102</f>
        <v>0.0525416835803108</v>
      </c>
      <c r="H102" s="31" t="n">
        <f aca="false">Swap!AH102</f>
        <v>2.34158776115452</v>
      </c>
      <c r="I102" s="92" t="n">
        <f aca="false">INDEX(expery,MATCH(A102,exprymonth,0),2)</f>
        <v>39930</v>
      </c>
      <c r="J102" s="98" t="n">
        <f aca="false">I102-Front!$C$2</f>
        <v>-5996</v>
      </c>
      <c r="K102" s="99" t="n">
        <f aca="false">Swap!E102</f>
        <v>3.552</v>
      </c>
      <c r="L102" s="99" t="e">
        <f aca="false">IF(C102="","",(PriceSwitch=0)*K102+(PriceSwitch=1)*(Front!$H$21+K102)+(PriceSwitch=2)*Front!$H$21)</f>
        <v>#VALUE!</v>
      </c>
      <c r="M102" s="93" t="n">
        <f aca="false">INDEX(vols,MATCH(A102,volsmonth,0),2)</f>
        <v>0.195</v>
      </c>
      <c r="N102" s="3" t="e">
        <f aca="false">IF(Skew_Switch=0,"",IF($C102="","",(Front!$E$20=0)*M102+(Front!$E$20=1)*(Front!$E$21+M102)+(Front!$E$20=2)*Front!$E$21))</f>
        <v>#VALUE!</v>
      </c>
      <c r="O102" s="94" t="e">
        <f aca="false">IF(Skew_Switch=0,"",IF(C102="","",((calcskew(Call1-$L102,$C102,a,b))/100)))</f>
        <v>#VALUE!</v>
      </c>
      <c r="P102" s="94" t="e">
        <f aca="false">IF(Skew_Switch=0,"",IF(C102="","",((calcskew(Put1-$L102,$C102,a,b))/100)))</f>
        <v>#VALUE!</v>
      </c>
      <c r="Q102" s="94" t="e">
        <f aca="false">IF(Skew_Switch=0,"",IF(C102="","",((calcskew(Call2-$L102,$C102,a,b))/100)))</f>
        <v>#VALUE!</v>
      </c>
      <c r="R102" s="94" t="e">
        <f aca="false">IF(Skew_Switch=0,"",IF(C102="","",((calcskew(Put2-$L102,$C102,a,b))/100)))</f>
        <v>#VALUE!</v>
      </c>
      <c r="S102" s="3" t="e">
        <f aca="false">IF($C102="","",(Front!$C$19=0)*$N102+(Front!$C$19=1)*($N102+O102))</f>
        <v>#VALUE!</v>
      </c>
      <c r="T102" s="3" t="e">
        <f aca="false">IF($C102="","",(Front!$C$19=0)*$N102+(Front!$C$19=1)*($N102+P102))</f>
        <v>#VALUE!</v>
      </c>
      <c r="U102" s="3" t="e">
        <f aca="false">IF($C102="","",(Front!$C$19=0)*$N102+(Front!$C$19=1)*($N102+Q102))</f>
        <v>#VALUE!</v>
      </c>
      <c r="V102" s="3" t="e">
        <f aca="false">IF($C102="","",(Front!$C$19=0)*$N102+(Front!$C$19=1)*($N102+R102))</f>
        <v>#VALUE!</v>
      </c>
      <c r="W102" s="90" t="e">
        <f aca="false">IF($C102="","",xEURO($L102,Call1,$G102,$G102,S102,$J102,1,0))</f>
        <v>#VALUE!</v>
      </c>
      <c r="X102" s="90" t="e">
        <f aca="false">IF($C102="","",xEURO($L102,Put1,$G102,$G102,T102,$J102,0,0))</f>
        <v>#VALUE!</v>
      </c>
      <c r="Y102" s="90" t="e">
        <f aca="false">IF($C102="","",xEURO($L102,Call2,$G102,$G102,U102,$J102,1,0))</f>
        <v>#VALUE!</v>
      </c>
      <c r="Z102" s="90" t="e">
        <f aca="false">IF($C102="","",xEURO($L102,Put2,$G102,$G102,V102,$J102,0,0))</f>
        <v>#VALUE!</v>
      </c>
      <c r="AA102" s="90" t="e">
        <f aca="false">IF($C102="","",xEURO($L102,Call1,$G102,$G102,$S102,$J102,1,1))</f>
        <v>#VALUE!</v>
      </c>
      <c r="AB102" s="90" t="e">
        <f aca="false">IF($C102="","",xEURO($L102,Put1,$G102,$G102,$T102,$J102,0,1))</f>
        <v>#VALUE!</v>
      </c>
      <c r="AC102" s="90" t="e">
        <f aca="false">IF($C102="","",xEURO($L102,Call2,$G102,$G102,$U102,$J102,1,1))</f>
        <v>#VALUE!</v>
      </c>
      <c r="AD102" s="90" t="e">
        <f aca="false">IF($C102="","",xEURO($L102,Put2,$G102,$G102,$V102,$J102,0,1))</f>
        <v>#VALUE!</v>
      </c>
      <c r="AE102" s="90" t="e">
        <f aca="false">IF($C102="","",xEURO($L102,Call1,$G102,$G102,$S102,$J102,1,3))</f>
        <v>#VALUE!</v>
      </c>
      <c r="AF102" s="90" t="e">
        <f aca="false">IF($C102="","",xEURO($L102,Put1,$G102,$G102,$T102,$J102,0,3))</f>
        <v>#VALUE!</v>
      </c>
      <c r="AG102" s="90" t="e">
        <f aca="false">IF($C102="","",xEURO($L102,Call2,$G102,$G102,$U102,$J102,1,3))</f>
        <v>#VALUE!</v>
      </c>
      <c r="AH102" s="90" t="e">
        <f aca="false">IF($C102="","",xEURO($L102,Put2,$G102,$G102,$V102,$J102,0,3))</f>
        <v>#VALUE!</v>
      </c>
      <c r="AI102" s="8" t="e">
        <f aca="false">IF(E102=1,G102,0)</f>
        <v>#VALUE!</v>
      </c>
      <c r="AJ102" s="8" t="e">
        <f aca="false">IF(E102=1,H102,0)</f>
        <v>#VALUE!</v>
      </c>
      <c r="AK102" s="8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95" t="n">
        <f aca="false">Swap!A103</f>
        <v>39965</v>
      </c>
      <c r="B103" s="96" t="n">
        <f aca="false">B102+1</f>
        <v>94</v>
      </c>
      <c r="C103" s="95" t="e">
        <f aca="false">IF(AND(A103&gt;=Front!$E$11,A103&lt;=Front!$E$12),A103,"")</f>
        <v>#VALUE!</v>
      </c>
      <c r="D103" s="87" t="e">
        <f aca="false">Swap!AB103</f>
        <v>#VALUE!</v>
      </c>
      <c r="E103" s="87" t="e">
        <f aca="false">IF($C103="","",1)</f>
        <v>#VALUE!</v>
      </c>
      <c r="F103" s="97" t="e">
        <f aca="false">IF($C103="","",E103*H103)</f>
        <v>#VALUE!</v>
      </c>
      <c r="G103" s="31" t="n">
        <f aca="false">Swap!AG103</f>
        <v>0.0526582109036342</v>
      </c>
      <c r="H103" s="31" t="n">
        <f aca="false">Swap!AH103</f>
        <v>2.33562714382713</v>
      </c>
      <c r="I103" s="92" t="n">
        <f aca="false">INDEX(expery,MATCH(A103,exprymonth,0),2)</f>
        <v>39959</v>
      </c>
      <c r="J103" s="98" t="n">
        <f aca="false">I103-Front!$C$2</f>
        <v>-5967</v>
      </c>
      <c r="K103" s="99" t="n">
        <f aca="false">Swap!E103</f>
        <v>3.584</v>
      </c>
      <c r="L103" s="99" t="e">
        <f aca="false">IF(C103="","",(PriceSwitch=0)*K103+(PriceSwitch=1)*(Front!$H$21+K103)+(PriceSwitch=2)*Front!$H$21)</f>
        <v>#VALUE!</v>
      </c>
      <c r="M103" s="93" t="n">
        <f aca="false">INDEX(vols,MATCH(A103,volsmonth,0),2)</f>
        <v>0.195</v>
      </c>
      <c r="N103" s="3" t="e">
        <f aca="false">IF(Skew_Switch=0,"",IF($C103="","",(Front!$E$20=0)*M103+(Front!$E$20=1)*(Front!$E$21+M103)+(Front!$E$20=2)*Front!$E$21))</f>
        <v>#VALUE!</v>
      </c>
      <c r="O103" s="94" t="e">
        <f aca="false">IF(Skew_Switch=0,"",IF(C103="","",((calcskew(Call1-$L103,$C103,a,b))/100)))</f>
        <v>#VALUE!</v>
      </c>
      <c r="P103" s="94" t="e">
        <f aca="false">IF(Skew_Switch=0,"",IF(C103="","",((calcskew(Put1-$L103,$C103,a,b))/100)))</f>
        <v>#VALUE!</v>
      </c>
      <c r="Q103" s="94" t="e">
        <f aca="false">IF(Skew_Switch=0,"",IF(C103="","",((calcskew(Call2-$L103,$C103,a,b))/100)))</f>
        <v>#VALUE!</v>
      </c>
      <c r="R103" s="94" t="e">
        <f aca="false">IF(Skew_Switch=0,"",IF(C103="","",((calcskew(Put2-$L103,$C103,a,b))/100)))</f>
        <v>#VALUE!</v>
      </c>
      <c r="S103" s="3" t="e">
        <f aca="false">IF($C103="","",(Front!$C$19=0)*$N103+(Front!$C$19=1)*($N103+O103))</f>
        <v>#VALUE!</v>
      </c>
      <c r="T103" s="3" t="e">
        <f aca="false">IF($C103="","",(Front!$C$19=0)*$N103+(Front!$C$19=1)*($N103+P103))</f>
        <v>#VALUE!</v>
      </c>
      <c r="U103" s="3" t="e">
        <f aca="false">IF($C103="","",(Front!$C$19=0)*$N103+(Front!$C$19=1)*($N103+Q103))</f>
        <v>#VALUE!</v>
      </c>
      <c r="V103" s="3" t="e">
        <f aca="false">IF($C103="","",(Front!$C$19=0)*$N103+(Front!$C$19=1)*($N103+R103))</f>
        <v>#VALUE!</v>
      </c>
      <c r="W103" s="90" t="e">
        <f aca="false">IF($C103="","",xEURO($L103,Call1,$G103,$G103,S103,$J103,1,0))</f>
        <v>#VALUE!</v>
      </c>
      <c r="X103" s="90" t="e">
        <f aca="false">IF($C103="","",xEURO($L103,Put1,$G103,$G103,T103,$J103,0,0))</f>
        <v>#VALUE!</v>
      </c>
      <c r="Y103" s="90" t="e">
        <f aca="false">IF($C103="","",xEURO($L103,Call2,$G103,$G103,U103,$J103,1,0))</f>
        <v>#VALUE!</v>
      </c>
      <c r="Z103" s="90" t="e">
        <f aca="false">IF($C103="","",xEURO($L103,Put2,$G103,$G103,V103,$J103,0,0))</f>
        <v>#VALUE!</v>
      </c>
      <c r="AA103" s="90" t="e">
        <f aca="false">IF($C103="","",xEURO($L103,Call1,$G103,$G103,$S103,$J103,1,1))</f>
        <v>#VALUE!</v>
      </c>
      <c r="AB103" s="90" t="e">
        <f aca="false">IF($C103="","",xEURO($L103,Put1,$G103,$G103,$T103,$J103,0,1))</f>
        <v>#VALUE!</v>
      </c>
      <c r="AC103" s="90" t="e">
        <f aca="false">IF($C103="","",xEURO($L103,Call2,$G103,$G103,$U103,$J103,1,1))</f>
        <v>#VALUE!</v>
      </c>
      <c r="AD103" s="90" t="e">
        <f aca="false">IF($C103="","",xEURO($L103,Put2,$G103,$G103,$V103,$J103,0,1))</f>
        <v>#VALUE!</v>
      </c>
      <c r="AE103" s="90" t="e">
        <f aca="false">IF($C103="","",xEURO($L103,Call1,$G103,$G103,$S103,$J103,1,3))</f>
        <v>#VALUE!</v>
      </c>
      <c r="AF103" s="90" t="e">
        <f aca="false">IF($C103="","",xEURO($L103,Put1,$G103,$G103,$T103,$J103,0,3))</f>
        <v>#VALUE!</v>
      </c>
      <c r="AG103" s="90" t="e">
        <f aca="false">IF($C103="","",xEURO($L103,Call2,$G103,$G103,$U103,$J103,1,3))</f>
        <v>#VALUE!</v>
      </c>
      <c r="AH103" s="90" t="e">
        <f aca="false">IF($C103="","",xEURO($L103,Put2,$G103,$G103,$V103,$J103,0,3))</f>
        <v>#VALUE!</v>
      </c>
      <c r="AI103" s="8" t="e">
        <f aca="false">IF(E103=1,G103,0)</f>
        <v>#VALUE!</v>
      </c>
      <c r="AJ103" s="8" t="e">
        <f aca="false">IF(E103=1,H103,0)</f>
        <v>#VALUE!</v>
      </c>
      <c r="AK103" s="8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95" t="n">
        <f aca="false">Swap!A104</f>
        <v>39995</v>
      </c>
      <c r="B104" s="96" t="n">
        <f aca="false">B103+1</f>
        <v>95</v>
      </c>
      <c r="C104" s="95" t="e">
        <f aca="false">IF(AND(A104&gt;=Front!$E$11,A104&lt;=Front!$E$12),A104,"")</f>
        <v>#VALUE!</v>
      </c>
      <c r="D104" s="87" t="e">
        <f aca="false">Swap!AB104</f>
        <v>#VALUE!</v>
      </c>
      <c r="E104" s="87" t="e">
        <f aca="false">IF($C104="","",1)</f>
        <v>#VALUE!</v>
      </c>
      <c r="F104" s="97" t="e">
        <f aca="false">IF($C104="","",E104*H104)</f>
        <v>#VALUE!</v>
      </c>
      <c r="G104" s="31" t="n">
        <f aca="false">Swap!AG104</f>
        <v>0.0527709792853544</v>
      </c>
      <c r="H104" s="31" t="n">
        <f aca="false">Swap!AH104</f>
        <v>2.3298302651839</v>
      </c>
      <c r="I104" s="92" t="n">
        <f aca="false">INDEX(expery,MATCH(A104,exprymonth,0),2)</f>
        <v>39989</v>
      </c>
      <c r="J104" s="98" t="n">
        <f aca="false">I104-Front!$C$2</f>
        <v>-5937</v>
      </c>
      <c r="K104" s="99" t="n">
        <f aca="false">Swap!E104</f>
        <v>3.634</v>
      </c>
      <c r="L104" s="99" t="e">
        <f aca="false">IF(C104="","",(PriceSwitch=0)*K104+(PriceSwitch=1)*(Front!$H$21+K104)+(PriceSwitch=2)*Front!$H$21)</f>
        <v>#VALUE!</v>
      </c>
      <c r="M104" s="93" t="n">
        <f aca="false">INDEX(vols,MATCH(A104,volsmonth,0),2)</f>
        <v>0.195</v>
      </c>
      <c r="N104" s="3" t="e">
        <f aca="false">IF(Skew_Switch=0,"",IF($C104="","",(Front!$E$20=0)*M104+(Front!$E$20=1)*(Front!$E$21+M104)+(Front!$E$20=2)*Front!$E$21))</f>
        <v>#VALUE!</v>
      </c>
      <c r="O104" s="94" t="e">
        <f aca="false">IF(Skew_Switch=0,"",IF(C104="","",((calcskew(Call1-$L104,$C104,a,b))/100)))</f>
        <v>#VALUE!</v>
      </c>
      <c r="P104" s="94" t="e">
        <f aca="false">IF(Skew_Switch=0,"",IF(C104="","",((calcskew(Put1-$L104,$C104,a,b))/100)))</f>
        <v>#VALUE!</v>
      </c>
      <c r="Q104" s="94" t="e">
        <f aca="false">IF(Skew_Switch=0,"",IF(C104="","",((calcskew(Call2-$L104,$C104,a,b))/100)))</f>
        <v>#VALUE!</v>
      </c>
      <c r="R104" s="94" t="e">
        <f aca="false">IF(Skew_Switch=0,"",IF(C104="","",((calcskew(Put2-$L104,$C104,a,b))/100)))</f>
        <v>#VALUE!</v>
      </c>
      <c r="S104" s="3" t="e">
        <f aca="false">IF($C104="","",(Front!$C$19=0)*$N104+(Front!$C$19=1)*($N104+O104))</f>
        <v>#VALUE!</v>
      </c>
      <c r="T104" s="3" t="e">
        <f aca="false">IF($C104="","",(Front!$C$19=0)*$N104+(Front!$C$19=1)*($N104+P104))</f>
        <v>#VALUE!</v>
      </c>
      <c r="U104" s="3" t="e">
        <f aca="false">IF($C104="","",(Front!$C$19=0)*$N104+(Front!$C$19=1)*($N104+Q104))</f>
        <v>#VALUE!</v>
      </c>
      <c r="V104" s="3" t="e">
        <f aca="false">IF($C104="","",(Front!$C$19=0)*$N104+(Front!$C$19=1)*($N104+R104))</f>
        <v>#VALUE!</v>
      </c>
      <c r="W104" s="90" t="e">
        <f aca="false">IF($C104="","",xEURO($L104,Call1,$G104,$G104,S104,$J104,1,0))</f>
        <v>#VALUE!</v>
      </c>
      <c r="X104" s="90" t="e">
        <f aca="false">IF($C104="","",xEURO($L104,Put1,$G104,$G104,T104,$J104,0,0))</f>
        <v>#VALUE!</v>
      </c>
      <c r="Y104" s="90" t="e">
        <f aca="false">IF($C104="","",xEURO($L104,Call2,$G104,$G104,U104,$J104,1,0))</f>
        <v>#VALUE!</v>
      </c>
      <c r="Z104" s="90" t="e">
        <f aca="false">IF($C104="","",xEURO($L104,Put2,$G104,$G104,V104,$J104,0,0))</f>
        <v>#VALUE!</v>
      </c>
      <c r="AA104" s="90" t="e">
        <f aca="false">IF($C104="","",xEURO($L104,Call1,$G104,$G104,$S104,$J104,1,1))</f>
        <v>#VALUE!</v>
      </c>
      <c r="AB104" s="90" t="e">
        <f aca="false">IF($C104="","",xEURO($L104,Put1,$G104,$G104,$T104,$J104,0,1))</f>
        <v>#VALUE!</v>
      </c>
      <c r="AC104" s="90" t="e">
        <f aca="false">IF($C104="","",xEURO($L104,Call2,$G104,$G104,$U104,$J104,1,1))</f>
        <v>#VALUE!</v>
      </c>
      <c r="AD104" s="90" t="e">
        <f aca="false">IF($C104="","",xEURO($L104,Put2,$G104,$G104,$V104,$J104,0,1))</f>
        <v>#VALUE!</v>
      </c>
      <c r="AE104" s="90" t="e">
        <f aca="false">IF($C104="","",xEURO($L104,Call1,$G104,$G104,$S104,$J104,1,3))</f>
        <v>#VALUE!</v>
      </c>
      <c r="AF104" s="90" t="e">
        <f aca="false">IF($C104="","",xEURO($L104,Put1,$G104,$G104,$T104,$J104,0,3))</f>
        <v>#VALUE!</v>
      </c>
      <c r="AG104" s="90" t="e">
        <f aca="false">IF($C104="","",xEURO($L104,Call2,$G104,$G104,$U104,$J104,1,3))</f>
        <v>#VALUE!</v>
      </c>
      <c r="AH104" s="90" t="e">
        <f aca="false">IF($C104="","",xEURO($L104,Put2,$G104,$G104,$V104,$J104,0,3))</f>
        <v>#VALUE!</v>
      </c>
      <c r="AI104" s="8" t="e">
        <f aca="false">IF(E104=1,G104,0)</f>
        <v>#VALUE!</v>
      </c>
      <c r="AJ104" s="8" t="e">
        <f aca="false">IF(E104=1,H104,0)</f>
        <v>#VALUE!</v>
      </c>
      <c r="AK104" s="8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</row>
    <row r="105" customFormat="false" ht="12.75" hidden="false" customHeight="false" outlineLevel="0" collapsed="false">
      <c r="A105" s="95" t="n">
        <f aca="false">Swap!A105</f>
        <v>40026</v>
      </c>
      <c r="B105" s="96" t="n">
        <f aca="false">B104+1</f>
        <v>96</v>
      </c>
      <c r="C105" s="95" t="e">
        <f aca="false">IF(AND(A105&gt;=Front!$E$11,A105&lt;=Front!$E$12),A105,"")</f>
        <v>#VALUE!</v>
      </c>
      <c r="D105" s="87" t="e">
        <f aca="false">Swap!AB105</f>
        <v>#VALUE!</v>
      </c>
      <c r="E105" s="87" t="e">
        <f aca="false">IF($C105="","",1)</f>
        <v>#VALUE!</v>
      </c>
      <c r="F105" s="97" t="e">
        <f aca="false">IF($C105="","",E105*H105)</f>
        <v>#VALUE!</v>
      </c>
      <c r="G105" s="31" t="n">
        <f aca="false">Swap!AG105</f>
        <v>0.0528875066175867</v>
      </c>
      <c r="H105" s="31" t="n">
        <f aca="false">Swap!AH105</f>
        <v>2.3238109708645</v>
      </c>
      <c r="I105" s="92" t="n">
        <f aca="false">INDEX(expery,MATCH(A105,exprymonth,0),2)</f>
        <v>40022</v>
      </c>
      <c r="J105" s="98" t="n">
        <f aca="false">I105-Front!$C$2</f>
        <v>-5904</v>
      </c>
      <c r="K105" s="99" t="n">
        <f aca="false">Swap!E105</f>
        <v>3.668</v>
      </c>
      <c r="L105" s="99" t="e">
        <f aca="false">IF(C105="","",(PriceSwitch=0)*K105+(PriceSwitch=1)*(Front!$H$21+K105)+(PriceSwitch=2)*Front!$H$21)</f>
        <v>#VALUE!</v>
      </c>
      <c r="M105" s="93" t="n">
        <f aca="false">INDEX(vols,MATCH(A105,volsmonth,0),2)</f>
        <v>0.195</v>
      </c>
      <c r="N105" s="3" t="e">
        <f aca="false">IF(Skew_Switch=0,"",IF($C105="","",(Front!$E$20=0)*M105+(Front!$E$20=1)*(Front!$E$21+M105)+(Front!$E$20=2)*Front!$E$21))</f>
        <v>#VALUE!</v>
      </c>
      <c r="O105" s="94" t="e">
        <f aca="false">IF(Skew_Switch=0,"",IF(C105="","",((calcskew(Call1-$L105,$C105,a,b))/100)))</f>
        <v>#VALUE!</v>
      </c>
      <c r="P105" s="94" t="e">
        <f aca="false">IF(Skew_Switch=0,"",IF(C105="","",((calcskew(Put1-$L105,$C105,a,b))/100)))</f>
        <v>#VALUE!</v>
      </c>
      <c r="Q105" s="94" t="e">
        <f aca="false">IF(Skew_Switch=0,"",IF(C105="","",((calcskew(Call2-$L105,$C105,a,b))/100)))</f>
        <v>#VALUE!</v>
      </c>
      <c r="R105" s="94" t="e">
        <f aca="false">IF(Skew_Switch=0,"",IF(C105="","",((calcskew(Put2-$L105,$C105,a,b))/100)))</f>
        <v>#VALUE!</v>
      </c>
      <c r="S105" s="3" t="e">
        <f aca="false">IF($C105="","",(Front!$C$19=0)*$N105+(Front!$C$19=1)*($N105+O105))</f>
        <v>#VALUE!</v>
      </c>
      <c r="T105" s="3" t="e">
        <f aca="false">IF($C105="","",(Front!$C$19=0)*$N105+(Front!$C$19=1)*($N105+P105))</f>
        <v>#VALUE!</v>
      </c>
      <c r="U105" s="3" t="e">
        <f aca="false">IF($C105="","",(Front!$C$19=0)*$N105+(Front!$C$19=1)*($N105+Q105))</f>
        <v>#VALUE!</v>
      </c>
      <c r="V105" s="3" t="e">
        <f aca="false">IF($C105="","",(Front!$C$19=0)*$N105+(Front!$C$19=1)*($N105+R105))</f>
        <v>#VALUE!</v>
      </c>
      <c r="W105" s="90" t="e">
        <f aca="false">IF($C105="","",xEURO($L105,Call1,$G105,$G105,S105,$J105,1,0))</f>
        <v>#VALUE!</v>
      </c>
      <c r="X105" s="90" t="e">
        <f aca="false">IF($C105="","",xEURO($L105,Put1,$G105,$G105,T105,$J105,0,0))</f>
        <v>#VALUE!</v>
      </c>
      <c r="Y105" s="90" t="e">
        <f aca="false">IF($C105="","",xEURO($L105,Call2,$G105,$G105,U105,$J105,1,0))</f>
        <v>#VALUE!</v>
      </c>
      <c r="Z105" s="90" t="e">
        <f aca="false">IF($C105="","",xEURO($L105,Put2,$G105,$G105,V105,$J105,0,0))</f>
        <v>#VALUE!</v>
      </c>
      <c r="AA105" s="90" t="e">
        <f aca="false">IF($C105="","",xEURO($L105,Call1,$G105,$G105,$S105,$J105,1,1))</f>
        <v>#VALUE!</v>
      </c>
      <c r="AB105" s="90" t="e">
        <f aca="false">IF($C105="","",xEURO($L105,Put1,$G105,$G105,$T105,$J105,0,1))</f>
        <v>#VALUE!</v>
      </c>
      <c r="AC105" s="90" t="e">
        <f aca="false">IF($C105="","",xEURO($L105,Call2,$G105,$G105,$U105,$J105,1,1))</f>
        <v>#VALUE!</v>
      </c>
      <c r="AD105" s="90" t="e">
        <f aca="false">IF($C105="","",xEURO($L105,Put2,$G105,$G105,$V105,$J105,0,1))</f>
        <v>#VALUE!</v>
      </c>
      <c r="AE105" s="90" t="e">
        <f aca="false">IF($C105="","",xEURO($L105,Call1,$G105,$G105,$S105,$J105,1,3))</f>
        <v>#VALUE!</v>
      </c>
      <c r="AF105" s="90" t="e">
        <f aca="false">IF($C105="","",xEURO($L105,Put1,$G105,$G105,$T105,$J105,0,3))</f>
        <v>#VALUE!</v>
      </c>
      <c r="AG105" s="90" t="e">
        <f aca="false">IF($C105="","",xEURO($L105,Call2,$G105,$G105,$U105,$J105,1,3))</f>
        <v>#VALUE!</v>
      </c>
      <c r="AH105" s="90" t="e">
        <f aca="false">IF($C105="","",xEURO($L105,Put2,$G105,$G105,$V105,$J105,0,3))</f>
        <v>#VALUE!</v>
      </c>
      <c r="AI105" s="8" t="e">
        <f aca="false">IF(E105=1,G105,0)</f>
        <v>#VALUE!</v>
      </c>
      <c r="AJ105" s="8" t="e">
        <f aca="false">IF(E105=1,H105,0)</f>
        <v>#VALUE!</v>
      </c>
      <c r="AK105" s="8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</row>
    <row r="106" customFormat="false" ht="12.75" hidden="false" customHeight="false" outlineLevel="0" collapsed="false">
      <c r="A106" s="95" t="n">
        <f aca="false">Swap!A106</f>
        <v>40057</v>
      </c>
      <c r="B106" s="96" t="n">
        <f aca="false">B105+1</f>
        <v>97</v>
      </c>
      <c r="C106" s="95" t="e">
        <f aca="false">IF(AND(A106&gt;=Front!$E$11,A106&lt;=Front!$E$12),A106,"")</f>
        <v>#VALUE!</v>
      </c>
      <c r="D106" s="87" t="e">
        <f aca="false">Swap!AB106</f>
        <v>#VALUE!</v>
      </c>
      <c r="E106" s="87" t="e">
        <f aca="false">IF($C106="","",1)</f>
        <v>#VALUE!</v>
      </c>
      <c r="F106" s="97" t="e">
        <f aca="false">IF($C106="","",E106*H106)</f>
        <v>#VALUE!</v>
      </c>
      <c r="G106" s="31" t="n">
        <f aca="false">Swap!AG106</f>
        <v>0.0530040339543469</v>
      </c>
      <c r="H106" s="31" t="n">
        <f aca="false">Swap!AH106</f>
        <v>2.31776232176527</v>
      </c>
      <c r="I106" s="92" t="n">
        <f aca="false">INDEX(expery,MATCH(A106,exprymonth,0),2)</f>
        <v>40051</v>
      </c>
      <c r="J106" s="98" t="n">
        <f aca="false">I106-Front!$C$2</f>
        <v>-5875</v>
      </c>
      <c r="K106" s="99" t="n">
        <f aca="false">Swap!E106</f>
        <v>3.681</v>
      </c>
      <c r="L106" s="99" t="e">
        <f aca="false">IF(C106="","",(PriceSwitch=0)*K106+(PriceSwitch=1)*(Front!$H$21+K106)+(PriceSwitch=2)*Front!$H$21)</f>
        <v>#VALUE!</v>
      </c>
      <c r="M106" s="93" t="n">
        <f aca="false">INDEX(vols,MATCH(A106,volsmonth,0),2)</f>
        <v>0.195</v>
      </c>
      <c r="N106" s="3" t="e">
        <f aca="false">IF(Skew_Switch=0,"",IF($C106="","",(Front!$E$20=0)*M106+(Front!$E$20=1)*(Front!$E$21+M106)+(Front!$E$20=2)*Front!$E$21))</f>
        <v>#VALUE!</v>
      </c>
      <c r="O106" s="94" t="e">
        <f aca="false">IF(Skew_Switch=0,"",IF(C106="","",((calcskew(Call1-$L106,$C106,a,b))/100)))</f>
        <v>#VALUE!</v>
      </c>
      <c r="P106" s="94" t="e">
        <f aca="false">IF(Skew_Switch=0,"",IF(C106="","",((calcskew(Put1-$L106,$C106,a,b))/100)))</f>
        <v>#VALUE!</v>
      </c>
      <c r="Q106" s="94" t="e">
        <f aca="false">IF(Skew_Switch=0,"",IF(C106="","",((calcskew(Call2-$L106,$C106,a,b))/100)))</f>
        <v>#VALUE!</v>
      </c>
      <c r="R106" s="94" t="e">
        <f aca="false">IF(Skew_Switch=0,"",IF(C106="","",((calcskew(Put2-$L106,$C106,a,b))/100)))</f>
        <v>#VALUE!</v>
      </c>
      <c r="S106" s="3" t="e">
        <f aca="false">IF($C106="","",(Front!$C$19=0)*$N106+(Front!$C$19=1)*($N106+O106))</f>
        <v>#VALUE!</v>
      </c>
      <c r="T106" s="3" t="e">
        <f aca="false">IF($C106="","",(Front!$C$19=0)*$N106+(Front!$C$19=1)*($N106+P106))</f>
        <v>#VALUE!</v>
      </c>
      <c r="U106" s="3" t="e">
        <f aca="false">IF($C106="","",(Front!$C$19=0)*$N106+(Front!$C$19=1)*($N106+Q106))</f>
        <v>#VALUE!</v>
      </c>
      <c r="V106" s="3" t="e">
        <f aca="false">IF($C106="","",(Front!$C$19=0)*$N106+(Front!$C$19=1)*($N106+R106))</f>
        <v>#VALUE!</v>
      </c>
      <c r="W106" s="90" t="e">
        <f aca="false">IF($C106="","",xEURO($L106,Call1,$G106,$G106,S106,$J106,1,0))</f>
        <v>#VALUE!</v>
      </c>
      <c r="X106" s="90" t="e">
        <f aca="false">IF($C106="","",xEURO($L106,Put1,$G106,$G106,T106,$J106,0,0))</f>
        <v>#VALUE!</v>
      </c>
      <c r="Y106" s="90" t="e">
        <f aca="false">IF($C106="","",xEURO($L106,Call2,$G106,$G106,U106,$J106,1,0))</f>
        <v>#VALUE!</v>
      </c>
      <c r="Z106" s="90" t="e">
        <f aca="false">IF($C106="","",xEURO($L106,Put2,$G106,$G106,V106,$J106,0,0))</f>
        <v>#VALUE!</v>
      </c>
      <c r="AA106" s="90" t="e">
        <f aca="false">IF($C106="","",xEURO($L106,Call1,$G106,$G106,$S106,$J106,1,1))</f>
        <v>#VALUE!</v>
      </c>
      <c r="AB106" s="90" t="e">
        <f aca="false">IF($C106="","",xEURO($L106,Put1,$G106,$G106,$T106,$J106,0,1))</f>
        <v>#VALUE!</v>
      </c>
      <c r="AC106" s="90" t="e">
        <f aca="false">IF($C106="","",xEURO($L106,Call2,$G106,$G106,$U106,$J106,1,1))</f>
        <v>#VALUE!</v>
      </c>
      <c r="AD106" s="90" t="e">
        <f aca="false">IF($C106="","",xEURO($L106,Put2,$G106,$G106,$V106,$J106,0,1))</f>
        <v>#VALUE!</v>
      </c>
      <c r="AE106" s="90" t="e">
        <f aca="false">IF($C106="","",xEURO($L106,Call1,$G106,$G106,$S106,$J106,1,3))</f>
        <v>#VALUE!</v>
      </c>
      <c r="AF106" s="90" t="e">
        <f aca="false">IF($C106="","",xEURO($L106,Put1,$G106,$G106,$T106,$J106,0,3))</f>
        <v>#VALUE!</v>
      </c>
      <c r="AG106" s="90" t="e">
        <f aca="false">IF($C106="","",xEURO($L106,Call2,$G106,$G106,$U106,$J106,1,3))</f>
        <v>#VALUE!</v>
      </c>
      <c r="AH106" s="90" t="e">
        <f aca="false">IF($C106="","",xEURO($L106,Put2,$G106,$G106,$V106,$J106,0,3))</f>
        <v>#VALUE!</v>
      </c>
      <c r="AI106" s="8" t="e">
        <f aca="false">IF(E106=1,G106,0)</f>
        <v>#VALUE!</v>
      </c>
      <c r="AJ106" s="8" t="e">
        <f aca="false">IF(E106=1,H106,0)</f>
        <v>#VALUE!</v>
      </c>
      <c r="AK106" s="8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</row>
    <row r="107" customFormat="false" ht="12.75" hidden="false" customHeight="false" outlineLevel="0" collapsed="false">
      <c r="A107" s="95" t="n">
        <f aca="false">Swap!A107</f>
        <v>40087</v>
      </c>
      <c r="B107" s="96" t="n">
        <f aca="false">B106+1</f>
        <v>98</v>
      </c>
      <c r="C107" s="95" t="e">
        <f aca="false">IF(AND(A107&gt;=Front!$E$11,A107&lt;=Front!$E$12),A107,"")</f>
        <v>#VALUE!</v>
      </c>
      <c r="D107" s="87" t="e">
        <f aca="false">Swap!AB107</f>
        <v>#VALUE!</v>
      </c>
      <c r="E107" s="87" t="e">
        <f aca="false">IF($C107="","",1)</f>
        <v>#VALUE!</v>
      </c>
      <c r="F107" s="97" t="e">
        <f aca="false">IF($C107="","",E107*H107)</f>
        <v>#VALUE!</v>
      </c>
      <c r="G107" s="31" t="n">
        <f aca="false">Swap!AG107</f>
        <v>0.0531168023490696</v>
      </c>
      <c r="H107" s="31" t="n">
        <f aca="false">Swap!AH107</f>
        <v>2.31188113674757</v>
      </c>
      <c r="I107" s="92" t="n">
        <f aca="false">INDEX(expery,MATCH(A107,exprymonth,0),2)</f>
        <v>40081</v>
      </c>
      <c r="J107" s="98" t="n">
        <f aca="false">I107-Front!$C$2</f>
        <v>-5845</v>
      </c>
      <c r="K107" s="99" t="n">
        <f aca="false">Swap!E107</f>
        <v>3.673</v>
      </c>
      <c r="L107" s="99" t="e">
        <f aca="false">IF(C107="","",(PriceSwitch=0)*K107+(PriceSwitch=1)*(Front!$H$21+K107)+(PriceSwitch=2)*Front!$H$21)</f>
        <v>#VALUE!</v>
      </c>
      <c r="M107" s="93" t="n">
        <f aca="false">INDEX(vols,MATCH(A107,volsmonth,0),2)</f>
        <v>0.195</v>
      </c>
      <c r="N107" s="3" t="e">
        <f aca="false">IF(Skew_Switch=0,"",IF($C107="","",(Front!$E$20=0)*M107+(Front!$E$20=1)*(Front!$E$21+M107)+(Front!$E$20=2)*Front!$E$21))</f>
        <v>#VALUE!</v>
      </c>
      <c r="O107" s="94" t="e">
        <f aca="false">IF(Skew_Switch=0,"",IF(C107="","",((calcskew(Call1-$L107,$C107,a,b))/100)))</f>
        <v>#VALUE!</v>
      </c>
      <c r="P107" s="94" t="e">
        <f aca="false">IF(Skew_Switch=0,"",IF(C107="","",((calcskew(Put1-$L107,$C107,a,b))/100)))</f>
        <v>#VALUE!</v>
      </c>
      <c r="Q107" s="94" t="e">
        <f aca="false">IF(Skew_Switch=0,"",IF(C107="","",((calcskew(Call2-$L107,$C107,a,b))/100)))</f>
        <v>#VALUE!</v>
      </c>
      <c r="R107" s="94" t="e">
        <f aca="false">IF(Skew_Switch=0,"",IF(C107="","",((calcskew(Put2-$L107,$C107,a,b))/100)))</f>
        <v>#VALUE!</v>
      </c>
      <c r="S107" s="3" t="e">
        <f aca="false">IF($C107="","",(Front!$C$19=0)*$N107+(Front!$C$19=1)*($N107+O107))</f>
        <v>#VALUE!</v>
      </c>
      <c r="T107" s="3" t="e">
        <f aca="false">IF($C107="","",(Front!$C$19=0)*$N107+(Front!$C$19=1)*($N107+P107))</f>
        <v>#VALUE!</v>
      </c>
      <c r="U107" s="3" t="e">
        <f aca="false">IF($C107="","",(Front!$C$19=0)*$N107+(Front!$C$19=1)*($N107+Q107))</f>
        <v>#VALUE!</v>
      </c>
      <c r="V107" s="3" t="e">
        <f aca="false">IF($C107="","",(Front!$C$19=0)*$N107+(Front!$C$19=1)*($N107+R107))</f>
        <v>#VALUE!</v>
      </c>
      <c r="W107" s="90" t="e">
        <f aca="false">IF($C107="","",xEURO($L107,Call1,$G107,$G107,S107,$J107,1,0))</f>
        <v>#VALUE!</v>
      </c>
      <c r="X107" s="90" t="e">
        <f aca="false">IF($C107="","",xEURO($L107,Put1,$G107,$G107,T107,$J107,0,0))</f>
        <v>#VALUE!</v>
      </c>
      <c r="Y107" s="90" t="e">
        <f aca="false">IF($C107="","",xEURO($L107,Call2,$G107,$G107,U107,$J107,1,0))</f>
        <v>#VALUE!</v>
      </c>
      <c r="Z107" s="90" t="e">
        <f aca="false">IF($C107="","",xEURO($L107,Put2,$G107,$G107,V107,$J107,0,0))</f>
        <v>#VALUE!</v>
      </c>
      <c r="AA107" s="90" t="e">
        <f aca="false">IF($C107="","",xEURO($L107,Call1,$G107,$G107,$S107,$J107,1,1))</f>
        <v>#VALUE!</v>
      </c>
      <c r="AB107" s="90" t="e">
        <f aca="false">IF($C107="","",xEURO($L107,Put1,$G107,$G107,$T107,$J107,0,1))</f>
        <v>#VALUE!</v>
      </c>
      <c r="AC107" s="90" t="e">
        <f aca="false">IF($C107="","",xEURO($L107,Call2,$G107,$G107,$U107,$J107,1,1))</f>
        <v>#VALUE!</v>
      </c>
      <c r="AD107" s="90" t="e">
        <f aca="false">IF($C107="","",xEURO($L107,Put2,$G107,$G107,$V107,$J107,0,1))</f>
        <v>#VALUE!</v>
      </c>
      <c r="AE107" s="90" t="e">
        <f aca="false">IF($C107="","",xEURO($L107,Call1,$G107,$G107,$S107,$J107,1,3))</f>
        <v>#VALUE!</v>
      </c>
      <c r="AF107" s="90" t="e">
        <f aca="false">IF($C107="","",xEURO($L107,Put1,$G107,$G107,$T107,$J107,0,3))</f>
        <v>#VALUE!</v>
      </c>
      <c r="AG107" s="90" t="e">
        <f aca="false">IF($C107="","",xEURO($L107,Call2,$G107,$G107,$U107,$J107,1,3))</f>
        <v>#VALUE!</v>
      </c>
      <c r="AH107" s="90" t="e">
        <f aca="false">IF($C107="","",xEURO($L107,Put2,$G107,$G107,$V107,$J107,0,3))</f>
        <v>#VALUE!</v>
      </c>
      <c r="AI107" s="8" t="e">
        <f aca="false">IF(E107=1,G107,0)</f>
        <v>#VALUE!</v>
      </c>
      <c r="AJ107" s="8" t="e">
        <f aca="false">IF(E107=1,H107,0)</f>
        <v>#VALUE!</v>
      </c>
      <c r="AK107" s="8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</row>
    <row r="108" customFormat="false" ht="12.75" hidden="false" customHeight="false" outlineLevel="0" collapsed="false">
      <c r="A108" s="95" t="n">
        <f aca="false">Swap!A108</f>
        <v>40118</v>
      </c>
      <c r="B108" s="96" t="n">
        <f aca="false">B107+1</f>
        <v>99</v>
      </c>
      <c r="C108" s="95" t="e">
        <f aca="false">IF(AND(A108&gt;=Front!$E$11,A108&lt;=Front!$E$12),A108,"")</f>
        <v>#VALUE!</v>
      </c>
      <c r="D108" s="87" t="e">
        <f aca="false">Swap!AB108</f>
        <v>#VALUE!</v>
      </c>
      <c r="E108" s="87" t="e">
        <f aca="false">IF($C108="","",1)</f>
        <v>#VALUE!</v>
      </c>
      <c r="F108" s="97" t="e">
        <f aca="false">IF($C108="","",E108*H108)</f>
        <v>#VALUE!</v>
      </c>
      <c r="G108" s="31" t="n">
        <f aca="false">Swap!AG108</f>
        <v>0.0532333296947369</v>
      </c>
      <c r="H108" s="31" t="n">
        <f aca="false">Swap!AH108</f>
        <v>2.30577564351231</v>
      </c>
      <c r="I108" s="92" t="n">
        <f aca="false">INDEX(expery,MATCH(A108,exprymonth,0),2)</f>
        <v>40113</v>
      </c>
      <c r="J108" s="98" t="n">
        <f aca="false">I108-Front!$C$2</f>
        <v>-5813</v>
      </c>
      <c r="K108" s="99" t="n">
        <f aca="false">Swap!E108</f>
        <v>3.843</v>
      </c>
      <c r="L108" s="99" t="e">
        <f aca="false">IF(C108="","",(PriceSwitch=0)*K108+(PriceSwitch=1)*(Front!$H$21+K108)+(PriceSwitch=2)*Front!$H$21)</f>
        <v>#VALUE!</v>
      </c>
      <c r="M108" s="93" t="n">
        <f aca="false">INDEX(vols,MATCH(A108,volsmonth,0),2)</f>
        <v>0.195</v>
      </c>
      <c r="N108" s="3" t="e">
        <f aca="false">IF(Skew_Switch=0,"",IF($C108="","",(Front!$E$20=0)*M108+(Front!$E$20=1)*(Front!$E$21+M108)+(Front!$E$20=2)*Front!$E$21))</f>
        <v>#VALUE!</v>
      </c>
      <c r="O108" s="94" t="e">
        <f aca="false">IF(Skew_Switch=0,"",IF(C108="","",((calcskew(Call1-$L108,$C108,a,b))/100)))</f>
        <v>#VALUE!</v>
      </c>
      <c r="P108" s="94" t="e">
        <f aca="false">IF(Skew_Switch=0,"",IF(C108="","",((calcskew(Put1-$L108,$C108,a,b))/100)))</f>
        <v>#VALUE!</v>
      </c>
      <c r="Q108" s="94" t="e">
        <f aca="false">IF(Skew_Switch=0,"",IF(C108="","",((calcskew(Call2-$L108,$C108,a,b))/100)))</f>
        <v>#VALUE!</v>
      </c>
      <c r="R108" s="94" t="e">
        <f aca="false">IF(Skew_Switch=0,"",IF(C108="","",((calcskew(Put2-$L108,$C108,a,b))/100)))</f>
        <v>#VALUE!</v>
      </c>
      <c r="S108" s="3" t="e">
        <f aca="false">IF($C108="","",(Front!$C$19=0)*$N108+(Front!$C$19=1)*($N108+O108))</f>
        <v>#VALUE!</v>
      </c>
      <c r="T108" s="3" t="e">
        <f aca="false">IF($C108="","",(Front!$C$19=0)*$N108+(Front!$C$19=1)*($N108+P108))</f>
        <v>#VALUE!</v>
      </c>
      <c r="U108" s="3" t="e">
        <f aca="false">IF($C108="","",(Front!$C$19=0)*$N108+(Front!$C$19=1)*($N108+Q108))</f>
        <v>#VALUE!</v>
      </c>
      <c r="V108" s="3" t="e">
        <f aca="false">IF($C108="","",(Front!$C$19=0)*$N108+(Front!$C$19=1)*($N108+R108))</f>
        <v>#VALUE!</v>
      </c>
      <c r="W108" s="90" t="e">
        <f aca="false">IF($C108="","",xEURO($L108,Call1,$G108,$G108,S108,$J108,1,0))</f>
        <v>#VALUE!</v>
      </c>
      <c r="X108" s="90" t="e">
        <f aca="false">IF($C108="","",xEURO($L108,Put1,$G108,$G108,T108,$J108,0,0))</f>
        <v>#VALUE!</v>
      </c>
      <c r="Y108" s="90" t="e">
        <f aca="false">IF($C108="","",xEURO($L108,Call2,$G108,$G108,U108,$J108,1,0))</f>
        <v>#VALUE!</v>
      </c>
      <c r="Z108" s="90" t="e">
        <f aca="false">IF($C108="","",xEURO($L108,Put2,$G108,$G108,V108,$J108,0,0))</f>
        <v>#VALUE!</v>
      </c>
      <c r="AA108" s="90" t="e">
        <f aca="false">IF($C108="","",xEURO($L108,Call1,$G108,$G108,$S108,$J108,1,1))</f>
        <v>#VALUE!</v>
      </c>
      <c r="AB108" s="90" t="e">
        <f aca="false">IF($C108="","",xEURO($L108,Put1,$G108,$G108,$T108,$J108,0,1))</f>
        <v>#VALUE!</v>
      </c>
      <c r="AC108" s="90" t="e">
        <f aca="false">IF($C108="","",xEURO($L108,Call2,$G108,$G108,$U108,$J108,1,1))</f>
        <v>#VALUE!</v>
      </c>
      <c r="AD108" s="90" t="e">
        <f aca="false">IF($C108="","",xEURO($L108,Put2,$G108,$G108,$V108,$J108,0,1))</f>
        <v>#VALUE!</v>
      </c>
      <c r="AE108" s="90" t="e">
        <f aca="false">IF($C108="","",xEURO($L108,Call1,$G108,$G108,$S108,$J108,1,3))</f>
        <v>#VALUE!</v>
      </c>
      <c r="AF108" s="90" t="e">
        <f aca="false">IF($C108="","",xEURO($L108,Put1,$G108,$G108,$T108,$J108,0,3))</f>
        <v>#VALUE!</v>
      </c>
      <c r="AG108" s="90" t="e">
        <f aca="false">IF($C108="","",xEURO($L108,Call2,$G108,$G108,$U108,$J108,1,3))</f>
        <v>#VALUE!</v>
      </c>
      <c r="AH108" s="90" t="e">
        <f aca="false">IF($C108="","",xEURO($L108,Put2,$G108,$G108,$V108,$J108,0,3))</f>
        <v>#VALUE!</v>
      </c>
      <c r="AI108" s="8" t="e">
        <f aca="false">IF(E108=1,G108,0)</f>
        <v>#VALUE!</v>
      </c>
      <c r="AJ108" s="8" t="e">
        <f aca="false">IF(E108=1,H108,0)</f>
        <v>#VALUE!</v>
      </c>
      <c r="AK108" s="8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95" t="n">
        <f aca="false">Swap!A109</f>
        <v>40148</v>
      </c>
      <c r="B109" s="96" t="n">
        <f aca="false">B108+1</f>
        <v>100</v>
      </c>
      <c r="C109" s="95" t="e">
        <f aca="false">IF(AND(A109&gt;=Front!$E$11,A109&lt;=Front!$E$12),A109,"")</f>
        <v>#VALUE!</v>
      </c>
      <c r="D109" s="87" t="e">
        <f aca="false">Swap!AB109</f>
        <v>#VALUE!</v>
      </c>
      <c r="E109" s="87" t="e">
        <f aca="false">IF($C109="","",1)</f>
        <v>#VALUE!</v>
      </c>
      <c r="F109" s="97" t="e">
        <f aca="false">IF($C109="","",E109*H109)</f>
        <v>#VALUE!</v>
      </c>
      <c r="G109" s="31" t="n">
        <f aca="false">Swap!AG109</f>
        <v>0.0533460980980802</v>
      </c>
      <c r="H109" s="31" t="n">
        <f aca="false">Swap!AH109</f>
        <v>2.29984003917149</v>
      </c>
      <c r="I109" s="92" t="n">
        <f aca="false">INDEX(expery,MATCH(A109,exprymonth,0),2)</f>
        <v>40141</v>
      </c>
      <c r="J109" s="98" t="n">
        <f aca="false">I109-Front!$C$2</f>
        <v>-5785</v>
      </c>
      <c r="K109" s="99" t="n">
        <f aca="false">Swap!E109</f>
        <v>4.018</v>
      </c>
      <c r="L109" s="99" t="e">
        <f aca="false">IF(C109="","",(PriceSwitch=0)*K109+(PriceSwitch=1)*(Front!$H$21+K109)+(PriceSwitch=2)*Front!$H$21)</f>
        <v>#VALUE!</v>
      </c>
      <c r="M109" s="93" t="n">
        <f aca="false">INDEX(vols,MATCH(A109,volsmonth,0),2)</f>
        <v>0.195</v>
      </c>
      <c r="N109" s="3" t="e">
        <f aca="false">IF(Skew_Switch=0,"",IF($C109="","",(Front!$E$20=0)*M109+(Front!$E$20=1)*(Front!$E$21+M109)+(Front!$E$20=2)*Front!$E$21))</f>
        <v>#VALUE!</v>
      </c>
      <c r="O109" s="94" t="e">
        <f aca="false">IF(Skew_Switch=0,"",IF(C109="","",((calcskew(Call1-$L109,$C109,a,b))/100)))</f>
        <v>#VALUE!</v>
      </c>
      <c r="P109" s="94" t="e">
        <f aca="false">IF(Skew_Switch=0,"",IF(C109="","",((calcskew(Put1-$L109,$C109,a,b))/100)))</f>
        <v>#VALUE!</v>
      </c>
      <c r="Q109" s="94" t="e">
        <f aca="false">IF(Skew_Switch=0,"",IF(C109="","",((calcskew(Call2-$L109,$C109,a,b))/100)))</f>
        <v>#VALUE!</v>
      </c>
      <c r="R109" s="94" t="e">
        <f aca="false">IF(Skew_Switch=0,"",IF(C109="","",((calcskew(Put2-$L109,$C109,a,b))/100)))</f>
        <v>#VALUE!</v>
      </c>
      <c r="S109" s="3" t="e">
        <f aca="false">IF($C109="","",(Front!$C$19=0)*$N109+(Front!$C$19=1)*($N109+O109))</f>
        <v>#VALUE!</v>
      </c>
      <c r="T109" s="3" t="e">
        <f aca="false">IF($C109="","",(Front!$C$19=0)*$N109+(Front!$C$19=1)*($N109+P109))</f>
        <v>#VALUE!</v>
      </c>
      <c r="U109" s="3" t="e">
        <f aca="false">IF($C109="","",(Front!$C$19=0)*$N109+(Front!$C$19=1)*($N109+Q109))</f>
        <v>#VALUE!</v>
      </c>
      <c r="V109" s="3" t="e">
        <f aca="false">IF($C109="","",(Front!$C$19=0)*$N109+(Front!$C$19=1)*($N109+R109))</f>
        <v>#VALUE!</v>
      </c>
      <c r="W109" s="90" t="e">
        <f aca="false">IF($C109="","",xEURO($L109,Call1,$G109,$G109,S109,$J109,1,0))</f>
        <v>#VALUE!</v>
      </c>
      <c r="X109" s="90" t="e">
        <f aca="false">IF($C109="","",xEURO($L109,Put1,$G109,$G109,T109,$J109,0,0))</f>
        <v>#VALUE!</v>
      </c>
      <c r="Y109" s="90" t="e">
        <f aca="false">IF($C109="","",xEURO($L109,Call2,$G109,$G109,U109,$J109,1,0))</f>
        <v>#VALUE!</v>
      </c>
      <c r="Z109" s="90" t="e">
        <f aca="false">IF($C109="","",xEURO($L109,Put2,$G109,$G109,V109,$J109,0,0))</f>
        <v>#VALUE!</v>
      </c>
      <c r="AA109" s="90" t="e">
        <f aca="false">IF($C109="","",xEURO($L109,Call1,$G109,$G109,$S109,$J109,1,1))</f>
        <v>#VALUE!</v>
      </c>
      <c r="AB109" s="90" t="e">
        <f aca="false">IF($C109="","",xEURO($L109,Put1,$G109,$G109,$T109,$J109,0,1))</f>
        <v>#VALUE!</v>
      </c>
      <c r="AC109" s="90" t="e">
        <f aca="false">IF($C109="","",xEURO($L109,Call2,$G109,$G109,$U109,$J109,1,1))</f>
        <v>#VALUE!</v>
      </c>
      <c r="AD109" s="90" t="e">
        <f aca="false">IF($C109="","",xEURO($L109,Put2,$G109,$G109,$V109,$J109,0,1))</f>
        <v>#VALUE!</v>
      </c>
      <c r="AE109" s="90" t="e">
        <f aca="false">IF($C109="","",xEURO($L109,Call1,$G109,$G109,$S109,$J109,1,3))</f>
        <v>#VALUE!</v>
      </c>
      <c r="AF109" s="90" t="e">
        <f aca="false">IF($C109="","",xEURO($L109,Put1,$G109,$G109,$T109,$J109,0,3))</f>
        <v>#VALUE!</v>
      </c>
      <c r="AG109" s="90" t="e">
        <f aca="false">IF($C109="","",xEURO($L109,Call2,$G109,$G109,$U109,$J109,1,3))</f>
        <v>#VALUE!</v>
      </c>
      <c r="AH109" s="90" t="e">
        <f aca="false">IF($C109="","",xEURO($L109,Put2,$G109,$G109,$V109,$J109,0,3))</f>
        <v>#VALUE!</v>
      </c>
      <c r="AI109" s="8" t="e">
        <f aca="false">IF(E109=1,G109,0)</f>
        <v>#VALUE!</v>
      </c>
      <c r="AJ109" s="8" t="e">
        <f aca="false">IF(E109=1,H109,0)</f>
        <v>#VALUE!</v>
      </c>
      <c r="AK109" s="8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</row>
    <row r="110" customFormat="false" ht="12.75" hidden="false" customHeight="false" outlineLevel="0" collapsed="false">
      <c r="A110" s="95" t="n">
        <f aca="false">Swap!A110</f>
        <v>40179</v>
      </c>
      <c r="B110" s="96" t="n">
        <f aca="false">B109+1</f>
        <v>101</v>
      </c>
      <c r="C110" s="95" t="e">
        <f aca="false">IF(AND(A110&gt;=Front!$E$11,A110&lt;=Front!$E$12),A110,"")</f>
        <v>#VALUE!</v>
      </c>
      <c r="D110" s="87" t="e">
        <f aca="false">Swap!AB110</f>
        <v>#VALUE!</v>
      </c>
      <c r="E110" s="87" t="e">
        <f aca="false">IF($C110="","",1)</f>
        <v>#VALUE!</v>
      </c>
      <c r="F110" s="97" t="e">
        <f aca="false">IF($C110="","",E110*H110)</f>
        <v>#VALUE!</v>
      </c>
      <c r="G110" s="31" t="n">
        <f aca="false">Swap!AG110</f>
        <v>0.0534626254526547</v>
      </c>
      <c r="H110" s="31" t="n">
        <f aca="false">Swap!AH110</f>
        <v>2.29367892499263</v>
      </c>
      <c r="I110" s="92" t="n">
        <f aca="false">INDEX(expery,MATCH(A110,exprymonth,0),2)</f>
        <v>40175</v>
      </c>
      <c r="J110" s="98" t="n">
        <f aca="false">I110-Front!$C$2</f>
        <v>-5751</v>
      </c>
      <c r="K110" s="99" t="n">
        <f aca="false">Swap!E110</f>
        <v>4.0655</v>
      </c>
      <c r="L110" s="99" t="e">
        <f aca="false">IF(C110="","",(PriceSwitch=0)*K110+(PriceSwitch=1)*(Front!$H$21+K110)+(PriceSwitch=2)*Front!$H$21)</f>
        <v>#VALUE!</v>
      </c>
      <c r="M110" s="93" t="n">
        <f aca="false">INDEX(vols,MATCH(A110,volsmonth,0),2)</f>
        <v>0.195</v>
      </c>
      <c r="N110" s="3" t="e">
        <f aca="false">IF(Skew_Switch=0,"",IF($C110="","",(Front!$E$20=0)*M110+(Front!$E$20=1)*(Front!$E$21+M110)+(Front!$E$20=2)*Front!$E$21))</f>
        <v>#VALUE!</v>
      </c>
      <c r="O110" s="94" t="e">
        <f aca="false">IF(Skew_Switch=0,"",IF(C110="","",((calcskew(Call1-$L110,$C110,a,b))/100)))</f>
        <v>#VALUE!</v>
      </c>
      <c r="P110" s="94" t="e">
        <f aca="false">IF(Skew_Switch=0,"",IF(C110="","",((calcskew(Put1-$L110,$C110,a,b))/100)))</f>
        <v>#VALUE!</v>
      </c>
      <c r="Q110" s="94" t="e">
        <f aca="false">IF(Skew_Switch=0,"",IF(C110="","",((calcskew(Call2-$L110,$C110,a,b))/100)))</f>
        <v>#VALUE!</v>
      </c>
      <c r="R110" s="94" t="e">
        <f aca="false">IF(Skew_Switch=0,"",IF(C110="","",((calcskew(Put2-$L110,$C110,a,b))/100)))</f>
        <v>#VALUE!</v>
      </c>
      <c r="S110" s="3" t="e">
        <f aca="false">IF($C110="","",(Front!$C$19=0)*$N110+(Front!$C$19=1)*($N110+O110))</f>
        <v>#VALUE!</v>
      </c>
      <c r="T110" s="3" t="e">
        <f aca="false">IF($C110="","",(Front!$C$19=0)*$N110+(Front!$C$19=1)*($N110+P110))</f>
        <v>#VALUE!</v>
      </c>
      <c r="U110" s="3" t="e">
        <f aca="false">IF($C110="","",(Front!$C$19=0)*$N110+(Front!$C$19=1)*($N110+Q110))</f>
        <v>#VALUE!</v>
      </c>
      <c r="V110" s="3" t="e">
        <f aca="false">IF($C110="","",(Front!$C$19=0)*$N110+(Front!$C$19=1)*($N110+R110))</f>
        <v>#VALUE!</v>
      </c>
      <c r="W110" s="90" t="e">
        <f aca="false">IF($C110="","",xEURO($L110,Call1,$G110,$G110,S110,$J110,1,0))</f>
        <v>#VALUE!</v>
      </c>
      <c r="X110" s="90" t="e">
        <f aca="false">IF($C110="","",xEURO($L110,Put1,$G110,$G110,T110,$J110,0,0))</f>
        <v>#VALUE!</v>
      </c>
      <c r="Y110" s="90" t="e">
        <f aca="false">IF($C110="","",xEURO($L110,Call2,$G110,$G110,U110,$J110,1,0))</f>
        <v>#VALUE!</v>
      </c>
      <c r="Z110" s="90" t="e">
        <f aca="false">IF($C110="","",xEURO($L110,Put2,$G110,$G110,V110,$J110,0,0))</f>
        <v>#VALUE!</v>
      </c>
      <c r="AA110" s="90" t="e">
        <f aca="false">IF($C110="","",xEURO($L110,Call1,$G110,$G110,$S110,$J110,1,1))</f>
        <v>#VALUE!</v>
      </c>
      <c r="AB110" s="90" t="e">
        <f aca="false">IF($C110="","",xEURO($L110,Put1,$G110,$G110,$T110,$J110,0,1))</f>
        <v>#VALUE!</v>
      </c>
      <c r="AC110" s="90" t="e">
        <f aca="false">IF($C110="","",xEURO($L110,Call2,$G110,$G110,$U110,$J110,1,1))</f>
        <v>#VALUE!</v>
      </c>
      <c r="AD110" s="90" t="e">
        <f aca="false">IF($C110="","",xEURO($L110,Put2,$G110,$G110,$V110,$J110,0,1))</f>
        <v>#VALUE!</v>
      </c>
      <c r="AE110" s="90" t="e">
        <f aca="false">IF($C110="","",xEURO($L110,Call1,$G110,$G110,$S110,$J110,1,3))</f>
        <v>#VALUE!</v>
      </c>
      <c r="AF110" s="90" t="e">
        <f aca="false">IF($C110="","",xEURO($L110,Put1,$G110,$G110,$T110,$J110,0,3))</f>
        <v>#VALUE!</v>
      </c>
      <c r="AG110" s="90" t="e">
        <f aca="false">IF($C110="","",xEURO($L110,Call2,$G110,$G110,$U110,$J110,1,3))</f>
        <v>#VALUE!</v>
      </c>
      <c r="AH110" s="90" t="e">
        <f aca="false">IF($C110="","",xEURO($L110,Put2,$G110,$G110,$V110,$J110,0,3))</f>
        <v>#VALUE!</v>
      </c>
      <c r="AI110" s="8" t="e">
        <f aca="false">IF(E110=1,G110,0)</f>
        <v>#VALUE!</v>
      </c>
      <c r="AJ110" s="8" t="e">
        <f aca="false">IF(E110=1,H110,0)</f>
        <v>#VALUE!</v>
      </c>
      <c r="AK110" s="8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</row>
    <row r="111" customFormat="false" ht="12.75" hidden="false" customHeight="false" outlineLevel="0" collapsed="false">
      <c r="A111" s="95" t="n">
        <f aca="false">Swap!A111</f>
        <v>40210</v>
      </c>
      <c r="B111" s="96" t="n">
        <f aca="false">B110+1</f>
        <v>102</v>
      </c>
      <c r="C111" s="95" t="e">
        <f aca="false">IF(AND(A111&gt;=Front!$E$11,A111&lt;=Front!$E$12),A111,"")</f>
        <v>#VALUE!</v>
      </c>
      <c r="D111" s="87" t="e">
        <f aca="false">Swap!AB111</f>
        <v>#VALUE!</v>
      </c>
      <c r="E111" s="87" t="e">
        <f aca="false">IF($C111="","",1)</f>
        <v>#VALUE!</v>
      </c>
      <c r="F111" s="97" t="e">
        <f aca="false">IF($C111="","",E111*H111)</f>
        <v>#VALUE!</v>
      </c>
      <c r="G111" s="31" t="n">
        <f aca="false">Swap!AG111</f>
        <v>0.0535791528117548</v>
      </c>
      <c r="H111" s="31" t="n">
        <f aca="false">Swap!AH111</f>
        <v>2.28749001508781</v>
      </c>
      <c r="I111" s="92" t="n">
        <f aca="false">INDEX(expery,MATCH(A111,exprymonth,0),2)</f>
        <v>40204</v>
      </c>
      <c r="J111" s="98" t="n">
        <f aca="false">I111-Front!$C$2</f>
        <v>-5722</v>
      </c>
      <c r="K111" s="99" t="n">
        <f aca="false">Swap!E111</f>
        <v>3.9515</v>
      </c>
      <c r="L111" s="99" t="e">
        <f aca="false">IF(C111="","",(PriceSwitch=0)*K111+(PriceSwitch=1)*(Front!$H$21+K111)+(PriceSwitch=2)*Front!$H$21)</f>
        <v>#VALUE!</v>
      </c>
      <c r="M111" s="93" t="n">
        <f aca="false">INDEX(vols,MATCH(A111,volsmonth,0),2)</f>
        <v>0.19</v>
      </c>
      <c r="N111" s="3" t="e">
        <f aca="false">IF(Skew_Switch=0,"",IF($C111="","",(Front!$E$20=0)*M111+(Front!$E$20=1)*(Front!$E$21+M111)+(Front!$E$20=2)*Front!$E$21))</f>
        <v>#VALUE!</v>
      </c>
      <c r="O111" s="94" t="e">
        <f aca="false">IF(Skew_Switch=0,"",IF(C111="","",((calcskew(Call1-$L111,$C111,a,b))/100)))</f>
        <v>#VALUE!</v>
      </c>
      <c r="P111" s="94" t="e">
        <f aca="false">IF(Skew_Switch=0,"",IF(C111="","",((calcskew(Put1-$L111,$C111,a,b))/100)))</f>
        <v>#VALUE!</v>
      </c>
      <c r="Q111" s="94" t="e">
        <f aca="false">IF(Skew_Switch=0,"",IF(C111="","",((calcskew(Call2-$L111,$C111,a,b))/100)))</f>
        <v>#VALUE!</v>
      </c>
      <c r="R111" s="94" t="e">
        <f aca="false">IF(Skew_Switch=0,"",IF(C111="","",((calcskew(Put2-$L111,$C111,a,b))/100)))</f>
        <v>#VALUE!</v>
      </c>
      <c r="S111" s="3" t="e">
        <f aca="false">IF($C111="","",(Front!$C$19=0)*$N111+(Front!$C$19=1)*($N111+O111))</f>
        <v>#VALUE!</v>
      </c>
      <c r="T111" s="3" t="e">
        <f aca="false">IF($C111="","",(Front!$C$19=0)*$N111+(Front!$C$19=1)*($N111+P111))</f>
        <v>#VALUE!</v>
      </c>
      <c r="U111" s="3" t="e">
        <f aca="false">IF($C111="","",(Front!$C$19=0)*$N111+(Front!$C$19=1)*($N111+Q111))</f>
        <v>#VALUE!</v>
      </c>
      <c r="V111" s="3" t="e">
        <f aca="false">IF($C111="","",(Front!$C$19=0)*$N111+(Front!$C$19=1)*($N111+R111))</f>
        <v>#VALUE!</v>
      </c>
      <c r="W111" s="90" t="e">
        <f aca="false">IF($C111="","",xEURO($L111,Call1,$G111,$G111,S111,$J111,1,0))</f>
        <v>#VALUE!</v>
      </c>
      <c r="X111" s="90" t="e">
        <f aca="false">IF($C111="","",xEURO($L111,Put1,$G111,$G111,T111,$J111,0,0))</f>
        <v>#VALUE!</v>
      </c>
      <c r="Y111" s="90" t="e">
        <f aca="false">IF($C111="","",xEURO($L111,Call2,$G111,$G111,U111,$J111,1,0))</f>
        <v>#VALUE!</v>
      </c>
      <c r="Z111" s="90" t="e">
        <f aca="false">IF($C111="","",xEURO($L111,Put2,$G111,$G111,V111,$J111,0,0))</f>
        <v>#VALUE!</v>
      </c>
      <c r="AA111" s="90" t="e">
        <f aca="false">IF($C111="","",xEURO($L111,Call1,$G111,$G111,$S111,$J111,1,1))</f>
        <v>#VALUE!</v>
      </c>
      <c r="AB111" s="90" t="e">
        <f aca="false">IF($C111="","",xEURO($L111,Put1,$G111,$G111,$T111,$J111,0,1))</f>
        <v>#VALUE!</v>
      </c>
      <c r="AC111" s="90" t="e">
        <f aca="false">IF($C111="","",xEURO($L111,Call2,$G111,$G111,$U111,$J111,1,1))</f>
        <v>#VALUE!</v>
      </c>
      <c r="AD111" s="90" t="e">
        <f aca="false">IF($C111="","",xEURO($L111,Put2,$G111,$G111,$V111,$J111,0,1))</f>
        <v>#VALUE!</v>
      </c>
      <c r="AE111" s="90" t="e">
        <f aca="false">IF($C111="","",xEURO($L111,Call1,$G111,$G111,$S111,$J111,1,3))</f>
        <v>#VALUE!</v>
      </c>
      <c r="AF111" s="90" t="e">
        <f aca="false">IF($C111="","",xEURO($L111,Put1,$G111,$G111,$T111,$J111,0,3))</f>
        <v>#VALUE!</v>
      </c>
      <c r="AG111" s="90" t="e">
        <f aca="false">IF($C111="","",xEURO($L111,Call2,$G111,$G111,$U111,$J111,1,3))</f>
        <v>#VALUE!</v>
      </c>
      <c r="AH111" s="90" t="e">
        <f aca="false">IF($C111="","",xEURO($L111,Put2,$G111,$G111,$V111,$J111,0,3))</f>
        <v>#VALUE!</v>
      </c>
      <c r="AI111" s="8" t="e">
        <f aca="false">IF(E111=1,G111,0)</f>
        <v>#VALUE!</v>
      </c>
      <c r="AJ111" s="8" t="e">
        <f aca="false">IF(E111=1,H111,0)</f>
        <v>#VALUE!</v>
      </c>
      <c r="AK111" s="8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</row>
    <row r="112" customFormat="false" ht="12.75" hidden="false" customHeight="false" outlineLevel="0" collapsed="false">
      <c r="A112" s="95" t="n">
        <f aca="false">Swap!A112</f>
        <v>40238</v>
      </c>
      <c r="B112" s="96" t="n">
        <f aca="false">B111+1</f>
        <v>103</v>
      </c>
      <c r="C112" s="95" t="e">
        <f aca="false">IF(AND(A112&gt;=Front!$E$11,A112&lt;=Front!$E$12),A112,"")</f>
        <v>#VALUE!</v>
      </c>
      <c r="D112" s="87" t="e">
        <f aca="false">Swap!AB112</f>
        <v>#VALUE!</v>
      </c>
      <c r="E112" s="87" t="e">
        <f aca="false">IF($C112="","",1)</f>
        <v>#VALUE!</v>
      </c>
      <c r="F112" s="97" t="e">
        <f aca="false">IF($C112="","",E112*H112)</f>
        <v>#VALUE!</v>
      </c>
      <c r="G112" s="31" t="n">
        <f aca="false">Swap!AG112</f>
        <v>0.0536844033335422</v>
      </c>
      <c r="H112" s="31" t="n">
        <f aca="false">Swap!AH112</f>
        <v>2.28187640555189</v>
      </c>
      <c r="I112" s="92" t="n">
        <f aca="false">INDEX(expery,MATCH(A112,exprymonth,0),2)</f>
        <v>40232</v>
      </c>
      <c r="J112" s="98" t="n">
        <f aca="false">I112-Front!$C$2</f>
        <v>-5694</v>
      </c>
      <c r="K112" s="99" t="n">
        <f aca="false">Swap!E112</f>
        <v>3.8195</v>
      </c>
      <c r="L112" s="99" t="e">
        <f aca="false">IF(C112="","",(PriceSwitch=0)*K112+(PriceSwitch=1)*(Front!$H$21+K112)+(PriceSwitch=2)*Front!$H$21)</f>
        <v>#VALUE!</v>
      </c>
      <c r="M112" s="93" t="n">
        <f aca="false">INDEX(vols,MATCH(A112,volsmonth,0),2)</f>
        <v>0.1875</v>
      </c>
      <c r="N112" s="3" t="e">
        <f aca="false">IF(Skew_Switch=0,"",IF($C112="","",(Front!$E$20=0)*M112+(Front!$E$20=1)*(Front!$E$21+M112)+(Front!$E$20=2)*Front!$E$21))</f>
        <v>#VALUE!</v>
      </c>
      <c r="O112" s="94" t="e">
        <f aca="false">IF(Skew_Switch=0,"",IF(C112="","",((calcskew(Call1-$L112,$C112,a,b))/100)))</f>
        <v>#VALUE!</v>
      </c>
      <c r="P112" s="94" t="e">
        <f aca="false">IF(Skew_Switch=0,"",IF(C112="","",((calcskew(Put1-$L112,$C112,a,b))/100)))</f>
        <v>#VALUE!</v>
      </c>
      <c r="Q112" s="94" t="e">
        <f aca="false">IF(Skew_Switch=0,"",IF(C112="","",((calcskew(Call2-$L112,$C112,a,b))/100)))</f>
        <v>#VALUE!</v>
      </c>
      <c r="R112" s="94" t="e">
        <f aca="false">IF(Skew_Switch=0,"",IF(C112="","",((calcskew(Put2-$L112,$C112,a,b))/100)))</f>
        <v>#VALUE!</v>
      </c>
      <c r="S112" s="3" t="e">
        <f aca="false">IF($C112="","",(Front!$C$19=0)*$N112+(Front!$C$19=1)*($N112+O112))</f>
        <v>#VALUE!</v>
      </c>
      <c r="T112" s="3" t="e">
        <f aca="false">IF($C112="","",(Front!$C$19=0)*$N112+(Front!$C$19=1)*($N112+P112))</f>
        <v>#VALUE!</v>
      </c>
      <c r="U112" s="3" t="e">
        <f aca="false">IF($C112="","",(Front!$C$19=0)*$N112+(Front!$C$19=1)*($N112+Q112))</f>
        <v>#VALUE!</v>
      </c>
      <c r="V112" s="3" t="e">
        <f aca="false">IF($C112="","",(Front!$C$19=0)*$N112+(Front!$C$19=1)*($N112+R112))</f>
        <v>#VALUE!</v>
      </c>
      <c r="W112" s="90" t="e">
        <f aca="false">IF($C112="","",xEURO($L112,Call1,$G112,$G112,S112,$J112,1,0))</f>
        <v>#VALUE!</v>
      </c>
      <c r="X112" s="90" t="e">
        <f aca="false">IF($C112="","",xEURO($L112,Put1,$G112,$G112,T112,$J112,0,0))</f>
        <v>#VALUE!</v>
      </c>
      <c r="Y112" s="90" t="e">
        <f aca="false">IF($C112="","",xEURO($L112,Call2,$G112,$G112,U112,$J112,1,0))</f>
        <v>#VALUE!</v>
      </c>
      <c r="Z112" s="90" t="e">
        <f aca="false">IF($C112="","",xEURO($L112,Put2,$G112,$G112,V112,$J112,0,0))</f>
        <v>#VALUE!</v>
      </c>
      <c r="AA112" s="90" t="e">
        <f aca="false">IF($C112="","",xEURO($L112,Call1,$G112,$G112,$S112,$J112,1,1))</f>
        <v>#VALUE!</v>
      </c>
      <c r="AB112" s="90" t="e">
        <f aca="false">IF($C112="","",xEURO($L112,Put1,$G112,$G112,$T112,$J112,0,1))</f>
        <v>#VALUE!</v>
      </c>
      <c r="AC112" s="90" t="e">
        <f aca="false">IF($C112="","",xEURO($L112,Call2,$G112,$G112,$U112,$J112,1,1))</f>
        <v>#VALUE!</v>
      </c>
      <c r="AD112" s="90" t="e">
        <f aca="false">IF($C112="","",xEURO($L112,Put2,$G112,$G112,$V112,$J112,0,1))</f>
        <v>#VALUE!</v>
      </c>
      <c r="AE112" s="90" t="e">
        <f aca="false">IF($C112="","",xEURO($L112,Call1,$G112,$G112,$S112,$J112,1,3))</f>
        <v>#VALUE!</v>
      </c>
      <c r="AF112" s="90" t="e">
        <f aca="false">IF($C112="","",xEURO($L112,Put1,$G112,$G112,$T112,$J112,0,3))</f>
        <v>#VALUE!</v>
      </c>
      <c r="AG112" s="90" t="e">
        <f aca="false">IF($C112="","",xEURO($L112,Call2,$G112,$G112,$U112,$J112,1,3))</f>
        <v>#VALUE!</v>
      </c>
      <c r="AH112" s="90" t="e">
        <f aca="false">IF($C112="","",xEURO($L112,Put2,$G112,$G112,$V112,$J112,0,3))</f>
        <v>#VALUE!</v>
      </c>
      <c r="AI112" s="8" t="e">
        <f aca="false">IF(E112=1,G112,0)</f>
        <v>#VALUE!</v>
      </c>
      <c r="AJ112" s="8" t="e">
        <f aca="false">IF(E112=1,H112,0)</f>
        <v>#VALUE!</v>
      </c>
      <c r="AK112" s="8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</row>
    <row r="113" customFormat="false" ht="12.75" hidden="false" customHeight="false" outlineLevel="0" collapsed="false">
      <c r="A113" s="95" t="n">
        <f aca="false">Swap!A113</f>
        <v>40269</v>
      </c>
      <c r="B113" s="96" t="n">
        <f aca="false">B112+1</f>
        <v>104</v>
      </c>
      <c r="C113" s="95" t="e">
        <f aca="false">IF(AND(A113&gt;=Front!$E$11,A113&lt;=Front!$E$12),A113,"")</f>
        <v>#VALUE!</v>
      </c>
      <c r="D113" s="87" t="e">
        <f aca="false">Swap!AB113</f>
        <v>#VALUE!</v>
      </c>
      <c r="E113" s="87" t="e">
        <f aca="false">IF($C113="","",1)</f>
        <v>#VALUE!</v>
      </c>
      <c r="F113" s="97" t="e">
        <f aca="false">IF($C113="","",E113*H113)</f>
        <v>#VALUE!</v>
      </c>
      <c r="G113" s="31" t="n">
        <f aca="false">Swap!AG113</f>
        <v>0.0538009307012564</v>
      </c>
      <c r="H113" s="31" t="n">
        <f aca="false">Swap!AH113</f>
        <v>2.27563547366269</v>
      </c>
      <c r="I113" s="92" t="n">
        <f aca="false">INDEX(expery,MATCH(A113,exprymonth,0),2)</f>
        <v>40263</v>
      </c>
      <c r="J113" s="98" t="n">
        <f aca="false">I113-Front!$C$2</f>
        <v>-5663</v>
      </c>
      <c r="K113" s="99" t="n">
        <f aca="false">Swap!E113</f>
        <v>3.6495</v>
      </c>
      <c r="L113" s="99" t="e">
        <f aca="false">IF(C113="","",(PriceSwitch=0)*K113+(PriceSwitch=1)*(Front!$H$21+K113)+(PriceSwitch=2)*Front!$H$21)</f>
        <v>#VALUE!</v>
      </c>
      <c r="M113" s="93" t="n">
        <f aca="false">INDEX(vols,MATCH(A113,volsmonth,0),2)</f>
        <v>0.185</v>
      </c>
      <c r="N113" s="3" t="e">
        <f aca="false">IF(Skew_Switch=0,"",IF($C113="","",(Front!$E$20=0)*M113+(Front!$E$20=1)*(Front!$E$21+M113)+(Front!$E$20=2)*Front!$E$21))</f>
        <v>#VALUE!</v>
      </c>
      <c r="O113" s="94" t="e">
        <f aca="false">IF(Skew_Switch=0,"",IF(C113="","",((calcskew(Call1-$L113,$C113,a,b))/100)))</f>
        <v>#VALUE!</v>
      </c>
      <c r="P113" s="94" t="e">
        <f aca="false">IF(Skew_Switch=0,"",IF(C113="","",((calcskew(Put1-$L113,$C113,a,b))/100)))</f>
        <v>#VALUE!</v>
      </c>
      <c r="Q113" s="94" t="e">
        <f aca="false">IF(Skew_Switch=0,"",IF(C113="","",((calcskew(Call2-$L113,$C113,a,b))/100)))</f>
        <v>#VALUE!</v>
      </c>
      <c r="R113" s="94" t="e">
        <f aca="false">IF(Skew_Switch=0,"",IF(C113="","",((calcskew(Put2-$L113,$C113,a,b))/100)))</f>
        <v>#VALUE!</v>
      </c>
      <c r="S113" s="3" t="e">
        <f aca="false">IF($C113="","",(Front!$C$19=0)*$N113+(Front!$C$19=1)*($N113+O113))</f>
        <v>#VALUE!</v>
      </c>
      <c r="T113" s="3" t="e">
        <f aca="false">IF($C113="","",(Front!$C$19=0)*$N113+(Front!$C$19=1)*($N113+P113))</f>
        <v>#VALUE!</v>
      </c>
      <c r="U113" s="3" t="e">
        <f aca="false">IF($C113="","",(Front!$C$19=0)*$N113+(Front!$C$19=1)*($N113+Q113))</f>
        <v>#VALUE!</v>
      </c>
      <c r="V113" s="3" t="e">
        <f aca="false">IF($C113="","",(Front!$C$19=0)*$N113+(Front!$C$19=1)*($N113+R113))</f>
        <v>#VALUE!</v>
      </c>
      <c r="W113" s="90" t="e">
        <f aca="false">IF($C113="","",xEURO($L113,Call1,$G113,$G113,S113,$J113,1,0))</f>
        <v>#VALUE!</v>
      </c>
      <c r="X113" s="90" t="e">
        <f aca="false">IF($C113="","",xEURO($L113,Put1,$G113,$G113,T113,$J113,0,0))</f>
        <v>#VALUE!</v>
      </c>
      <c r="Y113" s="90" t="e">
        <f aca="false">IF($C113="","",xEURO($L113,Call2,$G113,$G113,U113,$J113,1,0))</f>
        <v>#VALUE!</v>
      </c>
      <c r="Z113" s="90" t="e">
        <f aca="false">IF($C113="","",xEURO($L113,Put2,$G113,$G113,V113,$J113,0,0))</f>
        <v>#VALUE!</v>
      </c>
      <c r="AA113" s="90" t="e">
        <f aca="false">IF($C113="","",xEURO($L113,Call1,$G113,$G113,$S113,$J113,1,1))</f>
        <v>#VALUE!</v>
      </c>
      <c r="AB113" s="90" t="e">
        <f aca="false">IF($C113="","",xEURO($L113,Put1,$G113,$G113,$T113,$J113,0,1))</f>
        <v>#VALUE!</v>
      </c>
      <c r="AC113" s="90" t="e">
        <f aca="false">IF($C113="","",xEURO($L113,Call2,$G113,$G113,$U113,$J113,1,1))</f>
        <v>#VALUE!</v>
      </c>
      <c r="AD113" s="90" t="e">
        <f aca="false">IF($C113="","",xEURO($L113,Put2,$G113,$G113,$V113,$J113,0,1))</f>
        <v>#VALUE!</v>
      </c>
      <c r="AE113" s="90" t="e">
        <f aca="false">IF($C113="","",xEURO($L113,Call1,$G113,$G113,$S113,$J113,1,3))</f>
        <v>#VALUE!</v>
      </c>
      <c r="AF113" s="90" t="e">
        <f aca="false">IF($C113="","",xEURO($L113,Put1,$G113,$G113,$T113,$J113,0,3))</f>
        <v>#VALUE!</v>
      </c>
      <c r="AG113" s="90" t="e">
        <f aca="false">IF($C113="","",xEURO($L113,Call2,$G113,$G113,$U113,$J113,1,3))</f>
        <v>#VALUE!</v>
      </c>
      <c r="AH113" s="90" t="e">
        <f aca="false">IF($C113="","",xEURO($L113,Put2,$G113,$G113,$V113,$J113,0,3))</f>
        <v>#VALUE!</v>
      </c>
      <c r="AI113" s="8" t="e">
        <f aca="false">IF(E113=1,G113,0)</f>
        <v>#VALUE!</v>
      </c>
      <c r="AJ113" s="8" t="e">
        <f aca="false">IF(E113=1,H113,0)</f>
        <v>#VALUE!</v>
      </c>
      <c r="AK113" s="8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</row>
    <row r="114" customFormat="false" ht="12.75" hidden="false" customHeight="false" outlineLevel="0" collapsed="false">
      <c r="A114" s="95" t="n">
        <f aca="false">Swap!A114</f>
        <v>40299</v>
      </c>
      <c r="B114" s="96" t="n">
        <f aca="false">B113+1</f>
        <v>105</v>
      </c>
      <c r="C114" s="95" t="e">
        <f aca="false">IF(AND(A114&gt;=Front!$E$11,A114&lt;=Front!$E$12),A114,"")</f>
        <v>#VALUE!</v>
      </c>
      <c r="D114" s="87" t="e">
        <f aca="false">Swap!AB114</f>
        <v>#VALUE!</v>
      </c>
      <c r="E114" s="87" t="e">
        <f aca="false">IF($C114="","",1)</f>
        <v>#VALUE!</v>
      </c>
      <c r="F114" s="97" t="e">
        <f aca="false">IF($C114="","",E114*H114)</f>
        <v>#VALUE!</v>
      </c>
      <c r="G114" s="31" t="n">
        <f aca="false">Swap!AG114</f>
        <v>0.0539136991259332</v>
      </c>
      <c r="H114" s="31" t="n">
        <f aca="false">Swap!AH114</f>
        <v>2.26957027492688</v>
      </c>
      <c r="I114" s="92" t="n">
        <f aca="false">INDEX(expery,MATCH(A114,exprymonth,0),2)</f>
        <v>40295</v>
      </c>
      <c r="J114" s="98" t="n">
        <f aca="false">I114-Front!$C$2</f>
        <v>-5631</v>
      </c>
      <c r="K114" s="99" t="n">
        <f aca="false">Swap!E114</f>
        <v>3.6495</v>
      </c>
      <c r="L114" s="99" t="e">
        <f aca="false">IF(C114="","",(PriceSwitch=0)*K114+(PriceSwitch=1)*(Front!$H$21+K114)+(PriceSwitch=2)*Front!$H$21)</f>
        <v>#VALUE!</v>
      </c>
      <c r="M114" s="93" t="n">
        <f aca="false">INDEX(vols,MATCH(A114,volsmonth,0),2)</f>
        <v>0.185</v>
      </c>
      <c r="N114" s="3" t="e">
        <f aca="false">IF(Skew_Switch=0,"",IF($C114="","",(Front!$E$20=0)*M114+(Front!$E$20=1)*(Front!$E$21+M114)+(Front!$E$20=2)*Front!$E$21))</f>
        <v>#VALUE!</v>
      </c>
      <c r="O114" s="94" t="e">
        <f aca="false">IF(Skew_Switch=0,"",IF(C114="","",((calcskew(Call1-$L114,$C114,a,b))/100)))</f>
        <v>#VALUE!</v>
      </c>
      <c r="P114" s="94" t="e">
        <f aca="false">IF(Skew_Switch=0,"",IF(C114="","",((calcskew(Put1-$L114,$C114,a,b))/100)))</f>
        <v>#VALUE!</v>
      </c>
      <c r="Q114" s="94" t="e">
        <f aca="false">IF(Skew_Switch=0,"",IF(C114="","",((calcskew(Call2-$L114,$C114,a,b))/100)))</f>
        <v>#VALUE!</v>
      </c>
      <c r="R114" s="94" t="e">
        <f aca="false">IF(Skew_Switch=0,"",IF(C114="","",((calcskew(Put2-$L114,$C114,a,b))/100)))</f>
        <v>#VALUE!</v>
      </c>
      <c r="S114" s="3" t="e">
        <f aca="false">IF($C114="","",(Front!$C$19=0)*$N114+(Front!$C$19=1)*($N114+O114))</f>
        <v>#VALUE!</v>
      </c>
      <c r="T114" s="3" t="e">
        <f aca="false">IF($C114="","",(Front!$C$19=0)*$N114+(Front!$C$19=1)*($N114+P114))</f>
        <v>#VALUE!</v>
      </c>
      <c r="U114" s="3" t="e">
        <f aca="false">IF($C114="","",(Front!$C$19=0)*$N114+(Front!$C$19=1)*($N114+Q114))</f>
        <v>#VALUE!</v>
      </c>
      <c r="V114" s="3" t="e">
        <f aca="false">IF($C114="","",(Front!$C$19=0)*$N114+(Front!$C$19=1)*($N114+R114))</f>
        <v>#VALUE!</v>
      </c>
      <c r="W114" s="90" t="e">
        <f aca="false">IF($C114="","",xEURO($L114,Call1,$G114,$G114,S114,$J114,1,0))</f>
        <v>#VALUE!</v>
      </c>
      <c r="X114" s="90" t="e">
        <f aca="false">IF($C114="","",xEURO($L114,Put1,$G114,$G114,T114,$J114,0,0))</f>
        <v>#VALUE!</v>
      </c>
      <c r="Y114" s="90" t="e">
        <f aca="false">IF($C114="","",xEURO($L114,Call2,$G114,$G114,U114,$J114,1,0))</f>
        <v>#VALUE!</v>
      </c>
      <c r="Z114" s="90" t="e">
        <f aca="false">IF($C114="","",xEURO($L114,Put2,$G114,$G114,V114,$J114,0,0))</f>
        <v>#VALUE!</v>
      </c>
      <c r="AA114" s="90" t="e">
        <f aca="false">IF($C114="","",xEURO($L114,Call1,$G114,$G114,$S114,$J114,1,1))</f>
        <v>#VALUE!</v>
      </c>
      <c r="AB114" s="90" t="e">
        <f aca="false">IF($C114="","",xEURO($L114,Put1,$G114,$G114,$T114,$J114,0,1))</f>
        <v>#VALUE!</v>
      </c>
      <c r="AC114" s="90" t="e">
        <f aca="false">IF($C114="","",xEURO($L114,Call2,$G114,$G114,$U114,$J114,1,1))</f>
        <v>#VALUE!</v>
      </c>
      <c r="AD114" s="90" t="e">
        <f aca="false">IF($C114="","",xEURO($L114,Put2,$G114,$G114,$V114,$J114,0,1))</f>
        <v>#VALUE!</v>
      </c>
      <c r="AE114" s="90" t="e">
        <f aca="false">IF($C114="","",xEURO($L114,Call1,$G114,$G114,$S114,$J114,1,3))</f>
        <v>#VALUE!</v>
      </c>
      <c r="AF114" s="90" t="e">
        <f aca="false">IF($C114="","",xEURO($L114,Put1,$G114,$G114,$T114,$J114,0,3))</f>
        <v>#VALUE!</v>
      </c>
      <c r="AG114" s="90" t="e">
        <f aca="false">IF($C114="","",xEURO($L114,Call2,$G114,$G114,$U114,$J114,1,3))</f>
        <v>#VALUE!</v>
      </c>
      <c r="AH114" s="90" t="e">
        <f aca="false">IF($C114="","",xEURO($L114,Put2,$G114,$G114,$V114,$J114,0,3))</f>
        <v>#VALUE!</v>
      </c>
      <c r="AI114" s="8" t="e">
        <f aca="false">IF(E114=1,G114,0)</f>
        <v>#VALUE!</v>
      </c>
      <c r="AJ114" s="8" t="e">
        <f aca="false">IF(E114=1,H114,0)</f>
        <v>#VALUE!</v>
      </c>
      <c r="AK114" s="8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</row>
    <row r="115" customFormat="false" ht="12.75" hidden="false" customHeight="false" outlineLevel="0" collapsed="false">
      <c r="A115" s="95" t="n">
        <f aca="false">Swap!A115</f>
        <v>40330</v>
      </c>
      <c r="B115" s="96" t="n">
        <f aca="false">B114+1</f>
        <v>106</v>
      </c>
      <c r="C115" s="95" t="e">
        <f aca="false">IF(AND(A115&gt;=Front!$E$11,A115&lt;=Front!$E$12),A115,"")</f>
        <v>#VALUE!</v>
      </c>
      <c r="D115" s="87" t="e">
        <f aca="false">Swap!AB115</f>
        <v>#VALUE!</v>
      </c>
      <c r="E115" s="87" t="e">
        <f aca="false">IF($C115="","",1)</f>
        <v>#VALUE!</v>
      </c>
      <c r="F115" s="97" t="e">
        <f aca="false">IF($C115="","",E115*H115)</f>
        <v>#VALUE!</v>
      </c>
      <c r="G115" s="31" t="n">
        <f aca="false">Swap!AG115</f>
        <v>0.054030226502551</v>
      </c>
      <c r="H115" s="31" t="n">
        <f aca="false">Swap!AH115</f>
        <v>2.2632767743169</v>
      </c>
      <c r="I115" s="92" t="n">
        <f aca="false">INDEX(expery,MATCH(A115,exprymonth,0),2)</f>
        <v>40323</v>
      </c>
      <c r="J115" s="98" t="n">
        <f aca="false">I115-Front!$C$2</f>
        <v>-5603</v>
      </c>
      <c r="K115" s="99" t="n">
        <f aca="false">Swap!E115</f>
        <v>3.6815</v>
      </c>
      <c r="L115" s="99" t="e">
        <f aca="false">IF(C115="","",(PriceSwitch=0)*K115+(PriceSwitch=1)*(Front!$H$21+K115)+(PriceSwitch=2)*Front!$H$21)</f>
        <v>#VALUE!</v>
      </c>
      <c r="M115" s="93" t="n">
        <f aca="false">INDEX(vols,MATCH(A115,volsmonth,0),2)</f>
        <v>0.185</v>
      </c>
      <c r="N115" s="3" t="e">
        <f aca="false">IF(Skew_Switch=0,"",IF($C115="","",(Front!$E$20=0)*M115+(Front!$E$20=1)*(Front!$E$21+M115)+(Front!$E$20=2)*Front!$E$21))</f>
        <v>#VALUE!</v>
      </c>
      <c r="O115" s="94" t="e">
        <f aca="false">IF(Skew_Switch=0,"",IF(C115="","",((calcskew(Call1-$L115,$C115,a,b))/100)))</f>
        <v>#VALUE!</v>
      </c>
      <c r="P115" s="94" t="e">
        <f aca="false">IF(Skew_Switch=0,"",IF(C115="","",((calcskew(Put1-$L115,$C115,a,b))/100)))</f>
        <v>#VALUE!</v>
      </c>
      <c r="Q115" s="94" t="e">
        <f aca="false">IF(Skew_Switch=0,"",IF(C115="","",((calcskew(Call2-$L115,$C115,a,b))/100)))</f>
        <v>#VALUE!</v>
      </c>
      <c r="R115" s="94" t="e">
        <f aca="false">IF(Skew_Switch=0,"",IF(C115="","",((calcskew(Put2-$L115,$C115,a,b))/100)))</f>
        <v>#VALUE!</v>
      </c>
      <c r="S115" s="3" t="e">
        <f aca="false">IF($C115="","",(Front!$C$19=0)*$N115+(Front!$C$19=1)*($N115+O115))</f>
        <v>#VALUE!</v>
      </c>
      <c r="T115" s="3" t="e">
        <f aca="false">IF($C115="","",(Front!$C$19=0)*$N115+(Front!$C$19=1)*($N115+P115))</f>
        <v>#VALUE!</v>
      </c>
      <c r="U115" s="3" t="e">
        <f aca="false">IF($C115="","",(Front!$C$19=0)*$N115+(Front!$C$19=1)*($N115+Q115))</f>
        <v>#VALUE!</v>
      </c>
      <c r="V115" s="3" t="e">
        <f aca="false">IF($C115="","",(Front!$C$19=0)*$N115+(Front!$C$19=1)*($N115+R115))</f>
        <v>#VALUE!</v>
      </c>
      <c r="W115" s="90" t="e">
        <f aca="false">IF($C115="","",xEURO($L115,Call1,$G115,$G115,S115,$J115,1,0))</f>
        <v>#VALUE!</v>
      </c>
      <c r="X115" s="90" t="e">
        <f aca="false">IF($C115="","",xEURO($L115,Put1,$G115,$G115,T115,$J115,0,0))</f>
        <v>#VALUE!</v>
      </c>
      <c r="Y115" s="90" t="e">
        <f aca="false">IF($C115="","",xEURO($L115,Call2,$G115,$G115,U115,$J115,1,0))</f>
        <v>#VALUE!</v>
      </c>
      <c r="Z115" s="90" t="e">
        <f aca="false">IF($C115="","",xEURO($L115,Put2,$G115,$G115,V115,$J115,0,0))</f>
        <v>#VALUE!</v>
      </c>
      <c r="AA115" s="90" t="e">
        <f aca="false">IF($C115="","",xEURO($L115,Call1,$G115,$G115,$S115,$J115,1,1))</f>
        <v>#VALUE!</v>
      </c>
      <c r="AB115" s="90" t="e">
        <f aca="false">IF($C115="","",xEURO($L115,Put1,$G115,$G115,$T115,$J115,0,1))</f>
        <v>#VALUE!</v>
      </c>
      <c r="AC115" s="90" t="e">
        <f aca="false">IF($C115="","",xEURO($L115,Call2,$G115,$G115,$U115,$J115,1,1))</f>
        <v>#VALUE!</v>
      </c>
      <c r="AD115" s="90" t="e">
        <f aca="false">IF($C115="","",xEURO($L115,Put2,$G115,$G115,$V115,$J115,0,1))</f>
        <v>#VALUE!</v>
      </c>
      <c r="AE115" s="90" t="e">
        <f aca="false">IF($C115="","",xEURO($L115,Call1,$G115,$G115,$S115,$J115,1,3))</f>
        <v>#VALUE!</v>
      </c>
      <c r="AF115" s="90" t="e">
        <f aca="false">IF($C115="","",xEURO($L115,Put1,$G115,$G115,$T115,$J115,0,3))</f>
        <v>#VALUE!</v>
      </c>
      <c r="AG115" s="90" t="e">
        <f aca="false">IF($C115="","",xEURO($L115,Call2,$G115,$G115,$U115,$J115,1,3))</f>
        <v>#VALUE!</v>
      </c>
      <c r="AH115" s="90" t="e">
        <f aca="false">IF($C115="","",xEURO($L115,Put2,$G115,$G115,$V115,$J115,0,3))</f>
        <v>#VALUE!</v>
      </c>
      <c r="AI115" s="8" t="e">
        <f aca="false">IF(E115=1,G115,0)</f>
        <v>#VALUE!</v>
      </c>
      <c r="AJ115" s="8" t="e">
        <f aca="false">IF(E115=1,H115,0)</f>
        <v>#VALUE!</v>
      </c>
      <c r="AK115" s="8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</row>
    <row r="116" customFormat="false" ht="12.75" hidden="false" customHeight="false" outlineLevel="0" collapsed="false">
      <c r="A116" s="95" t="n">
        <f aca="false">Swap!A116</f>
        <v>40360</v>
      </c>
      <c r="B116" s="96" t="n">
        <f aca="false">B115+1</f>
        <v>107</v>
      </c>
      <c r="C116" s="95" t="e">
        <f aca="false">IF(AND(A116&gt;=Front!$E$11,A116&lt;=Front!$E$12),A116,"")</f>
        <v>#VALUE!</v>
      </c>
      <c r="D116" s="87" t="e">
        <f aca="false">Swap!AB116</f>
        <v>#VALUE!</v>
      </c>
      <c r="E116" s="87" t="e">
        <f aca="false">IF($C116="","",1)</f>
        <v>#VALUE!</v>
      </c>
      <c r="F116" s="97" t="e">
        <f aca="false">IF($C116="","",E116*H116)</f>
        <v>#VALUE!</v>
      </c>
      <c r="G116" s="31" t="n">
        <f aca="false">Swap!AG116</f>
        <v>0.0541429949358445</v>
      </c>
      <c r="H116" s="31" t="n">
        <f aca="false">Swap!AH116</f>
        <v>2.25716130292982</v>
      </c>
      <c r="I116" s="92" t="n">
        <f aca="false">INDEX(expery,MATCH(A116,exprymonth,0),2)</f>
        <v>40354</v>
      </c>
      <c r="J116" s="98" t="n">
        <f aca="false">I116-Front!$C$2</f>
        <v>-5572</v>
      </c>
      <c r="K116" s="99" t="n">
        <f aca="false">Swap!E116</f>
        <v>3.7315</v>
      </c>
      <c r="L116" s="99" t="e">
        <f aca="false">IF(C116="","",(PriceSwitch=0)*K116+(PriceSwitch=1)*(Front!$H$21+K116)+(PriceSwitch=2)*Front!$H$21)</f>
        <v>#VALUE!</v>
      </c>
      <c r="M116" s="93" t="n">
        <f aca="false">INDEX(vols,MATCH(A116,volsmonth,0),2)</f>
        <v>0.185</v>
      </c>
      <c r="N116" s="3" t="e">
        <f aca="false">IF(Skew_Switch=0,"",IF($C116="","",(Front!$E$20=0)*M116+(Front!$E$20=1)*(Front!$E$21+M116)+(Front!$E$20=2)*Front!$E$21))</f>
        <v>#VALUE!</v>
      </c>
      <c r="O116" s="94" t="e">
        <f aca="false">IF(Skew_Switch=0,"",IF(C116="","",((calcskew(Call1-$L116,$C116,a,b))/100)))</f>
        <v>#VALUE!</v>
      </c>
      <c r="P116" s="94" t="e">
        <f aca="false">IF(Skew_Switch=0,"",IF(C116="","",((calcskew(Put1-$L116,$C116,a,b))/100)))</f>
        <v>#VALUE!</v>
      </c>
      <c r="Q116" s="94" t="e">
        <f aca="false">IF(Skew_Switch=0,"",IF(C116="","",((calcskew(Call2-$L116,$C116,a,b))/100)))</f>
        <v>#VALUE!</v>
      </c>
      <c r="R116" s="94" t="e">
        <f aca="false">IF(Skew_Switch=0,"",IF(C116="","",((calcskew(Put2-$L116,$C116,a,b))/100)))</f>
        <v>#VALUE!</v>
      </c>
      <c r="S116" s="3" t="e">
        <f aca="false">IF($C116="","",(Front!$C$19=0)*$N116+(Front!$C$19=1)*($N116+O116))</f>
        <v>#VALUE!</v>
      </c>
      <c r="T116" s="3" t="e">
        <f aca="false">IF($C116="","",(Front!$C$19=0)*$N116+(Front!$C$19=1)*($N116+P116))</f>
        <v>#VALUE!</v>
      </c>
      <c r="U116" s="3" t="e">
        <f aca="false">IF($C116="","",(Front!$C$19=0)*$N116+(Front!$C$19=1)*($N116+Q116))</f>
        <v>#VALUE!</v>
      </c>
      <c r="V116" s="3" t="e">
        <f aca="false">IF($C116="","",(Front!$C$19=0)*$N116+(Front!$C$19=1)*($N116+R116))</f>
        <v>#VALUE!</v>
      </c>
      <c r="W116" s="90" t="e">
        <f aca="false">IF($C116="","",xEURO($L116,Call1,$G116,$G116,S116,$J116,1,0))</f>
        <v>#VALUE!</v>
      </c>
      <c r="X116" s="90" t="e">
        <f aca="false">IF($C116="","",xEURO($L116,Put1,$G116,$G116,T116,$J116,0,0))</f>
        <v>#VALUE!</v>
      </c>
      <c r="Y116" s="90" t="e">
        <f aca="false">IF($C116="","",xEURO($L116,Call2,$G116,$G116,U116,$J116,1,0))</f>
        <v>#VALUE!</v>
      </c>
      <c r="Z116" s="90" t="e">
        <f aca="false">IF($C116="","",xEURO($L116,Put2,$G116,$G116,V116,$J116,0,0))</f>
        <v>#VALUE!</v>
      </c>
      <c r="AA116" s="90" t="e">
        <f aca="false">IF($C116="","",xEURO($L116,Call1,$G116,$G116,$S116,$J116,1,1))</f>
        <v>#VALUE!</v>
      </c>
      <c r="AB116" s="90" t="e">
        <f aca="false">IF($C116="","",xEURO($L116,Put1,$G116,$G116,$T116,$J116,0,1))</f>
        <v>#VALUE!</v>
      </c>
      <c r="AC116" s="90" t="e">
        <f aca="false">IF($C116="","",xEURO($L116,Call2,$G116,$G116,$U116,$J116,1,1))</f>
        <v>#VALUE!</v>
      </c>
      <c r="AD116" s="90" t="e">
        <f aca="false">IF($C116="","",xEURO($L116,Put2,$G116,$G116,$V116,$J116,0,1))</f>
        <v>#VALUE!</v>
      </c>
      <c r="AE116" s="90" t="e">
        <f aca="false">IF($C116="","",xEURO($L116,Call1,$G116,$G116,$S116,$J116,1,3))</f>
        <v>#VALUE!</v>
      </c>
      <c r="AF116" s="90" t="e">
        <f aca="false">IF($C116="","",xEURO($L116,Put1,$G116,$G116,$T116,$J116,0,3))</f>
        <v>#VALUE!</v>
      </c>
      <c r="AG116" s="90" t="e">
        <f aca="false">IF($C116="","",xEURO($L116,Call2,$G116,$G116,$U116,$J116,1,3))</f>
        <v>#VALUE!</v>
      </c>
      <c r="AH116" s="90" t="e">
        <f aca="false">IF($C116="","",xEURO($L116,Put2,$G116,$G116,$V116,$J116,0,3))</f>
        <v>#VALUE!</v>
      </c>
      <c r="AI116" s="8" t="e">
        <f aca="false">IF(E116=1,G116,0)</f>
        <v>#VALUE!</v>
      </c>
      <c r="AJ116" s="8" t="e">
        <f aca="false">IF(E116=1,H116,0)</f>
        <v>#VALUE!</v>
      </c>
      <c r="AK116" s="8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</row>
    <row r="117" customFormat="false" ht="12.75" hidden="false" customHeight="false" outlineLevel="0" collapsed="false">
      <c r="A117" s="95" t="n">
        <f aca="false">Swap!A117</f>
        <v>40391</v>
      </c>
      <c r="B117" s="96" t="n">
        <f aca="false">B116+1</f>
        <v>108</v>
      </c>
      <c r="C117" s="95" t="e">
        <f aca="false">IF(AND(A117&gt;=Front!$E$11,A117&lt;=Front!$E$12),A117,"")</f>
        <v>#VALUE!</v>
      </c>
      <c r="D117" s="87" t="e">
        <f aca="false">Swap!AB117</f>
        <v>#VALUE!</v>
      </c>
      <c r="E117" s="87" t="e">
        <f aca="false">IF($C117="","",1)</f>
        <v>#VALUE!</v>
      </c>
      <c r="F117" s="97" t="e">
        <f aca="false">IF($C117="","",E117*H117)</f>
        <v>#VALUE!</v>
      </c>
      <c r="G117" s="31" t="n">
        <f aca="false">Swap!AG117</f>
        <v>0.0542595223213667</v>
      </c>
      <c r="H117" s="31" t="n">
        <f aca="false">Swap!AH117</f>
        <v>2.25081647539813</v>
      </c>
      <c r="I117" s="92" t="n">
        <f aca="false">INDEX(expery,MATCH(A117,exprymonth,0),2)</f>
        <v>40386</v>
      </c>
      <c r="J117" s="98" t="n">
        <f aca="false">I117-Front!$C$2</f>
        <v>-5540</v>
      </c>
      <c r="K117" s="99" t="n">
        <f aca="false">Swap!E117</f>
        <v>3.7655</v>
      </c>
      <c r="L117" s="99" t="e">
        <f aca="false">IF(C117="","",(PriceSwitch=0)*K117+(PriceSwitch=1)*(Front!$H$21+K117)+(PriceSwitch=2)*Front!$H$21)</f>
        <v>#VALUE!</v>
      </c>
      <c r="M117" s="93" t="n">
        <f aca="false">INDEX(vols,MATCH(A117,volsmonth,0),2)</f>
        <v>0.185</v>
      </c>
      <c r="N117" s="3" t="e">
        <f aca="false">IF(Skew_Switch=0,"",IF($C117="","",(Front!$E$20=0)*M117+(Front!$E$20=1)*(Front!$E$21+M117)+(Front!$E$20=2)*Front!$E$21))</f>
        <v>#VALUE!</v>
      </c>
      <c r="O117" s="94" t="e">
        <f aca="false">IF(Skew_Switch=0,"",IF(C117="","",((calcskew(Call1-$L117,$C117,a,b))/100)))</f>
        <v>#VALUE!</v>
      </c>
      <c r="P117" s="94" t="e">
        <f aca="false">IF(Skew_Switch=0,"",IF(C117="","",((calcskew(Put1-$L117,$C117,a,b))/100)))</f>
        <v>#VALUE!</v>
      </c>
      <c r="Q117" s="94" t="e">
        <f aca="false">IF(Skew_Switch=0,"",IF(C117="","",((calcskew(Call2-$L117,$C117,a,b))/100)))</f>
        <v>#VALUE!</v>
      </c>
      <c r="R117" s="94" t="e">
        <f aca="false">IF(Skew_Switch=0,"",IF(C117="","",((calcskew(Put2-$L117,$C117,a,b))/100)))</f>
        <v>#VALUE!</v>
      </c>
      <c r="S117" s="3" t="e">
        <f aca="false">IF($C117="","",(Front!$C$19=0)*$N117+(Front!$C$19=1)*($N117+O117))</f>
        <v>#VALUE!</v>
      </c>
      <c r="T117" s="3" t="e">
        <f aca="false">IF($C117="","",(Front!$C$19=0)*$N117+(Front!$C$19=1)*($N117+P117))</f>
        <v>#VALUE!</v>
      </c>
      <c r="U117" s="3" t="e">
        <f aca="false">IF($C117="","",(Front!$C$19=0)*$N117+(Front!$C$19=1)*($N117+Q117))</f>
        <v>#VALUE!</v>
      </c>
      <c r="V117" s="3" t="e">
        <f aca="false">IF($C117="","",(Front!$C$19=0)*$N117+(Front!$C$19=1)*($N117+R117))</f>
        <v>#VALUE!</v>
      </c>
      <c r="W117" s="90" t="e">
        <f aca="false">IF($C117="","",xEURO($L117,Call1,$G117,$G117,S117,$J117,1,0))</f>
        <v>#VALUE!</v>
      </c>
      <c r="X117" s="90" t="e">
        <f aca="false">IF($C117="","",xEURO($L117,Put1,$G117,$G117,T117,$J117,0,0))</f>
        <v>#VALUE!</v>
      </c>
      <c r="Y117" s="90" t="e">
        <f aca="false">IF($C117="","",xEURO($L117,Call2,$G117,$G117,U117,$J117,1,0))</f>
        <v>#VALUE!</v>
      </c>
      <c r="Z117" s="90" t="e">
        <f aca="false">IF($C117="","",xEURO($L117,Put2,$G117,$G117,V117,$J117,0,0))</f>
        <v>#VALUE!</v>
      </c>
      <c r="AA117" s="90" t="e">
        <f aca="false">IF($C117="","",xEURO($L117,Call1,$G117,$G117,$S117,$J117,1,1))</f>
        <v>#VALUE!</v>
      </c>
      <c r="AB117" s="90" t="e">
        <f aca="false">IF($C117="","",xEURO($L117,Put1,$G117,$G117,$T117,$J117,0,1))</f>
        <v>#VALUE!</v>
      </c>
      <c r="AC117" s="90" t="e">
        <f aca="false">IF($C117="","",xEURO($L117,Call2,$G117,$G117,$U117,$J117,1,1))</f>
        <v>#VALUE!</v>
      </c>
      <c r="AD117" s="90" t="e">
        <f aca="false">IF($C117="","",xEURO($L117,Put2,$G117,$G117,$V117,$J117,0,1))</f>
        <v>#VALUE!</v>
      </c>
      <c r="AE117" s="90" t="e">
        <f aca="false">IF($C117="","",xEURO($L117,Call1,$G117,$G117,$S117,$J117,1,3))</f>
        <v>#VALUE!</v>
      </c>
      <c r="AF117" s="90" t="e">
        <f aca="false">IF($C117="","",xEURO($L117,Put1,$G117,$G117,$T117,$J117,0,3))</f>
        <v>#VALUE!</v>
      </c>
      <c r="AG117" s="90" t="e">
        <f aca="false">IF($C117="","",xEURO($L117,Call2,$G117,$G117,$U117,$J117,1,3))</f>
        <v>#VALUE!</v>
      </c>
      <c r="AH117" s="90" t="e">
        <f aca="false">IF($C117="","",xEURO($L117,Put2,$G117,$G117,$V117,$J117,0,3))</f>
        <v>#VALUE!</v>
      </c>
      <c r="AI117" s="8" t="e">
        <f aca="false">IF(E117=1,G117,0)</f>
        <v>#VALUE!</v>
      </c>
      <c r="AJ117" s="8" t="e">
        <f aca="false">IF(E117=1,H117,0)</f>
        <v>#VALUE!</v>
      </c>
      <c r="AK117" s="8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</row>
    <row r="118" customFormat="false" ht="12.75" hidden="false" customHeight="false" outlineLevel="0" collapsed="false">
      <c r="A118" s="95" t="n">
        <f aca="false">Swap!A118</f>
        <v>40422</v>
      </c>
      <c r="B118" s="96" t="n">
        <f aca="false">B117+1</f>
        <v>109</v>
      </c>
      <c r="C118" s="95" t="e">
        <f aca="false">IF(AND(A118&gt;=Front!$E$11,A118&lt;=Front!$E$12),A118,"")</f>
        <v>#VALUE!</v>
      </c>
      <c r="D118" s="87" t="e">
        <f aca="false">Swap!AB118</f>
        <v>#VALUE!</v>
      </c>
      <c r="E118" s="87" t="e">
        <f aca="false">IF($C118="","",1)</f>
        <v>#VALUE!</v>
      </c>
      <c r="F118" s="97" t="e">
        <f aca="false">IF($C118="","",E118*H118)</f>
        <v>#VALUE!</v>
      </c>
      <c r="G118" s="31" t="n">
        <f aca="false">Swap!AG118</f>
        <v>0.0543760497114123</v>
      </c>
      <c r="H118" s="31" t="n">
        <f aca="false">Swap!AH118</f>
        <v>2.2444460410311</v>
      </c>
      <c r="I118" s="92" t="n">
        <f aca="false">INDEX(expery,MATCH(A118,exprymonth,0),2)</f>
        <v>40416</v>
      </c>
      <c r="J118" s="98" t="n">
        <f aca="false">I118-Front!$C$2</f>
        <v>-5510</v>
      </c>
      <c r="K118" s="99" t="n">
        <f aca="false">Swap!E118</f>
        <v>3.7785</v>
      </c>
      <c r="L118" s="99" t="e">
        <f aca="false">IF(C118="","",(PriceSwitch=0)*K118+(PriceSwitch=1)*(Front!$H$21+K118)+(PriceSwitch=2)*Front!$H$21)</f>
        <v>#VALUE!</v>
      </c>
      <c r="M118" s="93" t="n">
        <f aca="false">INDEX(vols,MATCH(A118,volsmonth,0),2)</f>
        <v>0.185</v>
      </c>
      <c r="N118" s="3" t="e">
        <f aca="false">IF(Skew_Switch=0,"",IF($C118="","",(Front!$E$20=0)*M118+(Front!$E$20=1)*(Front!$E$21+M118)+(Front!$E$20=2)*Front!$E$21))</f>
        <v>#VALUE!</v>
      </c>
      <c r="O118" s="94" t="e">
        <f aca="false">IF(Skew_Switch=0,"",IF(C118="","",((calcskew(Call1-$L118,$C118,a,b))/100)))</f>
        <v>#VALUE!</v>
      </c>
      <c r="P118" s="94" t="e">
        <f aca="false">IF(Skew_Switch=0,"",IF(C118="","",((calcskew(Put1-$L118,$C118,a,b))/100)))</f>
        <v>#VALUE!</v>
      </c>
      <c r="Q118" s="94" t="e">
        <f aca="false">IF(Skew_Switch=0,"",IF(C118="","",((calcskew(Call2-$L118,$C118,a,b))/100)))</f>
        <v>#VALUE!</v>
      </c>
      <c r="R118" s="94" t="e">
        <f aca="false">IF(Skew_Switch=0,"",IF(C118="","",((calcskew(Put2-$L118,$C118,a,b))/100)))</f>
        <v>#VALUE!</v>
      </c>
      <c r="S118" s="3" t="e">
        <f aca="false">IF($C118="","",(Front!$C$19=0)*$N118+(Front!$C$19=1)*($N118+O118))</f>
        <v>#VALUE!</v>
      </c>
      <c r="T118" s="3" t="e">
        <f aca="false">IF($C118="","",(Front!$C$19=0)*$N118+(Front!$C$19=1)*($N118+P118))</f>
        <v>#VALUE!</v>
      </c>
      <c r="U118" s="3" t="e">
        <f aca="false">IF($C118="","",(Front!$C$19=0)*$N118+(Front!$C$19=1)*($N118+Q118))</f>
        <v>#VALUE!</v>
      </c>
      <c r="V118" s="3" t="e">
        <f aca="false">IF($C118="","",(Front!$C$19=0)*$N118+(Front!$C$19=1)*($N118+R118))</f>
        <v>#VALUE!</v>
      </c>
      <c r="W118" s="90" t="e">
        <f aca="false">IF($C118="","",xEURO($L118,Call1,$G118,$G118,S118,$J118,1,0))</f>
        <v>#VALUE!</v>
      </c>
      <c r="X118" s="90" t="e">
        <f aca="false">IF($C118="","",xEURO($L118,Put1,$G118,$G118,T118,$J118,0,0))</f>
        <v>#VALUE!</v>
      </c>
      <c r="Y118" s="90" t="e">
        <f aca="false">IF($C118="","",xEURO($L118,Call2,$G118,$G118,U118,$J118,1,0))</f>
        <v>#VALUE!</v>
      </c>
      <c r="Z118" s="90" t="e">
        <f aca="false">IF($C118="","",xEURO($L118,Put2,$G118,$G118,V118,$J118,0,0))</f>
        <v>#VALUE!</v>
      </c>
      <c r="AA118" s="90" t="e">
        <f aca="false">IF($C118="","",xEURO($L118,Call1,$G118,$G118,$S118,$J118,1,1))</f>
        <v>#VALUE!</v>
      </c>
      <c r="AB118" s="90" t="e">
        <f aca="false">IF($C118="","",xEURO($L118,Put1,$G118,$G118,$T118,$J118,0,1))</f>
        <v>#VALUE!</v>
      </c>
      <c r="AC118" s="90" t="e">
        <f aca="false">IF($C118="","",xEURO($L118,Call2,$G118,$G118,$U118,$J118,1,1))</f>
        <v>#VALUE!</v>
      </c>
      <c r="AD118" s="90" t="e">
        <f aca="false">IF($C118="","",xEURO($L118,Put2,$G118,$G118,$V118,$J118,0,1))</f>
        <v>#VALUE!</v>
      </c>
      <c r="AE118" s="90" t="e">
        <f aca="false">IF($C118="","",xEURO($L118,Call1,$G118,$G118,$S118,$J118,1,3))</f>
        <v>#VALUE!</v>
      </c>
      <c r="AF118" s="90" t="e">
        <f aca="false">IF($C118="","",xEURO($L118,Put1,$G118,$G118,$T118,$J118,0,3))</f>
        <v>#VALUE!</v>
      </c>
      <c r="AG118" s="90" t="e">
        <f aca="false">IF($C118="","",xEURO($L118,Call2,$G118,$G118,$U118,$J118,1,3))</f>
        <v>#VALUE!</v>
      </c>
      <c r="AH118" s="90" t="e">
        <f aca="false">IF($C118="","",xEURO($L118,Put2,$G118,$G118,$V118,$J118,0,3))</f>
        <v>#VALUE!</v>
      </c>
      <c r="AI118" s="8" t="e">
        <f aca="false">IF(E118=1,G118,0)</f>
        <v>#VALUE!</v>
      </c>
      <c r="AJ118" s="8" t="e">
        <f aca="false">IF(E118=1,H118,0)</f>
        <v>#VALUE!</v>
      </c>
      <c r="AK118" s="8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</row>
    <row r="119" customFormat="false" ht="12.75" hidden="false" customHeight="false" outlineLevel="0" collapsed="false">
      <c r="A119" s="95" t="n">
        <f aca="false">Swap!A119</f>
        <v>40452</v>
      </c>
      <c r="B119" s="96" t="n">
        <f aca="false">B118+1</f>
        <v>110</v>
      </c>
      <c r="C119" s="95" t="e">
        <f aca="false">IF(AND(A119&gt;=Front!$E$11,A119&lt;=Front!$E$12),A119,"")</f>
        <v>#VALUE!</v>
      </c>
      <c r="D119" s="87" t="e">
        <f aca="false">Swap!AB119</f>
        <v>#VALUE!</v>
      </c>
      <c r="E119" s="87" t="e">
        <f aca="false">IF($C119="","",1)</f>
        <v>#VALUE!</v>
      </c>
      <c r="F119" s="97" t="e">
        <f aca="false">IF($C119="","",E119*H119)</f>
        <v>#VALUE!</v>
      </c>
      <c r="G119" s="31" t="n">
        <f aca="false">Swap!AG119</f>
        <v>0.0544888181576999</v>
      </c>
      <c r="H119" s="31" t="n">
        <f aca="false">Swap!AH119</f>
        <v>2.23825702710483</v>
      </c>
      <c r="I119" s="92" t="n">
        <f aca="false">INDEX(expery,MATCH(A119,exprymonth,0),2)</f>
        <v>40448</v>
      </c>
      <c r="J119" s="98" t="n">
        <f aca="false">I119-Front!$C$2</f>
        <v>-5478</v>
      </c>
      <c r="K119" s="99" t="n">
        <f aca="false">Swap!E119</f>
        <v>3.7705</v>
      </c>
      <c r="L119" s="99" t="e">
        <f aca="false">IF(C119="","",(PriceSwitch=0)*K119+(PriceSwitch=1)*(Front!$H$21+K119)+(PriceSwitch=2)*Front!$H$21)</f>
        <v>#VALUE!</v>
      </c>
      <c r="M119" s="93" t="n">
        <f aca="false">INDEX(vols,MATCH(A119,volsmonth,0),2)</f>
        <v>0.185</v>
      </c>
      <c r="N119" s="3" t="e">
        <f aca="false">IF(Skew_Switch=0,"",IF($C119="","",(Front!$E$20=0)*M119+(Front!$E$20=1)*(Front!$E$21+M119)+(Front!$E$20=2)*Front!$E$21))</f>
        <v>#VALUE!</v>
      </c>
      <c r="O119" s="94" t="e">
        <f aca="false">IF(Skew_Switch=0,"",IF(C119="","",((calcskew(Call1-$L119,$C119,a,b))/100)))</f>
        <v>#VALUE!</v>
      </c>
      <c r="P119" s="94" t="e">
        <f aca="false">IF(Skew_Switch=0,"",IF(C119="","",((calcskew(Put1-$L119,$C119,a,b))/100)))</f>
        <v>#VALUE!</v>
      </c>
      <c r="Q119" s="94" t="e">
        <f aca="false">IF(Skew_Switch=0,"",IF(C119="","",((calcskew(Call2-$L119,$C119,a,b))/100)))</f>
        <v>#VALUE!</v>
      </c>
      <c r="R119" s="94" t="e">
        <f aca="false">IF(Skew_Switch=0,"",IF(C119="","",((calcskew(Put2-$L119,$C119,a,b))/100)))</f>
        <v>#VALUE!</v>
      </c>
      <c r="S119" s="3" t="e">
        <f aca="false">IF($C119="","",(Front!$C$19=0)*$N119+(Front!$C$19=1)*($N119+O119))</f>
        <v>#VALUE!</v>
      </c>
      <c r="T119" s="3" t="e">
        <f aca="false">IF($C119="","",(Front!$C$19=0)*$N119+(Front!$C$19=1)*($N119+P119))</f>
        <v>#VALUE!</v>
      </c>
      <c r="U119" s="3" t="e">
        <f aca="false">IF($C119="","",(Front!$C$19=0)*$N119+(Front!$C$19=1)*($N119+Q119))</f>
        <v>#VALUE!</v>
      </c>
      <c r="V119" s="3" t="e">
        <f aca="false">IF($C119="","",(Front!$C$19=0)*$N119+(Front!$C$19=1)*($N119+R119))</f>
        <v>#VALUE!</v>
      </c>
      <c r="W119" s="90" t="e">
        <f aca="false">IF($C119="","",xEURO($L119,Call1,$G119,$G119,S119,$J119,1,0))</f>
        <v>#VALUE!</v>
      </c>
      <c r="X119" s="90" t="e">
        <f aca="false">IF($C119="","",xEURO($L119,Put1,$G119,$G119,T119,$J119,0,0))</f>
        <v>#VALUE!</v>
      </c>
      <c r="Y119" s="90" t="e">
        <f aca="false">IF($C119="","",xEURO($L119,Call2,$G119,$G119,U119,$J119,1,0))</f>
        <v>#VALUE!</v>
      </c>
      <c r="Z119" s="90" t="e">
        <f aca="false">IF($C119="","",xEURO($L119,Put2,$G119,$G119,V119,$J119,0,0))</f>
        <v>#VALUE!</v>
      </c>
      <c r="AA119" s="90" t="e">
        <f aca="false">IF($C119="","",xEURO($L119,Call1,$G119,$G119,$S119,$J119,1,1))</f>
        <v>#VALUE!</v>
      </c>
      <c r="AB119" s="90" t="e">
        <f aca="false">IF($C119="","",xEURO($L119,Put1,$G119,$G119,$T119,$J119,0,1))</f>
        <v>#VALUE!</v>
      </c>
      <c r="AC119" s="90" t="e">
        <f aca="false">IF($C119="","",xEURO($L119,Call2,$G119,$G119,$U119,$J119,1,1))</f>
        <v>#VALUE!</v>
      </c>
      <c r="AD119" s="90" t="e">
        <f aca="false">IF($C119="","",xEURO($L119,Put2,$G119,$G119,$V119,$J119,0,1))</f>
        <v>#VALUE!</v>
      </c>
      <c r="AE119" s="90" t="e">
        <f aca="false">IF($C119="","",xEURO($L119,Call1,$G119,$G119,$S119,$J119,1,3))</f>
        <v>#VALUE!</v>
      </c>
      <c r="AF119" s="90" t="e">
        <f aca="false">IF($C119="","",xEURO($L119,Put1,$G119,$G119,$T119,$J119,0,3))</f>
        <v>#VALUE!</v>
      </c>
      <c r="AG119" s="90" t="e">
        <f aca="false">IF($C119="","",xEURO($L119,Call2,$G119,$G119,$U119,$J119,1,3))</f>
        <v>#VALUE!</v>
      </c>
      <c r="AH119" s="90" t="e">
        <f aca="false">IF($C119="","",xEURO($L119,Put2,$G119,$G119,$V119,$J119,0,3))</f>
        <v>#VALUE!</v>
      </c>
      <c r="AI119" s="8" t="e">
        <f aca="false">IF(E119=1,G119,0)</f>
        <v>#VALUE!</v>
      </c>
      <c r="AJ119" s="8" t="e">
        <f aca="false">IF(E119=1,H119,0)</f>
        <v>#VALUE!</v>
      </c>
      <c r="AK119" s="8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</row>
    <row r="120" customFormat="false" ht="12.75" hidden="false" customHeight="false" outlineLevel="0" collapsed="false">
      <c r="A120" s="95" t="n">
        <f aca="false">Swap!A120</f>
        <v>40483</v>
      </c>
      <c r="B120" s="96" t="n">
        <f aca="false">B119+1</f>
        <v>111</v>
      </c>
      <c r="C120" s="95" t="e">
        <f aca="false">IF(AND(A120&gt;=Front!$E$11,A120&lt;=Front!$E$12),A120,"")</f>
        <v>#VALUE!</v>
      </c>
      <c r="D120" s="87" t="e">
        <f aca="false">Swap!AB120</f>
        <v>#VALUE!</v>
      </c>
      <c r="E120" s="87" t="e">
        <f aca="false">IF($C120="","",1)</f>
        <v>#VALUE!</v>
      </c>
      <c r="F120" s="97" t="e">
        <f aca="false">IF($C120="","",E120*H120)</f>
        <v>#VALUE!</v>
      </c>
      <c r="G120" s="31" t="n">
        <f aca="false">Swap!AG120</f>
        <v>0.0546053455566473</v>
      </c>
      <c r="H120" s="31" t="n">
        <f aca="false">Swap!AH120</f>
        <v>2.23183714698987</v>
      </c>
      <c r="I120" s="92" t="n">
        <f aca="false">INDEX(expery,MATCH(A120,exprymonth,0),2)</f>
        <v>40477</v>
      </c>
      <c r="J120" s="98" t="n">
        <f aca="false">I120-Front!$C$2</f>
        <v>-5449</v>
      </c>
      <c r="K120" s="99" t="n">
        <f aca="false">Swap!E120</f>
        <v>3.9405</v>
      </c>
      <c r="L120" s="99" t="e">
        <f aca="false">IF(C120="","",(PriceSwitch=0)*K120+(PriceSwitch=1)*(Front!$H$21+K120)+(PriceSwitch=2)*Front!$H$21)</f>
        <v>#VALUE!</v>
      </c>
      <c r="M120" s="93" t="n">
        <f aca="false">INDEX(vols,MATCH(A120,volsmonth,0),2)</f>
        <v>0.185</v>
      </c>
      <c r="N120" s="3" t="e">
        <f aca="false">IF(Skew_Switch=0,"",IF($C120="","",(Front!$E$20=0)*M120+(Front!$E$20=1)*(Front!$E$21+M120)+(Front!$E$20=2)*Front!$E$21))</f>
        <v>#VALUE!</v>
      </c>
      <c r="O120" s="94" t="e">
        <f aca="false">IF(Skew_Switch=0,"",IF(C120="","",((calcskew(Call1-$L120,$C120,a,b))/100)))</f>
        <v>#VALUE!</v>
      </c>
      <c r="P120" s="94" t="e">
        <f aca="false">IF(Skew_Switch=0,"",IF(C120="","",((calcskew(Put1-$L120,$C120,a,b))/100)))</f>
        <v>#VALUE!</v>
      </c>
      <c r="Q120" s="94" t="e">
        <f aca="false">IF(Skew_Switch=0,"",IF(C120="","",((calcskew(Call2-$L120,$C120,a,b))/100)))</f>
        <v>#VALUE!</v>
      </c>
      <c r="R120" s="94" t="e">
        <f aca="false">IF(Skew_Switch=0,"",IF(C120="","",((calcskew(Put2-$L120,$C120,a,b))/100)))</f>
        <v>#VALUE!</v>
      </c>
      <c r="S120" s="3" t="e">
        <f aca="false">IF($C120="","",(Front!$C$19=0)*$N120+(Front!$C$19=1)*($N120+O120))</f>
        <v>#VALUE!</v>
      </c>
      <c r="T120" s="3" t="e">
        <f aca="false">IF($C120="","",(Front!$C$19=0)*$N120+(Front!$C$19=1)*($N120+P120))</f>
        <v>#VALUE!</v>
      </c>
      <c r="U120" s="3" t="e">
        <f aca="false">IF($C120="","",(Front!$C$19=0)*$N120+(Front!$C$19=1)*($N120+Q120))</f>
        <v>#VALUE!</v>
      </c>
      <c r="V120" s="3" t="e">
        <f aca="false">IF($C120="","",(Front!$C$19=0)*$N120+(Front!$C$19=1)*($N120+R120))</f>
        <v>#VALUE!</v>
      </c>
      <c r="W120" s="90" t="e">
        <f aca="false">IF($C120="","",xEURO($L120,Call1,$G120,$G120,S120,$J120,1,0))</f>
        <v>#VALUE!</v>
      </c>
      <c r="X120" s="90" t="e">
        <f aca="false">IF($C120="","",xEURO($L120,Put1,$G120,$G120,T120,$J120,0,0))</f>
        <v>#VALUE!</v>
      </c>
      <c r="Y120" s="90" t="e">
        <f aca="false">IF($C120="","",xEURO($L120,Call2,$G120,$G120,U120,$J120,1,0))</f>
        <v>#VALUE!</v>
      </c>
      <c r="Z120" s="90" t="e">
        <f aca="false">IF($C120="","",xEURO($L120,Put2,$G120,$G120,V120,$J120,0,0))</f>
        <v>#VALUE!</v>
      </c>
      <c r="AA120" s="90" t="e">
        <f aca="false">IF($C120="","",xEURO($L120,Call1,$G120,$G120,$S120,$J120,1,1))</f>
        <v>#VALUE!</v>
      </c>
      <c r="AB120" s="90" t="e">
        <f aca="false">IF($C120="","",xEURO($L120,Put1,$G120,$G120,$T120,$J120,0,1))</f>
        <v>#VALUE!</v>
      </c>
      <c r="AC120" s="90" t="e">
        <f aca="false">IF($C120="","",xEURO($L120,Call2,$G120,$G120,$U120,$J120,1,1))</f>
        <v>#VALUE!</v>
      </c>
      <c r="AD120" s="90" t="e">
        <f aca="false">IF($C120="","",xEURO($L120,Put2,$G120,$G120,$V120,$J120,0,1))</f>
        <v>#VALUE!</v>
      </c>
      <c r="AE120" s="90" t="e">
        <f aca="false">IF($C120="","",xEURO($L120,Call1,$G120,$G120,$S120,$J120,1,3))</f>
        <v>#VALUE!</v>
      </c>
      <c r="AF120" s="90" t="e">
        <f aca="false">IF($C120="","",xEURO($L120,Put1,$G120,$G120,$T120,$J120,0,3))</f>
        <v>#VALUE!</v>
      </c>
      <c r="AG120" s="90" t="e">
        <f aca="false">IF($C120="","",xEURO($L120,Call2,$G120,$G120,$U120,$J120,1,3))</f>
        <v>#VALUE!</v>
      </c>
      <c r="AH120" s="90" t="e">
        <f aca="false">IF($C120="","",xEURO($L120,Put2,$G120,$G120,$V120,$J120,0,3))</f>
        <v>#VALUE!</v>
      </c>
      <c r="AI120" s="8" t="e">
        <f aca="false">IF(E120=1,G120,0)</f>
        <v>#VALUE!</v>
      </c>
      <c r="AJ120" s="8" t="e">
        <f aca="false">IF(E120=1,H120,0)</f>
        <v>#VALUE!</v>
      </c>
      <c r="AK120" s="8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95" t="n">
        <f aca="false">Swap!A121</f>
        <v>40513</v>
      </c>
      <c r="B121" s="96" t="n">
        <f aca="false">B120+1</f>
        <v>112</v>
      </c>
      <c r="C121" s="95" t="e">
        <f aca="false">IF(AND(A121&gt;=Front!$E$11,A121&lt;=Front!$E$12),A121,"")</f>
        <v>#VALUE!</v>
      </c>
      <c r="D121" s="87" t="e">
        <f aca="false">Swap!AB121</f>
        <v>#VALUE!</v>
      </c>
      <c r="E121" s="87" t="e">
        <f aca="false">IF($C121="","",1)</f>
        <v>#VALUE!</v>
      </c>
      <c r="F121" s="97" t="e">
        <f aca="false">IF($C121="","",E121*H121)</f>
        <v>#VALUE!</v>
      </c>
      <c r="G121" s="31" t="n">
        <f aca="false">Swap!AG121</f>
        <v>0.0547181140115489</v>
      </c>
      <c r="H121" s="31" t="n">
        <f aca="false">Swap!AH121</f>
        <v>2.22560088780557</v>
      </c>
      <c r="I121" s="92" t="n">
        <f aca="false">INDEX(expery,MATCH(A121,exprymonth,0),2)</f>
        <v>40506</v>
      </c>
      <c r="J121" s="98" t="n">
        <f aca="false">I121-Front!$C$2</f>
        <v>-5420</v>
      </c>
      <c r="K121" s="99" t="n">
        <f aca="false">Swap!E121</f>
        <v>4.1155</v>
      </c>
      <c r="L121" s="99" t="e">
        <f aca="false">IF(C121="","",(PriceSwitch=0)*K121+(PriceSwitch=1)*(Front!$H$21+K121)+(PriceSwitch=2)*Front!$H$21)</f>
        <v>#VALUE!</v>
      </c>
      <c r="M121" s="93" t="n">
        <f aca="false">INDEX(vols,MATCH(A121,volsmonth,0),2)</f>
        <v>0.185</v>
      </c>
      <c r="N121" s="3" t="e">
        <f aca="false">IF(Skew_Switch=0,"",IF($C121="","",(Front!$E$20=0)*M121+(Front!$E$20=1)*(Front!$E$21+M121)+(Front!$E$20=2)*Front!$E$21))</f>
        <v>#VALUE!</v>
      </c>
      <c r="O121" s="94" t="e">
        <f aca="false">IF(Skew_Switch=0,"",IF(C121="","",((calcskew(Call1-$L121,$C121,a,b))/100)))</f>
        <v>#VALUE!</v>
      </c>
      <c r="P121" s="94" t="e">
        <f aca="false">IF(Skew_Switch=0,"",IF(C121="","",((calcskew(Put1-$L121,$C121,a,b))/100)))</f>
        <v>#VALUE!</v>
      </c>
      <c r="Q121" s="94" t="e">
        <f aca="false">IF(Skew_Switch=0,"",IF(C121="","",((calcskew(Call2-$L121,$C121,a,b))/100)))</f>
        <v>#VALUE!</v>
      </c>
      <c r="R121" s="94" t="e">
        <f aca="false">IF(Skew_Switch=0,"",IF(C121="","",((calcskew(Put2-$L121,$C121,a,b))/100)))</f>
        <v>#VALUE!</v>
      </c>
      <c r="S121" s="3" t="e">
        <f aca="false">IF($C121="","",(Front!$C$19=0)*$N121+(Front!$C$19=1)*($N121+O121))</f>
        <v>#VALUE!</v>
      </c>
      <c r="T121" s="3" t="e">
        <f aca="false">IF($C121="","",(Front!$C$19=0)*$N121+(Front!$C$19=1)*($N121+P121))</f>
        <v>#VALUE!</v>
      </c>
      <c r="U121" s="3" t="e">
        <f aca="false">IF($C121="","",(Front!$C$19=0)*$N121+(Front!$C$19=1)*($N121+Q121))</f>
        <v>#VALUE!</v>
      </c>
      <c r="V121" s="3" t="e">
        <f aca="false">IF($C121="","",(Front!$C$19=0)*$N121+(Front!$C$19=1)*($N121+R121))</f>
        <v>#VALUE!</v>
      </c>
      <c r="W121" s="90" t="e">
        <f aca="false">IF($C121="","",xEURO($L121,Call1,$G121,$G121,S121,$J121,1,0))</f>
        <v>#VALUE!</v>
      </c>
      <c r="X121" s="90" t="e">
        <f aca="false">IF($C121="","",xEURO($L121,Put1,$G121,$G121,T121,$J121,0,0))</f>
        <v>#VALUE!</v>
      </c>
      <c r="Y121" s="90" t="e">
        <f aca="false">IF($C121="","",xEURO($L121,Call2,$G121,$G121,U121,$J121,1,0))</f>
        <v>#VALUE!</v>
      </c>
      <c r="Z121" s="90" t="e">
        <f aca="false">IF($C121="","",xEURO($L121,Put2,$G121,$G121,V121,$J121,0,0))</f>
        <v>#VALUE!</v>
      </c>
      <c r="AA121" s="90" t="e">
        <f aca="false">IF($C121="","",xEURO($L121,Call1,$G121,$G121,$S121,$J121,1,1))</f>
        <v>#VALUE!</v>
      </c>
      <c r="AB121" s="90" t="e">
        <f aca="false">IF($C121="","",xEURO($L121,Put1,$G121,$G121,$T121,$J121,0,1))</f>
        <v>#VALUE!</v>
      </c>
      <c r="AC121" s="90" t="e">
        <f aca="false">IF($C121="","",xEURO($L121,Call2,$G121,$G121,$U121,$J121,1,1))</f>
        <v>#VALUE!</v>
      </c>
      <c r="AD121" s="90" t="e">
        <f aca="false">IF($C121="","",xEURO($L121,Put2,$G121,$G121,$V121,$J121,0,1))</f>
        <v>#VALUE!</v>
      </c>
      <c r="AE121" s="90" t="e">
        <f aca="false">IF($C121="","",xEURO($L121,Call1,$G121,$G121,$S121,$J121,1,3))</f>
        <v>#VALUE!</v>
      </c>
      <c r="AF121" s="90" t="e">
        <f aca="false">IF($C121="","",xEURO($L121,Put1,$G121,$G121,$T121,$J121,0,3))</f>
        <v>#VALUE!</v>
      </c>
      <c r="AG121" s="90" t="e">
        <f aca="false">IF($C121="","",xEURO($L121,Call2,$G121,$G121,$U121,$J121,1,3))</f>
        <v>#VALUE!</v>
      </c>
      <c r="AH121" s="90" t="e">
        <f aca="false">IF($C121="","",xEURO($L121,Put2,$G121,$G121,$V121,$J121,0,3))</f>
        <v>#VALUE!</v>
      </c>
      <c r="AI121" s="8" t="e">
        <f aca="false">IF(E121=1,G121,0)</f>
        <v>#VALUE!</v>
      </c>
      <c r="AJ121" s="8" t="e">
        <f aca="false">IF(E121=1,H121,0)</f>
        <v>#VALUE!</v>
      </c>
      <c r="AK121" s="8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95" t="n">
        <f aca="false">Swap!A122</f>
        <v>40544</v>
      </c>
      <c r="B122" s="96" t="n">
        <f aca="false">B121+1</f>
        <v>113</v>
      </c>
      <c r="C122" s="95" t="e">
        <f aca="false">IF(AND(A122&gt;=Front!$E$11,A122&lt;=Front!$E$12),A122,"")</f>
        <v>#VALUE!</v>
      </c>
      <c r="D122" s="87" t="e">
        <f aca="false">Swap!AB122</f>
        <v>#VALUE!</v>
      </c>
      <c r="E122" s="87" t="e">
        <f aca="false">IF($C122="","",1)</f>
        <v>#VALUE!</v>
      </c>
      <c r="F122" s="97" t="e">
        <f aca="false">IF($C122="","",E122*H122)</f>
        <v>#VALUE!</v>
      </c>
      <c r="G122" s="31" t="n">
        <f aca="false">Swap!AG122</f>
        <v>0.0548346414193981</v>
      </c>
      <c r="H122" s="31" t="n">
        <f aca="false">Swap!AH122</f>
        <v>2.21913281415618</v>
      </c>
      <c r="I122" s="92" t="n">
        <f aca="false">INDEX(expery,MATCH(A122,exprymonth,0),2)</f>
        <v>40539</v>
      </c>
      <c r="J122" s="98" t="n">
        <f aca="false">I122-Front!$C$2</f>
        <v>-5387</v>
      </c>
      <c r="K122" s="99" t="n">
        <f aca="false">Swap!E122</f>
        <v>4.1655</v>
      </c>
      <c r="L122" s="99" t="e">
        <f aca="false">IF(C122="","",(PriceSwitch=0)*K122+(PriceSwitch=1)*(Front!$H$21+K122)+(PriceSwitch=2)*Front!$H$21)</f>
        <v>#VALUE!</v>
      </c>
      <c r="M122" s="93" t="n">
        <f aca="false">INDEX(vols,MATCH(A122,volsmonth,0),2)</f>
        <v>0.185</v>
      </c>
      <c r="N122" s="3" t="e">
        <f aca="false">IF(Skew_Switch=0,"",IF($C122="","",(Front!$E$20=0)*M122+(Front!$E$20=1)*(Front!$E$21+M122)+(Front!$E$20=2)*Front!$E$21))</f>
        <v>#VALUE!</v>
      </c>
      <c r="O122" s="94" t="e">
        <f aca="false">IF(Skew_Switch=0,"",IF(C122="","",((calcskew(Call1-$L122,$C122,a,b))/100)))</f>
        <v>#VALUE!</v>
      </c>
      <c r="P122" s="94" t="e">
        <f aca="false">IF(Skew_Switch=0,"",IF(C122="","",((calcskew(Put1-$L122,$C122,a,b))/100)))</f>
        <v>#VALUE!</v>
      </c>
      <c r="Q122" s="94" t="e">
        <f aca="false">IF(Skew_Switch=0,"",IF(C122="","",((calcskew(Call2-$L122,$C122,a,b))/100)))</f>
        <v>#VALUE!</v>
      </c>
      <c r="R122" s="94" t="e">
        <f aca="false">IF(Skew_Switch=0,"",IF(C122="","",((calcskew(Put2-$L122,$C122,a,b))/100)))</f>
        <v>#VALUE!</v>
      </c>
      <c r="S122" s="3" t="e">
        <f aca="false">IF($C122="","",(Front!$C$19=0)*$N122+(Front!$C$19=1)*($N122+O122))</f>
        <v>#VALUE!</v>
      </c>
      <c r="T122" s="3" t="e">
        <f aca="false">IF($C122="","",(Front!$C$19=0)*$N122+(Front!$C$19=1)*($N122+P122))</f>
        <v>#VALUE!</v>
      </c>
      <c r="U122" s="3" t="e">
        <f aca="false">IF($C122="","",(Front!$C$19=0)*$N122+(Front!$C$19=1)*($N122+Q122))</f>
        <v>#VALUE!</v>
      </c>
      <c r="V122" s="3" t="e">
        <f aca="false">IF($C122="","",(Front!$C$19=0)*$N122+(Front!$C$19=1)*($N122+R122))</f>
        <v>#VALUE!</v>
      </c>
      <c r="W122" s="90" t="e">
        <f aca="false">IF($C122="","",xEURO($L122,Call1,$G122,$G122,S122,$J122,1,0))</f>
        <v>#VALUE!</v>
      </c>
      <c r="X122" s="90" t="e">
        <f aca="false">IF($C122="","",xEURO($L122,Put1,$G122,$G122,T122,$J122,0,0))</f>
        <v>#VALUE!</v>
      </c>
      <c r="Y122" s="90" t="e">
        <f aca="false">IF($C122="","",xEURO($L122,Call2,$G122,$G122,U122,$J122,1,0))</f>
        <v>#VALUE!</v>
      </c>
      <c r="Z122" s="90" t="e">
        <f aca="false">IF($C122="","",xEURO($L122,Put2,$G122,$G122,V122,$J122,0,0))</f>
        <v>#VALUE!</v>
      </c>
      <c r="AA122" s="90" t="e">
        <f aca="false">IF($C122="","",xEURO($L122,Call1,$G122,$G122,$S122,$J122,1,1))</f>
        <v>#VALUE!</v>
      </c>
      <c r="AB122" s="90" t="e">
        <f aca="false">IF($C122="","",xEURO($L122,Put1,$G122,$G122,$T122,$J122,0,1))</f>
        <v>#VALUE!</v>
      </c>
      <c r="AC122" s="90" t="e">
        <f aca="false">IF($C122="","",xEURO($L122,Call2,$G122,$G122,$U122,$J122,1,1))</f>
        <v>#VALUE!</v>
      </c>
      <c r="AD122" s="90" t="e">
        <f aca="false">IF($C122="","",xEURO($L122,Put2,$G122,$G122,$V122,$J122,0,1))</f>
        <v>#VALUE!</v>
      </c>
      <c r="AE122" s="90" t="e">
        <f aca="false">IF($C122="","",xEURO($L122,Call1,$G122,$G122,$S122,$J122,1,3))</f>
        <v>#VALUE!</v>
      </c>
      <c r="AF122" s="90" t="e">
        <f aca="false">IF($C122="","",xEURO($L122,Put1,$G122,$G122,$T122,$J122,0,3))</f>
        <v>#VALUE!</v>
      </c>
      <c r="AG122" s="90" t="e">
        <f aca="false">IF($C122="","",xEURO($L122,Call2,$G122,$G122,$U122,$J122,1,3))</f>
        <v>#VALUE!</v>
      </c>
      <c r="AH122" s="90" t="e">
        <f aca="false">IF($C122="","",xEURO($L122,Put2,$G122,$G122,$V122,$J122,0,3))</f>
        <v>#VALUE!</v>
      </c>
      <c r="AI122" s="8" t="e">
        <f aca="false">IF(E122=1,G122,0)</f>
        <v>#VALUE!</v>
      </c>
      <c r="AJ122" s="8" t="e">
        <f aca="false">IF(E122=1,H122,0)</f>
        <v>#VALUE!</v>
      </c>
      <c r="AK122" s="8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</row>
    <row r="123" customFormat="false" ht="12.75" hidden="false" customHeight="false" outlineLevel="0" collapsed="false">
      <c r="A123" s="95" t="n">
        <f aca="false">Swap!A123</f>
        <v>40575</v>
      </c>
      <c r="B123" s="96" t="n">
        <f aca="false">B122+1</f>
        <v>114</v>
      </c>
      <c r="C123" s="95" t="e">
        <f aca="false">IF(AND(A123&gt;=Front!$E$11,A123&lt;=Front!$E$12),A123,"")</f>
        <v>#VALUE!</v>
      </c>
      <c r="D123" s="87" t="e">
        <f aca="false">Swap!AB123</f>
        <v>#VALUE!</v>
      </c>
      <c r="E123" s="87" t="e">
        <f aca="false">IF($C123="","",1)</f>
        <v>#VALUE!</v>
      </c>
      <c r="F123" s="97" t="e">
        <f aca="false">IF($C123="","",E123*H123)</f>
        <v>#VALUE!</v>
      </c>
      <c r="G123" s="31" t="n">
        <f aca="false">Swap!AG123</f>
        <v>0.0549511688317694</v>
      </c>
      <c r="H123" s="31" t="n">
        <f aca="false">Swap!AH123</f>
        <v>2.21264072971801</v>
      </c>
      <c r="I123" s="92" t="n">
        <f aca="false">INDEX(expery,MATCH(A123,exprymonth,0),2)</f>
        <v>40569</v>
      </c>
      <c r="J123" s="98" t="n">
        <f aca="false">I123-Front!$C$2</f>
        <v>-5357</v>
      </c>
      <c r="K123" s="99" t="n">
        <f aca="false">Swap!E123</f>
        <v>4.0515</v>
      </c>
      <c r="L123" s="99" t="e">
        <f aca="false">IF(C123="","",(PriceSwitch=0)*K123+(PriceSwitch=1)*(Front!$H$21+K123)+(PriceSwitch=2)*Front!$H$21)</f>
        <v>#VALUE!</v>
      </c>
      <c r="M123" s="93" t="n">
        <f aca="false">INDEX(vols,MATCH(A123,volsmonth,0),2)</f>
        <v>0.185</v>
      </c>
      <c r="N123" s="3" t="e">
        <f aca="false">IF(Skew_Switch=0,"",IF($C123="","",(Front!$E$20=0)*M123+(Front!$E$20=1)*(Front!$E$21+M123)+(Front!$E$20=2)*Front!$E$21))</f>
        <v>#VALUE!</v>
      </c>
      <c r="O123" s="94" t="e">
        <f aca="false">IF(Skew_Switch=0,"",IF(C123="","",((calcskew(Call1-$L123,$C123,a,b))/100)))</f>
        <v>#VALUE!</v>
      </c>
      <c r="P123" s="94" t="e">
        <f aca="false">IF(Skew_Switch=0,"",IF(C123="","",((calcskew(Put1-$L123,$C123,a,b))/100)))</f>
        <v>#VALUE!</v>
      </c>
      <c r="Q123" s="94" t="e">
        <f aca="false">IF(Skew_Switch=0,"",IF(C123="","",((calcskew(Call2-$L123,$C123,a,b))/100)))</f>
        <v>#VALUE!</v>
      </c>
      <c r="R123" s="94" t="e">
        <f aca="false">IF(Skew_Switch=0,"",IF(C123="","",((calcskew(Put2-$L123,$C123,a,b))/100)))</f>
        <v>#VALUE!</v>
      </c>
      <c r="S123" s="3" t="e">
        <f aca="false">IF($C123="","",(Front!$C$19=0)*$N123+(Front!$C$19=1)*($N123+O123))</f>
        <v>#VALUE!</v>
      </c>
      <c r="T123" s="3" t="e">
        <f aca="false">IF($C123="","",(Front!$C$19=0)*$N123+(Front!$C$19=1)*($N123+P123))</f>
        <v>#VALUE!</v>
      </c>
      <c r="U123" s="3" t="e">
        <f aca="false">IF($C123="","",(Front!$C$19=0)*$N123+(Front!$C$19=1)*($N123+Q123))</f>
        <v>#VALUE!</v>
      </c>
      <c r="V123" s="3" t="e">
        <f aca="false">IF($C123="","",(Front!$C$19=0)*$N123+(Front!$C$19=1)*($N123+R123))</f>
        <v>#VALUE!</v>
      </c>
      <c r="W123" s="90" t="e">
        <f aca="false">IF($C123="","",xEURO($L123,Call1,$G123,$G123,S123,$J123,1,0))</f>
        <v>#VALUE!</v>
      </c>
      <c r="X123" s="90" t="e">
        <f aca="false">IF($C123="","",xEURO($L123,Put1,$G123,$G123,T123,$J123,0,0))</f>
        <v>#VALUE!</v>
      </c>
      <c r="Y123" s="90" t="e">
        <f aca="false">IF($C123="","",xEURO($L123,Call2,$G123,$G123,U123,$J123,1,0))</f>
        <v>#VALUE!</v>
      </c>
      <c r="Z123" s="90" t="e">
        <f aca="false">IF($C123="","",xEURO($L123,Put2,$G123,$G123,V123,$J123,0,0))</f>
        <v>#VALUE!</v>
      </c>
      <c r="AA123" s="90" t="e">
        <f aca="false">IF($C123="","",xEURO($L123,Call1,$G123,$G123,$S123,$J123,1,1))</f>
        <v>#VALUE!</v>
      </c>
      <c r="AB123" s="90" t="e">
        <f aca="false">IF($C123="","",xEURO($L123,Put1,$G123,$G123,$T123,$J123,0,1))</f>
        <v>#VALUE!</v>
      </c>
      <c r="AC123" s="90" t="e">
        <f aca="false">IF($C123="","",xEURO($L123,Call2,$G123,$G123,$U123,$J123,1,1))</f>
        <v>#VALUE!</v>
      </c>
      <c r="AD123" s="90" t="e">
        <f aca="false">IF($C123="","",xEURO($L123,Put2,$G123,$G123,$V123,$J123,0,1))</f>
        <v>#VALUE!</v>
      </c>
      <c r="AE123" s="90" t="e">
        <f aca="false">IF($C123="","",xEURO($L123,Call1,$G123,$G123,$S123,$J123,1,3))</f>
        <v>#VALUE!</v>
      </c>
      <c r="AF123" s="90" t="e">
        <f aca="false">IF($C123="","",xEURO($L123,Put1,$G123,$G123,$T123,$J123,0,3))</f>
        <v>#VALUE!</v>
      </c>
      <c r="AG123" s="90" t="e">
        <f aca="false">IF($C123="","",xEURO($L123,Call2,$G123,$G123,$U123,$J123,1,3))</f>
        <v>#VALUE!</v>
      </c>
      <c r="AH123" s="90" t="e">
        <f aca="false">IF($C123="","",xEURO($L123,Put2,$G123,$G123,$V123,$J123,0,3))</f>
        <v>#VALUE!</v>
      </c>
      <c r="AI123" s="8" t="e">
        <f aca="false">IF(E123=1,G123,0)</f>
        <v>#VALUE!</v>
      </c>
      <c r="AJ123" s="8" t="e">
        <f aca="false">IF(E123=1,H123,0)</f>
        <v>#VALUE!</v>
      </c>
      <c r="AK123" s="8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</row>
    <row r="124" customFormat="false" ht="12.75" hidden="false" customHeight="false" outlineLevel="0" collapsed="false">
      <c r="A124" s="95" t="n">
        <f aca="false">Swap!A124</f>
        <v>40603</v>
      </c>
      <c r="B124" s="96" t="n">
        <f aca="false">B123+1</f>
        <v>115</v>
      </c>
      <c r="C124" s="95" t="e">
        <f aca="false">IF(AND(A124&gt;=Front!$E$11,A124&lt;=Front!$E$12),A124,"")</f>
        <v>#VALUE!</v>
      </c>
      <c r="D124" s="87" t="e">
        <f aca="false">Swap!AB124</f>
        <v>#VALUE!</v>
      </c>
      <c r="E124" s="87" t="e">
        <f aca="false">IF($C124="","",1)</f>
        <v>#VALUE!</v>
      </c>
      <c r="F124" s="97" t="e">
        <f aca="false">IF($C124="","",E124*H124)</f>
        <v>#VALUE!</v>
      </c>
      <c r="G124" s="31" t="n">
        <f aca="false">Swap!AG124</f>
        <v>0.0550564194016703</v>
      </c>
      <c r="H124" s="31" t="n">
        <f aca="false">Swap!AH124</f>
        <v>2.20675654381697</v>
      </c>
      <c r="I124" s="92" t="n">
        <f aca="false">INDEX(expery,MATCH(A124,exprymonth,0),2)</f>
        <v>40597</v>
      </c>
      <c r="J124" s="98" t="n">
        <f aca="false">I124-Front!$C$2</f>
        <v>-5329</v>
      </c>
      <c r="K124" s="99" t="n">
        <f aca="false">Swap!E124</f>
        <v>3.9195</v>
      </c>
      <c r="L124" s="99" t="e">
        <f aca="false">IF(C124="","",(PriceSwitch=0)*K124+(PriceSwitch=1)*(Front!$H$21+K124)+(PriceSwitch=2)*Front!$H$21)</f>
        <v>#VALUE!</v>
      </c>
      <c r="M124" s="93" t="n">
        <f aca="false">INDEX(vols,MATCH(A124,volsmonth,0),2)</f>
        <v>0.18</v>
      </c>
      <c r="N124" s="3" t="e">
        <f aca="false">IF(Skew_Switch=0,"",IF($C124="","",(Front!$E$20=0)*M124+(Front!$E$20=1)*(Front!$E$21+M124)+(Front!$E$20=2)*Front!$E$21))</f>
        <v>#VALUE!</v>
      </c>
      <c r="O124" s="94" t="e">
        <f aca="false">IF(Skew_Switch=0,"",IF(C124="","",((calcskew(Call1-$L124,$C124,a,b))/100)))</f>
        <v>#VALUE!</v>
      </c>
      <c r="P124" s="94" t="e">
        <f aca="false">IF(Skew_Switch=0,"",IF(C124="","",((calcskew(Put1-$L124,$C124,a,b))/100)))</f>
        <v>#VALUE!</v>
      </c>
      <c r="Q124" s="94" t="e">
        <f aca="false">IF(Skew_Switch=0,"",IF(C124="","",((calcskew(Call2-$L124,$C124,a,b))/100)))</f>
        <v>#VALUE!</v>
      </c>
      <c r="R124" s="94" t="e">
        <f aca="false">IF(Skew_Switch=0,"",IF(C124="","",((calcskew(Put2-$L124,$C124,a,b))/100)))</f>
        <v>#VALUE!</v>
      </c>
      <c r="S124" s="3" t="e">
        <f aca="false">IF($C124="","",(Front!$C$19=0)*$N124+(Front!$C$19=1)*($N124+O124))</f>
        <v>#VALUE!</v>
      </c>
      <c r="T124" s="3" t="e">
        <f aca="false">IF($C124="","",(Front!$C$19=0)*$N124+(Front!$C$19=1)*($N124+P124))</f>
        <v>#VALUE!</v>
      </c>
      <c r="U124" s="3" t="e">
        <f aca="false">IF($C124="","",(Front!$C$19=0)*$N124+(Front!$C$19=1)*($N124+Q124))</f>
        <v>#VALUE!</v>
      </c>
      <c r="V124" s="3" t="e">
        <f aca="false">IF($C124="","",(Front!$C$19=0)*$N124+(Front!$C$19=1)*($N124+R124))</f>
        <v>#VALUE!</v>
      </c>
      <c r="W124" s="90" t="e">
        <f aca="false">IF($C124="","",xEURO($L124,Call1,$G124,$G124,S124,$J124,1,0))</f>
        <v>#VALUE!</v>
      </c>
      <c r="X124" s="90" t="e">
        <f aca="false">IF($C124="","",xEURO($L124,Put1,$G124,$G124,T124,$J124,0,0))</f>
        <v>#VALUE!</v>
      </c>
      <c r="Y124" s="90" t="e">
        <f aca="false">IF($C124="","",xEURO($L124,Call2,$G124,$G124,U124,$J124,1,0))</f>
        <v>#VALUE!</v>
      </c>
      <c r="Z124" s="90" t="e">
        <f aca="false">IF($C124="","",xEURO($L124,Put2,$G124,$G124,V124,$J124,0,0))</f>
        <v>#VALUE!</v>
      </c>
      <c r="AA124" s="90" t="e">
        <f aca="false">IF($C124="","",xEURO($L124,Call1,$G124,$G124,$S124,$J124,1,1))</f>
        <v>#VALUE!</v>
      </c>
      <c r="AB124" s="90" t="e">
        <f aca="false">IF($C124="","",xEURO($L124,Put1,$G124,$G124,$T124,$J124,0,1))</f>
        <v>#VALUE!</v>
      </c>
      <c r="AC124" s="90" t="e">
        <f aca="false">IF($C124="","",xEURO($L124,Call2,$G124,$G124,$U124,$J124,1,1))</f>
        <v>#VALUE!</v>
      </c>
      <c r="AD124" s="90" t="e">
        <f aca="false">IF($C124="","",xEURO($L124,Put2,$G124,$G124,$V124,$J124,0,1))</f>
        <v>#VALUE!</v>
      </c>
      <c r="AE124" s="90" t="e">
        <f aca="false">IF($C124="","",xEURO($L124,Call1,$G124,$G124,$S124,$J124,1,3))</f>
        <v>#VALUE!</v>
      </c>
      <c r="AF124" s="90" t="e">
        <f aca="false">IF($C124="","",xEURO($L124,Put1,$G124,$G124,$T124,$J124,0,3))</f>
        <v>#VALUE!</v>
      </c>
      <c r="AG124" s="90" t="e">
        <f aca="false">IF($C124="","",xEURO($L124,Call2,$G124,$G124,$U124,$J124,1,3))</f>
        <v>#VALUE!</v>
      </c>
      <c r="AH124" s="90" t="e">
        <f aca="false">IF($C124="","",xEURO($L124,Put2,$G124,$G124,$V124,$J124,0,3))</f>
        <v>#VALUE!</v>
      </c>
      <c r="AI124" s="8" t="e">
        <f aca="false">IF(E124=1,G124,0)</f>
        <v>#VALUE!</v>
      </c>
      <c r="AJ124" s="8" t="e">
        <f aca="false">IF(E124=1,H124,0)</f>
        <v>#VALUE!</v>
      </c>
      <c r="AK124" s="8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</row>
    <row r="125" customFormat="false" ht="12.75" hidden="false" customHeight="false" outlineLevel="0" collapsed="false">
      <c r="A125" s="95" t="n">
        <f aca="false">Swap!A125</f>
        <v>40634</v>
      </c>
      <c r="B125" s="96" t="n">
        <f aca="false">B124+1</f>
        <v>116</v>
      </c>
      <c r="C125" s="95" t="e">
        <f aca="false">IF(AND(A125&gt;=Front!$E$11,A125&lt;=Front!$E$12),A125,"")</f>
        <v>#VALUE!</v>
      </c>
      <c r="D125" s="87" t="e">
        <f aca="false">Swap!AB125</f>
        <v>#VALUE!</v>
      </c>
      <c r="E125" s="87" t="e">
        <f aca="false">IF($C125="","",1)</f>
        <v>#VALUE!</v>
      </c>
      <c r="F125" s="97" t="e">
        <f aca="false">IF($C125="","",E125*H125)</f>
        <v>#VALUE!</v>
      </c>
      <c r="G125" s="31" t="n">
        <f aca="false">Swap!AG125</f>
        <v>0.0551729468226494</v>
      </c>
      <c r="H125" s="31" t="n">
        <f aca="false">Swap!AH125</f>
        <v>2.2002196588469</v>
      </c>
      <c r="I125" s="92" t="n">
        <f aca="false">INDEX(expery,MATCH(A125,exprymonth,0),2)</f>
        <v>40630</v>
      </c>
      <c r="J125" s="98" t="n">
        <f aca="false">I125-Front!$C$2</f>
        <v>-5296</v>
      </c>
      <c r="K125" s="99" t="n">
        <f aca="false">Swap!E125</f>
        <v>3.7495</v>
      </c>
      <c r="L125" s="99" t="e">
        <f aca="false">IF(C125="","",(PriceSwitch=0)*K125+(PriceSwitch=1)*(Front!$H$21+K125)+(PriceSwitch=2)*Front!$H$21)</f>
        <v>#VALUE!</v>
      </c>
      <c r="M125" s="93" t="n">
        <f aca="false">INDEX(vols,MATCH(A125,volsmonth,0),2)</f>
        <v>0.18</v>
      </c>
      <c r="N125" s="3" t="e">
        <f aca="false">IF(Skew_Switch=0,"",IF($C125="","",(Front!$E$20=0)*M125+(Front!$E$20=1)*(Front!$E$21+M125)+(Front!$E$20=2)*Front!$E$21))</f>
        <v>#VALUE!</v>
      </c>
      <c r="O125" s="94" t="e">
        <f aca="false">IF(Skew_Switch=0,"",IF(C125="","",((calcskew(Call1-$L125,$C125,a,b))/100)))</f>
        <v>#VALUE!</v>
      </c>
      <c r="P125" s="94" t="e">
        <f aca="false">IF(Skew_Switch=0,"",IF(C125="","",((calcskew(Put1-$L125,$C125,a,b))/100)))</f>
        <v>#VALUE!</v>
      </c>
      <c r="Q125" s="94" t="e">
        <f aca="false">IF(Skew_Switch=0,"",IF(C125="","",((calcskew(Call2-$L125,$C125,a,b))/100)))</f>
        <v>#VALUE!</v>
      </c>
      <c r="R125" s="94" t="e">
        <f aca="false">IF(Skew_Switch=0,"",IF(C125="","",((calcskew(Put2-$L125,$C125,a,b))/100)))</f>
        <v>#VALUE!</v>
      </c>
      <c r="S125" s="3" t="e">
        <f aca="false">IF($C125="","",(Front!$C$19=0)*$N125+(Front!$C$19=1)*($N125+O125))</f>
        <v>#VALUE!</v>
      </c>
      <c r="T125" s="3" t="e">
        <f aca="false">IF($C125="","",(Front!$C$19=0)*$N125+(Front!$C$19=1)*($N125+P125))</f>
        <v>#VALUE!</v>
      </c>
      <c r="U125" s="3" t="e">
        <f aca="false">IF($C125="","",(Front!$C$19=0)*$N125+(Front!$C$19=1)*($N125+Q125))</f>
        <v>#VALUE!</v>
      </c>
      <c r="V125" s="3" t="e">
        <f aca="false">IF($C125="","",(Front!$C$19=0)*$N125+(Front!$C$19=1)*($N125+R125))</f>
        <v>#VALUE!</v>
      </c>
      <c r="W125" s="90" t="e">
        <f aca="false">IF($C125="","",xEURO($L125,Call1,$G125,$G125,S125,$J125,1,0))</f>
        <v>#VALUE!</v>
      </c>
      <c r="X125" s="90" t="e">
        <f aca="false">IF($C125="","",xEURO($L125,Put1,$G125,$G125,T125,$J125,0,0))</f>
        <v>#VALUE!</v>
      </c>
      <c r="Y125" s="90" t="e">
        <f aca="false">IF($C125="","",xEURO($L125,Call2,$G125,$G125,U125,$J125,1,0))</f>
        <v>#VALUE!</v>
      </c>
      <c r="Z125" s="90" t="e">
        <f aca="false">IF($C125="","",xEURO($L125,Put2,$G125,$G125,V125,$J125,0,0))</f>
        <v>#VALUE!</v>
      </c>
      <c r="AA125" s="90" t="e">
        <f aca="false">IF($C125="","",xEURO($L125,Call1,$G125,$G125,$S125,$J125,1,1))</f>
        <v>#VALUE!</v>
      </c>
      <c r="AB125" s="90" t="e">
        <f aca="false">IF($C125="","",xEURO($L125,Put1,$G125,$G125,$T125,$J125,0,1))</f>
        <v>#VALUE!</v>
      </c>
      <c r="AC125" s="90" t="e">
        <f aca="false">IF($C125="","",xEURO($L125,Call2,$G125,$G125,$U125,$J125,1,1))</f>
        <v>#VALUE!</v>
      </c>
      <c r="AD125" s="90" t="e">
        <f aca="false">IF($C125="","",xEURO($L125,Put2,$G125,$G125,$V125,$J125,0,1))</f>
        <v>#VALUE!</v>
      </c>
      <c r="AE125" s="90" t="e">
        <f aca="false">IF($C125="","",xEURO($L125,Call1,$G125,$G125,$S125,$J125,1,3))</f>
        <v>#VALUE!</v>
      </c>
      <c r="AF125" s="90" t="e">
        <f aca="false">IF($C125="","",xEURO($L125,Put1,$G125,$G125,$T125,$J125,0,3))</f>
        <v>#VALUE!</v>
      </c>
      <c r="AG125" s="90" t="e">
        <f aca="false">IF($C125="","",xEURO($L125,Call2,$G125,$G125,$U125,$J125,1,3))</f>
        <v>#VALUE!</v>
      </c>
      <c r="AH125" s="90" t="e">
        <f aca="false">IF($C125="","",xEURO($L125,Put2,$G125,$G125,$V125,$J125,0,3))</f>
        <v>#VALUE!</v>
      </c>
      <c r="AI125" s="8" t="e">
        <f aca="false">IF(E125=1,G125,0)</f>
        <v>#VALUE!</v>
      </c>
      <c r="AJ125" s="8" t="e">
        <f aca="false">IF(E125=1,H125,0)</f>
        <v>#VALUE!</v>
      </c>
      <c r="AK125" s="8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</row>
    <row r="126" customFormat="false" ht="12.75" hidden="false" customHeight="false" outlineLevel="0" collapsed="false">
      <c r="A126" s="95" t="n">
        <f aca="false">Swap!A126</f>
        <v>40664</v>
      </c>
      <c r="B126" s="96" t="n">
        <f aca="false">B125+1</f>
        <v>117</v>
      </c>
      <c r="C126" s="95" t="e">
        <f aca="false">IF(AND(A126&gt;=Front!$E$11,A126&lt;=Front!$E$12),A126,"")</f>
        <v>#VALUE!</v>
      </c>
      <c r="D126" s="87" t="e">
        <f aca="false">Swap!AB126</f>
        <v>#VALUE!</v>
      </c>
      <c r="E126" s="87" t="e">
        <f aca="false">IF($C126="","",1)</f>
        <v>#VALUE!</v>
      </c>
      <c r="F126" s="97" t="e">
        <f aca="false">IF($C126="","",E126*H126)</f>
        <v>#VALUE!</v>
      </c>
      <c r="G126" s="31" t="n">
        <f aca="false">Swap!AG126</f>
        <v>0.0552857152988704</v>
      </c>
      <c r="H126" s="31" t="n">
        <f aca="false">Swap!AH126</f>
        <v>2.19387167491639</v>
      </c>
      <c r="I126" s="92" t="n">
        <f aca="false">INDEX(expery,MATCH(A126,exprymonth,0),2)</f>
        <v>40659</v>
      </c>
      <c r="J126" s="98" t="n">
        <f aca="false">I126-Front!$C$2</f>
        <v>-5267</v>
      </c>
      <c r="K126" s="99" t="n">
        <f aca="false">Swap!E126</f>
        <v>3.7495</v>
      </c>
      <c r="L126" s="99" t="e">
        <f aca="false">IF(C126="","",(PriceSwitch=0)*K126+(PriceSwitch=1)*(Front!$H$21+K126)+(PriceSwitch=2)*Front!$H$21)</f>
        <v>#VALUE!</v>
      </c>
      <c r="M126" s="93" t="n">
        <f aca="false">INDEX(vols,MATCH(A126,volsmonth,0),2)</f>
        <v>0.18</v>
      </c>
      <c r="N126" s="3" t="e">
        <f aca="false">IF(Skew_Switch=0,"",IF($C126="","",(Front!$E$20=0)*M126+(Front!$E$20=1)*(Front!$E$21+M126)+(Front!$E$20=2)*Front!$E$21))</f>
        <v>#VALUE!</v>
      </c>
      <c r="O126" s="94" t="e">
        <f aca="false">IF(Skew_Switch=0,"",IF(C126="","",((calcskew(Call1-$L126,$C126,a,b))/100)))</f>
        <v>#VALUE!</v>
      </c>
      <c r="P126" s="94" t="e">
        <f aca="false">IF(Skew_Switch=0,"",IF(C126="","",((calcskew(Put1-$L126,$C126,a,b))/100)))</f>
        <v>#VALUE!</v>
      </c>
      <c r="Q126" s="94" t="e">
        <f aca="false">IF(Skew_Switch=0,"",IF(C126="","",((calcskew(Call2-$L126,$C126,a,b))/100)))</f>
        <v>#VALUE!</v>
      </c>
      <c r="R126" s="94" t="e">
        <f aca="false">IF(Skew_Switch=0,"",IF(C126="","",((calcskew(Put2-$L126,$C126,a,b))/100)))</f>
        <v>#VALUE!</v>
      </c>
      <c r="S126" s="3" t="e">
        <f aca="false">IF($C126="","",(Front!$C$19=0)*$N126+(Front!$C$19=1)*($N126+O126))</f>
        <v>#VALUE!</v>
      </c>
      <c r="T126" s="3" t="e">
        <f aca="false">IF($C126="","",(Front!$C$19=0)*$N126+(Front!$C$19=1)*($N126+P126))</f>
        <v>#VALUE!</v>
      </c>
      <c r="U126" s="3" t="e">
        <f aca="false">IF($C126="","",(Front!$C$19=0)*$N126+(Front!$C$19=1)*($N126+Q126))</f>
        <v>#VALUE!</v>
      </c>
      <c r="V126" s="3" t="e">
        <f aca="false">IF($C126="","",(Front!$C$19=0)*$N126+(Front!$C$19=1)*($N126+R126))</f>
        <v>#VALUE!</v>
      </c>
      <c r="W126" s="90" t="e">
        <f aca="false">IF($C126="","",xEURO($L126,Call1,$G126,$G126,S126,$J126,1,0))</f>
        <v>#VALUE!</v>
      </c>
      <c r="X126" s="90" t="e">
        <f aca="false">IF($C126="","",xEURO($L126,Put1,$G126,$G126,T126,$J126,0,0))</f>
        <v>#VALUE!</v>
      </c>
      <c r="Y126" s="90" t="e">
        <f aca="false">IF($C126="","",xEURO($L126,Call2,$G126,$G126,U126,$J126,1,0))</f>
        <v>#VALUE!</v>
      </c>
      <c r="Z126" s="90" t="e">
        <f aca="false">IF($C126="","",xEURO($L126,Put2,$G126,$G126,V126,$J126,0,0))</f>
        <v>#VALUE!</v>
      </c>
      <c r="AA126" s="90" t="e">
        <f aca="false">IF($C126="","",xEURO($L126,Call1,$G126,$G126,$S126,$J126,1,1))</f>
        <v>#VALUE!</v>
      </c>
      <c r="AB126" s="90" t="e">
        <f aca="false">IF($C126="","",xEURO($L126,Put1,$G126,$G126,$T126,$J126,0,1))</f>
        <v>#VALUE!</v>
      </c>
      <c r="AC126" s="90" t="e">
        <f aca="false">IF($C126="","",xEURO($L126,Call2,$G126,$G126,$U126,$J126,1,1))</f>
        <v>#VALUE!</v>
      </c>
      <c r="AD126" s="90" t="e">
        <f aca="false">IF($C126="","",xEURO($L126,Put2,$G126,$G126,$V126,$J126,0,1))</f>
        <v>#VALUE!</v>
      </c>
      <c r="AE126" s="90" t="e">
        <f aca="false">IF($C126="","",xEURO($L126,Call1,$G126,$G126,$S126,$J126,1,3))</f>
        <v>#VALUE!</v>
      </c>
      <c r="AF126" s="90" t="e">
        <f aca="false">IF($C126="","",xEURO($L126,Put1,$G126,$G126,$T126,$J126,0,3))</f>
        <v>#VALUE!</v>
      </c>
      <c r="AG126" s="90" t="e">
        <f aca="false">IF($C126="","",xEURO($L126,Call2,$G126,$G126,$U126,$J126,1,3))</f>
        <v>#VALUE!</v>
      </c>
      <c r="AH126" s="90" t="e">
        <f aca="false">IF($C126="","",xEURO($L126,Put2,$G126,$G126,$V126,$J126,0,3))</f>
        <v>#VALUE!</v>
      </c>
      <c r="AI126" s="8" t="e">
        <f aca="false">IF(E126=1,G126,0)</f>
        <v>#VALUE!</v>
      </c>
      <c r="AJ126" s="8" t="e">
        <f aca="false">IF(E126=1,H126,0)</f>
        <v>#VALUE!</v>
      </c>
      <c r="AK126" s="8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</row>
    <row r="127" customFormat="false" ht="12.75" hidden="false" customHeight="false" outlineLevel="0" collapsed="false">
      <c r="A127" s="95" t="n">
        <f aca="false">Swap!A127</f>
        <v>40695</v>
      </c>
      <c r="B127" s="96" t="n">
        <f aca="false">B126+1</f>
        <v>118</v>
      </c>
      <c r="C127" s="95" t="e">
        <f aca="false">IF(AND(A127&gt;=Front!$E$11,A127&lt;=Front!$E$12),A127,"")</f>
        <v>#VALUE!</v>
      </c>
      <c r="D127" s="87" t="e">
        <f aca="false">Swap!AB127</f>
        <v>#VALUE!</v>
      </c>
      <c r="E127" s="87" t="e">
        <f aca="false">IF($C127="","",1)</f>
        <v>#VALUE!</v>
      </c>
      <c r="F127" s="97" t="e">
        <f aca="false">IF($C127="","",E127*H127)</f>
        <v>#VALUE!</v>
      </c>
      <c r="G127" s="31" t="n">
        <f aca="false">Swap!AG127</f>
        <v>0.0554022427287486</v>
      </c>
      <c r="H127" s="31" t="n">
        <f aca="false">Swap!AH127</f>
        <v>2.18728971015383</v>
      </c>
      <c r="I127" s="92" t="n">
        <f aca="false">INDEX(expery,MATCH(A127,exprymonth,0),2)</f>
        <v>40688</v>
      </c>
      <c r="J127" s="98" t="n">
        <f aca="false">I127-Front!$C$2</f>
        <v>-5238</v>
      </c>
      <c r="K127" s="99" t="n">
        <f aca="false">Swap!E127</f>
        <v>3.7815</v>
      </c>
      <c r="L127" s="99" t="e">
        <f aca="false">IF(C127="","",(PriceSwitch=0)*K127+(PriceSwitch=1)*(Front!$H$21+K127)+(PriceSwitch=2)*Front!$H$21)</f>
        <v>#VALUE!</v>
      </c>
      <c r="M127" s="93" t="n">
        <f aca="false">INDEX(vols,MATCH(A127,volsmonth,0),2)</f>
        <v>0.18</v>
      </c>
      <c r="N127" s="3" t="e">
        <f aca="false">IF(Skew_Switch=0,"",IF($C127="","",(Front!$E$20=0)*M127+(Front!$E$20=1)*(Front!$E$21+M127)+(Front!$E$20=2)*Front!$E$21))</f>
        <v>#VALUE!</v>
      </c>
      <c r="O127" s="94" t="e">
        <f aca="false">IF(Skew_Switch=0,"",IF(C127="","",((calcskew(Call1-$L127,$C127,a,b))/100)))</f>
        <v>#VALUE!</v>
      </c>
      <c r="P127" s="94" t="e">
        <f aca="false">IF(Skew_Switch=0,"",IF(C127="","",((calcskew(Put1-$L127,$C127,a,b))/100)))</f>
        <v>#VALUE!</v>
      </c>
      <c r="Q127" s="94" t="e">
        <f aca="false">IF(Skew_Switch=0,"",IF(C127="","",((calcskew(Call2-$L127,$C127,a,b))/100)))</f>
        <v>#VALUE!</v>
      </c>
      <c r="R127" s="94" t="e">
        <f aca="false">IF(Skew_Switch=0,"",IF(C127="","",((calcskew(Put2-$L127,$C127,a,b))/100)))</f>
        <v>#VALUE!</v>
      </c>
      <c r="S127" s="3" t="e">
        <f aca="false">IF($C127="","",(Front!$C$19=0)*$N127+(Front!$C$19=1)*($N127+O127))</f>
        <v>#VALUE!</v>
      </c>
      <c r="T127" s="3" t="e">
        <f aca="false">IF($C127="","",(Front!$C$19=0)*$N127+(Front!$C$19=1)*($N127+P127))</f>
        <v>#VALUE!</v>
      </c>
      <c r="U127" s="3" t="e">
        <f aca="false">IF($C127="","",(Front!$C$19=0)*$N127+(Front!$C$19=1)*($N127+Q127))</f>
        <v>#VALUE!</v>
      </c>
      <c r="V127" s="3" t="e">
        <f aca="false">IF($C127="","",(Front!$C$19=0)*$N127+(Front!$C$19=1)*($N127+R127))</f>
        <v>#VALUE!</v>
      </c>
      <c r="W127" s="90" t="e">
        <f aca="false">IF($C127="","",xEURO($L127,Call1,$G127,$G127,S127,$J127,1,0))</f>
        <v>#VALUE!</v>
      </c>
      <c r="X127" s="90" t="e">
        <f aca="false">IF($C127="","",xEURO($L127,Put1,$G127,$G127,T127,$J127,0,0))</f>
        <v>#VALUE!</v>
      </c>
      <c r="Y127" s="90" t="e">
        <f aca="false">IF($C127="","",xEURO($L127,Call2,$G127,$G127,U127,$J127,1,0))</f>
        <v>#VALUE!</v>
      </c>
      <c r="Z127" s="90" t="e">
        <f aca="false">IF($C127="","",xEURO($L127,Put2,$G127,$G127,V127,$J127,0,0))</f>
        <v>#VALUE!</v>
      </c>
      <c r="AA127" s="90" t="e">
        <f aca="false">IF($C127="","",xEURO($L127,Call1,$G127,$G127,$S127,$J127,1,1))</f>
        <v>#VALUE!</v>
      </c>
      <c r="AB127" s="90" t="e">
        <f aca="false">IF($C127="","",xEURO($L127,Put1,$G127,$G127,$T127,$J127,0,1))</f>
        <v>#VALUE!</v>
      </c>
      <c r="AC127" s="90" t="e">
        <f aca="false">IF($C127="","",xEURO($L127,Call2,$G127,$G127,$U127,$J127,1,1))</f>
        <v>#VALUE!</v>
      </c>
      <c r="AD127" s="90" t="e">
        <f aca="false">IF($C127="","",xEURO($L127,Put2,$G127,$G127,$V127,$J127,0,1))</f>
        <v>#VALUE!</v>
      </c>
      <c r="AE127" s="90" t="e">
        <f aca="false">IF($C127="","",xEURO($L127,Call1,$G127,$G127,$S127,$J127,1,3))</f>
        <v>#VALUE!</v>
      </c>
      <c r="AF127" s="90" t="e">
        <f aca="false">IF($C127="","",xEURO($L127,Put1,$G127,$G127,$T127,$J127,0,3))</f>
        <v>#VALUE!</v>
      </c>
      <c r="AG127" s="90" t="e">
        <f aca="false">IF($C127="","",xEURO($L127,Call2,$G127,$G127,$U127,$J127,1,3))</f>
        <v>#VALUE!</v>
      </c>
      <c r="AH127" s="90" t="e">
        <f aca="false">IF($C127="","",xEURO($L127,Put2,$G127,$G127,$V127,$J127,0,3))</f>
        <v>#VALUE!</v>
      </c>
      <c r="AI127" s="8" t="e">
        <f aca="false">IF(E127=1,G127,0)</f>
        <v>#VALUE!</v>
      </c>
      <c r="AJ127" s="8" t="e">
        <f aca="false">IF(E127=1,H127,0)</f>
        <v>#VALUE!</v>
      </c>
      <c r="AK127" s="8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</row>
    <row r="128" customFormat="false" ht="12.75" hidden="false" customHeight="false" outlineLevel="0" collapsed="false">
      <c r="A128" s="95" t="n">
        <f aca="false">Swap!A128</f>
        <v>40725</v>
      </c>
      <c r="B128" s="96" t="n">
        <f aca="false">B127+1</f>
        <v>119</v>
      </c>
      <c r="C128" s="95" t="e">
        <f aca="false">IF(AND(A128&gt;=Front!$E$11,A128&lt;=Front!$E$12),A128,"")</f>
        <v>#VALUE!</v>
      </c>
      <c r="D128" s="87" t="e">
        <f aca="false">Swap!AB128</f>
        <v>#VALUE!</v>
      </c>
      <c r="E128" s="87" t="e">
        <f aca="false">IF($C128="","",1)</f>
        <v>#VALUE!</v>
      </c>
      <c r="F128" s="97" t="e">
        <f aca="false">IF($C128="","",E128*H128)</f>
        <v>#VALUE!</v>
      </c>
      <c r="G128" s="31" t="n">
        <f aca="false">Swap!AG128</f>
        <v>0.0555150112135805</v>
      </c>
      <c r="H128" s="31" t="n">
        <f aca="false">Swap!AH128</f>
        <v>2.18089871122631</v>
      </c>
      <c r="I128" s="92" t="n">
        <f aca="false">INDEX(expery,MATCH(A128,exprymonth,0),2)</f>
        <v>40721</v>
      </c>
      <c r="J128" s="98" t="n">
        <f aca="false">I128-Front!$C$2</f>
        <v>-5205</v>
      </c>
      <c r="K128" s="99" t="n">
        <f aca="false">Swap!E128</f>
        <v>3.8315</v>
      </c>
      <c r="L128" s="99" t="e">
        <f aca="false">IF(C128="","",(PriceSwitch=0)*K128+(PriceSwitch=1)*(Front!$H$21+K128)+(PriceSwitch=2)*Front!$H$21)</f>
        <v>#VALUE!</v>
      </c>
      <c r="M128" s="93" t="n">
        <f aca="false">INDEX(vols,MATCH(A128,volsmonth,0),2)</f>
        <v>0.18</v>
      </c>
      <c r="N128" s="3" t="e">
        <f aca="false">IF(Skew_Switch=0,"",IF($C128="","",(Front!$E$20=0)*M128+(Front!$E$20=1)*(Front!$E$21+M128)+(Front!$E$20=2)*Front!$E$21))</f>
        <v>#VALUE!</v>
      </c>
      <c r="O128" s="94" t="e">
        <f aca="false">IF(Skew_Switch=0,"",IF(C128="","",((calcskew(Call1-$L128,$C128,a,b))/100)))</f>
        <v>#VALUE!</v>
      </c>
      <c r="P128" s="94" t="e">
        <f aca="false">IF(Skew_Switch=0,"",IF(C128="","",((calcskew(Put1-$L128,$C128,a,b))/100)))</f>
        <v>#VALUE!</v>
      </c>
      <c r="Q128" s="94" t="e">
        <f aca="false">IF(Skew_Switch=0,"",IF(C128="","",((calcskew(Call2-$L128,$C128,a,b))/100)))</f>
        <v>#VALUE!</v>
      </c>
      <c r="R128" s="94" t="e">
        <f aca="false">IF(Skew_Switch=0,"",IF(C128="","",((calcskew(Put2-$L128,$C128,a,b))/100)))</f>
        <v>#VALUE!</v>
      </c>
      <c r="S128" s="3" t="e">
        <f aca="false">IF($C128="","",(Front!$C$19=0)*$N128+(Front!$C$19=1)*($N128+O128))</f>
        <v>#VALUE!</v>
      </c>
      <c r="T128" s="3" t="e">
        <f aca="false">IF($C128="","",(Front!$C$19=0)*$N128+(Front!$C$19=1)*($N128+P128))</f>
        <v>#VALUE!</v>
      </c>
      <c r="U128" s="3" t="e">
        <f aca="false">IF($C128="","",(Front!$C$19=0)*$N128+(Front!$C$19=1)*($N128+Q128))</f>
        <v>#VALUE!</v>
      </c>
      <c r="V128" s="3" t="e">
        <f aca="false">IF($C128="","",(Front!$C$19=0)*$N128+(Front!$C$19=1)*($N128+R128))</f>
        <v>#VALUE!</v>
      </c>
      <c r="W128" s="90" t="e">
        <f aca="false">IF($C128="","",xEURO($L128,Call1,$G128,$G128,S128,$J128,1,0))</f>
        <v>#VALUE!</v>
      </c>
      <c r="X128" s="90" t="e">
        <f aca="false">IF($C128="","",xEURO($L128,Put1,$G128,$G128,T128,$J128,0,0))</f>
        <v>#VALUE!</v>
      </c>
      <c r="Y128" s="90" t="e">
        <f aca="false">IF($C128="","",xEURO($L128,Call2,$G128,$G128,U128,$J128,1,0))</f>
        <v>#VALUE!</v>
      </c>
      <c r="Z128" s="90" t="e">
        <f aca="false">IF($C128="","",xEURO($L128,Put2,$G128,$G128,V128,$J128,0,0))</f>
        <v>#VALUE!</v>
      </c>
      <c r="AA128" s="90" t="e">
        <f aca="false">IF($C128="","",xEURO($L128,Call1,$G128,$G128,$S128,$J128,1,1))</f>
        <v>#VALUE!</v>
      </c>
      <c r="AB128" s="90" t="e">
        <f aca="false">IF($C128="","",xEURO($L128,Put1,$G128,$G128,$T128,$J128,0,1))</f>
        <v>#VALUE!</v>
      </c>
      <c r="AC128" s="90" t="e">
        <f aca="false">IF($C128="","",xEURO($L128,Call2,$G128,$G128,$U128,$J128,1,1))</f>
        <v>#VALUE!</v>
      </c>
      <c r="AD128" s="90" t="e">
        <f aca="false">IF($C128="","",xEURO($L128,Put2,$G128,$G128,$V128,$J128,0,1))</f>
        <v>#VALUE!</v>
      </c>
      <c r="AE128" s="90" t="e">
        <f aca="false">IF($C128="","",xEURO($L128,Call1,$G128,$G128,$S128,$J128,1,3))</f>
        <v>#VALUE!</v>
      </c>
      <c r="AF128" s="90" t="e">
        <f aca="false">IF($C128="","",xEURO($L128,Put1,$G128,$G128,$T128,$J128,0,3))</f>
        <v>#VALUE!</v>
      </c>
      <c r="AG128" s="90" t="e">
        <f aca="false">IF($C128="","",xEURO($L128,Call2,$G128,$G128,$U128,$J128,1,3))</f>
        <v>#VALUE!</v>
      </c>
      <c r="AH128" s="90" t="e">
        <f aca="false">IF($C128="","",xEURO($L128,Put2,$G128,$G128,$V128,$J128,0,3))</f>
        <v>#VALUE!</v>
      </c>
      <c r="AI128" s="8" t="e">
        <f aca="false">IF(E128=1,G128,0)</f>
        <v>#VALUE!</v>
      </c>
      <c r="AJ128" s="8" t="e">
        <f aca="false">IF(E128=1,H128,0)</f>
        <v>#VALUE!</v>
      </c>
      <c r="AK128" s="8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</row>
    <row r="129" customFormat="false" ht="12.75" hidden="false" customHeight="false" outlineLevel="0" collapsed="false">
      <c r="A129" s="95" t="n">
        <f aca="false">Swap!A129</f>
        <v>40756</v>
      </c>
      <c r="B129" s="96" t="n">
        <f aca="false">B128+1</f>
        <v>120</v>
      </c>
      <c r="C129" s="95" t="e">
        <f aca="false">IF(AND(A129&gt;=Front!$E$11,A129&lt;=Front!$E$12),A129,"")</f>
        <v>#VALUE!</v>
      </c>
      <c r="D129" s="87" t="e">
        <f aca="false">Swap!AB129</f>
        <v>#VALUE!</v>
      </c>
      <c r="E129" s="87" t="e">
        <f aca="false">IF($C129="","",1)</f>
        <v>#VALUE!</v>
      </c>
      <c r="F129" s="97" t="e">
        <f aca="false">IF($C129="","",E129*H129)</f>
        <v>#VALUE!</v>
      </c>
      <c r="G129" s="31" t="n">
        <f aca="false">Swap!AG129</f>
        <v>0.055631538652356</v>
      </c>
      <c r="H129" s="31" t="n">
        <f aca="false">Swap!AH129</f>
        <v>2.17427292916618</v>
      </c>
      <c r="I129" s="92" t="n">
        <f aca="false">INDEX(expery,MATCH(A129,exprymonth,0),2)</f>
        <v>40750</v>
      </c>
      <c r="J129" s="98" t="n">
        <f aca="false">I129-Front!$C$2</f>
        <v>-5176</v>
      </c>
      <c r="K129" s="99" t="n">
        <f aca="false">Swap!E129</f>
        <v>3.8655</v>
      </c>
      <c r="L129" s="99" t="e">
        <f aca="false">IF(C129="","",(PriceSwitch=0)*K129+(PriceSwitch=1)*(Front!$H$21+K129)+(PriceSwitch=2)*Front!$H$21)</f>
        <v>#VALUE!</v>
      </c>
      <c r="M129" s="93" t="n">
        <f aca="false">INDEX(vols,MATCH(A129,volsmonth,0),2)</f>
        <v>0.18</v>
      </c>
      <c r="N129" s="3" t="e">
        <f aca="false">IF(Skew_Switch=0,"",IF($C129="","",(Front!$E$20=0)*M129+(Front!$E$20=1)*(Front!$E$21+M129)+(Front!$E$20=2)*Front!$E$21))</f>
        <v>#VALUE!</v>
      </c>
      <c r="O129" s="94" t="e">
        <f aca="false">IF(Skew_Switch=0,"",IF(C129="","",((calcskew(Call1-$L129,$C129,a,b))/100)))</f>
        <v>#VALUE!</v>
      </c>
      <c r="P129" s="94" t="e">
        <f aca="false">IF(Skew_Switch=0,"",IF(C129="","",((calcskew(Put1-$L129,$C129,a,b))/100)))</f>
        <v>#VALUE!</v>
      </c>
      <c r="Q129" s="94" t="e">
        <f aca="false">IF(Skew_Switch=0,"",IF(C129="","",((calcskew(Call2-$L129,$C129,a,b))/100)))</f>
        <v>#VALUE!</v>
      </c>
      <c r="R129" s="94" t="e">
        <f aca="false">IF(Skew_Switch=0,"",IF(C129="","",((calcskew(Put2-$L129,$C129,a,b))/100)))</f>
        <v>#VALUE!</v>
      </c>
      <c r="S129" s="3" t="e">
        <f aca="false">IF($C129="","",(Front!$C$19=0)*$N129+(Front!$C$19=1)*($N129+O129))</f>
        <v>#VALUE!</v>
      </c>
      <c r="T129" s="3" t="e">
        <f aca="false">IF($C129="","",(Front!$C$19=0)*$N129+(Front!$C$19=1)*($N129+P129))</f>
        <v>#VALUE!</v>
      </c>
      <c r="U129" s="3" t="e">
        <f aca="false">IF($C129="","",(Front!$C$19=0)*$N129+(Front!$C$19=1)*($N129+Q129))</f>
        <v>#VALUE!</v>
      </c>
      <c r="V129" s="3" t="e">
        <f aca="false">IF($C129="","",(Front!$C$19=0)*$N129+(Front!$C$19=1)*($N129+R129))</f>
        <v>#VALUE!</v>
      </c>
      <c r="W129" s="90" t="e">
        <f aca="false">IF($C129="","",xEURO($L129,Call1,$G129,$G129,S129,$J129,1,0))</f>
        <v>#VALUE!</v>
      </c>
      <c r="X129" s="90" t="e">
        <f aca="false">IF($C129="","",xEURO($L129,Put1,$G129,$G129,T129,$J129,0,0))</f>
        <v>#VALUE!</v>
      </c>
      <c r="Y129" s="90" t="e">
        <f aca="false">IF($C129="","",xEURO($L129,Call2,$G129,$G129,U129,$J129,1,0))</f>
        <v>#VALUE!</v>
      </c>
      <c r="Z129" s="90" t="e">
        <f aca="false">IF($C129="","",xEURO($L129,Put2,$G129,$G129,V129,$J129,0,0))</f>
        <v>#VALUE!</v>
      </c>
      <c r="AA129" s="90" t="e">
        <f aca="false">IF($C129="","",xEURO($L129,Call1,$G129,$G129,$S129,$J129,1,1))</f>
        <v>#VALUE!</v>
      </c>
      <c r="AB129" s="90" t="e">
        <f aca="false">IF($C129="","",xEURO($L129,Put1,$G129,$G129,$T129,$J129,0,1))</f>
        <v>#VALUE!</v>
      </c>
      <c r="AC129" s="90" t="e">
        <f aca="false">IF($C129="","",xEURO($L129,Call2,$G129,$G129,$U129,$J129,1,1))</f>
        <v>#VALUE!</v>
      </c>
      <c r="AD129" s="90" t="e">
        <f aca="false">IF($C129="","",xEURO($L129,Put2,$G129,$G129,$V129,$J129,0,1))</f>
        <v>#VALUE!</v>
      </c>
      <c r="AE129" s="90" t="e">
        <f aca="false">IF($C129="","",xEURO($L129,Call1,$G129,$G129,$S129,$J129,1,3))</f>
        <v>#VALUE!</v>
      </c>
      <c r="AF129" s="90" t="e">
        <f aca="false">IF($C129="","",xEURO($L129,Put1,$G129,$G129,$T129,$J129,0,3))</f>
        <v>#VALUE!</v>
      </c>
      <c r="AG129" s="90" t="e">
        <f aca="false">IF($C129="","",xEURO($L129,Call2,$G129,$G129,$U129,$J129,1,3))</f>
        <v>#VALUE!</v>
      </c>
      <c r="AH129" s="90" t="e">
        <f aca="false">IF($C129="","",xEURO($L129,Put2,$G129,$G129,$V129,$J129,0,3))</f>
        <v>#VALUE!</v>
      </c>
      <c r="AI129" s="8" t="e">
        <f aca="false">IF(E129=1,G129,0)</f>
        <v>#VALUE!</v>
      </c>
      <c r="AJ129" s="8" t="e">
        <f aca="false">IF(E129=1,H129,0)</f>
        <v>#VALUE!</v>
      </c>
      <c r="AK129" s="8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</row>
    <row r="130" customFormat="false" ht="12.75" hidden="false" customHeight="false" outlineLevel="0" collapsed="false">
      <c r="A130" s="95" t="n">
        <f aca="false">Swap!A130</f>
        <v>40787</v>
      </c>
      <c r="B130" s="96" t="n">
        <f aca="false">B129+1</f>
        <v>121</v>
      </c>
      <c r="C130" s="95" t="e">
        <f aca="false">IF(AND(A130&gt;=Front!$E$11,A130&lt;=Front!$E$12),A130,"")</f>
        <v>#VALUE!</v>
      </c>
      <c r="D130" s="87" t="e">
        <f aca="false">Swap!AB130</f>
        <v>#VALUE!</v>
      </c>
      <c r="E130" s="87" t="e">
        <f aca="false">IF($C130="","",1)</f>
        <v>#VALUE!</v>
      </c>
      <c r="F130" s="97" t="e">
        <f aca="false">IF($C130="","",E130*H130)</f>
        <v>#VALUE!</v>
      </c>
      <c r="G130" s="31" t="n">
        <f aca="false">Swap!AG130</f>
        <v>0.0557480660956524</v>
      </c>
      <c r="H130" s="31" t="n">
        <f aca="false">Swap!AH130</f>
        <v>2.16762536380485</v>
      </c>
      <c r="I130" s="92" t="n">
        <f aca="false">INDEX(expery,MATCH(A130,exprymonth,0),2)</f>
        <v>40781</v>
      </c>
      <c r="J130" s="98" t="n">
        <f aca="false">I130-Front!$C$2</f>
        <v>-5145</v>
      </c>
      <c r="K130" s="99" t="n">
        <f aca="false">Swap!E130</f>
        <v>3.8785</v>
      </c>
      <c r="L130" s="99" t="e">
        <f aca="false">IF(C130="","",(PriceSwitch=0)*K130+(PriceSwitch=1)*(Front!$H$21+K130)+(PriceSwitch=2)*Front!$H$21)</f>
        <v>#VALUE!</v>
      </c>
      <c r="M130" s="93" t="n">
        <f aca="false">INDEX(vols,MATCH(A130,volsmonth,0),2)</f>
        <v>0.18</v>
      </c>
      <c r="N130" s="3" t="e">
        <f aca="false">IF(Skew_Switch=0,"",IF($C130="","",(Front!$E$20=0)*M130+(Front!$E$20=1)*(Front!$E$21+M130)+(Front!$E$20=2)*Front!$E$21))</f>
        <v>#VALUE!</v>
      </c>
      <c r="O130" s="94" t="e">
        <f aca="false">IF(Skew_Switch=0,"",IF(C130="","",((calcskew(Call1-$L130,$C130,a,b))/100)))</f>
        <v>#VALUE!</v>
      </c>
      <c r="P130" s="94" t="e">
        <f aca="false">IF(Skew_Switch=0,"",IF(C130="","",((calcskew(Put1-$L130,$C130,a,b))/100)))</f>
        <v>#VALUE!</v>
      </c>
      <c r="Q130" s="94" t="e">
        <f aca="false">IF(Skew_Switch=0,"",IF(C130="","",((calcskew(Call2-$L130,$C130,a,b))/100)))</f>
        <v>#VALUE!</v>
      </c>
      <c r="R130" s="94" t="e">
        <f aca="false">IF(Skew_Switch=0,"",IF(C130="","",((calcskew(Put2-$L130,$C130,a,b))/100)))</f>
        <v>#VALUE!</v>
      </c>
      <c r="S130" s="3" t="e">
        <f aca="false">IF($C130="","",(Front!$C$19=0)*$N130+(Front!$C$19=1)*($N130+O130))</f>
        <v>#VALUE!</v>
      </c>
      <c r="T130" s="3" t="e">
        <f aca="false">IF($C130="","",(Front!$C$19=0)*$N130+(Front!$C$19=1)*($N130+P130))</f>
        <v>#VALUE!</v>
      </c>
      <c r="U130" s="3" t="e">
        <f aca="false">IF($C130="","",(Front!$C$19=0)*$N130+(Front!$C$19=1)*($N130+Q130))</f>
        <v>#VALUE!</v>
      </c>
      <c r="V130" s="3" t="e">
        <f aca="false">IF($C130="","",(Front!$C$19=0)*$N130+(Front!$C$19=1)*($N130+R130))</f>
        <v>#VALUE!</v>
      </c>
      <c r="W130" s="90" t="e">
        <f aca="false">IF($C130="","",xEURO($L130,Call1,$G130,$G130,S130,$J130,1,0))</f>
        <v>#VALUE!</v>
      </c>
      <c r="X130" s="90" t="e">
        <f aca="false">IF($C130="","",xEURO($L130,Put1,$G130,$G130,T130,$J130,0,0))</f>
        <v>#VALUE!</v>
      </c>
      <c r="Y130" s="90" t="e">
        <f aca="false">IF($C130="","",xEURO($L130,Call2,$G130,$G130,U130,$J130,1,0))</f>
        <v>#VALUE!</v>
      </c>
      <c r="Z130" s="90" t="e">
        <f aca="false">IF($C130="","",xEURO($L130,Put2,$G130,$G130,V130,$J130,0,0))</f>
        <v>#VALUE!</v>
      </c>
      <c r="AA130" s="90" t="e">
        <f aca="false">IF($C130="","",xEURO($L130,Call1,$G130,$G130,$S130,$J130,1,1))</f>
        <v>#VALUE!</v>
      </c>
      <c r="AB130" s="90" t="e">
        <f aca="false">IF($C130="","",xEURO($L130,Put1,$G130,$G130,$T130,$J130,0,1))</f>
        <v>#VALUE!</v>
      </c>
      <c r="AC130" s="90" t="e">
        <f aca="false">IF($C130="","",xEURO($L130,Call2,$G130,$G130,$U130,$J130,1,1))</f>
        <v>#VALUE!</v>
      </c>
      <c r="AD130" s="90" t="e">
        <f aca="false">IF($C130="","",xEURO($L130,Put2,$G130,$G130,$V130,$J130,0,1))</f>
        <v>#VALUE!</v>
      </c>
      <c r="AE130" s="90" t="e">
        <f aca="false">IF($C130="","",xEURO($L130,Call1,$G130,$G130,$S130,$J130,1,3))</f>
        <v>#VALUE!</v>
      </c>
      <c r="AF130" s="90" t="e">
        <f aca="false">IF($C130="","",xEURO($L130,Put1,$G130,$G130,$T130,$J130,0,3))</f>
        <v>#VALUE!</v>
      </c>
      <c r="AG130" s="90" t="e">
        <f aca="false">IF($C130="","",xEURO($L130,Call2,$G130,$G130,$U130,$J130,1,3))</f>
        <v>#VALUE!</v>
      </c>
      <c r="AH130" s="90" t="e">
        <f aca="false">IF($C130="","",xEURO($L130,Put2,$G130,$G130,$V130,$J130,0,3))</f>
        <v>#VALUE!</v>
      </c>
      <c r="AI130" s="8" t="e">
        <f aca="false">IF(E130=1,G130,0)</f>
        <v>#VALUE!</v>
      </c>
      <c r="AJ130" s="8" t="e">
        <f aca="false">IF(E130=1,H130,0)</f>
        <v>#VALUE!</v>
      </c>
      <c r="AK130" s="8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</row>
    <row r="131" customFormat="false" ht="12.75" hidden="false" customHeight="false" outlineLevel="0" collapsed="false">
      <c r="A131" s="95" t="n">
        <f aca="false">Swap!A131</f>
        <v>40817</v>
      </c>
      <c r="B131" s="96" t="n">
        <f aca="false">B130+1</f>
        <v>122</v>
      </c>
      <c r="C131" s="95" t="e">
        <f aca="false">IF(AND(A131&gt;=Front!$E$11,A131&lt;=Front!$E$12),A131,"")</f>
        <v>#VALUE!</v>
      </c>
      <c r="D131" s="87" t="e">
        <f aca="false">Swap!AB131</f>
        <v>#VALUE!</v>
      </c>
      <c r="E131" s="87" t="e">
        <f aca="false">IF($C131="","",1)</f>
        <v>#VALUE!</v>
      </c>
      <c r="F131" s="97" t="e">
        <f aca="false">IF($C131="","",E131*H131)</f>
        <v>#VALUE!</v>
      </c>
      <c r="G131" s="31" t="n">
        <f aca="false">Swap!AG131</f>
        <v>0.0558528794161926</v>
      </c>
      <c r="H131" s="31" t="n">
        <f aca="false">Swap!AH131</f>
        <v>2.1609378665223</v>
      </c>
      <c r="I131" s="92" t="n">
        <f aca="false">INDEX(expery,MATCH(A131,exprymonth,0),2)</f>
        <v>40813</v>
      </c>
      <c r="J131" s="98" t="n">
        <f aca="false">I131-Front!$C$2</f>
        <v>-5113</v>
      </c>
      <c r="K131" s="99" t="n">
        <f aca="false">Swap!E131</f>
        <v>3.8705</v>
      </c>
      <c r="L131" s="99" t="e">
        <f aca="false">IF(C131="","",(PriceSwitch=0)*K131+(PriceSwitch=1)*(Front!$H$21+K131)+(PriceSwitch=2)*Front!$H$21)</f>
        <v>#VALUE!</v>
      </c>
      <c r="M131" s="93" t="n">
        <f aca="false">INDEX(vols,MATCH(A131,volsmonth,0),2)</f>
        <v>0.18</v>
      </c>
      <c r="N131" s="3" t="e">
        <f aca="false">IF(Skew_Switch=0,"",IF($C131="","",(Front!$E$20=0)*M131+(Front!$E$20=1)*(Front!$E$21+M131)+(Front!$E$20=2)*Front!$E$21))</f>
        <v>#VALUE!</v>
      </c>
      <c r="O131" s="94" t="e">
        <f aca="false">IF(Skew_Switch=0,"",IF(C131="","",((calcskew(Call1-$L131,$C131,a,b))/100)))</f>
        <v>#VALUE!</v>
      </c>
      <c r="P131" s="94" t="e">
        <f aca="false">IF(Skew_Switch=0,"",IF(C131="","",((calcskew(Put1-$L131,$C131,a,b))/100)))</f>
        <v>#VALUE!</v>
      </c>
      <c r="Q131" s="94" t="e">
        <f aca="false">IF(Skew_Switch=0,"",IF(C131="","",((calcskew(Call2-$L131,$C131,a,b))/100)))</f>
        <v>#VALUE!</v>
      </c>
      <c r="R131" s="94" t="e">
        <f aca="false">IF(Skew_Switch=0,"",IF(C131="","",((calcskew(Put2-$L131,$C131,a,b))/100)))</f>
        <v>#VALUE!</v>
      </c>
      <c r="S131" s="3" t="e">
        <f aca="false">IF($C131="","",(Front!$C$19=0)*$N131+(Front!$C$19=1)*($N131+O131))</f>
        <v>#VALUE!</v>
      </c>
      <c r="T131" s="3" t="e">
        <f aca="false">IF($C131="","",(Front!$C$19=0)*$N131+(Front!$C$19=1)*($N131+P131))</f>
        <v>#VALUE!</v>
      </c>
      <c r="U131" s="3" t="e">
        <f aca="false">IF($C131="","",(Front!$C$19=0)*$N131+(Front!$C$19=1)*($N131+Q131))</f>
        <v>#VALUE!</v>
      </c>
      <c r="V131" s="3" t="e">
        <f aca="false">IF($C131="","",(Front!$C$19=0)*$N131+(Front!$C$19=1)*($N131+R131))</f>
        <v>#VALUE!</v>
      </c>
      <c r="W131" s="90" t="e">
        <f aca="false">IF($C131="","",xEURO($L131,Call1,$G131,$G131,S131,$J131,1,0))</f>
        <v>#VALUE!</v>
      </c>
      <c r="X131" s="90" t="e">
        <f aca="false">IF($C131="","",xEURO($L131,Put1,$G131,$G131,T131,$J131,0,0))</f>
        <v>#VALUE!</v>
      </c>
      <c r="Y131" s="90" t="e">
        <f aca="false">IF($C131="","",xEURO($L131,Call2,$G131,$G131,U131,$J131,1,0))</f>
        <v>#VALUE!</v>
      </c>
      <c r="Z131" s="90" t="e">
        <f aca="false">IF($C131="","",xEURO($L131,Put2,$G131,$G131,V131,$J131,0,0))</f>
        <v>#VALUE!</v>
      </c>
      <c r="AA131" s="90" t="e">
        <f aca="false">IF($C131="","",xEURO($L131,Call1,$G131,$G131,$S131,$J131,1,1))</f>
        <v>#VALUE!</v>
      </c>
      <c r="AB131" s="90" t="e">
        <f aca="false">IF($C131="","",xEURO($L131,Put1,$G131,$G131,$T131,$J131,0,1))</f>
        <v>#VALUE!</v>
      </c>
      <c r="AC131" s="90" t="e">
        <f aca="false">IF($C131="","",xEURO($L131,Call2,$G131,$G131,$U131,$J131,1,1))</f>
        <v>#VALUE!</v>
      </c>
      <c r="AD131" s="90" t="e">
        <f aca="false">IF($C131="","",xEURO($L131,Put2,$G131,$G131,$V131,$J131,0,1))</f>
        <v>#VALUE!</v>
      </c>
      <c r="AE131" s="90" t="e">
        <f aca="false">IF($C131="","",xEURO($L131,Call1,$G131,$G131,$S131,$J131,1,3))</f>
        <v>#VALUE!</v>
      </c>
      <c r="AF131" s="90" t="e">
        <f aca="false">IF($C131="","",xEURO($L131,Put1,$G131,$G131,$T131,$J131,0,3))</f>
        <v>#VALUE!</v>
      </c>
      <c r="AG131" s="90" t="e">
        <f aca="false">IF($C131="","",xEURO($L131,Call2,$G131,$G131,$U131,$J131,1,3))</f>
        <v>#VALUE!</v>
      </c>
      <c r="AH131" s="90" t="e">
        <f aca="false">IF($C131="","",xEURO($L131,Put2,$G131,$G131,$V131,$J131,0,3))</f>
        <v>#VALUE!</v>
      </c>
      <c r="AI131" s="8" t="e">
        <f aca="false">IF(E131=1,G131,0)</f>
        <v>#VALUE!</v>
      </c>
      <c r="AJ131" s="8" t="e">
        <f aca="false">IF(E131=1,H131,0)</f>
        <v>#VALUE!</v>
      </c>
      <c r="AK131" s="8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</row>
    <row r="132" customFormat="false" ht="12.75" hidden="false" customHeight="false" outlineLevel="0" collapsed="false">
      <c r="A132" s="95" t="n">
        <f aca="false">Swap!A132</f>
        <v>40848</v>
      </c>
      <c r="B132" s="96" t="n">
        <f aca="false">B131+1</f>
        <v>123</v>
      </c>
      <c r="C132" s="95" t="e">
        <f aca="false">IF(AND(A132&gt;=Front!$E$11,A132&lt;=Front!$E$12),A132,"")</f>
        <v>#VALUE!</v>
      </c>
      <c r="D132" s="87" t="e">
        <f aca="false">Swap!AB132</f>
        <v>#VALUE!</v>
      </c>
      <c r="E132" s="87" t="e">
        <f aca="false">IF($C132="","",1)</f>
        <v>#VALUE!</v>
      </c>
      <c r="F132" s="97" t="e">
        <f aca="false">IF($C132="","",E132*H132)</f>
        <v>#VALUE!</v>
      </c>
      <c r="G132" s="31" t="n">
        <f aca="false">Swap!AG132</f>
        <v>0.0559200847675165</v>
      </c>
      <c r="H132" s="31" t="n">
        <f aca="false">Swap!AH132</f>
        <v>2.15281401641122</v>
      </c>
      <c r="I132" s="92" t="n">
        <f aca="false">INDEX(expery,MATCH(A132,exprymonth,0),2)</f>
        <v>40842</v>
      </c>
      <c r="J132" s="98" t="n">
        <f aca="false">I132-Front!$C$2</f>
        <v>-5084</v>
      </c>
      <c r="K132" s="99" t="n">
        <f aca="false">Swap!E132</f>
        <v>4.0405</v>
      </c>
      <c r="L132" s="99" t="e">
        <f aca="false">IF(C132="","",(PriceSwitch=0)*K132+(PriceSwitch=1)*(Front!$H$21+K132)+(PriceSwitch=2)*Front!$H$21)</f>
        <v>#VALUE!</v>
      </c>
      <c r="M132" s="93" t="n">
        <f aca="false">INDEX(vols,MATCH(A132,volsmonth,0),2)</f>
        <v>0.18</v>
      </c>
      <c r="N132" s="3" t="e">
        <f aca="false">IF(Skew_Switch=0,"",IF($C132="","",(Front!$E$20=0)*M132+(Front!$E$20=1)*(Front!$E$21+M132)+(Front!$E$20=2)*Front!$E$21))</f>
        <v>#VALUE!</v>
      </c>
      <c r="O132" s="94" t="e">
        <f aca="false">IF(Skew_Switch=0,"",IF(C132="","",((calcskew(Call1-$L132,$C132,a,b))/100)))</f>
        <v>#VALUE!</v>
      </c>
      <c r="P132" s="94" t="e">
        <f aca="false">IF(Skew_Switch=0,"",IF(C132="","",((calcskew(Put1-$L132,$C132,a,b))/100)))</f>
        <v>#VALUE!</v>
      </c>
      <c r="Q132" s="94" t="e">
        <f aca="false">IF(Skew_Switch=0,"",IF(C132="","",((calcskew(Call2-$L132,$C132,a,b))/100)))</f>
        <v>#VALUE!</v>
      </c>
      <c r="R132" s="94" t="e">
        <f aca="false">IF(Skew_Switch=0,"",IF(C132="","",((calcskew(Put2-$L132,$C132,a,b))/100)))</f>
        <v>#VALUE!</v>
      </c>
      <c r="S132" s="3" t="e">
        <f aca="false">IF($C132="","",(Front!$C$19=0)*$N132+(Front!$C$19=1)*($N132+O132))</f>
        <v>#VALUE!</v>
      </c>
      <c r="T132" s="3" t="e">
        <f aca="false">IF($C132="","",(Front!$C$19=0)*$N132+(Front!$C$19=1)*($N132+P132))</f>
        <v>#VALUE!</v>
      </c>
      <c r="U132" s="3" t="e">
        <f aca="false">IF($C132="","",(Front!$C$19=0)*$N132+(Front!$C$19=1)*($N132+Q132))</f>
        <v>#VALUE!</v>
      </c>
      <c r="V132" s="3" t="e">
        <f aca="false">IF($C132="","",(Front!$C$19=0)*$N132+(Front!$C$19=1)*($N132+R132))</f>
        <v>#VALUE!</v>
      </c>
      <c r="W132" s="90" t="e">
        <f aca="false">IF($C132="","",xEURO($L132,Call1,$G132,$G132,S132,$J132,1,0))</f>
        <v>#VALUE!</v>
      </c>
      <c r="X132" s="90" t="e">
        <f aca="false">IF($C132="","",xEURO($L132,Put1,$G132,$G132,T132,$J132,0,0))</f>
        <v>#VALUE!</v>
      </c>
      <c r="Y132" s="90" t="e">
        <f aca="false">IF($C132="","",xEURO($L132,Call2,$G132,$G132,U132,$J132,1,0))</f>
        <v>#VALUE!</v>
      </c>
      <c r="Z132" s="90" t="e">
        <f aca="false">IF($C132="","",xEURO($L132,Put2,$G132,$G132,V132,$J132,0,0))</f>
        <v>#VALUE!</v>
      </c>
      <c r="AA132" s="90" t="e">
        <f aca="false">IF($C132="","",xEURO($L132,Call1,$G132,$G132,$S132,$J132,1,1))</f>
        <v>#VALUE!</v>
      </c>
      <c r="AB132" s="90" t="e">
        <f aca="false">IF($C132="","",xEURO($L132,Put1,$G132,$G132,$T132,$J132,0,1))</f>
        <v>#VALUE!</v>
      </c>
      <c r="AC132" s="90" t="e">
        <f aca="false">IF($C132="","",xEURO($L132,Call2,$G132,$G132,$U132,$J132,1,1))</f>
        <v>#VALUE!</v>
      </c>
      <c r="AD132" s="90" t="e">
        <f aca="false">IF($C132="","",xEURO($L132,Put2,$G132,$G132,$V132,$J132,0,1))</f>
        <v>#VALUE!</v>
      </c>
      <c r="AE132" s="90" t="e">
        <f aca="false">IF($C132="","",xEURO($L132,Call1,$G132,$G132,$S132,$J132,1,3))</f>
        <v>#VALUE!</v>
      </c>
      <c r="AF132" s="90" t="e">
        <f aca="false">IF($C132="","",xEURO($L132,Put1,$G132,$G132,$T132,$J132,0,3))</f>
        <v>#VALUE!</v>
      </c>
      <c r="AG132" s="90" t="e">
        <f aca="false">IF($C132="","",xEURO($L132,Call2,$G132,$G132,$U132,$J132,1,3))</f>
        <v>#VALUE!</v>
      </c>
      <c r="AH132" s="90" t="e">
        <f aca="false">IF($C132="","",xEURO($L132,Put2,$G132,$G132,$V132,$J132,0,3))</f>
        <v>#VALUE!</v>
      </c>
      <c r="AI132" s="8" t="e">
        <f aca="false">IF(E132=1,G132,0)</f>
        <v>#VALUE!</v>
      </c>
      <c r="AJ132" s="8" t="e">
        <f aca="false">IF(E132=1,H132,0)</f>
        <v>#VALUE!</v>
      </c>
      <c r="AK132" s="8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</row>
    <row r="133" customFormat="false" ht="12.75" hidden="false" customHeight="false" outlineLevel="0" collapsed="false">
      <c r="A133" s="95" t="n">
        <f aca="false">Swap!A133</f>
        <v>40878</v>
      </c>
      <c r="B133" s="96" t="n">
        <f aca="false">B132+1</f>
        <v>124</v>
      </c>
      <c r="C133" s="95" t="e">
        <f aca="false">IF(AND(A133&gt;=Front!$E$11,A133&lt;=Front!$E$12),A133,"")</f>
        <v>#VALUE!</v>
      </c>
      <c r="D133" s="87" t="e">
        <f aca="false">Swap!AB133</f>
        <v>#VALUE!</v>
      </c>
      <c r="E133" s="87" t="e">
        <f aca="false">IF($C133="","",1)</f>
        <v>#VALUE!</v>
      </c>
      <c r="F133" s="97" t="e">
        <f aca="false">IF($C133="","",E133*H133)</f>
        <v>#VALUE!</v>
      </c>
      <c r="G133" s="31" t="n">
        <f aca="false">Swap!AG133</f>
        <v>0.0559851222057133</v>
      </c>
      <c r="H133" s="31" t="n">
        <f aca="false">Swap!AH133</f>
        <v>2.14495858089386</v>
      </c>
      <c r="I133" s="92" t="n">
        <f aca="false">INDEX(expery,MATCH(A133,exprymonth,0),2)</f>
        <v>40872</v>
      </c>
      <c r="J133" s="98" t="n">
        <f aca="false">I133-Front!$C$2</f>
        <v>-5054</v>
      </c>
      <c r="K133" s="99" t="n">
        <f aca="false">Swap!E133</f>
        <v>4.2155</v>
      </c>
      <c r="L133" s="99" t="e">
        <f aca="false">IF(C133="","",(PriceSwitch=0)*K133+(PriceSwitch=1)*(Front!$H$21+K133)+(PriceSwitch=2)*Front!$H$21)</f>
        <v>#VALUE!</v>
      </c>
      <c r="M133" s="93" t="n">
        <f aca="false">INDEX(vols,MATCH(A133,volsmonth,0),2)</f>
        <v>0.18</v>
      </c>
      <c r="N133" s="3" t="e">
        <f aca="false">IF(Skew_Switch=0,"",IF($C133="","",(Front!$E$20=0)*M133+(Front!$E$20=1)*(Front!$E$21+M133)+(Front!$E$20=2)*Front!$E$21))</f>
        <v>#VALUE!</v>
      </c>
      <c r="O133" s="94" t="e">
        <f aca="false">IF(Skew_Switch=0,"",IF(C133="","",((calcskew(Call1-$L133,$C133,a,b))/100)))</f>
        <v>#VALUE!</v>
      </c>
      <c r="P133" s="94" t="e">
        <f aca="false">IF(Skew_Switch=0,"",IF(C133="","",((calcskew(Put1-$L133,$C133,a,b))/100)))</f>
        <v>#VALUE!</v>
      </c>
      <c r="Q133" s="94" t="e">
        <f aca="false">IF(Skew_Switch=0,"",IF(C133="","",((calcskew(Call2-$L133,$C133,a,b))/100)))</f>
        <v>#VALUE!</v>
      </c>
      <c r="R133" s="94" t="e">
        <f aca="false">IF(Skew_Switch=0,"",IF(C133="","",((calcskew(Put2-$L133,$C133,a,b))/100)))</f>
        <v>#VALUE!</v>
      </c>
      <c r="S133" s="3" t="e">
        <f aca="false">IF($C133="","",(Front!$C$19=0)*$N133+(Front!$C$19=1)*($N133+O133))</f>
        <v>#VALUE!</v>
      </c>
      <c r="T133" s="3" t="e">
        <f aca="false">IF($C133="","",(Front!$C$19=0)*$N133+(Front!$C$19=1)*($N133+P133))</f>
        <v>#VALUE!</v>
      </c>
      <c r="U133" s="3" t="e">
        <f aca="false">IF($C133="","",(Front!$C$19=0)*$N133+(Front!$C$19=1)*($N133+Q133))</f>
        <v>#VALUE!</v>
      </c>
      <c r="V133" s="3" t="e">
        <f aca="false">IF($C133="","",(Front!$C$19=0)*$N133+(Front!$C$19=1)*($N133+R133))</f>
        <v>#VALUE!</v>
      </c>
      <c r="W133" s="90" t="e">
        <f aca="false">IF($C133="","",xEURO($L133,Call1,$G133,$G133,S133,$J133,1,0))</f>
        <v>#VALUE!</v>
      </c>
      <c r="X133" s="90" t="e">
        <f aca="false">IF($C133="","",xEURO($L133,Put1,$G133,$G133,T133,$J133,0,0))</f>
        <v>#VALUE!</v>
      </c>
      <c r="Y133" s="90" t="e">
        <f aca="false">IF($C133="","",xEURO($L133,Call2,$G133,$G133,U133,$J133,1,0))</f>
        <v>#VALUE!</v>
      </c>
      <c r="Z133" s="90" t="e">
        <f aca="false">IF($C133="","",xEURO($L133,Put2,$G133,$G133,V133,$J133,0,0))</f>
        <v>#VALUE!</v>
      </c>
      <c r="AA133" s="90" t="e">
        <f aca="false">IF($C133="","",xEURO($L133,Call1,$G133,$G133,$S133,$J133,1,1))</f>
        <v>#VALUE!</v>
      </c>
      <c r="AB133" s="90" t="e">
        <f aca="false">IF($C133="","",xEURO($L133,Put1,$G133,$G133,$T133,$J133,0,1))</f>
        <v>#VALUE!</v>
      </c>
      <c r="AC133" s="90" t="e">
        <f aca="false">IF($C133="","",xEURO($L133,Call2,$G133,$G133,$U133,$J133,1,1))</f>
        <v>#VALUE!</v>
      </c>
      <c r="AD133" s="90" t="e">
        <f aca="false">IF($C133="","",xEURO($L133,Put2,$G133,$G133,$V133,$J133,0,1))</f>
        <v>#VALUE!</v>
      </c>
      <c r="AE133" s="90" t="e">
        <f aca="false">IF($C133="","",xEURO($L133,Call1,$G133,$G133,$S133,$J133,1,3))</f>
        <v>#VALUE!</v>
      </c>
      <c r="AF133" s="90" t="e">
        <f aca="false">IF($C133="","",xEURO($L133,Put1,$G133,$G133,$T133,$J133,0,3))</f>
        <v>#VALUE!</v>
      </c>
      <c r="AG133" s="90" t="e">
        <f aca="false">IF($C133="","",xEURO($L133,Call2,$G133,$G133,$U133,$J133,1,3))</f>
        <v>#VALUE!</v>
      </c>
      <c r="AH133" s="90" t="e">
        <f aca="false">IF($C133="","",xEURO($L133,Put2,$G133,$G133,$V133,$J133,0,3))</f>
        <v>#VALUE!</v>
      </c>
      <c r="AI133" s="8" t="e">
        <f aca="false">IF(E133=1,G133,0)</f>
        <v>#VALUE!</v>
      </c>
      <c r="AJ133" s="8" t="e">
        <f aca="false">IF(E133=1,H133,0)</f>
        <v>#VALUE!</v>
      </c>
      <c r="AK133" s="8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</row>
    <row r="134" customFormat="false" ht="12.75" hidden="false" customHeight="false" outlineLevel="0" collapsed="false">
      <c r="A134" s="95" t="n">
        <f aca="false">Swap!A134</f>
        <v>40909</v>
      </c>
      <c r="B134" s="96" t="n">
        <f aca="false">B133+1</f>
        <v>125</v>
      </c>
      <c r="C134" s="95" t="e">
        <f aca="false">IF(AND(A134&gt;=Front!$E$11,A134&lt;=Front!$E$12),A134,"")</f>
        <v>#VALUE!</v>
      </c>
      <c r="D134" s="87" t="e">
        <f aca="false">Swap!AB134</f>
        <v>#VALUE!</v>
      </c>
      <c r="E134" s="87" t="e">
        <f aca="false">IF($C134="","",1)</f>
        <v>#VALUE!</v>
      </c>
      <c r="F134" s="97" t="e">
        <f aca="false">IF($C134="","",E134*H134)</f>
        <v>#VALUE!</v>
      </c>
      <c r="G134" s="31" t="n">
        <f aca="false">Swap!AG134</f>
        <v>0.0560523275599953</v>
      </c>
      <c r="H134" s="31" t="n">
        <f aca="false">Swap!AH134</f>
        <v>2.13684801640423</v>
      </c>
      <c r="I134" s="92" t="n">
        <f aca="false">INDEX(expery,MATCH(A134,exprymonth,0),2)</f>
        <v>40904</v>
      </c>
      <c r="J134" s="98" t="n">
        <f aca="false">I134-Front!$C$2</f>
        <v>-5022</v>
      </c>
      <c r="K134" s="99" t="n">
        <f aca="false">Swap!E134</f>
        <v>4.268</v>
      </c>
      <c r="L134" s="99" t="e">
        <f aca="false">IF(C134="","",(PriceSwitch=0)*K134+(PriceSwitch=1)*(Front!$H$21+K134)+(PriceSwitch=2)*Front!$H$21)</f>
        <v>#VALUE!</v>
      </c>
      <c r="M134" s="93" t="n">
        <f aca="false">INDEX(vols,MATCH(A134,volsmonth,0),2)</f>
        <v>0.18</v>
      </c>
      <c r="N134" s="3" t="e">
        <f aca="false">IF(Skew_Switch=0,"",IF($C134="","",(Front!$E$20=0)*M134+(Front!$E$20=1)*(Front!$E$21+M134)+(Front!$E$20=2)*Front!$E$21))</f>
        <v>#VALUE!</v>
      </c>
      <c r="O134" s="94" t="e">
        <f aca="false">IF(Skew_Switch=0,"",IF(C134="","",((calcskew(Call1-$L134,$C134,a,b))/100)))</f>
        <v>#VALUE!</v>
      </c>
      <c r="P134" s="94" t="e">
        <f aca="false">IF(Skew_Switch=0,"",IF(C134="","",((calcskew(Put1-$L134,$C134,a,b))/100)))</f>
        <v>#VALUE!</v>
      </c>
      <c r="Q134" s="94" t="e">
        <f aca="false">IF(Skew_Switch=0,"",IF(C134="","",((calcskew(Call2-$L134,$C134,a,b))/100)))</f>
        <v>#VALUE!</v>
      </c>
      <c r="R134" s="94" t="e">
        <f aca="false">IF(Skew_Switch=0,"",IF(C134="","",((calcskew(Put2-$L134,$C134,a,b))/100)))</f>
        <v>#VALUE!</v>
      </c>
      <c r="S134" s="3" t="e">
        <f aca="false">IF($C134="","",(Front!$C$19=0)*$N134+(Front!$C$19=1)*($N134+O134))</f>
        <v>#VALUE!</v>
      </c>
      <c r="T134" s="3" t="e">
        <f aca="false">IF($C134="","",(Front!$C$19=0)*$N134+(Front!$C$19=1)*($N134+P134))</f>
        <v>#VALUE!</v>
      </c>
      <c r="U134" s="3" t="e">
        <f aca="false">IF($C134="","",(Front!$C$19=0)*$N134+(Front!$C$19=1)*($N134+Q134))</f>
        <v>#VALUE!</v>
      </c>
      <c r="V134" s="3" t="e">
        <f aca="false">IF($C134="","",(Front!$C$19=0)*$N134+(Front!$C$19=1)*($N134+R134))</f>
        <v>#VALUE!</v>
      </c>
      <c r="W134" s="90" t="e">
        <f aca="false">IF($C134="","",xEURO($L134,Call1,$G134,$G134,S134,$J134,1,0))</f>
        <v>#VALUE!</v>
      </c>
      <c r="X134" s="90" t="e">
        <f aca="false">IF($C134="","",xEURO($L134,Put1,$G134,$G134,T134,$J134,0,0))</f>
        <v>#VALUE!</v>
      </c>
      <c r="Y134" s="90" t="e">
        <f aca="false">IF($C134="","",xEURO($L134,Call2,$G134,$G134,U134,$J134,1,0))</f>
        <v>#VALUE!</v>
      </c>
      <c r="Z134" s="90" t="e">
        <f aca="false">IF($C134="","",xEURO($L134,Put2,$G134,$G134,V134,$J134,0,0))</f>
        <v>#VALUE!</v>
      </c>
      <c r="AA134" s="90" t="e">
        <f aca="false">IF($C134="","",xEURO($L134,Call1,$G134,$G134,$S134,$J134,1,1))</f>
        <v>#VALUE!</v>
      </c>
      <c r="AB134" s="90" t="e">
        <f aca="false">IF($C134="","",xEURO($L134,Put1,$G134,$G134,$T134,$J134,0,1))</f>
        <v>#VALUE!</v>
      </c>
      <c r="AC134" s="90" t="e">
        <f aca="false">IF($C134="","",xEURO($L134,Call2,$G134,$G134,$U134,$J134,1,1))</f>
        <v>#VALUE!</v>
      </c>
      <c r="AD134" s="90" t="e">
        <f aca="false">IF($C134="","",xEURO($L134,Put2,$G134,$G134,$V134,$J134,0,1))</f>
        <v>#VALUE!</v>
      </c>
      <c r="AE134" s="90" t="e">
        <f aca="false">IF($C134="","",xEURO($L134,Call1,$G134,$G134,$S134,$J134,1,3))</f>
        <v>#VALUE!</v>
      </c>
      <c r="AF134" s="90" t="e">
        <f aca="false">IF($C134="","",xEURO($L134,Put1,$G134,$G134,$T134,$J134,0,3))</f>
        <v>#VALUE!</v>
      </c>
      <c r="AG134" s="90" t="e">
        <f aca="false">IF($C134="","",xEURO($L134,Call2,$G134,$G134,$U134,$J134,1,3))</f>
        <v>#VALUE!</v>
      </c>
      <c r="AH134" s="90" t="e">
        <f aca="false">IF($C134="","",xEURO($L134,Put2,$G134,$G134,$V134,$J134,0,3))</f>
        <v>#VALUE!</v>
      </c>
      <c r="AI134" s="8" t="e">
        <f aca="false">IF(E134=1,G134,0)</f>
        <v>#VALUE!</v>
      </c>
      <c r="AJ134" s="8" t="e">
        <f aca="false">IF(E134=1,H134,0)</f>
        <v>#VALUE!</v>
      </c>
      <c r="AK134" s="8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</row>
    <row r="135" customFormat="false" ht="12.75" hidden="false" customHeight="false" outlineLevel="0" collapsed="false">
      <c r="A135" s="95" t="n">
        <f aca="false">Swap!A135</f>
        <v>40940</v>
      </c>
      <c r="B135" s="96" t="n">
        <f aca="false">B134+1</f>
        <v>126</v>
      </c>
      <c r="C135" s="95" t="e">
        <f aca="false">IF(AND(A135&gt;=Front!$E$11,A135&lt;=Front!$E$12),A135,"")</f>
        <v>#VALUE!</v>
      </c>
      <c r="D135" s="87" t="e">
        <f aca="false">Swap!AB135</f>
        <v>#VALUE!</v>
      </c>
      <c r="E135" s="87" t="e">
        <f aca="false">IF($C135="","",1)</f>
        <v>#VALUE!</v>
      </c>
      <c r="F135" s="97" t="e">
        <f aca="false">IF($C135="","",E135*H135)</f>
        <v>#VALUE!</v>
      </c>
      <c r="G135" s="31" t="n">
        <f aca="false">Swap!AG135</f>
        <v>0.056119532915782</v>
      </c>
      <c r="H135" s="31" t="n">
        <f aca="false">Swap!AH135</f>
        <v>2.12874443475219</v>
      </c>
      <c r="I135" s="92" t="n">
        <f aca="false">INDEX(expery,MATCH(A135,exprymonth,0),2)</f>
        <v>40934</v>
      </c>
      <c r="J135" s="98" t="n">
        <f aca="false">I135-Front!$C$2</f>
        <v>-4992</v>
      </c>
      <c r="K135" s="99" t="n">
        <f aca="false">Swap!E135</f>
        <v>4.154</v>
      </c>
      <c r="L135" s="99" t="e">
        <f aca="false">IF(C135="","",(PriceSwitch=0)*K135+(PriceSwitch=1)*(Front!$H$21+K135)+(PriceSwitch=2)*Front!$H$21)</f>
        <v>#VALUE!</v>
      </c>
      <c r="M135" s="93" t="n">
        <f aca="false">INDEX(vols,MATCH(A135,volsmonth,0),2)</f>
        <v>0.175</v>
      </c>
      <c r="N135" s="3" t="e">
        <f aca="false">IF(Skew_Switch=0,"",IF($C135="","",(Front!$E$20=0)*M135+(Front!$E$20=1)*(Front!$E$21+M135)+(Front!$E$20=2)*Front!$E$21))</f>
        <v>#VALUE!</v>
      </c>
      <c r="O135" s="94" t="e">
        <f aca="false">IF(Skew_Switch=0,"",IF(C135="","",((calcskew(Call1-$L135,$C135,a,b))/100)))</f>
        <v>#VALUE!</v>
      </c>
      <c r="P135" s="94" t="e">
        <f aca="false">IF(Skew_Switch=0,"",IF(C135="","",((calcskew(Put1-$L135,$C135,a,b))/100)))</f>
        <v>#VALUE!</v>
      </c>
      <c r="Q135" s="94" t="e">
        <f aca="false">IF(Skew_Switch=0,"",IF(C135="","",((calcskew(Call2-$L135,$C135,a,b))/100)))</f>
        <v>#VALUE!</v>
      </c>
      <c r="R135" s="94" t="e">
        <f aca="false">IF(Skew_Switch=0,"",IF(C135="","",((calcskew(Put2-$L135,$C135,a,b))/100)))</f>
        <v>#VALUE!</v>
      </c>
      <c r="S135" s="3" t="e">
        <f aca="false">IF($C135="","",(Front!$C$19=0)*$N135+(Front!$C$19=1)*($N135+O135))</f>
        <v>#VALUE!</v>
      </c>
      <c r="T135" s="3" t="e">
        <f aca="false">IF($C135="","",(Front!$C$19=0)*$N135+(Front!$C$19=1)*($N135+P135))</f>
        <v>#VALUE!</v>
      </c>
      <c r="U135" s="3" t="e">
        <f aca="false">IF($C135="","",(Front!$C$19=0)*$N135+(Front!$C$19=1)*($N135+Q135))</f>
        <v>#VALUE!</v>
      </c>
      <c r="V135" s="3" t="e">
        <f aca="false">IF($C135="","",(Front!$C$19=0)*$N135+(Front!$C$19=1)*($N135+R135))</f>
        <v>#VALUE!</v>
      </c>
      <c r="W135" s="90" t="e">
        <f aca="false">IF($C135="","",xEURO($L135,Call1,$G135,$G135,S135,$J135,1,0))</f>
        <v>#VALUE!</v>
      </c>
      <c r="X135" s="90" t="e">
        <f aca="false">IF($C135="","",xEURO($L135,Put1,$G135,$G135,T135,$J135,0,0))</f>
        <v>#VALUE!</v>
      </c>
      <c r="Y135" s="90" t="e">
        <f aca="false">IF($C135="","",xEURO($L135,Call2,$G135,$G135,U135,$J135,1,0))</f>
        <v>#VALUE!</v>
      </c>
      <c r="Z135" s="90" t="e">
        <f aca="false">IF($C135="","",xEURO($L135,Put2,$G135,$G135,V135,$J135,0,0))</f>
        <v>#VALUE!</v>
      </c>
      <c r="AA135" s="90" t="e">
        <f aca="false">IF($C135="","",xEURO($L135,Call1,$G135,$G135,$S135,$J135,1,1))</f>
        <v>#VALUE!</v>
      </c>
      <c r="AB135" s="90" t="e">
        <f aca="false">IF($C135="","",xEURO($L135,Put1,$G135,$G135,$T135,$J135,0,1))</f>
        <v>#VALUE!</v>
      </c>
      <c r="AC135" s="90" t="e">
        <f aca="false">IF($C135="","",xEURO($L135,Call2,$G135,$G135,$U135,$J135,1,1))</f>
        <v>#VALUE!</v>
      </c>
      <c r="AD135" s="90" t="e">
        <f aca="false">IF($C135="","",xEURO($L135,Put2,$G135,$G135,$V135,$J135,0,1))</f>
        <v>#VALUE!</v>
      </c>
      <c r="AE135" s="90" t="e">
        <f aca="false">IF($C135="","",xEURO($L135,Call1,$G135,$G135,$S135,$J135,1,3))</f>
        <v>#VALUE!</v>
      </c>
      <c r="AF135" s="90" t="e">
        <f aca="false">IF($C135="","",xEURO($L135,Put1,$G135,$G135,$T135,$J135,0,3))</f>
        <v>#VALUE!</v>
      </c>
      <c r="AG135" s="90" t="e">
        <f aca="false">IF($C135="","",xEURO($L135,Call2,$G135,$G135,$U135,$J135,1,3))</f>
        <v>#VALUE!</v>
      </c>
      <c r="AH135" s="90" t="e">
        <f aca="false">IF($C135="","",xEURO($L135,Put2,$G135,$G135,$V135,$J135,0,3))</f>
        <v>#VALUE!</v>
      </c>
      <c r="AI135" s="8" t="e">
        <f aca="false">IF(E135=1,G135,0)</f>
        <v>#VALUE!</v>
      </c>
      <c r="AJ135" s="8" t="e">
        <f aca="false">IF(E135=1,H135,0)</f>
        <v>#VALUE!</v>
      </c>
      <c r="AK135" s="8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</row>
    <row r="136" customFormat="false" ht="12.75" hidden="false" customHeight="false" outlineLevel="0" collapsed="false">
      <c r="A136" s="95" t="n">
        <f aca="false">Swap!A136</f>
        <v>40969</v>
      </c>
      <c r="B136" s="96" t="n">
        <f aca="false">B135+1</f>
        <v>127</v>
      </c>
      <c r="C136" s="95" t="e">
        <f aca="false">IF(AND(A136&gt;=Front!$E$11,A136&lt;=Front!$E$12),A136,"")</f>
        <v>#VALUE!</v>
      </c>
      <c r="D136" s="87" t="e">
        <f aca="false">Swap!AB136</f>
        <v>#VALUE!</v>
      </c>
      <c r="E136" s="87" t="e">
        <f aca="false">IF($C136="","",1)</f>
        <v>#VALUE!</v>
      </c>
      <c r="F136" s="97" t="e">
        <f aca="false">IF($C136="","",E136*H136)</f>
        <v>#VALUE!</v>
      </c>
      <c r="G136" s="31" t="n">
        <f aca="false">Swap!AG136</f>
        <v>0.0561824024435231</v>
      </c>
      <c r="H136" s="31" t="n">
        <f aca="false">Swap!AH136</f>
        <v>2.12117012344457</v>
      </c>
      <c r="I136" s="92" t="n">
        <f aca="false">INDEX(expery,MATCH(A136,exprymonth,0),2)</f>
        <v>40963</v>
      </c>
      <c r="J136" s="98" t="n">
        <f aca="false">I136-Front!$C$2</f>
        <v>-4963</v>
      </c>
      <c r="K136" s="99" t="n">
        <f aca="false">Swap!E136</f>
        <v>4.022</v>
      </c>
      <c r="L136" s="99" t="e">
        <f aca="false">IF(C136="","",(PriceSwitch=0)*K136+(PriceSwitch=1)*(Front!$H$21+K136)+(PriceSwitch=2)*Front!$H$21)</f>
        <v>#VALUE!</v>
      </c>
      <c r="M136" s="93" t="n">
        <f aca="false">INDEX(vols,MATCH(A136,volsmonth,0),2)</f>
        <v>0.17</v>
      </c>
      <c r="N136" s="3" t="e">
        <f aca="false">IF(Skew_Switch=0,"",IF($C136="","",(Front!$E$20=0)*M136+(Front!$E$20=1)*(Front!$E$21+M136)+(Front!$E$20=2)*Front!$E$21))</f>
        <v>#VALUE!</v>
      </c>
      <c r="O136" s="94" t="e">
        <f aca="false">IF(Skew_Switch=0,"",IF(C136="","",((calcskew(Call1-$L136,$C136,a,b))/100)))</f>
        <v>#VALUE!</v>
      </c>
      <c r="P136" s="94" t="e">
        <f aca="false">IF(Skew_Switch=0,"",IF(C136="","",((calcskew(Put1-$L136,$C136,a,b))/100)))</f>
        <v>#VALUE!</v>
      </c>
      <c r="Q136" s="94" t="e">
        <f aca="false">IF(Skew_Switch=0,"",IF(C136="","",((calcskew(Call2-$L136,$C136,a,b))/100)))</f>
        <v>#VALUE!</v>
      </c>
      <c r="R136" s="94" t="e">
        <f aca="false">IF(Skew_Switch=0,"",IF(C136="","",((calcskew(Put2-$L136,$C136,a,b))/100)))</f>
        <v>#VALUE!</v>
      </c>
      <c r="S136" s="3" t="e">
        <f aca="false">IF($C136="","",(Front!$C$19=0)*$N136+(Front!$C$19=1)*($N136+O136))</f>
        <v>#VALUE!</v>
      </c>
      <c r="T136" s="3" t="e">
        <f aca="false">IF($C136="","",(Front!$C$19=0)*$N136+(Front!$C$19=1)*($N136+P136))</f>
        <v>#VALUE!</v>
      </c>
      <c r="U136" s="3" t="e">
        <f aca="false">IF($C136="","",(Front!$C$19=0)*$N136+(Front!$C$19=1)*($N136+Q136))</f>
        <v>#VALUE!</v>
      </c>
      <c r="V136" s="3" t="e">
        <f aca="false">IF($C136="","",(Front!$C$19=0)*$N136+(Front!$C$19=1)*($N136+R136))</f>
        <v>#VALUE!</v>
      </c>
      <c r="W136" s="90" t="e">
        <f aca="false">IF($C136="","",xEURO($L136,Call1,$G136,$G136,S136,$J136,1,0))</f>
        <v>#VALUE!</v>
      </c>
      <c r="X136" s="90" t="e">
        <f aca="false">IF($C136="","",xEURO($L136,Put1,$G136,$G136,T136,$J136,0,0))</f>
        <v>#VALUE!</v>
      </c>
      <c r="Y136" s="90" t="e">
        <f aca="false">IF($C136="","",xEURO($L136,Call2,$G136,$G136,U136,$J136,1,0))</f>
        <v>#VALUE!</v>
      </c>
      <c r="Z136" s="90" t="e">
        <f aca="false">IF($C136="","",xEURO($L136,Put2,$G136,$G136,V136,$J136,0,0))</f>
        <v>#VALUE!</v>
      </c>
      <c r="AA136" s="90" t="e">
        <f aca="false">IF($C136="","",xEURO($L136,Call1,$G136,$G136,$S136,$J136,1,1))</f>
        <v>#VALUE!</v>
      </c>
      <c r="AB136" s="90" t="e">
        <f aca="false">IF($C136="","",xEURO($L136,Put1,$G136,$G136,$T136,$J136,0,1))</f>
        <v>#VALUE!</v>
      </c>
      <c r="AC136" s="90" t="e">
        <f aca="false">IF($C136="","",xEURO($L136,Call2,$G136,$G136,$U136,$J136,1,1))</f>
        <v>#VALUE!</v>
      </c>
      <c r="AD136" s="90" t="e">
        <f aca="false">IF($C136="","",xEURO($L136,Put2,$G136,$G136,$V136,$J136,0,1))</f>
        <v>#VALUE!</v>
      </c>
      <c r="AE136" s="90" t="e">
        <f aca="false">IF($C136="","",xEURO($L136,Call1,$G136,$G136,$S136,$J136,1,3))</f>
        <v>#VALUE!</v>
      </c>
      <c r="AF136" s="90" t="e">
        <f aca="false">IF($C136="","",xEURO($L136,Put1,$G136,$G136,$T136,$J136,0,3))</f>
        <v>#VALUE!</v>
      </c>
      <c r="AG136" s="90" t="e">
        <f aca="false">IF($C136="","",xEURO($L136,Call2,$G136,$G136,$U136,$J136,1,3))</f>
        <v>#VALUE!</v>
      </c>
      <c r="AH136" s="90" t="e">
        <f aca="false">IF($C136="","",xEURO($L136,Put2,$G136,$G136,$V136,$J136,0,3))</f>
        <v>#VALUE!</v>
      </c>
      <c r="AI136" s="8" t="e">
        <f aca="false">IF(E136=1,G136,0)</f>
        <v>#VALUE!</v>
      </c>
      <c r="AJ136" s="8" t="e">
        <f aca="false">IF(E136=1,H136,0)</f>
        <v>#VALUE!</v>
      </c>
      <c r="AK136" s="8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</row>
    <row r="137" customFormat="false" ht="12.75" hidden="false" customHeight="false" outlineLevel="0" collapsed="false">
      <c r="A137" s="95" t="n">
        <f aca="false">Swap!A137</f>
        <v>41000</v>
      </c>
      <c r="B137" s="96" t="n">
        <f aca="false">B136+1</f>
        <v>128</v>
      </c>
      <c r="C137" s="95" t="e">
        <f aca="false">IF(AND(A137&gt;=Front!$E$11,A137&lt;=Front!$E$12),A137,"")</f>
        <v>#VALUE!</v>
      </c>
      <c r="D137" s="87" t="e">
        <f aca="false">Swap!AB137</f>
        <v>#VALUE!</v>
      </c>
      <c r="E137" s="87" t="e">
        <f aca="false">IF($C137="","",1)</f>
        <v>#VALUE!</v>
      </c>
      <c r="F137" s="97" t="e">
        <f aca="false">IF($C137="","",E137*H137)</f>
        <v>#VALUE!</v>
      </c>
      <c r="G137" s="31" t="n">
        <f aca="false">Swap!AG137</f>
        <v>0.0562496078022199</v>
      </c>
      <c r="H137" s="31" t="n">
        <f aca="false">Swap!AH137</f>
        <v>2.11308049556884</v>
      </c>
      <c r="I137" s="92" t="n">
        <f aca="false">INDEX(expery,MATCH(A137,exprymonth,0),2)</f>
        <v>40995</v>
      </c>
      <c r="J137" s="98" t="n">
        <f aca="false">I137-Front!$C$2</f>
        <v>-4931</v>
      </c>
      <c r="K137" s="99" t="n">
        <f aca="false">Swap!E137</f>
        <v>3.852</v>
      </c>
      <c r="L137" s="99" t="e">
        <f aca="false">IF(C137="","",(PriceSwitch=0)*K137+(PriceSwitch=1)*(Front!$H$21+K137)+(PriceSwitch=2)*Front!$H$21)</f>
        <v>#VALUE!</v>
      </c>
      <c r="M137" s="93" t="n">
        <f aca="false">INDEX(vols,MATCH(A137,volsmonth,0),2)</f>
        <v>0.17</v>
      </c>
      <c r="N137" s="3" t="e">
        <f aca="false">IF(Skew_Switch=0,"",IF($C137="","",(Front!$E$20=0)*M137+(Front!$E$20=1)*(Front!$E$21+M137)+(Front!$E$20=2)*Front!$E$21))</f>
        <v>#VALUE!</v>
      </c>
      <c r="O137" s="94" t="e">
        <f aca="false">IF(Skew_Switch=0,"",IF(C137="","",((calcskew(Call1-$L137,$C137,a,b))/100)))</f>
        <v>#VALUE!</v>
      </c>
      <c r="P137" s="94" t="e">
        <f aca="false">IF(Skew_Switch=0,"",IF(C137="","",((calcskew(Put1-$L137,$C137,a,b))/100)))</f>
        <v>#VALUE!</v>
      </c>
      <c r="Q137" s="94" t="e">
        <f aca="false">IF(Skew_Switch=0,"",IF(C137="","",((calcskew(Call2-$L137,$C137,a,b))/100)))</f>
        <v>#VALUE!</v>
      </c>
      <c r="R137" s="94" t="e">
        <f aca="false">IF(Skew_Switch=0,"",IF(C137="","",((calcskew(Put2-$L137,$C137,a,b))/100)))</f>
        <v>#VALUE!</v>
      </c>
      <c r="S137" s="3" t="e">
        <f aca="false">IF($C137="","",(Front!$C$19=0)*$N137+(Front!$C$19=1)*($N137+O137))</f>
        <v>#VALUE!</v>
      </c>
      <c r="T137" s="3" t="e">
        <f aca="false">IF($C137="","",(Front!$C$19=0)*$N137+(Front!$C$19=1)*($N137+P137))</f>
        <v>#VALUE!</v>
      </c>
      <c r="U137" s="3" t="e">
        <f aca="false">IF($C137="","",(Front!$C$19=0)*$N137+(Front!$C$19=1)*($N137+Q137))</f>
        <v>#VALUE!</v>
      </c>
      <c r="V137" s="3" t="e">
        <f aca="false">IF($C137="","",(Front!$C$19=0)*$N137+(Front!$C$19=1)*($N137+R137))</f>
        <v>#VALUE!</v>
      </c>
      <c r="W137" s="90" t="e">
        <f aca="false">IF($C137="","",xEURO($L137,Call1,$G137,$G137,S137,$J137,1,0))</f>
        <v>#VALUE!</v>
      </c>
      <c r="X137" s="90" t="e">
        <f aca="false">IF($C137="","",xEURO($L137,Put1,$G137,$G137,T137,$J137,0,0))</f>
        <v>#VALUE!</v>
      </c>
      <c r="Y137" s="90" t="e">
        <f aca="false">IF($C137="","",xEURO($L137,Call2,$G137,$G137,U137,$J137,1,0))</f>
        <v>#VALUE!</v>
      </c>
      <c r="Z137" s="90" t="e">
        <f aca="false">IF($C137="","",xEURO($L137,Put2,$G137,$G137,V137,$J137,0,0))</f>
        <v>#VALUE!</v>
      </c>
      <c r="AA137" s="90" t="e">
        <f aca="false">IF($C137="","",xEURO($L137,Call1,$G137,$G137,$S137,$J137,1,1))</f>
        <v>#VALUE!</v>
      </c>
      <c r="AB137" s="90" t="e">
        <f aca="false">IF($C137="","",xEURO($L137,Put1,$G137,$G137,$T137,$J137,0,1))</f>
        <v>#VALUE!</v>
      </c>
      <c r="AC137" s="90" t="e">
        <f aca="false">IF($C137="","",xEURO($L137,Call2,$G137,$G137,$U137,$J137,1,1))</f>
        <v>#VALUE!</v>
      </c>
      <c r="AD137" s="90" t="e">
        <f aca="false">IF($C137="","",xEURO($L137,Put2,$G137,$G137,$V137,$J137,0,1))</f>
        <v>#VALUE!</v>
      </c>
      <c r="AE137" s="90" t="e">
        <f aca="false">IF($C137="","",xEURO($L137,Call1,$G137,$G137,$S137,$J137,1,3))</f>
        <v>#VALUE!</v>
      </c>
      <c r="AF137" s="90" t="e">
        <f aca="false">IF($C137="","",xEURO($L137,Put1,$G137,$G137,$T137,$J137,0,3))</f>
        <v>#VALUE!</v>
      </c>
      <c r="AG137" s="90" t="e">
        <f aca="false">IF($C137="","",xEURO($L137,Call2,$G137,$G137,$U137,$J137,1,3))</f>
        <v>#VALUE!</v>
      </c>
      <c r="AH137" s="90" t="e">
        <f aca="false">IF($C137="","",xEURO($L137,Put2,$G137,$G137,$V137,$J137,0,3))</f>
        <v>#VALUE!</v>
      </c>
      <c r="AI137" s="8" t="e">
        <f aca="false">IF(E137=1,G137,0)</f>
        <v>#VALUE!</v>
      </c>
      <c r="AJ137" s="8" t="e">
        <f aca="false">IF(E137=1,H137,0)</f>
        <v>#VALUE!</v>
      </c>
      <c r="AK137" s="8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</row>
    <row r="138" customFormat="false" ht="12.75" hidden="false" customHeight="false" outlineLevel="0" collapsed="false">
      <c r="A138" s="95" t="n">
        <f aca="false">Swap!A138</f>
        <v>41030</v>
      </c>
      <c r="B138" s="96" t="n">
        <f aca="false">B137+1</f>
        <v>129</v>
      </c>
      <c r="C138" s="95" t="e">
        <f aca="false">IF(AND(A138&gt;=Front!$E$11,A138&lt;=Front!$E$12),A138,"")</f>
        <v>#VALUE!</v>
      </c>
      <c r="D138" s="87" t="e">
        <f aca="false">Swap!AB138</f>
        <v>#VALUE!</v>
      </c>
      <c r="E138" s="87" t="e">
        <f aca="false">IF($C138="","",1)</f>
        <v>#VALUE!</v>
      </c>
      <c r="F138" s="97" t="e">
        <f aca="false">IF($C138="","",E138*H138)</f>
        <v>#VALUE!</v>
      </c>
      <c r="G138" s="31" t="n">
        <f aca="false">Swap!AG138</f>
        <v>0.0563146452475505</v>
      </c>
      <c r="H138" s="31" t="n">
        <f aca="false">Swap!AH138</f>
        <v>2.10525890045444</v>
      </c>
      <c r="I138" s="92" t="n">
        <f aca="false">INDEX(expery,MATCH(A138,exprymonth,0),2)</f>
        <v>41024</v>
      </c>
      <c r="J138" s="98" t="n">
        <f aca="false">I138-Front!$C$2</f>
        <v>-4902</v>
      </c>
      <c r="K138" s="99" t="n">
        <f aca="false">Swap!E138</f>
        <v>3.852</v>
      </c>
      <c r="L138" s="99" t="e">
        <f aca="false">IF(C138="","",(PriceSwitch=0)*K138+(PriceSwitch=1)*(Front!$H$21+K138)+(PriceSwitch=2)*Front!$H$21)</f>
        <v>#VALUE!</v>
      </c>
      <c r="M138" s="93" t="n">
        <f aca="false">INDEX(vols,MATCH(A138,volsmonth,0),2)</f>
        <v>0.17</v>
      </c>
      <c r="N138" s="3" t="e">
        <f aca="false">IF(Skew_Switch=0,"",IF($C138="","",(Front!$E$20=0)*M138+(Front!$E$20=1)*(Front!$E$21+M138)+(Front!$E$20=2)*Front!$E$21))</f>
        <v>#VALUE!</v>
      </c>
      <c r="O138" s="94" t="e">
        <f aca="false">IF(Skew_Switch=0,"",IF(C138="","",((calcskew(Call1-$L138,$C138,a,b))/100)))</f>
        <v>#VALUE!</v>
      </c>
      <c r="P138" s="94" t="e">
        <f aca="false">IF(Skew_Switch=0,"",IF(C138="","",((calcskew(Put1-$L138,$C138,a,b))/100)))</f>
        <v>#VALUE!</v>
      </c>
      <c r="Q138" s="94" t="e">
        <f aca="false">IF(Skew_Switch=0,"",IF(C138="","",((calcskew(Call2-$L138,$C138,a,b))/100)))</f>
        <v>#VALUE!</v>
      </c>
      <c r="R138" s="94" t="e">
        <f aca="false">IF(Skew_Switch=0,"",IF(C138="","",((calcskew(Put2-$L138,$C138,a,b))/100)))</f>
        <v>#VALUE!</v>
      </c>
      <c r="S138" s="3" t="e">
        <f aca="false">IF($C138="","",(Front!$C$19=0)*$N138+(Front!$C$19=1)*($N138+O138))</f>
        <v>#VALUE!</v>
      </c>
      <c r="T138" s="3" t="e">
        <f aca="false">IF($C138="","",(Front!$C$19=0)*$N138+(Front!$C$19=1)*($N138+P138))</f>
        <v>#VALUE!</v>
      </c>
      <c r="U138" s="3" t="e">
        <f aca="false">IF($C138="","",(Front!$C$19=0)*$N138+(Front!$C$19=1)*($N138+Q138))</f>
        <v>#VALUE!</v>
      </c>
      <c r="V138" s="3" t="e">
        <f aca="false">IF($C138="","",(Front!$C$19=0)*$N138+(Front!$C$19=1)*($N138+R138))</f>
        <v>#VALUE!</v>
      </c>
      <c r="W138" s="90" t="e">
        <f aca="false">IF($C138="","",xEURO($L138,Call1,$G138,$G138,S138,$J138,1,0))</f>
        <v>#VALUE!</v>
      </c>
      <c r="X138" s="90" t="e">
        <f aca="false">IF($C138="","",xEURO($L138,Put1,$G138,$G138,T138,$J138,0,0))</f>
        <v>#VALUE!</v>
      </c>
      <c r="Y138" s="90" t="e">
        <f aca="false">IF($C138="","",xEURO($L138,Call2,$G138,$G138,U138,$J138,1,0))</f>
        <v>#VALUE!</v>
      </c>
      <c r="Z138" s="90" t="e">
        <f aca="false">IF($C138="","",xEURO($L138,Put2,$G138,$G138,V138,$J138,0,0))</f>
        <v>#VALUE!</v>
      </c>
      <c r="AA138" s="90" t="e">
        <f aca="false">IF($C138="","",xEURO($L138,Call1,$G138,$G138,$S138,$J138,1,1))</f>
        <v>#VALUE!</v>
      </c>
      <c r="AB138" s="90" t="e">
        <f aca="false">IF($C138="","",xEURO($L138,Put1,$G138,$G138,$T138,$J138,0,1))</f>
        <v>#VALUE!</v>
      </c>
      <c r="AC138" s="90" t="e">
        <f aca="false">IF($C138="","",xEURO($L138,Call2,$G138,$G138,$U138,$J138,1,1))</f>
        <v>#VALUE!</v>
      </c>
      <c r="AD138" s="90" t="e">
        <f aca="false">IF($C138="","",xEURO($L138,Put2,$G138,$G138,$V138,$J138,0,1))</f>
        <v>#VALUE!</v>
      </c>
      <c r="AE138" s="90" t="e">
        <f aca="false">IF($C138="","",xEURO($L138,Call1,$G138,$G138,$S138,$J138,1,3))</f>
        <v>#VALUE!</v>
      </c>
      <c r="AF138" s="90" t="e">
        <f aca="false">IF($C138="","",xEURO($L138,Put1,$G138,$G138,$T138,$J138,0,3))</f>
        <v>#VALUE!</v>
      </c>
      <c r="AG138" s="90" t="e">
        <f aca="false">IF($C138="","",xEURO($L138,Call2,$G138,$G138,$U138,$J138,1,3))</f>
        <v>#VALUE!</v>
      </c>
      <c r="AH138" s="90" t="e">
        <f aca="false">IF($C138="","",xEURO($L138,Put2,$G138,$G138,$V138,$J138,0,3))</f>
        <v>#VALUE!</v>
      </c>
      <c r="AI138" s="8" t="e">
        <f aca="false">IF(E138=1,G138,0)</f>
        <v>#VALUE!</v>
      </c>
      <c r="AJ138" s="8" t="e">
        <f aca="false">IF(E138=1,H138,0)</f>
        <v>#VALUE!</v>
      </c>
      <c r="AK138" s="8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</row>
    <row r="139" customFormat="false" ht="12.75" hidden="false" customHeight="false" outlineLevel="0" collapsed="false">
      <c r="A139" s="95" t="n">
        <f aca="false">Swap!A139</f>
        <v>41061</v>
      </c>
      <c r="B139" s="96" t="n">
        <f aca="false">B138+1</f>
        <v>130</v>
      </c>
      <c r="C139" s="95" t="e">
        <f aca="false">IF(AND(A139&gt;=Front!$E$11,A139&lt;=Front!$E$12),A139,"")</f>
        <v>#VALUE!</v>
      </c>
      <c r="D139" s="87" t="e">
        <f aca="false">Swap!AB139</f>
        <v>#VALUE!</v>
      </c>
      <c r="E139" s="87" t="e">
        <f aca="false">IF($C139="","",1)</f>
        <v>#VALUE!</v>
      </c>
      <c r="F139" s="97" t="e">
        <f aca="false">IF($C139="","",E139*H139)</f>
        <v>#VALUE!</v>
      </c>
      <c r="G139" s="31" t="n">
        <f aca="false">Swap!AG139</f>
        <v>0.0563818506092044</v>
      </c>
      <c r="H139" s="31" t="n">
        <f aca="false">Swap!AH139</f>
        <v>2.09718404656171</v>
      </c>
      <c r="I139" s="92" t="n">
        <f aca="false">INDEX(expery,MATCH(A139,exprymonth,0),2)</f>
        <v>41054</v>
      </c>
      <c r="J139" s="98" t="n">
        <f aca="false">I139-Front!$C$2</f>
        <v>-4872</v>
      </c>
      <c r="K139" s="99" t="n">
        <f aca="false">Swap!E139</f>
        <v>3.884</v>
      </c>
      <c r="L139" s="99" t="e">
        <f aca="false">IF(C139="","",(PriceSwitch=0)*K139+(PriceSwitch=1)*(Front!$H$21+K139)+(PriceSwitch=2)*Front!$H$21)</f>
        <v>#VALUE!</v>
      </c>
      <c r="M139" s="93" t="n">
        <f aca="false">INDEX(vols,MATCH(A139,volsmonth,0),2)</f>
        <v>0.17</v>
      </c>
      <c r="N139" s="3" t="e">
        <f aca="false">IF(Skew_Switch=0,"",IF($C139="","",(Front!$E$20=0)*M139+(Front!$E$20=1)*(Front!$E$21+M139)+(Front!$E$20=2)*Front!$E$21))</f>
        <v>#VALUE!</v>
      </c>
      <c r="O139" s="94" t="e">
        <f aca="false">IF(Skew_Switch=0,"",IF(C139="","",((calcskew(Call1-$L139,$C139,a,b))/100)))</f>
        <v>#VALUE!</v>
      </c>
      <c r="P139" s="94" t="e">
        <f aca="false">IF(Skew_Switch=0,"",IF(C139="","",((calcskew(Put1-$L139,$C139,a,b))/100)))</f>
        <v>#VALUE!</v>
      </c>
      <c r="Q139" s="94" t="e">
        <f aca="false">IF(Skew_Switch=0,"",IF(C139="","",((calcskew(Call2-$L139,$C139,a,b))/100)))</f>
        <v>#VALUE!</v>
      </c>
      <c r="R139" s="94" t="e">
        <f aca="false">IF(Skew_Switch=0,"",IF(C139="","",((calcskew(Put2-$L139,$C139,a,b))/100)))</f>
        <v>#VALUE!</v>
      </c>
      <c r="S139" s="3" t="e">
        <f aca="false">IF($C139="","",(Front!$C$19=0)*$N139+(Front!$C$19=1)*($N139+O139))</f>
        <v>#VALUE!</v>
      </c>
      <c r="T139" s="3" t="e">
        <f aca="false">IF($C139="","",(Front!$C$19=0)*$N139+(Front!$C$19=1)*($N139+P139))</f>
        <v>#VALUE!</v>
      </c>
      <c r="U139" s="3" t="e">
        <f aca="false">IF($C139="","",(Front!$C$19=0)*$N139+(Front!$C$19=1)*($N139+Q139))</f>
        <v>#VALUE!</v>
      </c>
      <c r="V139" s="3" t="e">
        <f aca="false">IF($C139="","",(Front!$C$19=0)*$N139+(Front!$C$19=1)*($N139+R139))</f>
        <v>#VALUE!</v>
      </c>
      <c r="W139" s="90" t="e">
        <f aca="false">IF($C139="","",xEURO($L139,Call1,$G139,$G139,S139,$J139,1,0))</f>
        <v>#VALUE!</v>
      </c>
      <c r="X139" s="90" t="e">
        <f aca="false">IF($C139="","",xEURO($L139,Put1,$G139,$G139,T139,$J139,0,0))</f>
        <v>#VALUE!</v>
      </c>
      <c r="Y139" s="90" t="e">
        <f aca="false">IF($C139="","",xEURO($L139,Call2,$G139,$G139,U139,$J139,1,0))</f>
        <v>#VALUE!</v>
      </c>
      <c r="Z139" s="90" t="e">
        <f aca="false">IF($C139="","",xEURO($L139,Put2,$G139,$G139,V139,$J139,0,0))</f>
        <v>#VALUE!</v>
      </c>
      <c r="AA139" s="90" t="e">
        <f aca="false">IF($C139="","",xEURO($L139,Call1,$G139,$G139,$S139,$J139,1,1))</f>
        <v>#VALUE!</v>
      </c>
      <c r="AB139" s="90" t="e">
        <f aca="false">IF($C139="","",xEURO($L139,Put1,$G139,$G139,$T139,$J139,0,1))</f>
        <v>#VALUE!</v>
      </c>
      <c r="AC139" s="90" t="e">
        <f aca="false">IF($C139="","",xEURO($L139,Call2,$G139,$G139,$U139,$J139,1,1))</f>
        <v>#VALUE!</v>
      </c>
      <c r="AD139" s="90" t="e">
        <f aca="false">IF($C139="","",xEURO($L139,Put2,$G139,$G139,$V139,$J139,0,1))</f>
        <v>#VALUE!</v>
      </c>
      <c r="AE139" s="90" t="e">
        <f aca="false">IF($C139="","",xEURO($L139,Call1,$G139,$G139,$S139,$J139,1,3))</f>
        <v>#VALUE!</v>
      </c>
      <c r="AF139" s="90" t="e">
        <f aca="false">IF($C139="","",xEURO($L139,Put1,$G139,$G139,$T139,$J139,0,3))</f>
        <v>#VALUE!</v>
      </c>
      <c r="AG139" s="90" t="e">
        <f aca="false">IF($C139="","",xEURO($L139,Call2,$G139,$G139,$U139,$J139,1,3))</f>
        <v>#VALUE!</v>
      </c>
      <c r="AH139" s="90" t="e">
        <f aca="false">IF($C139="","",xEURO($L139,Put2,$G139,$G139,$V139,$J139,0,3))</f>
        <v>#VALUE!</v>
      </c>
      <c r="AI139" s="8" t="e">
        <f aca="false">IF(E139=1,G139,0)</f>
        <v>#VALUE!</v>
      </c>
      <c r="AJ139" s="8" t="e">
        <f aca="false">IF(E139=1,H139,0)</f>
        <v>#VALUE!</v>
      </c>
      <c r="AK139" s="8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</row>
    <row r="140" customFormat="false" ht="12.75" hidden="false" customHeight="false" outlineLevel="0" collapsed="false">
      <c r="A140" s="95" t="n">
        <f aca="false">Swap!A140</f>
        <v>41091</v>
      </c>
      <c r="B140" s="96" t="n">
        <f aca="false">B139+1</f>
        <v>131</v>
      </c>
      <c r="C140" s="95" t="e">
        <f aca="false">IF(AND(A140&gt;=Front!$E$11,A140&lt;=Front!$E$12),A140,"")</f>
        <v>#VALUE!</v>
      </c>
      <c r="D140" s="87" t="e">
        <f aca="false">Swap!AB140</f>
        <v>#VALUE!</v>
      </c>
      <c r="E140" s="87" t="e">
        <f aca="false">IF($C140="","",1)</f>
        <v>#VALUE!</v>
      </c>
      <c r="F140" s="97" t="e">
        <f aca="false">IF($C140="","",E140*H140)</f>
        <v>#VALUE!</v>
      </c>
      <c r="G140" s="31" t="n">
        <f aca="false">Swap!AG140</f>
        <v>0.0564468880573985</v>
      </c>
      <c r="H140" s="31" t="n">
        <f aca="false">Swap!AH140</f>
        <v>2.08937703322613</v>
      </c>
      <c r="I140" s="92" t="n">
        <f aca="false">INDEX(expery,MATCH(A140,exprymonth,0),2)</f>
        <v>41086</v>
      </c>
      <c r="J140" s="98" t="n">
        <f aca="false">I140-Front!$C$2</f>
        <v>-4840</v>
      </c>
      <c r="K140" s="99" t="n">
        <f aca="false">Swap!E140</f>
        <v>3.934</v>
      </c>
      <c r="L140" s="99" t="e">
        <f aca="false">IF(C140="","",(PriceSwitch=0)*K140+(PriceSwitch=1)*(Front!$H$21+K140)+(PriceSwitch=2)*Front!$H$21)</f>
        <v>#VALUE!</v>
      </c>
      <c r="M140" s="93" t="n">
        <f aca="false">INDEX(vols,MATCH(A140,volsmonth,0),2)</f>
        <v>0.17</v>
      </c>
      <c r="N140" s="3" t="e">
        <f aca="false">IF(Skew_Switch=0,"",IF($C140="","",(Front!$E$20=0)*M140+(Front!$E$20=1)*(Front!$E$21+M140)+(Front!$E$20=2)*Front!$E$21))</f>
        <v>#VALUE!</v>
      </c>
      <c r="O140" s="94" t="e">
        <f aca="false">IF(Skew_Switch=0,"",IF(C140="","",((calcskew(Call1-$L140,$C140,a,b))/100)))</f>
        <v>#VALUE!</v>
      </c>
      <c r="P140" s="94" t="e">
        <f aca="false">IF(Skew_Switch=0,"",IF(C140="","",((calcskew(Put1-$L140,$C140,a,b))/100)))</f>
        <v>#VALUE!</v>
      </c>
      <c r="Q140" s="94" t="e">
        <f aca="false">IF(Skew_Switch=0,"",IF(C140="","",((calcskew(Call2-$L140,$C140,a,b))/100)))</f>
        <v>#VALUE!</v>
      </c>
      <c r="R140" s="94" t="e">
        <f aca="false">IF(Skew_Switch=0,"",IF(C140="","",((calcskew(Put2-$L140,$C140,a,b))/100)))</f>
        <v>#VALUE!</v>
      </c>
      <c r="S140" s="3" t="e">
        <f aca="false">IF($C140="","",(Front!$C$19=0)*$N140+(Front!$C$19=1)*($N140+O140))</f>
        <v>#VALUE!</v>
      </c>
      <c r="T140" s="3" t="e">
        <f aca="false">IF($C140="","",(Front!$C$19=0)*$N140+(Front!$C$19=1)*($N140+P140))</f>
        <v>#VALUE!</v>
      </c>
      <c r="U140" s="3" t="e">
        <f aca="false">IF($C140="","",(Front!$C$19=0)*$N140+(Front!$C$19=1)*($N140+Q140))</f>
        <v>#VALUE!</v>
      </c>
      <c r="V140" s="3" t="e">
        <f aca="false">IF($C140="","",(Front!$C$19=0)*$N140+(Front!$C$19=1)*($N140+R140))</f>
        <v>#VALUE!</v>
      </c>
      <c r="W140" s="90" t="e">
        <f aca="false">IF($C140="","",xEURO($L140,Call1,$G140,$G140,S140,$J140,1,0))</f>
        <v>#VALUE!</v>
      </c>
      <c r="X140" s="90" t="e">
        <f aca="false">IF($C140="","",xEURO($L140,Put1,$G140,$G140,T140,$J140,0,0))</f>
        <v>#VALUE!</v>
      </c>
      <c r="Y140" s="90" t="e">
        <f aca="false">IF($C140="","",xEURO($L140,Call2,$G140,$G140,U140,$J140,1,0))</f>
        <v>#VALUE!</v>
      </c>
      <c r="Z140" s="90" t="e">
        <f aca="false">IF($C140="","",xEURO($L140,Put2,$G140,$G140,V140,$J140,0,0))</f>
        <v>#VALUE!</v>
      </c>
      <c r="AA140" s="90" t="e">
        <f aca="false">IF($C140="","",xEURO($L140,Call1,$G140,$G140,$S140,$J140,1,1))</f>
        <v>#VALUE!</v>
      </c>
      <c r="AB140" s="90" t="e">
        <f aca="false">IF($C140="","",xEURO($L140,Put1,$G140,$G140,$T140,$J140,0,1))</f>
        <v>#VALUE!</v>
      </c>
      <c r="AC140" s="90" t="e">
        <f aca="false">IF($C140="","",xEURO($L140,Call2,$G140,$G140,$U140,$J140,1,1))</f>
        <v>#VALUE!</v>
      </c>
      <c r="AD140" s="90" t="e">
        <f aca="false">IF($C140="","",xEURO($L140,Put2,$G140,$G140,$V140,$J140,0,1))</f>
        <v>#VALUE!</v>
      </c>
      <c r="AE140" s="90" t="e">
        <f aca="false">IF($C140="","",xEURO($L140,Call1,$G140,$G140,$S140,$J140,1,3))</f>
        <v>#VALUE!</v>
      </c>
      <c r="AF140" s="90" t="e">
        <f aca="false">IF($C140="","",xEURO($L140,Put1,$G140,$G140,$T140,$J140,0,3))</f>
        <v>#VALUE!</v>
      </c>
      <c r="AG140" s="90" t="e">
        <f aca="false">IF($C140="","",xEURO($L140,Call2,$G140,$G140,$U140,$J140,1,3))</f>
        <v>#VALUE!</v>
      </c>
      <c r="AH140" s="90" t="e">
        <f aca="false">IF($C140="","",xEURO($L140,Put2,$G140,$G140,$V140,$J140,0,3))</f>
        <v>#VALUE!</v>
      </c>
      <c r="AI140" s="8" t="e">
        <f aca="false">IF(E140=1,G140,0)</f>
        <v>#VALUE!</v>
      </c>
      <c r="AJ140" s="8" t="e">
        <f aca="false">IF(E140=1,H140,0)</f>
        <v>#VALUE!</v>
      </c>
      <c r="AK140" s="8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</row>
    <row r="141" customFormat="false" ht="12.75" hidden="false" customHeight="false" outlineLevel="0" collapsed="false">
      <c r="A141" s="95" t="n">
        <f aca="false">Swap!A141</f>
        <v>41122</v>
      </c>
      <c r="B141" s="96" t="n">
        <f aca="false">B140+1</f>
        <v>132</v>
      </c>
      <c r="C141" s="95" t="e">
        <f aca="false">IF(AND(A141&gt;=Front!$E$11,A141&lt;=Front!$E$12),A141,"")</f>
        <v>#VALUE!</v>
      </c>
      <c r="D141" s="87" t="e">
        <f aca="false">Swap!AB141</f>
        <v>#VALUE!</v>
      </c>
      <c r="E141" s="87" t="e">
        <f aca="false">IF($C141="","",1)</f>
        <v>#VALUE!</v>
      </c>
      <c r="F141" s="97" t="e">
        <f aca="false">IF($C141="","",E141*H141)</f>
        <v>#VALUE!</v>
      </c>
      <c r="G141" s="31" t="n">
        <f aca="false">Swap!AG141</f>
        <v>0.056514093422011</v>
      </c>
      <c r="H141" s="31" t="n">
        <f aca="false">Swap!AH141</f>
        <v>2.08131753939769</v>
      </c>
      <c r="I141" s="92" t="n">
        <f aca="false">INDEX(expery,MATCH(A141,exprymonth,0),2)</f>
        <v>41116</v>
      </c>
      <c r="J141" s="98" t="n">
        <f aca="false">I141-Front!$C$2</f>
        <v>-4810</v>
      </c>
      <c r="K141" s="99" t="n">
        <f aca="false">Swap!E141</f>
        <v>3.968</v>
      </c>
      <c r="L141" s="99" t="e">
        <f aca="false">IF(C141="","",(PriceSwitch=0)*K141+(PriceSwitch=1)*(Front!$H$21+K141)+(PriceSwitch=2)*Front!$H$21)</f>
        <v>#VALUE!</v>
      </c>
      <c r="M141" s="93" t="n">
        <f aca="false">INDEX(vols,MATCH(A141,volsmonth,0),2)</f>
        <v>0.17</v>
      </c>
      <c r="N141" s="3" t="e">
        <f aca="false">IF(Skew_Switch=0,"",IF($C141="","",(Front!$E$20=0)*M141+(Front!$E$20=1)*(Front!$E$21+M141)+(Front!$E$20=2)*Front!$E$21))</f>
        <v>#VALUE!</v>
      </c>
      <c r="O141" s="94" t="e">
        <f aca="false">IF(Skew_Switch=0,"",IF(C141="","",((calcskew(Call1-$L141,$C141,a,b))/100)))</f>
        <v>#VALUE!</v>
      </c>
      <c r="P141" s="94" t="e">
        <f aca="false">IF(Skew_Switch=0,"",IF(C141="","",((calcskew(Put1-$L141,$C141,a,b))/100)))</f>
        <v>#VALUE!</v>
      </c>
      <c r="Q141" s="94" t="e">
        <f aca="false">IF(Skew_Switch=0,"",IF(C141="","",((calcskew(Call2-$L141,$C141,a,b))/100)))</f>
        <v>#VALUE!</v>
      </c>
      <c r="R141" s="94" t="e">
        <f aca="false">IF(Skew_Switch=0,"",IF(C141="","",((calcskew(Put2-$L141,$C141,a,b))/100)))</f>
        <v>#VALUE!</v>
      </c>
      <c r="S141" s="3" t="e">
        <f aca="false">IF($C141="","",(Front!$C$19=0)*$N141+(Front!$C$19=1)*($N141+O141))</f>
        <v>#VALUE!</v>
      </c>
      <c r="T141" s="3" t="e">
        <f aca="false">IF($C141="","",(Front!$C$19=0)*$N141+(Front!$C$19=1)*($N141+P141))</f>
        <v>#VALUE!</v>
      </c>
      <c r="U141" s="3" t="e">
        <f aca="false">IF($C141="","",(Front!$C$19=0)*$N141+(Front!$C$19=1)*($N141+Q141))</f>
        <v>#VALUE!</v>
      </c>
      <c r="V141" s="3" t="e">
        <f aca="false">IF($C141="","",(Front!$C$19=0)*$N141+(Front!$C$19=1)*($N141+R141))</f>
        <v>#VALUE!</v>
      </c>
      <c r="W141" s="90" t="e">
        <f aca="false">IF($C141="","",xEURO($L141,Call1,$G141,$G141,S141,$J141,1,0))</f>
        <v>#VALUE!</v>
      </c>
      <c r="X141" s="90" t="e">
        <f aca="false">IF($C141="","",xEURO($L141,Put1,$G141,$G141,T141,$J141,0,0))</f>
        <v>#VALUE!</v>
      </c>
      <c r="Y141" s="90" t="e">
        <f aca="false">IF($C141="","",xEURO($L141,Call2,$G141,$G141,U141,$J141,1,0))</f>
        <v>#VALUE!</v>
      </c>
      <c r="Z141" s="90" t="e">
        <f aca="false">IF($C141="","",xEURO($L141,Put2,$G141,$G141,V141,$J141,0,0))</f>
        <v>#VALUE!</v>
      </c>
      <c r="AA141" s="90" t="e">
        <f aca="false">IF($C141="","",xEURO($L141,Call1,$G141,$G141,$S141,$J141,1,1))</f>
        <v>#VALUE!</v>
      </c>
      <c r="AB141" s="90" t="e">
        <f aca="false">IF($C141="","",xEURO($L141,Put1,$G141,$G141,$T141,$J141,0,1))</f>
        <v>#VALUE!</v>
      </c>
      <c r="AC141" s="90" t="e">
        <f aca="false">IF($C141="","",xEURO($L141,Call2,$G141,$G141,$U141,$J141,1,1))</f>
        <v>#VALUE!</v>
      </c>
      <c r="AD141" s="90" t="e">
        <f aca="false">IF($C141="","",xEURO($L141,Put2,$G141,$G141,$V141,$J141,0,1))</f>
        <v>#VALUE!</v>
      </c>
      <c r="AE141" s="90" t="e">
        <f aca="false">IF($C141="","",xEURO($L141,Call1,$G141,$G141,$S141,$J141,1,3))</f>
        <v>#VALUE!</v>
      </c>
      <c r="AF141" s="90" t="e">
        <f aca="false">IF($C141="","",xEURO($L141,Put1,$G141,$G141,$T141,$J141,0,3))</f>
        <v>#VALUE!</v>
      </c>
      <c r="AG141" s="90" t="e">
        <f aca="false">IF($C141="","",xEURO($L141,Call2,$G141,$G141,$U141,$J141,1,3))</f>
        <v>#VALUE!</v>
      </c>
      <c r="AH141" s="90" t="e">
        <f aca="false">IF($C141="","",xEURO($L141,Put2,$G141,$G141,$V141,$J141,0,3))</f>
        <v>#VALUE!</v>
      </c>
      <c r="AI141" s="8" t="e">
        <f aca="false">IF(E141=1,G141,0)</f>
        <v>#VALUE!</v>
      </c>
      <c r="AJ141" s="8" t="e">
        <f aca="false">IF(E141=1,H141,0)</f>
        <v>#VALUE!</v>
      </c>
      <c r="AK141" s="8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</row>
    <row r="142" customFormat="false" ht="12.75" hidden="false" customHeight="false" outlineLevel="0" collapsed="false">
      <c r="A142" s="95" t="n">
        <f aca="false">Swap!A142</f>
        <v>41153</v>
      </c>
      <c r="B142" s="96" t="n">
        <f aca="false">B141+1</f>
        <v>133</v>
      </c>
      <c r="C142" s="95" t="e">
        <f aca="false">IF(AND(A142&gt;=Front!$E$11,A142&lt;=Front!$E$12),A142,"")</f>
        <v>#VALUE!</v>
      </c>
      <c r="D142" s="87" t="e">
        <f aca="false">Swap!AB142</f>
        <v>#VALUE!</v>
      </c>
      <c r="E142" s="87" t="e">
        <f aca="false">IF($C142="","",1)</f>
        <v>#VALUE!</v>
      </c>
      <c r="F142" s="97" t="e">
        <f aca="false">IF($C142="","",E142*H142)</f>
        <v>#VALUE!</v>
      </c>
      <c r="G142" s="31" t="n">
        <f aca="false">Swap!AG142</f>
        <v>0.0565812987881267</v>
      </c>
      <c r="H142" s="31" t="n">
        <f aca="false">Swap!AH142</f>
        <v>2.07326607402517</v>
      </c>
      <c r="I142" s="92" t="n">
        <f aca="false">INDEX(expery,MATCH(A142,exprymonth,0),2)</f>
        <v>41149</v>
      </c>
      <c r="J142" s="98" t="n">
        <f aca="false">I142-Front!$C$2</f>
        <v>-4777</v>
      </c>
      <c r="K142" s="99" t="n">
        <f aca="false">Swap!E142</f>
        <v>3.981</v>
      </c>
      <c r="L142" s="99" t="e">
        <f aca="false">IF(C142="","",(PriceSwitch=0)*K142+(PriceSwitch=1)*(Front!$H$21+K142)+(PriceSwitch=2)*Front!$H$21)</f>
        <v>#VALUE!</v>
      </c>
      <c r="M142" s="93" t="n">
        <f aca="false">INDEX(vols,MATCH(A142,volsmonth,0),2)</f>
        <v>0.17</v>
      </c>
      <c r="N142" s="3" t="e">
        <f aca="false">IF(Skew_Switch=0,"",IF($C142="","",(Front!$E$20=0)*M142+(Front!$E$20=1)*(Front!$E$21+M142)+(Front!$E$20=2)*Front!$E$21))</f>
        <v>#VALUE!</v>
      </c>
      <c r="O142" s="94" t="e">
        <f aca="false">IF(Skew_Switch=0,"",IF(C142="","",((calcskew(Call1-$L142,$C142,a,b))/100)))</f>
        <v>#VALUE!</v>
      </c>
      <c r="P142" s="94" t="e">
        <f aca="false">IF(Skew_Switch=0,"",IF(C142="","",((calcskew(Put1-$L142,$C142,a,b))/100)))</f>
        <v>#VALUE!</v>
      </c>
      <c r="Q142" s="94" t="e">
        <f aca="false">IF(Skew_Switch=0,"",IF(C142="","",((calcskew(Call2-$L142,$C142,a,b))/100)))</f>
        <v>#VALUE!</v>
      </c>
      <c r="R142" s="94" t="e">
        <f aca="false">IF(Skew_Switch=0,"",IF(C142="","",((calcskew(Put2-$L142,$C142,a,b))/100)))</f>
        <v>#VALUE!</v>
      </c>
      <c r="S142" s="3" t="e">
        <f aca="false">IF($C142="","",(Front!$C$19=0)*$N142+(Front!$C$19=1)*($N142+O142))</f>
        <v>#VALUE!</v>
      </c>
      <c r="T142" s="3" t="e">
        <f aca="false">IF($C142="","",(Front!$C$19=0)*$N142+(Front!$C$19=1)*($N142+P142))</f>
        <v>#VALUE!</v>
      </c>
      <c r="U142" s="3" t="e">
        <f aca="false">IF($C142="","",(Front!$C$19=0)*$N142+(Front!$C$19=1)*($N142+Q142))</f>
        <v>#VALUE!</v>
      </c>
      <c r="V142" s="3" t="e">
        <f aca="false">IF($C142="","",(Front!$C$19=0)*$N142+(Front!$C$19=1)*($N142+R142))</f>
        <v>#VALUE!</v>
      </c>
      <c r="W142" s="90" t="e">
        <f aca="false">IF($C142="","",xEURO($L142,Call1,$G142,$G142,S142,$J142,1,0))</f>
        <v>#VALUE!</v>
      </c>
      <c r="X142" s="90" t="e">
        <f aca="false">IF($C142="","",xEURO($L142,Put1,$G142,$G142,T142,$J142,0,0))</f>
        <v>#VALUE!</v>
      </c>
      <c r="Y142" s="90" t="e">
        <f aca="false">IF($C142="","",xEURO($L142,Call2,$G142,$G142,U142,$J142,1,0))</f>
        <v>#VALUE!</v>
      </c>
      <c r="Z142" s="90" t="e">
        <f aca="false">IF($C142="","",xEURO($L142,Put2,$G142,$G142,V142,$J142,0,0))</f>
        <v>#VALUE!</v>
      </c>
      <c r="AA142" s="90" t="e">
        <f aca="false">IF($C142="","",xEURO($L142,Call1,$G142,$G142,$S142,$J142,1,1))</f>
        <v>#VALUE!</v>
      </c>
      <c r="AB142" s="90" t="e">
        <f aca="false">IF($C142="","",xEURO($L142,Put1,$G142,$G142,$T142,$J142,0,1))</f>
        <v>#VALUE!</v>
      </c>
      <c r="AC142" s="90" t="e">
        <f aca="false">IF($C142="","",xEURO($L142,Call2,$G142,$G142,$U142,$J142,1,1))</f>
        <v>#VALUE!</v>
      </c>
      <c r="AD142" s="90" t="e">
        <f aca="false">IF($C142="","",xEURO($L142,Put2,$G142,$G142,$V142,$J142,0,1))</f>
        <v>#VALUE!</v>
      </c>
      <c r="AE142" s="90" t="e">
        <f aca="false">IF($C142="","",xEURO($L142,Call1,$G142,$G142,$S142,$J142,1,3))</f>
        <v>#VALUE!</v>
      </c>
      <c r="AF142" s="90" t="e">
        <f aca="false">IF($C142="","",xEURO($L142,Put1,$G142,$G142,$T142,$J142,0,3))</f>
        <v>#VALUE!</v>
      </c>
      <c r="AG142" s="90" t="e">
        <f aca="false">IF($C142="","",xEURO($L142,Call2,$G142,$G142,$U142,$J142,1,3))</f>
        <v>#VALUE!</v>
      </c>
      <c r="AH142" s="90" t="e">
        <f aca="false">IF($C142="","",xEURO($L142,Put2,$G142,$G142,$V142,$J142,0,3))</f>
        <v>#VALUE!</v>
      </c>
      <c r="AI142" s="8" t="e">
        <f aca="false">IF(E142=1,G142,0)</f>
        <v>#VALUE!</v>
      </c>
      <c r="AJ142" s="8" t="e">
        <f aca="false">IF(E142=1,H142,0)</f>
        <v>#VALUE!</v>
      </c>
      <c r="AK142" s="8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</row>
    <row r="143" customFormat="false" ht="12.75" hidden="false" customHeight="false" outlineLevel="0" collapsed="false">
      <c r="A143" s="95" t="n">
        <f aca="false">Swap!A143</f>
        <v>41183</v>
      </c>
      <c r="B143" s="96" t="n">
        <f aca="false">B142+1</f>
        <v>134</v>
      </c>
      <c r="C143" s="95" t="e">
        <f aca="false">IF(AND(A143&gt;=Front!$E$11,A143&lt;=Front!$E$12),A143,"")</f>
        <v>#VALUE!</v>
      </c>
      <c r="D143" s="87" t="e">
        <f aca="false">Swap!AB143</f>
        <v>#VALUE!</v>
      </c>
      <c r="E143" s="87" t="e">
        <f aca="false">IF($C143="","",1)</f>
        <v>#VALUE!</v>
      </c>
      <c r="F143" s="97" t="e">
        <f aca="false">IF($C143="","",E143*H143)</f>
        <v>#VALUE!</v>
      </c>
      <c r="G143" s="31" t="n">
        <f aca="false">Swap!AG143</f>
        <v>0.0566463362406378</v>
      </c>
      <c r="H143" s="31" t="n">
        <f aca="false">Swap!AH143</f>
        <v>2.06548211768596</v>
      </c>
      <c r="I143" s="92" t="n">
        <f aca="false">INDEX(expery,MATCH(A143,exprymonth,0),2)</f>
        <v>41177</v>
      </c>
      <c r="J143" s="98" t="n">
        <f aca="false">I143-Front!$C$2</f>
        <v>-4749</v>
      </c>
      <c r="K143" s="99" t="n">
        <f aca="false">Swap!E143</f>
        <v>3.973</v>
      </c>
      <c r="L143" s="99" t="e">
        <f aca="false">IF(C143="","",(PriceSwitch=0)*K143+(PriceSwitch=1)*(Front!$H$21+K143)+(PriceSwitch=2)*Front!$H$21)</f>
        <v>#VALUE!</v>
      </c>
      <c r="M143" s="93" t="n">
        <f aca="false">INDEX(vols,MATCH(A143,volsmonth,0),2)</f>
        <v>0.17</v>
      </c>
      <c r="N143" s="3" t="e">
        <f aca="false">IF(Skew_Switch=0,"",IF($C143="","",(Front!$E$20=0)*M143+(Front!$E$20=1)*(Front!$E$21+M143)+(Front!$E$20=2)*Front!$E$21))</f>
        <v>#VALUE!</v>
      </c>
      <c r="O143" s="94" t="e">
        <f aca="false">IF(Skew_Switch=0,"",IF(C143="","",((calcskew(Call1-$L143,$C143,a,b))/100)))</f>
        <v>#VALUE!</v>
      </c>
      <c r="P143" s="94" t="e">
        <f aca="false">IF(Skew_Switch=0,"",IF(C143="","",((calcskew(Put1-$L143,$C143,a,b))/100)))</f>
        <v>#VALUE!</v>
      </c>
      <c r="Q143" s="94" t="e">
        <f aca="false">IF(Skew_Switch=0,"",IF(C143="","",((calcskew(Call2-$L143,$C143,a,b))/100)))</f>
        <v>#VALUE!</v>
      </c>
      <c r="R143" s="94" t="e">
        <f aca="false">IF(Skew_Switch=0,"",IF(C143="","",((calcskew(Put2-$L143,$C143,a,b))/100)))</f>
        <v>#VALUE!</v>
      </c>
      <c r="S143" s="3" t="e">
        <f aca="false">IF($C143="","",(Front!$C$19=0)*$N143+(Front!$C$19=1)*($N143+O143))</f>
        <v>#VALUE!</v>
      </c>
      <c r="T143" s="3" t="e">
        <f aca="false">IF($C143="","",(Front!$C$19=0)*$N143+(Front!$C$19=1)*($N143+P143))</f>
        <v>#VALUE!</v>
      </c>
      <c r="U143" s="3" t="e">
        <f aca="false">IF($C143="","",(Front!$C$19=0)*$N143+(Front!$C$19=1)*($N143+Q143))</f>
        <v>#VALUE!</v>
      </c>
      <c r="V143" s="3" t="e">
        <f aca="false">IF($C143="","",(Front!$C$19=0)*$N143+(Front!$C$19=1)*($N143+R143))</f>
        <v>#VALUE!</v>
      </c>
      <c r="W143" s="90" t="e">
        <f aca="false">IF($C143="","",xEURO($L143,Call1,$G143,$G143,S143,$J143,1,0))</f>
        <v>#VALUE!</v>
      </c>
      <c r="X143" s="90" t="e">
        <f aca="false">IF($C143="","",xEURO($L143,Put1,$G143,$G143,T143,$J143,0,0))</f>
        <v>#VALUE!</v>
      </c>
      <c r="Y143" s="90" t="e">
        <f aca="false">IF($C143="","",xEURO($L143,Call2,$G143,$G143,U143,$J143,1,0))</f>
        <v>#VALUE!</v>
      </c>
      <c r="Z143" s="90" t="e">
        <f aca="false">IF($C143="","",xEURO($L143,Put2,$G143,$G143,V143,$J143,0,0))</f>
        <v>#VALUE!</v>
      </c>
      <c r="AA143" s="90" t="e">
        <f aca="false">IF($C143="","",xEURO($L143,Call1,$G143,$G143,$S143,$J143,1,1))</f>
        <v>#VALUE!</v>
      </c>
      <c r="AB143" s="90" t="e">
        <f aca="false">IF($C143="","",xEURO($L143,Put1,$G143,$G143,$T143,$J143,0,1))</f>
        <v>#VALUE!</v>
      </c>
      <c r="AC143" s="90" t="e">
        <f aca="false">IF($C143="","",xEURO($L143,Call2,$G143,$G143,$U143,$J143,1,1))</f>
        <v>#VALUE!</v>
      </c>
      <c r="AD143" s="90" t="e">
        <f aca="false">IF($C143="","",xEURO($L143,Put2,$G143,$G143,$V143,$J143,0,1))</f>
        <v>#VALUE!</v>
      </c>
      <c r="AE143" s="90" t="e">
        <f aca="false">IF($C143="","",xEURO($L143,Call1,$G143,$G143,$S143,$J143,1,3))</f>
        <v>#VALUE!</v>
      </c>
      <c r="AF143" s="90" t="e">
        <f aca="false">IF($C143="","",xEURO($L143,Put1,$G143,$G143,$T143,$J143,0,3))</f>
        <v>#VALUE!</v>
      </c>
      <c r="AG143" s="90" t="e">
        <f aca="false">IF($C143="","",xEURO($L143,Call2,$G143,$G143,$U143,$J143,1,3))</f>
        <v>#VALUE!</v>
      </c>
      <c r="AH143" s="90" t="e">
        <f aca="false">IF($C143="","",xEURO($L143,Put2,$G143,$G143,$V143,$J143,0,3))</f>
        <v>#VALUE!</v>
      </c>
      <c r="AI143" s="8" t="e">
        <f aca="false">IF(E143=1,G143,0)</f>
        <v>#VALUE!</v>
      </c>
      <c r="AJ143" s="8" t="e">
        <f aca="false">IF(E143=1,H143,0)</f>
        <v>#VALUE!</v>
      </c>
      <c r="AK143" s="8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</row>
    <row r="144" customFormat="false" ht="12.75" hidden="false" customHeight="false" outlineLevel="0" collapsed="false">
      <c r="A144" s="95" t="n">
        <f aca="false">Swap!A144</f>
        <v>41214</v>
      </c>
      <c r="B144" s="96" t="n">
        <f aca="false">B143+1</f>
        <v>135</v>
      </c>
      <c r="C144" s="95" t="e">
        <f aca="false">IF(AND(A144&gt;=Front!$E$11,A144&lt;=Front!$E$12),A144,"")</f>
        <v>#VALUE!</v>
      </c>
      <c r="D144" s="87" t="e">
        <f aca="false">Swap!AB144</f>
        <v>#VALUE!</v>
      </c>
      <c r="E144" s="87" t="e">
        <f aca="false">IF($C144="","",1)</f>
        <v>#VALUE!</v>
      </c>
      <c r="F144" s="97" t="e">
        <f aca="false">IF($C144="","",E144*H144)</f>
        <v>#VALUE!</v>
      </c>
      <c r="G144" s="31" t="n">
        <f aca="false">Swap!AG144</f>
        <v>0.0567135416097111</v>
      </c>
      <c r="H144" s="31" t="n">
        <f aca="false">Swap!AH144</f>
        <v>2.05744688398247</v>
      </c>
      <c r="I144" s="92" t="n">
        <f aca="false">INDEX(expery,MATCH(A144,exprymonth,0),2)</f>
        <v>41208</v>
      </c>
      <c r="J144" s="98" t="n">
        <f aca="false">I144-Front!$C$2</f>
        <v>-4718</v>
      </c>
      <c r="K144" s="99" t="n">
        <f aca="false">Swap!E144</f>
        <v>4.143</v>
      </c>
      <c r="L144" s="99" t="e">
        <f aca="false">IF(C144="","",(PriceSwitch=0)*K144+(PriceSwitch=1)*(Front!$H$21+K144)+(PriceSwitch=2)*Front!$H$21)</f>
        <v>#VALUE!</v>
      </c>
      <c r="M144" s="93" t="n">
        <f aca="false">INDEX(vols,MATCH(A144,volsmonth,0),2)</f>
        <v>0.17</v>
      </c>
      <c r="N144" s="3" t="e">
        <f aca="false">IF(Skew_Switch=0,"",IF($C144="","",(Front!$E$20=0)*M144+(Front!$E$20=1)*(Front!$E$21+M144)+(Front!$E$20=2)*Front!$E$21))</f>
        <v>#VALUE!</v>
      </c>
      <c r="O144" s="94" t="e">
        <f aca="false">IF(Skew_Switch=0,"",IF(C144="","",((calcskew(Call1-$L144,$C144,a,b))/100)))</f>
        <v>#VALUE!</v>
      </c>
      <c r="P144" s="94" t="e">
        <f aca="false">IF(Skew_Switch=0,"",IF(C144="","",((calcskew(Put1-$L144,$C144,a,b))/100)))</f>
        <v>#VALUE!</v>
      </c>
      <c r="Q144" s="94" t="e">
        <f aca="false">IF(Skew_Switch=0,"",IF(C144="","",((calcskew(Call2-$L144,$C144,a,b))/100)))</f>
        <v>#VALUE!</v>
      </c>
      <c r="R144" s="94" t="e">
        <f aca="false">IF(Skew_Switch=0,"",IF(C144="","",((calcskew(Put2-$L144,$C144,a,b))/100)))</f>
        <v>#VALUE!</v>
      </c>
      <c r="S144" s="3" t="e">
        <f aca="false">IF($C144="","",(Front!$C$19=0)*$N144+(Front!$C$19=1)*($N144+O144))</f>
        <v>#VALUE!</v>
      </c>
      <c r="T144" s="3" t="e">
        <f aca="false">IF($C144="","",(Front!$C$19=0)*$N144+(Front!$C$19=1)*($N144+P144))</f>
        <v>#VALUE!</v>
      </c>
      <c r="U144" s="3" t="e">
        <f aca="false">IF($C144="","",(Front!$C$19=0)*$N144+(Front!$C$19=1)*($N144+Q144))</f>
        <v>#VALUE!</v>
      </c>
      <c r="V144" s="3" t="e">
        <f aca="false">IF($C144="","",(Front!$C$19=0)*$N144+(Front!$C$19=1)*($N144+R144))</f>
        <v>#VALUE!</v>
      </c>
      <c r="W144" s="90" t="e">
        <f aca="false">IF($C144="","",xEURO($L144,Call1,$G144,$G144,S144,$J144,1,0))</f>
        <v>#VALUE!</v>
      </c>
      <c r="X144" s="90" t="e">
        <f aca="false">IF($C144="","",xEURO($L144,Put1,$G144,$G144,T144,$J144,0,0))</f>
        <v>#VALUE!</v>
      </c>
      <c r="Y144" s="90" t="e">
        <f aca="false">IF($C144="","",xEURO($L144,Call2,$G144,$G144,U144,$J144,1,0))</f>
        <v>#VALUE!</v>
      </c>
      <c r="Z144" s="90" t="e">
        <f aca="false">IF($C144="","",xEURO($L144,Put2,$G144,$G144,V144,$J144,0,0))</f>
        <v>#VALUE!</v>
      </c>
      <c r="AA144" s="90" t="e">
        <f aca="false">IF($C144="","",xEURO($L144,Call1,$G144,$G144,$S144,$J144,1,1))</f>
        <v>#VALUE!</v>
      </c>
      <c r="AB144" s="90" t="e">
        <f aca="false">IF($C144="","",xEURO($L144,Put1,$G144,$G144,$T144,$J144,0,1))</f>
        <v>#VALUE!</v>
      </c>
      <c r="AC144" s="90" t="e">
        <f aca="false">IF($C144="","",xEURO($L144,Call2,$G144,$G144,$U144,$J144,1,1))</f>
        <v>#VALUE!</v>
      </c>
      <c r="AD144" s="90" t="e">
        <f aca="false">IF($C144="","",xEURO($L144,Put2,$G144,$G144,$V144,$J144,0,1))</f>
        <v>#VALUE!</v>
      </c>
      <c r="AE144" s="90" t="e">
        <f aca="false">IF($C144="","",xEURO($L144,Call1,$G144,$G144,$S144,$J144,1,3))</f>
        <v>#VALUE!</v>
      </c>
      <c r="AF144" s="90" t="e">
        <f aca="false">IF($C144="","",xEURO($L144,Put1,$G144,$G144,$T144,$J144,0,3))</f>
        <v>#VALUE!</v>
      </c>
      <c r="AG144" s="90" t="e">
        <f aca="false">IF($C144="","",xEURO($L144,Call2,$G144,$G144,$U144,$J144,1,3))</f>
        <v>#VALUE!</v>
      </c>
      <c r="AH144" s="90" t="e">
        <f aca="false">IF($C144="","",xEURO($L144,Put2,$G144,$G144,$V144,$J144,0,3))</f>
        <v>#VALUE!</v>
      </c>
      <c r="AI144" s="8" t="e">
        <f aca="false">IF(E144=1,G144,0)</f>
        <v>#VALUE!</v>
      </c>
      <c r="AJ144" s="8" t="e">
        <f aca="false">IF(E144=1,H144,0)</f>
        <v>#VALUE!</v>
      </c>
      <c r="AK144" s="8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</row>
    <row r="145" customFormat="false" ht="12.75" hidden="false" customHeight="false" outlineLevel="0" collapsed="false">
      <c r="A145" s="95" t="n">
        <f aca="false">Swap!A145</f>
        <v>41244</v>
      </c>
      <c r="B145" s="96" t="n">
        <f aca="false">B144+1</f>
        <v>136</v>
      </c>
      <c r="C145" s="95" t="e">
        <f aca="false">IF(AND(A145&gt;=Front!$E$11,A145&lt;=Front!$E$12),A145,"")</f>
        <v>#VALUE!</v>
      </c>
      <c r="D145" s="87" t="e">
        <f aca="false">Swap!AB145</f>
        <v>#VALUE!</v>
      </c>
      <c r="E145" s="87" t="e">
        <f aca="false">IF($C145="","",1)</f>
        <v>#VALUE!</v>
      </c>
      <c r="F145" s="97" t="e">
        <f aca="false">IF($C145="","",E145*H145)</f>
        <v>#VALUE!</v>
      </c>
      <c r="G145" s="31" t="n">
        <f aca="false">Swap!AG145</f>
        <v>0.0567785790650848</v>
      </c>
      <c r="H145" s="31" t="n">
        <f aca="false">Swap!AH145</f>
        <v>2.04967891216015</v>
      </c>
      <c r="I145" s="92" t="n">
        <f aca="false">INDEX(expery,MATCH(A145,exprymonth,0),2)</f>
        <v>41240</v>
      </c>
      <c r="J145" s="98" t="n">
        <f aca="false">I145-Front!$C$2</f>
        <v>-4686</v>
      </c>
      <c r="K145" s="99" t="n">
        <f aca="false">Swap!E145</f>
        <v>4.318</v>
      </c>
      <c r="L145" s="99" t="e">
        <f aca="false">IF(C145="","",(PriceSwitch=0)*K145+(PriceSwitch=1)*(Front!$H$21+K145)+(PriceSwitch=2)*Front!$H$21)</f>
        <v>#VALUE!</v>
      </c>
      <c r="M145" s="93" t="n">
        <f aca="false">INDEX(vols,MATCH(A145,volsmonth,0),2)</f>
        <v>0.17</v>
      </c>
      <c r="N145" s="3" t="e">
        <f aca="false">IF(Skew_Switch=0,"",IF($C145="","",(Front!$E$20=0)*M145+(Front!$E$20=1)*(Front!$E$21+M145)+(Front!$E$20=2)*Front!$E$21))</f>
        <v>#VALUE!</v>
      </c>
      <c r="O145" s="94" t="e">
        <f aca="false">IF(Skew_Switch=0,"",IF(C145="","",((calcskew(Call1-$L145,$C145,a,b))/100)))</f>
        <v>#VALUE!</v>
      </c>
      <c r="P145" s="94" t="e">
        <f aca="false">IF(Skew_Switch=0,"",IF(C145="","",((calcskew(Put1-$L145,$C145,a,b))/100)))</f>
        <v>#VALUE!</v>
      </c>
      <c r="Q145" s="94" t="e">
        <f aca="false">IF(Skew_Switch=0,"",IF(C145="","",((calcskew(Call2-$L145,$C145,a,b))/100)))</f>
        <v>#VALUE!</v>
      </c>
      <c r="R145" s="94" t="e">
        <f aca="false">IF(Skew_Switch=0,"",IF(C145="","",((calcskew(Put2-$L145,$C145,a,b))/100)))</f>
        <v>#VALUE!</v>
      </c>
      <c r="S145" s="3" t="e">
        <f aca="false">IF($C145="","",(Front!$C$19=0)*$N145+(Front!$C$19=1)*($N145+O145))</f>
        <v>#VALUE!</v>
      </c>
      <c r="T145" s="3" t="e">
        <f aca="false">IF($C145="","",(Front!$C$19=0)*$N145+(Front!$C$19=1)*($N145+P145))</f>
        <v>#VALUE!</v>
      </c>
      <c r="U145" s="3" t="e">
        <f aca="false">IF($C145="","",(Front!$C$19=0)*$N145+(Front!$C$19=1)*($N145+Q145))</f>
        <v>#VALUE!</v>
      </c>
      <c r="V145" s="3" t="e">
        <f aca="false">IF($C145="","",(Front!$C$19=0)*$N145+(Front!$C$19=1)*($N145+R145))</f>
        <v>#VALUE!</v>
      </c>
      <c r="W145" s="90" t="e">
        <f aca="false">IF($C145="","",xEURO($L145,Call1,$G145,$G145,S145,$J145,1,0))</f>
        <v>#VALUE!</v>
      </c>
      <c r="X145" s="90" t="e">
        <f aca="false">IF($C145="","",xEURO($L145,Put1,$G145,$G145,T145,$J145,0,0))</f>
        <v>#VALUE!</v>
      </c>
      <c r="Y145" s="90" t="e">
        <f aca="false">IF($C145="","",xEURO($L145,Call2,$G145,$G145,U145,$J145,1,0))</f>
        <v>#VALUE!</v>
      </c>
      <c r="Z145" s="90" t="e">
        <f aca="false">IF($C145="","",xEURO($L145,Put2,$G145,$G145,V145,$J145,0,0))</f>
        <v>#VALUE!</v>
      </c>
      <c r="AA145" s="90" t="e">
        <f aca="false">IF($C145="","",xEURO($L145,Call1,$G145,$G145,$S145,$J145,1,1))</f>
        <v>#VALUE!</v>
      </c>
      <c r="AB145" s="90" t="e">
        <f aca="false">IF($C145="","",xEURO($L145,Put1,$G145,$G145,$T145,$J145,0,1))</f>
        <v>#VALUE!</v>
      </c>
      <c r="AC145" s="90" t="e">
        <f aca="false">IF($C145="","",xEURO($L145,Call2,$G145,$G145,$U145,$J145,1,1))</f>
        <v>#VALUE!</v>
      </c>
      <c r="AD145" s="90" t="e">
        <f aca="false">IF($C145="","",xEURO($L145,Put2,$G145,$G145,$V145,$J145,0,1))</f>
        <v>#VALUE!</v>
      </c>
      <c r="AE145" s="90" t="e">
        <f aca="false">IF($C145="","",xEURO($L145,Call1,$G145,$G145,$S145,$J145,1,3))</f>
        <v>#VALUE!</v>
      </c>
      <c r="AF145" s="90" t="e">
        <f aca="false">IF($C145="","",xEURO($L145,Put1,$G145,$G145,$T145,$J145,0,3))</f>
        <v>#VALUE!</v>
      </c>
      <c r="AG145" s="90" t="e">
        <f aca="false">IF($C145="","",xEURO($L145,Call2,$G145,$G145,$U145,$J145,1,3))</f>
        <v>#VALUE!</v>
      </c>
      <c r="AH145" s="90" t="e">
        <f aca="false">IF($C145="","",xEURO($L145,Put2,$G145,$G145,$V145,$J145,0,3))</f>
        <v>#VALUE!</v>
      </c>
      <c r="AI145" s="8" t="e">
        <f aca="false">IF(E145=1,G145,0)</f>
        <v>#VALUE!</v>
      </c>
      <c r="AJ145" s="8" t="e">
        <f aca="false">IF(E145=1,H145,0)</f>
        <v>#VALUE!</v>
      </c>
      <c r="AK145" s="8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</row>
    <row r="146" customFormat="false" ht="12.75" hidden="false" customHeight="false" outlineLevel="0" collapsed="false">
      <c r="A146" s="95" t="n">
        <f aca="false">Swap!A146</f>
        <v>41275</v>
      </c>
      <c r="B146" s="96" t="n">
        <f aca="false">B145+1</f>
        <v>137</v>
      </c>
      <c r="C146" s="95" t="e">
        <f aca="false">IF(AND(A146&gt;=Front!$E$11,A146&lt;=Front!$E$12),A146,"")</f>
        <v>#VALUE!</v>
      </c>
      <c r="D146" s="87" t="e">
        <f aca="false">Swap!AB146</f>
        <v>#VALUE!</v>
      </c>
      <c r="E146" s="87" t="e">
        <f aca="false">IF($C146="","",1)</f>
        <v>#VALUE!</v>
      </c>
      <c r="F146" s="97" t="e">
        <f aca="false">IF($C146="","",E146*H146)</f>
        <v>#VALUE!</v>
      </c>
      <c r="G146" s="31" t="n">
        <f aca="false">Swap!AG146</f>
        <v>0.0568457844371157</v>
      </c>
      <c r="H146" s="31" t="n">
        <f aca="false">Swap!AH146</f>
        <v>2.04166047979583</v>
      </c>
      <c r="I146" s="92" t="n">
        <f aca="false">INDEX(expery,MATCH(A146,exprymonth,0),2)</f>
        <v>41269</v>
      </c>
      <c r="J146" s="98" t="n">
        <f aca="false">I146-Front!$C$2</f>
        <v>-4657</v>
      </c>
      <c r="K146" s="99" t="n">
        <f aca="false">Swap!E146</f>
        <v>4.373</v>
      </c>
      <c r="L146" s="99" t="e">
        <f aca="false">IF(C146="","",(PriceSwitch=0)*K146+(PriceSwitch=1)*(Front!$H$21+K146)+(PriceSwitch=2)*Front!$H$21)</f>
        <v>#VALUE!</v>
      </c>
      <c r="M146" s="93" t="n">
        <f aca="false">INDEX(vols,MATCH(A146,volsmonth,0),2)</f>
        <v>0.17</v>
      </c>
      <c r="N146" s="3" t="e">
        <f aca="false">IF(Skew_Switch=0,"",IF($C146="","",(Front!$E$20=0)*M146+(Front!$E$20=1)*(Front!$E$21+M146)+(Front!$E$20=2)*Front!$E$21))</f>
        <v>#VALUE!</v>
      </c>
      <c r="O146" s="94" t="e">
        <f aca="false">IF(Skew_Switch=0,"",IF(C146="","",((calcskew(Call1-$L146,$C146,a,b))/100)))</f>
        <v>#VALUE!</v>
      </c>
      <c r="P146" s="94" t="e">
        <f aca="false">IF(Skew_Switch=0,"",IF(C146="","",((calcskew(Put1-$L146,$C146,a,b))/100)))</f>
        <v>#VALUE!</v>
      </c>
      <c r="Q146" s="94" t="e">
        <f aca="false">IF(Skew_Switch=0,"",IF(C146="","",((calcskew(Call2-$L146,$C146,a,b))/100)))</f>
        <v>#VALUE!</v>
      </c>
      <c r="R146" s="94" t="e">
        <f aca="false">IF(Skew_Switch=0,"",IF(C146="","",((calcskew(Put2-$L146,$C146,a,b))/100)))</f>
        <v>#VALUE!</v>
      </c>
      <c r="S146" s="3" t="e">
        <f aca="false">IF($C146="","",(Front!$C$19=0)*$N146+(Front!$C$19=1)*($N146+O146))</f>
        <v>#VALUE!</v>
      </c>
      <c r="T146" s="3" t="e">
        <f aca="false">IF($C146="","",(Front!$C$19=0)*$N146+(Front!$C$19=1)*($N146+P146))</f>
        <v>#VALUE!</v>
      </c>
      <c r="U146" s="3" t="e">
        <f aca="false">IF($C146="","",(Front!$C$19=0)*$N146+(Front!$C$19=1)*($N146+Q146))</f>
        <v>#VALUE!</v>
      </c>
      <c r="V146" s="3" t="e">
        <f aca="false">IF($C146="","",(Front!$C$19=0)*$N146+(Front!$C$19=1)*($N146+R146))</f>
        <v>#VALUE!</v>
      </c>
      <c r="W146" s="90" t="e">
        <f aca="false">IF($C146="","",xEURO($L146,Call1,$G146,$G146,S146,$J146,1,0))</f>
        <v>#VALUE!</v>
      </c>
      <c r="X146" s="90" t="e">
        <f aca="false">IF($C146="","",xEURO($L146,Put1,$G146,$G146,T146,$J146,0,0))</f>
        <v>#VALUE!</v>
      </c>
      <c r="Y146" s="90" t="e">
        <f aca="false">IF($C146="","",xEURO($L146,Call2,$G146,$G146,U146,$J146,1,0))</f>
        <v>#VALUE!</v>
      </c>
      <c r="Z146" s="90" t="e">
        <f aca="false">IF($C146="","",xEURO($L146,Put2,$G146,$G146,V146,$J146,0,0))</f>
        <v>#VALUE!</v>
      </c>
      <c r="AA146" s="90" t="e">
        <f aca="false">IF($C146="","",xEURO($L146,Call1,$G146,$G146,$S146,$J146,1,1))</f>
        <v>#VALUE!</v>
      </c>
      <c r="AB146" s="90" t="e">
        <f aca="false">IF($C146="","",xEURO($L146,Put1,$G146,$G146,$T146,$J146,0,1))</f>
        <v>#VALUE!</v>
      </c>
      <c r="AC146" s="90" t="e">
        <f aca="false">IF($C146="","",xEURO($L146,Call2,$G146,$G146,$U146,$J146,1,1))</f>
        <v>#VALUE!</v>
      </c>
      <c r="AD146" s="90" t="e">
        <f aca="false">IF($C146="","",xEURO($L146,Put2,$G146,$G146,$V146,$J146,0,1))</f>
        <v>#VALUE!</v>
      </c>
      <c r="AE146" s="90" t="e">
        <f aca="false">IF($C146="","",xEURO($L146,Call1,$G146,$G146,$S146,$J146,1,3))</f>
        <v>#VALUE!</v>
      </c>
      <c r="AF146" s="90" t="e">
        <f aca="false">IF($C146="","",xEURO($L146,Put1,$G146,$G146,$T146,$J146,0,3))</f>
        <v>#VALUE!</v>
      </c>
      <c r="AG146" s="90" t="e">
        <f aca="false">IF($C146="","",xEURO($L146,Call2,$G146,$G146,$U146,$J146,1,3))</f>
        <v>#VALUE!</v>
      </c>
      <c r="AH146" s="90" t="e">
        <f aca="false">IF($C146="","",xEURO($L146,Put2,$G146,$G146,$V146,$J146,0,3))</f>
        <v>#VALUE!</v>
      </c>
      <c r="AI146" s="8" t="e">
        <f aca="false">IF(E146=1,G146,0)</f>
        <v>#VALUE!</v>
      </c>
      <c r="AJ146" s="8" t="e">
        <f aca="false">IF(E146=1,H146,0)</f>
        <v>#VALUE!</v>
      </c>
      <c r="AK146" s="8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</row>
    <row r="147" customFormat="false" ht="12.75" hidden="false" customHeight="false" outlineLevel="0" collapsed="false">
      <c r="A147" s="95" t="n">
        <f aca="false">Swap!A147</f>
        <v>41306</v>
      </c>
      <c r="B147" s="96" t="n">
        <f aca="false">B146+1</f>
        <v>138</v>
      </c>
      <c r="C147" s="95" t="e">
        <f aca="false">IF(AND(A147&gt;=Front!$E$11,A147&lt;=Front!$E$12),A147,"")</f>
        <v>#VALUE!</v>
      </c>
      <c r="D147" s="87" t="e">
        <f aca="false">Swap!AB147</f>
        <v>#VALUE!</v>
      </c>
      <c r="E147" s="87" t="e">
        <f aca="false">IF($C147="","",1)</f>
        <v>#VALUE!</v>
      </c>
      <c r="F147" s="97" t="e">
        <f aca="false">IF($C147="","",E147*H147)</f>
        <v>#VALUE!</v>
      </c>
      <c r="G147" s="31" t="n">
        <f aca="false">Swap!AG147</f>
        <v>0.0569129898106495</v>
      </c>
      <c r="H147" s="31" t="n">
        <f aca="false">Swap!AH147</f>
        <v>2.0336508020103</v>
      </c>
      <c r="I147" s="92" t="n">
        <f aca="false">INDEX(expery,MATCH(A147,exprymonth,0),2)</f>
        <v>41302</v>
      </c>
      <c r="J147" s="98" t="n">
        <f aca="false">I147-Front!$C$2</f>
        <v>-4624</v>
      </c>
      <c r="K147" s="99" t="n">
        <f aca="false">Swap!E147</f>
        <v>4.259</v>
      </c>
      <c r="L147" s="99" t="e">
        <f aca="false">IF(C147="","",(PriceSwitch=0)*K147+(PriceSwitch=1)*(Front!$H$21+K147)+(PriceSwitch=2)*Front!$H$21)</f>
        <v>#VALUE!</v>
      </c>
      <c r="M147" s="93" t="n">
        <f aca="false">INDEX(vols,MATCH(A147,volsmonth,0),2)</f>
        <v>0.17</v>
      </c>
      <c r="N147" s="3" t="e">
        <f aca="false">IF(Skew_Switch=0,"",IF($C147="","",(Front!$E$20=0)*M147+(Front!$E$20=1)*(Front!$E$21+M147)+(Front!$E$20=2)*Front!$E$21))</f>
        <v>#VALUE!</v>
      </c>
      <c r="O147" s="94" t="e">
        <f aca="false">IF(Skew_Switch=0,"",IF(C147="","",((calcskew(Call1-$L147,$C147,a,b))/100)))</f>
        <v>#VALUE!</v>
      </c>
      <c r="P147" s="94" t="e">
        <f aca="false">IF(Skew_Switch=0,"",IF(C147="","",((calcskew(Put1-$L147,$C147,a,b))/100)))</f>
        <v>#VALUE!</v>
      </c>
      <c r="Q147" s="94" t="e">
        <f aca="false">IF(Skew_Switch=0,"",IF(C147="","",((calcskew(Call2-$L147,$C147,a,b))/100)))</f>
        <v>#VALUE!</v>
      </c>
      <c r="R147" s="94" t="e">
        <f aca="false">IF(Skew_Switch=0,"",IF(C147="","",((calcskew(Put2-$L147,$C147,a,b))/100)))</f>
        <v>#VALUE!</v>
      </c>
      <c r="S147" s="3" t="e">
        <f aca="false">IF($C147="","",(Front!$C$19=0)*$N147+(Front!$C$19=1)*($N147+O147))</f>
        <v>#VALUE!</v>
      </c>
      <c r="T147" s="3" t="e">
        <f aca="false">IF($C147="","",(Front!$C$19=0)*$N147+(Front!$C$19=1)*($N147+P147))</f>
        <v>#VALUE!</v>
      </c>
      <c r="U147" s="3" t="e">
        <f aca="false">IF($C147="","",(Front!$C$19=0)*$N147+(Front!$C$19=1)*($N147+Q147))</f>
        <v>#VALUE!</v>
      </c>
      <c r="V147" s="3" t="e">
        <f aca="false">IF($C147="","",(Front!$C$19=0)*$N147+(Front!$C$19=1)*($N147+R147))</f>
        <v>#VALUE!</v>
      </c>
      <c r="W147" s="90" t="e">
        <f aca="false">IF($C147="","",xEURO($L147,Call1,$G147,$G147,S147,$J147,1,0))</f>
        <v>#VALUE!</v>
      </c>
      <c r="X147" s="90" t="e">
        <f aca="false">IF($C147="","",xEURO($L147,Put1,$G147,$G147,T147,$J147,0,0))</f>
        <v>#VALUE!</v>
      </c>
      <c r="Y147" s="90" t="e">
        <f aca="false">IF($C147="","",xEURO($L147,Call2,$G147,$G147,U147,$J147,1,0))</f>
        <v>#VALUE!</v>
      </c>
      <c r="Z147" s="90" t="e">
        <f aca="false">IF($C147="","",xEURO($L147,Put2,$G147,$G147,V147,$J147,0,0))</f>
        <v>#VALUE!</v>
      </c>
      <c r="AA147" s="90" t="e">
        <f aca="false">IF($C147="","",xEURO($L147,Call1,$G147,$G147,$S147,$J147,1,1))</f>
        <v>#VALUE!</v>
      </c>
      <c r="AB147" s="90" t="e">
        <f aca="false">IF($C147="","",xEURO($L147,Put1,$G147,$G147,$T147,$J147,0,1))</f>
        <v>#VALUE!</v>
      </c>
      <c r="AC147" s="90" t="e">
        <f aca="false">IF($C147="","",xEURO($L147,Call2,$G147,$G147,$U147,$J147,1,1))</f>
        <v>#VALUE!</v>
      </c>
      <c r="AD147" s="90" t="e">
        <f aca="false">IF($C147="","",xEURO($L147,Put2,$G147,$G147,$V147,$J147,0,1))</f>
        <v>#VALUE!</v>
      </c>
      <c r="AE147" s="90" t="e">
        <f aca="false">IF($C147="","",xEURO($L147,Call1,$G147,$G147,$S147,$J147,1,3))</f>
        <v>#VALUE!</v>
      </c>
      <c r="AF147" s="90" t="e">
        <f aca="false">IF($C147="","",xEURO($L147,Put1,$G147,$G147,$T147,$J147,0,3))</f>
        <v>#VALUE!</v>
      </c>
      <c r="AG147" s="90" t="e">
        <f aca="false">IF($C147="","",xEURO($L147,Call2,$G147,$G147,$U147,$J147,1,3))</f>
        <v>#VALUE!</v>
      </c>
      <c r="AH147" s="90" t="e">
        <f aca="false">IF($C147="","",xEURO($L147,Put2,$G147,$G147,$V147,$J147,0,3))</f>
        <v>#VALUE!</v>
      </c>
      <c r="AI147" s="8" t="e">
        <f aca="false">IF(E147=1,G147,0)</f>
        <v>#VALUE!</v>
      </c>
      <c r="AJ147" s="8" t="e">
        <f aca="false">IF(E147=1,H147,0)</f>
        <v>#VALUE!</v>
      </c>
      <c r="AK147" s="8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</row>
    <row r="148" customFormat="false" ht="12.75" hidden="false" customHeight="false" outlineLevel="0" collapsed="false">
      <c r="A148" s="95" t="n">
        <f aca="false">Swap!A148</f>
        <v>41334</v>
      </c>
      <c r="B148" s="96" t="n">
        <f aca="false">B147+1</f>
        <v>139</v>
      </c>
      <c r="C148" s="95" t="e">
        <f aca="false">IF(AND(A148&gt;=Front!$E$11,A148&lt;=Front!$E$12),A148,"")</f>
        <v>#VALUE!</v>
      </c>
      <c r="D148" s="87" t="e">
        <f aca="false">Swap!AB148</f>
        <v>#VALUE!</v>
      </c>
      <c r="E148" s="87" t="e">
        <f aca="false">IF($C148="","",1)</f>
        <v>#VALUE!</v>
      </c>
      <c r="F148" s="97" t="e">
        <f aca="false">IF($C148="","",E148*H148)</f>
        <v>#VALUE!</v>
      </c>
      <c r="G148" s="31" t="n">
        <f aca="false">Swap!AG148</f>
        <v>0.0569736914396501</v>
      </c>
      <c r="H148" s="31" t="n">
        <f aca="false">Swap!AH148</f>
        <v>2.02642389932565</v>
      </c>
      <c r="I148" s="92" t="n">
        <f aca="false">INDEX(expery,MATCH(A148,exprymonth,0),2)</f>
        <v>41330</v>
      </c>
      <c r="J148" s="98" t="n">
        <f aca="false">I148-Front!$C$2</f>
        <v>-4596</v>
      </c>
      <c r="K148" s="99" t="n">
        <f aca="false">Swap!E148</f>
        <v>4.127</v>
      </c>
      <c r="L148" s="99" t="e">
        <f aca="false">IF(C148="","",(PriceSwitch=0)*K148+(PriceSwitch=1)*(Front!$H$21+K148)+(PriceSwitch=2)*Front!$H$21)</f>
        <v>#VALUE!</v>
      </c>
      <c r="M148" s="93" t="n">
        <f aca="false">INDEX(vols,MATCH(A148,volsmonth,0),2)</f>
        <v>0.17</v>
      </c>
      <c r="N148" s="3" t="e">
        <f aca="false">IF(Skew_Switch=0,"",IF($C148="","",(Front!$E$20=0)*M148+(Front!$E$20=1)*(Front!$E$21+M148)+(Front!$E$20=2)*Front!$E$21))</f>
        <v>#VALUE!</v>
      </c>
      <c r="O148" s="94" t="e">
        <f aca="false">IF(Skew_Switch=0,"",IF(C148="","",((calcskew(Call1-$L148,$C148,a,b))/100)))</f>
        <v>#VALUE!</v>
      </c>
      <c r="P148" s="94" t="e">
        <f aca="false">IF(Skew_Switch=0,"",IF(C148="","",((calcskew(Put1-$L148,$C148,a,b))/100)))</f>
        <v>#VALUE!</v>
      </c>
      <c r="Q148" s="94" t="e">
        <f aca="false">IF(Skew_Switch=0,"",IF(C148="","",((calcskew(Call2-$L148,$C148,a,b))/100)))</f>
        <v>#VALUE!</v>
      </c>
      <c r="R148" s="94" t="e">
        <f aca="false">IF(Skew_Switch=0,"",IF(C148="","",((calcskew(Put2-$L148,$C148,a,b))/100)))</f>
        <v>#VALUE!</v>
      </c>
      <c r="S148" s="3" t="e">
        <f aca="false">IF($C148="","",(Front!$C$19=0)*$N148+(Front!$C$19=1)*($N148+O148))</f>
        <v>#VALUE!</v>
      </c>
      <c r="T148" s="3" t="e">
        <f aca="false">IF($C148="","",(Front!$C$19=0)*$N148+(Front!$C$19=1)*($N148+P148))</f>
        <v>#VALUE!</v>
      </c>
      <c r="U148" s="3" t="e">
        <f aca="false">IF($C148="","",(Front!$C$19=0)*$N148+(Front!$C$19=1)*($N148+Q148))</f>
        <v>#VALUE!</v>
      </c>
      <c r="V148" s="3" t="e">
        <f aca="false">IF($C148="","",(Front!$C$19=0)*$N148+(Front!$C$19=1)*($N148+R148))</f>
        <v>#VALUE!</v>
      </c>
      <c r="W148" s="90" t="e">
        <f aca="false">IF($C148="","",xEURO($L148,Call1,$G148,$G148,S148,$J148,1,0))</f>
        <v>#VALUE!</v>
      </c>
      <c r="X148" s="90" t="e">
        <f aca="false">IF($C148="","",xEURO($L148,Put1,$G148,$G148,T148,$J148,0,0))</f>
        <v>#VALUE!</v>
      </c>
      <c r="Y148" s="90" t="e">
        <f aca="false">IF($C148="","",xEURO($L148,Call2,$G148,$G148,U148,$J148,1,0))</f>
        <v>#VALUE!</v>
      </c>
      <c r="Z148" s="90" t="e">
        <f aca="false">IF($C148="","",xEURO($L148,Put2,$G148,$G148,V148,$J148,0,0))</f>
        <v>#VALUE!</v>
      </c>
      <c r="AA148" s="90" t="e">
        <f aca="false">IF($C148="","",xEURO($L148,Call1,$G148,$G148,$S148,$J148,1,1))</f>
        <v>#VALUE!</v>
      </c>
      <c r="AB148" s="90" t="e">
        <f aca="false">IF($C148="","",xEURO($L148,Put1,$G148,$G148,$T148,$J148,0,1))</f>
        <v>#VALUE!</v>
      </c>
      <c r="AC148" s="90" t="e">
        <f aca="false">IF($C148="","",xEURO($L148,Call2,$G148,$G148,$U148,$J148,1,1))</f>
        <v>#VALUE!</v>
      </c>
      <c r="AD148" s="90" t="e">
        <f aca="false">IF($C148="","",xEURO($L148,Put2,$G148,$G148,$V148,$J148,0,1))</f>
        <v>#VALUE!</v>
      </c>
      <c r="AE148" s="90" t="e">
        <f aca="false">IF($C148="","",xEURO($L148,Call1,$G148,$G148,$S148,$J148,1,3))</f>
        <v>#VALUE!</v>
      </c>
      <c r="AF148" s="90" t="e">
        <f aca="false">IF($C148="","",xEURO($L148,Put1,$G148,$G148,$T148,$J148,0,3))</f>
        <v>#VALUE!</v>
      </c>
      <c r="AG148" s="90" t="e">
        <f aca="false">IF($C148="","",xEURO($L148,Call2,$G148,$G148,$U148,$J148,1,3))</f>
        <v>#VALUE!</v>
      </c>
      <c r="AH148" s="90" t="e">
        <f aca="false">IF($C148="","",xEURO($L148,Put2,$G148,$G148,$V148,$J148,0,3))</f>
        <v>#VALUE!</v>
      </c>
      <c r="AI148" s="8" t="e">
        <f aca="false">IF(E148=1,G148,0)</f>
        <v>#VALUE!</v>
      </c>
      <c r="AJ148" s="8" t="e">
        <f aca="false">IF(E148=1,H148,0)</f>
        <v>#VALUE!</v>
      </c>
      <c r="AK148" s="8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</row>
    <row r="149" customFormat="false" ht="12.75" hidden="false" customHeight="false" outlineLevel="0" collapsed="false">
      <c r="A149" s="95" t="n">
        <f aca="false">Swap!A149</f>
        <v>41365</v>
      </c>
      <c r="B149" s="96" t="n">
        <f aca="false">B148+1</f>
        <v>140</v>
      </c>
      <c r="C149" s="95" t="e">
        <f aca="false">IF(AND(A149&gt;=Front!$E$11,A149&lt;=Front!$E$12),A149,"")</f>
        <v>#VALUE!</v>
      </c>
      <c r="D149" s="87" t="e">
        <f aca="false">Swap!AB149</f>
        <v>#VALUE!</v>
      </c>
      <c r="E149" s="87" t="e">
        <f aca="false">IF($C149="","",1)</f>
        <v>#VALUE!</v>
      </c>
      <c r="F149" s="97" t="e">
        <f aca="false">IF($C149="","",E149*H149)</f>
        <v>#VALUE!</v>
      </c>
      <c r="G149" s="31" t="n">
        <f aca="false">Swap!AG149</f>
        <v>0.0570408968160447</v>
      </c>
      <c r="H149" s="31" t="n">
        <f aca="false">Swap!AH149</f>
        <v>2.01843128207851</v>
      </c>
      <c r="I149" s="92" t="n">
        <f aca="false">INDEX(expery,MATCH(A149,exprymonth,0),2)</f>
        <v>41358</v>
      </c>
      <c r="J149" s="98" t="n">
        <f aca="false">I149-Front!$C$2</f>
        <v>-4568</v>
      </c>
      <c r="K149" s="99" t="n">
        <f aca="false">Swap!E149</f>
        <v>3.957</v>
      </c>
      <c r="L149" s="99" t="e">
        <f aca="false">IF(C149="","",(PriceSwitch=0)*K149+(PriceSwitch=1)*(Front!$H$21+K149)+(PriceSwitch=2)*Front!$H$21)</f>
        <v>#VALUE!</v>
      </c>
      <c r="M149" s="93" t="n">
        <f aca="false">INDEX(vols,MATCH(A149,volsmonth,0),2)</f>
        <v>0.17</v>
      </c>
      <c r="N149" s="3" t="e">
        <f aca="false">IF(Skew_Switch=0,"",IF($C149="","",(Front!$E$20=0)*M149+(Front!$E$20=1)*(Front!$E$21+M149)+(Front!$E$20=2)*Front!$E$21))</f>
        <v>#VALUE!</v>
      </c>
      <c r="O149" s="94" t="e">
        <f aca="false">IF(Skew_Switch=0,"",IF(C149="","",((calcskew(Call1-$L149,$C149,a,b))/100)))</f>
        <v>#VALUE!</v>
      </c>
      <c r="P149" s="94" t="e">
        <f aca="false">IF(Skew_Switch=0,"",IF(C149="","",((calcskew(Put1-$L149,$C149,a,b))/100)))</f>
        <v>#VALUE!</v>
      </c>
      <c r="Q149" s="94" t="e">
        <f aca="false">IF(Skew_Switch=0,"",IF(C149="","",((calcskew(Call2-$L149,$C149,a,b))/100)))</f>
        <v>#VALUE!</v>
      </c>
      <c r="R149" s="94" t="e">
        <f aca="false">IF(Skew_Switch=0,"",IF(C149="","",((calcskew(Put2-$L149,$C149,a,b))/100)))</f>
        <v>#VALUE!</v>
      </c>
      <c r="S149" s="3" t="e">
        <f aca="false">IF($C149="","",(Front!$C$19=0)*$N149+(Front!$C$19=1)*($N149+O149))</f>
        <v>#VALUE!</v>
      </c>
      <c r="T149" s="3" t="e">
        <f aca="false">IF($C149="","",(Front!$C$19=0)*$N149+(Front!$C$19=1)*($N149+P149))</f>
        <v>#VALUE!</v>
      </c>
      <c r="U149" s="3" t="e">
        <f aca="false">IF($C149="","",(Front!$C$19=0)*$N149+(Front!$C$19=1)*($N149+Q149))</f>
        <v>#VALUE!</v>
      </c>
      <c r="V149" s="3" t="e">
        <f aca="false">IF($C149="","",(Front!$C$19=0)*$N149+(Front!$C$19=1)*($N149+R149))</f>
        <v>#VALUE!</v>
      </c>
      <c r="W149" s="90" t="e">
        <f aca="false">IF($C149="","",xEURO($L149,Call1,$G149,$G149,S149,$J149,1,0))</f>
        <v>#VALUE!</v>
      </c>
      <c r="X149" s="90" t="e">
        <f aca="false">IF($C149="","",xEURO($L149,Put1,$G149,$G149,T149,$J149,0,0))</f>
        <v>#VALUE!</v>
      </c>
      <c r="Y149" s="90" t="e">
        <f aca="false">IF($C149="","",xEURO($L149,Call2,$G149,$G149,U149,$J149,1,0))</f>
        <v>#VALUE!</v>
      </c>
      <c r="Z149" s="90" t="e">
        <f aca="false">IF($C149="","",xEURO($L149,Put2,$G149,$G149,V149,$J149,0,0))</f>
        <v>#VALUE!</v>
      </c>
      <c r="AA149" s="90" t="e">
        <f aca="false">IF($C149="","",xEURO($L149,Call1,$G149,$G149,$S149,$J149,1,1))</f>
        <v>#VALUE!</v>
      </c>
      <c r="AB149" s="90" t="e">
        <f aca="false">IF($C149="","",xEURO($L149,Put1,$G149,$G149,$T149,$J149,0,1))</f>
        <v>#VALUE!</v>
      </c>
      <c r="AC149" s="90" t="e">
        <f aca="false">IF($C149="","",xEURO($L149,Call2,$G149,$G149,$U149,$J149,1,1))</f>
        <v>#VALUE!</v>
      </c>
      <c r="AD149" s="90" t="e">
        <f aca="false">IF($C149="","",xEURO($L149,Put2,$G149,$G149,$V149,$J149,0,1))</f>
        <v>#VALUE!</v>
      </c>
      <c r="AE149" s="90" t="e">
        <f aca="false">IF($C149="","",xEURO($L149,Call1,$G149,$G149,$S149,$J149,1,3))</f>
        <v>#VALUE!</v>
      </c>
      <c r="AF149" s="90" t="e">
        <f aca="false">IF($C149="","",xEURO($L149,Put1,$G149,$G149,$T149,$J149,0,3))</f>
        <v>#VALUE!</v>
      </c>
      <c r="AG149" s="90" t="e">
        <f aca="false">IF($C149="","",xEURO($L149,Call2,$G149,$G149,$U149,$J149,1,3))</f>
        <v>#VALUE!</v>
      </c>
      <c r="AH149" s="90" t="e">
        <f aca="false">IF($C149="","",xEURO($L149,Put2,$G149,$G149,$V149,$J149,0,3))</f>
        <v>#VALUE!</v>
      </c>
      <c r="AI149" s="8" t="e">
        <f aca="false">IF(E149=1,G149,0)</f>
        <v>#VALUE!</v>
      </c>
      <c r="AJ149" s="8" t="e">
        <f aca="false">IF(E149=1,H149,0)</f>
        <v>#VALUE!</v>
      </c>
      <c r="AK149" s="8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</row>
    <row r="150" customFormat="false" ht="12.75" hidden="false" customHeight="false" outlineLevel="0" collapsed="false">
      <c r="A150" s="95" t="n">
        <f aca="false">Swap!A150</f>
        <v>41395</v>
      </c>
      <c r="B150" s="96" t="n">
        <f aca="false">B149+1</f>
        <v>141</v>
      </c>
      <c r="C150" s="95" t="e">
        <f aca="false">IF(AND(A150&gt;=Front!$E$11,A150&lt;=Front!$E$12),A150,"")</f>
        <v>#VALUE!</v>
      </c>
      <c r="D150" s="87" t="e">
        <f aca="false">Swap!AB150</f>
        <v>#VALUE!</v>
      </c>
      <c r="E150" s="87" t="e">
        <f aca="false">IF($C150="","",1)</f>
        <v>#VALUE!</v>
      </c>
      <c r="F150" s="97" t="e">
        <f aca="false">IF($C150="","",E150*H150)</f>
        <v>#VALUE!</v>
      </c>
      <c r="G150" s="31" t="n">
        <f aca="false">Swap!AG150</f>
        <v>0.0571059342785025</v>
      </c>
      <c r="H150" s="31" t="n">
        <f aca="false">Swap!AH150</f>
        <v>2.01070522249938</v>
      </c>
      <c r="I150" s="92" t="n">
        <f aca="false">INDEX(expery,MATCH(A150,exprymonth,0),2)</f>
        <v>41389</v>
      </c>
      <c r="J150" s="98" t="n">
        <f aca="false">I150-Front!$C$2</f>
        <v>-4537</v>
      </c>
      <c r="K150" s="99" t="n">
        <f aca="false">Swap!E150</f>
        <v>3.957</v>
      </c>
      <c r="L150" s="99" t="e">
        <f aca="false">IF(C150="","",(PriceSwitch=0)*K150+(PriceSwitch=1)*(Front!$H$21+K150)+(PriceSwitch=2)*Front!$H$21)</f>
        <v>#VALUE!</v>
      </c>
      <c r="M150" s="93" t="n">
        <f aca="false">INDEX(vols,MATCH(A150,volsmonth,0),2)</f>
        <v>0.17</v>
      </c>
      <c r="N150" s="3" t="e">
        <f aca="false">IF(Skew_Switch=0,"",IF($C150="","",(Front!$E$20=0)*M150+(Front!$E$20=1)*(Front!$E$21+M150)+(Front!$E$20=2)*Front!$E$21))</f>
        <v>#VALUE!</v>
      </c>
      <c r="O150" s="94" t="e">
        <f aca="false">IF(Skew_Switch=0,"",IF(C150="","",((calcskew(Call1-$L150,$C150,a,b))/100)))</f>
        <v>#VALUE!</v>
      </c>
      <c r="P150" s="94" t="e">
        <f aca="false">IF(Skew_Switch=0,"",IF(C150="","",((calcskew(Put1-$L150,$C150,a,b))/100)))</f>
        <v>#VALUE!</v>
      </c>
      <c r="Q150" s="94" t="e">
        <f aca="false">IF(Skew_Switch=0,"",IF(C150="","",((calcskew(Call2-$L150,$C150,a,b))/100)))</f>
        <v>#VALUE!</v>
      </c>
      <c r="R150" s="94" t="e">
        <f aca="false">IF(Skew_Switch=0,"",IF(C150="","",((calcskew(Put2-$L150,$C150,a,b))/100)))</f>
        <v>#VALUE!</v>
      </c>
      <c r="S150" s="3" t="e">
        <f aca="false">IF($C150="","",(Front!$C$19=0)*$N150+(Front!$C$19=1)*($N150+O150))</f>
        <v>#VALUE!</v>
      </c>
      <c r="T150" s="3" t="e">
        <f aca="false">IF($C150="","",(Front!$C$19=0)*$N150+(Front!$C$19=1)*($N150+P150))</f>
        <v>#VALUE!</v>
      </c>
      <c r="U150" s="3" t="e">
        <f aca="false">IF($C150="","",(Front!$C$19=0)*$N150+(Front!$C$19=1)*($N150+Q150))</f>
        <v>#VALUE!</v>
      </c>
      <c r="V150" s="3" t="e">
        <f aca="false">IF($C150="","",(Front!$C$19=0)*$N150+(Front!$C$19=1)*($N150+R150))</f>
        <v>#VALUE!</v>
      </c>
      <c r="W150" s="90" t="e">
        <f aca="false">IF($C150="","",xEURO($L150,Call1,$G150,$G150,S150,$J150,1,0))</f>
        <v>#VALUE!</v>
      </c>
      <c r="X150" s="90" t="e">
        <f aca="false">IF($C150="","",xEURO($L150,Put1,$G150,$G150,T150,$J150,0,0))</f>
        <v>#VALUE!</v>
      </c>
      <c r="Y150" s="90" t="e">
        <f aca="false">IF($C150="","",xEURO($L150,Call2,$G150,$G150,U150,$J150,1,0))</f>
        <v>#VALUE!</v>
      </c>
      <c r="Z150" s="90" t="e">
        <f aca="false">IF($C150="","",xEURO($L150,Put2,$G150,$G150,V150,$J150,0,0))</f>
        <v>#VALUE!</v>
      </c>
      <c r="AA150" s="90" t="e">
        <f aca="false">IF($C150="","",xEURO($L150,Call1,$G150,$G150,$S150,$J150,1,1))</f>
        <v>#VALUE!</v>
      </c>
      <c r="AB150" s="90" t="e">
        <f aca="false">IF($C150="","",xEURO($L150,Put1,$G150,$G150,$T150,$J150,0,1))</f>
        <v>#VALUE!</v>
      </c>
      <c r="AC150" s="90" t="e">
        <f aca="false">IF($C150="","",xEURO($L150,Call2,$G150,$G150,$U150,$J150,1,1))</f>
        <v>#VALUE!</v>
      </c>
      <c r="AD150" s="90" t="e">
        <f aca="false">IF($C150="","",xEURO($L150,Put2,$G150,$G150,$V150,$J150,0,1))</f>
        <v>#VALUE!</v>
      </c>
      <c r="AE150" s="90" t="e">
        <f aca="false">IF($C150="","",xEURO($L150,Call1,$G150,$G150,$S150,$J150,1,3))</f>
        <v>#VALUE!</v>
      </c>
      <c r="AF150" s="90" t="e">
        <f aca="false">IF($C150="","",xEURO($L150,Put1,$G150,$G150,$T150,$J150,0,3))</f>
        <v>#VALUE!</v>
      </c>
      <c r="AG150" s="90" t="e">
        <f aca="false">IF($C150="","",xEURO($L150,Call2,$G150,$G150,$U150,$J150,1,3))</f>
        <v>#VALUE!</v>
      </c>
      <c r="AH150" s="90" t="e">
        <f aca="false">IF($C150="","",xEURO($L150,Put2,$G150,$G150,$V150,$J150,0,3))</f>
        <v>#VALUE!</v>
      </c>
      <c r="AI150" s="8" t="e">
        <f aca="false">IF(E150=1,G150,0)</f>
        <v>#VALUE!</v>
      </c>
      <c r="AJ150" s="8" t="e">
        <f aca="false">IF(E150=1,H150,0)</f>
        <v>#VALUE!</v>
      </c>
      <c r="AK150" s="8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95" t="n">
        <f aca="false">Swap!A151</f>
        <v>41426</v>
      </c>
      <c r="B151" s="96" t="n">
        <f aca="false">B150+1</f>
        <v>142</v>
      </c>
      <c r="C151" s="95" t="e">
        <f aca="false">IF(AND(A151&gt;=Front!$E$11,A151&lt;=Front!$E$12),A151,"")</f>
        <v>#VALUE!</v>
      </c>
      <c r="D151" s="87" t="e">
        <f aca="false">Swap!AB151</f>
        <v>#VALUE!</v>
      </c>
      <c r="E151" s="87" t="e">
        <f aca="false">IF($C151="","",1)</f>
        <v>#VALUE!</v>
      </c>
      <c r="F151" s="97" t="e">
        <f aca="false">IF($C151="","",E151*H151)</f>
        <v>#VALUE!</v>
      </c>
      <c r="G151" s="31" t="n">
        <f aca="false">Swap!AG151</f>
        <v>0.0571731396578543</v>
      </c>
      <c r="H151" s="31" t="n">
        <f aca="false">Swap!AH151</f>
        <v>2.00273078815659</v>
      </c>
      <c r="I151" s="92" t="n">
        <f aca="false">INDEX(expery,MATCH(A151,exprymonth,0),2)</f>
        <v>41422</v>
      </c>
      <c r="J151" s="98" t="n">
        <f aca="false">I151-Front!$C$2</f>
        <v>-4504</v>
      </c>
      <c r="K151" s="99" t="n">
        <f aca="false">Swap!E151</f>
        <v>3.989</v>
      </c>
      <c r="L151" s="99" t="e">
        <f aca="false">IF(C151="","",(PriceSwitch=0)*K151+(PriceSwitch=1)*(Front!$H$21+K151)+(PriceSwitch=2)*Front!$H$21)</f>
        <v>#VALUE!</v>
      </c>
      <c r="M151" s="93" t="n">
        <f aca="false">INDEX(vols,MATCH(A151,volsmonth,0),2)</f>
        <v>0.17</v>
      </c>
      <c r="N151" s="3" t="e">
        <f aca="false">IF(Skew_Switch=0,"",IF($C151="","",(Front!$E$20=0)*M151+(Front!$E$20=1)*(Front!$E$21+M151)+(Front!$E$20=2)*Front!$E$21))</f>
        <v>#VALUE!</v>
      </c>
      <c r="O151" s="94" t="e">
        <f aca="false">IF(Skew_Switch=0,"",IF(C151="","",((calcskew(Call1-$L151,$C151,a,b))/100)))</f>
        <v>#VALUE!</v>
      </c>
      <c r="P151" s="94" t="e">
        <f aca="false">IF(Skew_Switch=0,"",IF(C151="","",((calcskew(Put1-$L151,$C151,a,b))/100)))</f>
        <v>#VALUE!</v>
      </c>
      <c r="Q151" s="94" t="e">
        <f aca="false">IF(Skew_Switch=0,"",IF(C151="","",((calcskew(Call2-$L151,$C151,a,b))/100)))</f>
        <v>#VALUE!</v>
      </c>
      <c r="R151" s="94" t="e">
        <f aca="false">IF(Skew_Switch=0,"",IF(C151="","",((calcskew(Put2-$L151,$C151,a,b))/100)))</f>
        <v>#VALUE!</v>
      </c>
      <c r="S151" s="3" t="e">
        <f aca="false">IF($C151="","",(Front!$C$19=0)*$N151+(Front!$C$19=1)*($N151+O151))</f>
        <v>#VALUE!</v>
      </c>
      <c r="T151" s="3" t="e">
        <f aca="false">IF($C151="","",(Front!$C$19=0)*$N151+(Front!$C$19=1)*($N151+P151))</f>
        <v>#VALUE!</v>
      </c>
      <c r="U151" s="3" t="e">
        <f aca="false">IF($C151="","",(Front!$C$19=0)*$N151+(Front!$C$19=1)*($N151+Q151))</f>
        <v>#VALUE!</v>
      </c>
      <c r="V151" s="3" t="e">
        <f aca="false">IF($C151="","",(Front!$C$19=0)*$N151+(Front!$C$19=1)*($N151+R151))</f>
        <v>#VALUE!</v>
      </c>
      <c r="W151" s="90" t="e">
        <f aca="false">IF($C151="","",xEURO($L151,Call1,$G151,$G151,S151,$J151,1,0))</f>
        <v>#VALUE!</v>
      </c>
      <c r="X151" s="90" t="e">
        <f aca="false">IF($C151="","",xEURO($L151,Put1,$G151,$G151,T151,$J151,0,0))</f>
        <v>#VALUE!</v>
      </c>
      <c r="Y151" s="90" t="e">
        <f aca="false">IF($C151="","",xEURO($L151,Call2,$G151,$G151,U151,$J151,1,0))</f>
        <v>#VALUE!</v>
      </c>
      <c r="Z151" s="90" t="e">
        <f aca="false">IF($C151="","",xEURO($L151,Put2,$G151,$G151,V151,$J151,0,0))</f>
        <v>#VALUE!</v>
      </c>
      <c r="AA151" s="90" t="e">
        <f aca="false">IF($C151="","",xEURO($L151,Call1,$G151,$G151,$S151,$J151,1,1))</f>
        <v>#VALUE!</v>
      </c>
      <c r="AB151" s="90" t="e">
        <f aca="false">IF($C151="","",xEURO($L151,Put1,$G151,$G151,$T151,$J151,0,1))</f>
        <v>#VALUE!</v>
      </c>
      <c r="AC151" s="90" t="e">
        <f aca="false">IF($C151="","",xEURO($L151,Call2,$G151,$G151,$U151,$J151,1,1))</f>
        <v>#VALUE!</v>
      </c>
      <c r="AD151" s="90" t="e">
        <f aca="false">IF($C151="","",xEURO($L151,Put2,$G151,$G151,$V151,$J151,0,1))</f>
        <v>#VALUE!</v>
      </c>
      <c r="AE151" s="90" t="e">
        <f aca="false">IF($C151="","",xEURO($L151,Call1,$G151,$G151,$S151,$J151,1,3))</f>
        <v>#VALUE!</v>
      </c>
      <c r="AF151" s="90" t="e">
        <f aca="false">IF($C151="","",xEURO($L151,Put1,$G151,$G151,$T151,$J151,0,3))</f>
        <v>#VALUE!</v>
      </c>
      <c r="AG151" s="90" t="e">
        <f aca="false">IF($C151="","",xEURO($L151,Call2,$G151,$G151,$U151,$J151,1,3))</f>
        <v>#VALUE!</v>
      </c>
      <c r="AH151" s="90" t="e">
        <f aca="false">IF($C151="","",xEURO($L151,Put2,$G151,$G151,$V151,$J151,0,3))</f>
        <v>#VALUE!</v>
      </c>
      <c r="AI151" s="8" t="e">
        <f aca="false">IF(E151=1,G151,0)</f>
        <v>#VALUE!</v>
      </c>
      <c r="AJ151" s="8" t="e">
        <f aca="false">IF(E151=1,H151,0)</f>
        <v>#VALUE!</v>
      </c>
      <c r="AK151" s="8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95" t="n">
        <f aca="false">Swap!A152</f>
        <v>41456</v>
      </c>
      <c r="B152" s="96" t="n">
        <f aca="false">B151+1</f>
        <v>143</v>
      </c>
      <c r="C152" s="95" t="e">
        <f aca="false">IF(AND(A152&gt;=Front!$E$11,A152&lt;=Front!$E$12),A152,"")</f>
        <v>#VALUE!</v>
      </c>
      <c r="D152" s="87" t="e">
        <f aca="false">Swap!AB152</f>
        <v>#VALUE!</v>
      </c>
      <c r="E152" s="87" t="e">
        <f aca="false">IF($C152="","",1)</f>
        <v>#VALUE!</v>
      </c>
      <c r="F152" s="97" t="e">
        <f aca="false">IF($C152="","",E152*H152)</f>
        <v>#VALUE!</v>
      </c>
      <c r="G152" s="31" t="n">
        <f aca="false">Swap!AG152</f>
        <v>0.0572381771231738</v>
      </c>
      <c r="H152" s="31" t="n">
        <f aca="false">Swap!AH152</f>
        <v>1.99502259016839</v>
      </c>
      <c r="I152" s="92" t="n">
        <f aca="false">INDEX(expery,MATCH(A152,exprymonth,0),2)</f>
        <v>41450</v>
      </c>
      <c r="J152" s="98" t="n">
        <f aca="false">I152-Front!$C$2</f>
        <v>-4476</v>
      </c>
      <c r="K152" s="99" t="n">
        <f aca="false">Swap!E152</f>
        <v>4.039</v>
      </c>
      <c r="L152" s="99" t="e">
        <f aca="false">IF(C152="","",(PriceSwitch=0)*K152+(PriceSwitch=1)*(Front!$H$21+K152)+(PriceSwitch=2)*Front!$H$21)</f>
        <v>#VALUE!</v>
      </c>
      <c r="M152" s="93" t="n">
        <f aca="false">INDEX(vols,MATCH(A152,volsmonth,0),2)</f>
        <v>0.17</v>
      </c>
      <c r="N152" s="3" t="e">
        <f aca="false">IF(Skew_Switch=0,"",IF($C152="","",(Front!$E$20=0)*M152+(Front!$E$20=1)*(Front!$E$21+M152)+(Front!$E$20=2)*Front!$E$21))</f>
        <v>#VALUE!</v>
      </c>
      <c r="O152" s="94" t="e">
        <f aca="false">IF(Skew_Switch=0,"",IF(C152="","",((calcskew(Call1-$L152,$C152,a,b))/100)))</f>
        <v>#VALUE!</v>
      </c>
      <c r="P152" s="94" t="e">
        <f aca="false">IF(Skew_Switch=0,"",IF(C152="","",((calcskew(Put1-$L152,$C152,a,b))/100)))</f>
        <v>#VALUE!</v>
      </c>
      <c r="Q152" s="94" t="e">
        <f aca="false">IF(Skew_Switch=0,"",IF(C152="","",((calcskew(Call2-$L152,$C152,a,b))/100)))</f>
        <v>#VALUE!</v>
      </c>
      <c r="R152" s="94" t="e">
        <f aca="false">IF(Skew_Switch=0,"",IF(C152="","",((calcskew(Put2-$L152,$C152,a,b))/100)))</f>
        <v>#VALUE!</v>
      </c>
      <c r="S152" s="3" t="e">
        <f aca="false">IF($C152="","",(Front!$C$19=0)*$N152+(Front!$C$19=1)*($N152+O152))</f>
        <v>#VALUE!</v>
      </c>
      <c r="T152" s="3" t="e">
        <f aca="false">IF($C152="","",(Front!$C$19=0)*$N152+(Front!$C$19=1)*($N152+P152))</f>
        <v>#VALUE!</v>
      </c>
      <c r="U152" s="3" t="e">
        <f aca="false">IF($C152="","",(Front!$C$19=0)*$N152+(Front!$C$19=1)*($N152+Q152))</f>
        <v>#VALUE!</v>
      </c>
      <c r="V152" s="3" t="e">
        <f aca="false">IF($C152="","",(Front!$C$19=0)*$N152+(Front!$C$19=1)*($N152+R152))</f>
        <v>#VALUE!</v>
      </c>
      <c r="W152" s="90" t="e">
        <f aca="false">IF($C152="","",xEURO($L152,Call1,$G152,$G152,S152,$J152,1,0))</f>
        <v>#VALUE!</v>
      </c>
      <c r="X152" s="90" t="e">
        <f aca="false">IF($C152="","",xEURO($L152,Put1,$G152,$G152,T152,$J152,0,0))</f>
        <v>#VALUE!</v>
      </c>
      <c r="Y152" s="90" t="e">
        <f aca="false">IF($C152="","",xEURO($L152,Call2,$G152,$G152,U152,$J152,1,0))</f>
        <v>#VALUE!</v>
      </c>
      <c r="Z152" s="90" t="e">
        <f aca="false">IF($C152="","",xEURO($L152,Put2,$G152,$G152,V152,$J152,0,0))</f>
        <v>#VALUE!</v>
      </c>
      <c r="AA152" s="90" t="e">
        <f aca="false">IF($C152="","",xEURO($L152,Call1,$G152,$G152,$S152,$J152,1,1))</f>
        <v>#VALUE!</v>
      </c>
      <c r="AB152" s="90" t="e">
        <f aca="false">IF($C152="","",xEURO($L152,Put1,$G152,$G152,$T152,$J152,0,1))</f>
        <v>#VALUE!</v>
      </c>
      <c r="AC152" s="90" t="e">
        <f aca="false">IF($C152="","",xEURO($L152,Call2,$G152,$G152,$U152,$J152,1,1))</f>
        <v>#VALUE!</v>
      </c>
      <c r="AD152" s="90" t="e">
        <f aca="false">IF($C152="","",xEURO($L152,Put2,$G152,$G152,$V152,$J152,0,1))</f>
        <v>#VALUE!</v>
      </c>
      <c r="AE152" s="90" t="e">
        <f aca="false">IF($C152="","",xEURO($L152,Call1,$G152,$G152,$S152,$J152,1,3))</f>
        <v>#VALUE!</v>
      </c>
      <c r="AF152" s="90" t="e">
        <f aca="false">IF($C152="","",xEURO($L152,Put1,$G152,$G152,$T152,$J152,0,3))</f>
        <v>#VALUE!</v>
      </c>
      <c r="AG152" s="90" t="e">
        <f aca="false">IF($C152="","",xEURO($L152,Call2,$G152,$G152,$U152,$J152,1,3))</f>
        <v>#VALUE!</v>
      </c>
      <c r="AH152" s="90" t="e">
        <f aca="false">IF($C152="","",xEURO($L152,Put2,$G152,$G152,$V152,$J152,0,3))</f>
        <v>#VALUE!</v>
      </c>
      <c r="AI152" s="8" t="e">
        <f aca="false">IF(E152=1,G152,0)</f>
        <v>#VALUE!</v>
      </c>
      <c r="AJ152" s="8" t="e">
        <f aca="false">IF(E152=1,H152,0)</f>
        <v>#VALUE!</v>
      </c>
      <c r="AK152" s="8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153" s="95" t="n">
        <f aca="false">Swap!A153</f>
        <v>41487</v>
      </c>
      <c r="B153" s="96" t="n">
        <f aca="false">B152+1</f>
        <v>144</v>
      </c>
      <c r="C153" s="95" t="e">
        <f aca="false">IF(AND(A153&gt;=Front!$E$11,A153&lt;=Front!$E$12),A153,"")</f>
        <v>#VALUE!</v>
      </c>
      <c r="D153" s="87" t="e">
        <f aca="false">Swap!AB153</f>
        <v>#VALUE!</v>
      </c>
      <c r="E153" s="87" t="e">
        <f aca="false">IF($C153="","",1)</f>
        <v>#VALUE!</v>
      </c>
      <c r="F153" s="97" t="e">
        <f aca="false">IF($C153="","",E153*H153)</f>
        <v>#VALUE!</v>
      </c>
      <c r="G153" s="31" t="n">
        <f aca="false">Swap!AG153</f>
        <v>0.0573053825054828</v>
      </c>
      <c r="H153" s="31" t="n">
        <f aca="false">Swap!AH153</f>
        <v>1.98706688517747</v>
      </c>
      <c r="I153" s="92" t="n">
        <f aca="false">INDEX(expery,MATCH(A153,exprymonth,0),2)</f>
        <v>41481</v>
      </c>
      <c r="J153" s="98" t="n">
        <f aca="false">I153-Front!$C$2</f>
        <v>-4445</v>
      </c>
      <c r="K153" s="99" t="n">
        <f aca="false">Swap!E153</f>
        <v>4.073</v>
      </c>
      <c r="L153" s="99" t="e">
        <f aca="false">IF(C153="","",(PriceSwitch=0)*K153+(PriceSwitch=1)*(Front!$H$21+K153)+(PriceSwitch=2)*Front!$H$21)</f>
        <v>#VALUE!</v>
      </c>
      <c r="M153" s="93" t="n">
        <f aca="false">INDEX(vols,MATCH(A153,volsmonth,0),2)</f>
        <v>0.17</v>
      </c>
      <c r="N153" s="3" t="e">
        <f aca="false">IF(Skew_Switch=0,"",IF($C153="","",(Front!$E$20=0)*M153+(Front!$E$20=1)*(Front!$E$21+M153)+(Front!$E$20=2)*Front!$E$21))</f>
        <v>#VALUE!</v>
      </c>
      <c r="O153" s="94" t="e">
        <f aca="false">IF(Skew_Switch=0,"",IF(C153="","",((calcskew(Call1-$L153,$C153,a,b))/100)))</f>
        <v>#VALUE!</v>
      </c>
      <c r="P153" s="94" t="e">
        <f aca="false">IF(Skew_Switch=0,"",IF(C153="","",((calcskew(Put1-$L153,$C153,a,b))/100)))</f>
        <v>#VALUE!</v>
      </c>
      <c r="Q153" s="94" t="e">
        <f aca="false">IF(Skew_Switch=0,"",IF(C153="","",((calcskew(Call2-$L153,$C153,a,b))/100)))</f>
        <v>#VALUE!</v>
      </c>
      <c r="R153" s="94" t="e">
        <f aca="false">IF(Skew_Switch=0,"",IF(C153="","",((calcskew(Put2-$L153,$C153,a,b))/100)))</f>
        <v>#VALUE!</v>
      </c>
      <c r="S153" s="3" t="e">
        <f aca="false">IF($C153="","",(Front!$C$19=0)*$N153+(Front!$C$19=1)*($N153+O153))</f>
        <v>#VALUE!</v>
      </c>
      <c r="T153" s="3" t="e">
        <f aca="false">IF($C153="","",(Front!$C$19=0)*$N153+(Front!$C$19=1)*($N153+P153))</f>
        <v>#VALUE!</v>
      </c>
      <c r="U153" s="3" t="e">
        <f aca="false">IF($C153="","",(Front!$C$19=0)*$N153+(Front!$C$19=1)*($N153+Q153))</f>
        <v>#VALUE!</v>
      </c>
      <c r="V153" s="3" t="e">
        <f aca="false">IF($C153="","",(Front!$C$19=0)*$N153+(Front!$C$19=1)*($N153+R153))</f>
        <v>#VALUE!</v>
      </c>
      <c r="W153" s="90" t="e">
        <f aca="false">IF($C153="","",xEURO($L153,Call1,$G153,$G153,S153,$J153,1,0))</f>
        <v>#VALUE!</v>
      </c>
      <c r="X153" s="90" t="e">
        <f aca="false">IF($C153="","",xEURO($L153,Put1,$G153,$G153,T153,$J153,0,0))</f>
        <v>#VALUE!</v>
      </c>
      <c r="Y153" s="90" t="e">
        <f aca="false">IF($C153="","",xEURO($L153,Call2,$G153,$G153,U153,$J153,1,0))</f>
        <v>#VALUE!</v>
      </c>
      <c r="Z153" s="90" t="e">
        <f aca="false">IF($C153="","",xEURO($L153,Put2,$G153,$G153,V153,$J153,0,0))</f>
        <v>#VALUE!</v>
      </c>
      <c r="AA153" s="90" t="e">
        <f aca="false">IF($C153="","",xEURO($L153,Call1,$G153,$G153,$S153,$J153,1,1))</f>
        <v>#VALUE!</v>
      </c>
      <c r="AB153" s="90" t="e">
        <f aca="false">IF($C153="","",xEURO($L153,Put1,$G153,$G153,$T153,$J153,0,1))</f>
        <v>#VALUE!</v>
      </c>
      <c r="AC153" s="90" t="e">
        <f aca="false">IF($C153="","",xEURO($L153,Call2,$G153,$G153,$U153,$J153,1,1))</f>
        <v>#VALUE!</v>
      </c>
      <c r="AD153" s="90" t="e">
        <f aca="false">IF($C153="","",xEURO($L153,Put2,$G153,$G153,$V153,$J153,0,1))</f>
        <v>#VALUE!</v>
      </c>
      <c r="AE153" s="90" t="e">
        <f aca="false">IF($C153="","",xEURO($L153,Call1,$G153,$G153,$S153,$J153,1,3))</f>
        <v>#VALUE!</v>
      </c>
      <c r="AF153" s="90" t="e">
        <f aca="false">IF($C153="","",xEURO($L153,Put1,$G153,$G153,$T153,$J153,0,3))</f>
        <v>#VALUE!</v>
      </c>
      <c r="AG153" s="90" t="e">
        <f aca="false">IF($C153="","",xEURO($L153,Call2,$G153,$G153,$U153,$J153,1,3))</f>
        <v>#VALUE!</v>
      </c>
      <c r="AH153" s="90" t="e">
        <f aca="false">IF($C153="","",xEURO($L153,Put2,$G153,$G153,$V153,$J153,0,3))</f>
        <v>#VALUE!</v>
      </c>
      <c r="AI153" s="8" t="e">
        <f aca="false">IF(E153=1,G153,0)</f>
        <v>#VALUE!</v>
      </c>
      <c r="AJ153" s="8" t="e">
        <f aca="false">IF(E153=1,H153,0)</f>
        <v>#VALUE!</v>
      </c>
      <c r="AK153" s="8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</row>
    <row r="154" customFormat="false" ht="12.75" hidden="false" customHeight="false" outlineLevel="0" collapsed="false">
      <c r="A154" s="95" t="n">
        <f aca="false">Swap!A154</f>
        <v>41518</v>
      </c>
      <c r="B154" s="96" t="n">
        <f aca="false">B153+1</f>
        <v>145</v>
      </c>
      <c r="C154" s="95" t="e">
        <f aca="false">IF(AND(A154&gt;=Front!$E$11,A154&lt;=Front!$E$12),A154,"")</f>
        <v>#VALUE!</v>
      </c>
      <c r="D154" s="87" t="e">
        <f aca="false">Swap!AB154</f>
        <v>#VALUE!</v>
      </c>
      <c r="E154" s="87" t="e">
        <f aca="false">IF($C154="","",1)</f>
        <v>#VALUE!</v>
      </c>
      <c r="F154" s="97" t="e">
        <f aca="false">IF($C154="","",E154*H154)</f>
        <v>#VALUE!</v>
      </c>
      <c r="G154" s="31" t="n">
        <f aca="false">Swap!AG154</f>
        <v>0.0573725878892941</v>
      </c>
      <c r="H154" s="31" t="n">
        <f aca="false">Swap!AH154</f>
        <v>1.97912090562734</v>
      </c>
      <c r="I154" s="92" t="n">
        <f aca="false">INDEX(expery,MATCH(A154,exprymonth,0),2)</f>
        <v>41513</v>
      </c>
      <c r="J154" s="98" t="n">
        <f aca="false">I154-Front!$C$2</f>
        <v>-4413</v>
      </c>
      <c r="K154" s="99" t="n">
        <f aca="false">Swap!E154</f>
        <v>4.086</v>
      </c>
      <c r="L154" s="99" t="e">
        <f aca="false">IF(C154="","",(PriceSwitch=0)*K154+(PriceSwitch=1)*(Front!$H$21+K154)+(PriceSwitch=2)*Front!$H$21)</f>
        <v>#VALUE!</v>
      </c>
      <c r="M154" s="93" t="n">
        <f aca="false">INDEX(vols,MATCH(A154,volsmonth,0),2)</f>
        <v>0.17</v>
      </c>
      <c r="N154" s="3" t="e">
        <f aca="false">IF(Skew_Switch=0,"",IF($C154="","",(Front!$E$20=0)*M154+(Front!$E$20=1)*(Front!$E$21+M154)+(Front!$E$20=2)*Front!$E$21))</f>
        <v>#VALUE!</v>
      </c>
      <c r="O154" s="94" t="e">
        <f aca="false">IF(Skew_Switch=0,"",IF(C154="","",((calcskew(Call1-$L154,$C154,a,b))/100)))</f>
        <v>#VALUE!</v>
      </c>
      <c r="P154" s="94" t="e">
        <f aca="false">IF(Skew_Switch=0,"",IF(C154="","",((calcskew(Put1-$L154,$C154,a,b))/100)))</f>
        <v>#VALUE!</v>
      </c>
      <c r="Q154" s="94" t="e">
        <f aca="false">IF(Skew_Switch=0,"",IF(C154="","",((calcskew(Call2-$L154,$C154,a,b))/100)))</f>
        <v>#VALUE!</v>
      </c>
      <c r="R154" s="94" t="e">
        <f aca="false">IF(Skew_Switch=0,"",IF(C154="","",((calcskew(Put2-$L154,$C154,a,b))/100)))</f>
        <v>#VALUE!</v>
      </c>
      <c r="S154" s="3" t="e">
        <f aca="false">IF($C154="","",(Front!$C$19=0)*$N154+(Front!$C$19=1)*($N154+O154))</f>
        <v>#VALUE!</v>
      </c>
      <c r="T154" s="3" t="e">
        <f aca="false">IF($C154="","",(Front!$C$19=0)*$N154+(Front!$C$19=1)*($N154+P154))</f>
        <v>#VALUE!</v>
      </c>
      <c r="U154" s="3" t="e">
        <f aca="false">IF($C154="","",(Front!$C$19=0)*$N154+(Front!$C$19=1)*($N154+Q154))</f>
        <v>#VALUE!</v>
      </c>
      <c r="V154" s="3" t="e">
        <f aca="false">IF($C154="","",(Front!$C$19=0)*$N154+(Front!$C$19=1)*($N154+R154))</f>
        <v>#VALUE!</v>
      </c>
      <c r="W154" s="90" t="e">
        <f aca="false">IF($C154="","",xEURO($L154,Call1,$G154,$G154,S154,$J154,1,0))</f>
        <v>#VALUE!</v>
      </c>
      <c r="X154" s="90" t="e">
        <f aca="false">IF($C154="","",xEURO($L154,Put1,$G154,$G154,T154,$J154,0,0))</f>
        <v>#VALUE!</v>
      </c>
      <c r="Y154" s="90" t="e">
        <f aca="false">IF($C154="","",xEURO($L154,Call2,$G154,$G154,U154,$J154,1,0))</f>
        <v>#VALUE!</v>
      </c>
      <c r="Z154" s="90" t="e">
        <f aca="false">IF($C154="","",xEURO($L154,Put2,$G154,$G154,V154,$J154,0,0))</f>
        <v>#VALUE!</v>
      </c>
      <c r="AA154" s="90" t="e">
        <f aca="false">IF($C154="","",xEURO($L154,Call1,$G154,$G154,$S154,$J154,1,1))</f>
        <v>#VALUE!</v>
      </c>
      <c r="AB154" s="90" t="e">
        <f aca="false">IF($C154="","",xEURO($L154,Put1,$G154,$G154,$T154,$J154,0,1))</f>
        <v>#VALUE!</v>
      </c>
      <c r="AC154" s="90" t="e">
        <f aca="false">IF($C154="","",xEURO($L154,Call2,$G154,$G154,$U154,$J154,1,1))</f>
        <v>#VALUE!</v>
      </c>
      <c r="AD154" s="90" t="e">
        <f aca="false">IF($C154="","",xEURO($L154,Put2,$G154,$G154,$V154,$J154,0,1))</f>
        <v>#VALUE!</v>
      </c>
      <c r="AE154" s="90" t="e">
        <f aca="false">IF($C154="","",xEURO($L154,Call1,$G154,$G154,$S154,$J154,1,3))</f>
        <v>#VALUE!</v>
      </c>
      <c r="AF154" s="90" t="e">
        <f aca="false">IF($C154="","",xEURO($L154,Put1,$G154,$G154,$T154,$J154,0,3))</f>
        <v>#VALUE!</v>
      </c>
      <c r="AG154" s="90" t="e">
        <f aca="false">IF($C154="","",xEURO($L154,Call2,$G154,$G154,$U154,$J154,1,3))</f>
        <v>#VALUE!</v>
      </c>
      <c r="AH154" s="90" t="e">
        <f aca="false">IF($C154="","",xEURO($L154,Put2,$G154,$G154,$V154,$J154,0,3))</f>
        <v>#VALUE!</v>
      </c>
      <c r="AI154" s="8" t="e">
        <f aca="false">IF(E154=1,G154,0)</f>
        <v>#VALUE!</v>
      </c>
      <c r="AJ154" s="8" t="e">
        <f aca="false">IF(E154=1,H154,0)</f>
        <v>#VALUE!</v>
      </c>
      <c r="AK154" s="8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</row>
    <row r="155" customFormat="false" ht="12.75" hidden="false" customHeight="false" outlineLevel="0" collapsed="false">
      <c r="A155" s="95" t="n">
        <f aca="false">Swap!A155</f>
        <v>41548</v>
      </c>
      <c r="B155" s="96" t="n">
        <f aca="false">B154+1</f>
        <v>146</v>
      </c>
      <c r="C155" s="95" t="e">
        <f aca="false">IF(AND(A155&gt;=Front!$E$11,A155&lt;=Front!$E$12),A155,"")</f>
        <v>#VALUE!</v>
      </c>
      <c r="D155" s="87" t="e">
        <f aca="false">Swap!AB155</f>
        <v>#VALUE!</v>
      </c>
      <c r="E155" s="87" t="e">
        <f aca="false">IF($C155="","",1)</f>
        <v>#VALUE!</v>
      </c>
      <c r="F155" s="97" t="e">
        <f aca="false">IF($C155="","",E155*H155)</f>
        <v>#VALUE!</v>
      </c>
      <c r="G155" s="31" t="n">
        <f aca="false">Swap!AG155</f>
        <v>0.0574376253589293</v>
      </c>
      <c r="H155" s="31" t="n">
        <f aca="false">Swap!AH155</f>
        <v>1.97144063835818</v>
      </c>
      <c r="I155" s="92" t="n">
        <f aca="false">INDEX(expery,MATCH(A155,exprymonth,0),2)</f>
        <v>41542</v>
      </c>
      <c r="J155" s="98" t="n">
        <f aca="false">I155-Front!$C$2</f>
        <v>-4384</v>
      </c>
      <c r="K155" s="99" t="n">
        <f aca="false">Swap!E155</f>
        <v>4.078</v>
      </c>
      <c r="L155" s="99" t="e">
        <f aca="false">IF(C155="","",(PriceSwitch=0)*K155+(PriceSwitch=1)*(Front!$H$21+K155)+(PriceSwitch=2)*Front!$H$21)</f>
        <v>#VALUE!</v>
      </c>
      <c r="M155" s="93" t="n">
        <f aca="false">INDEX(vols,MATCH(A155,volsmonth,0),2)</f>
        <v>0.17</v>
      </c>
      <c r="N155" s="3" t="e">
        <f aca="false">IF(Skew_Switch=0,"",IF($C155="","",(Front!$E$20=0)*M155+(Front!$E$20=1)*(Front!$E$21+M155)+(Front!$E$20=2)*Front!$E$21))</f>
        <v>#VALUE!</v>
      </c>
      <c r="O155" s="94" t="e">
        <f aca="false">IF(Skew_Switch=0,"",IF(C155="","",((calcskew(Call1-$L155,$C155,a,b))/100)))</f>
        <v>#VALUE!</v>
      </c>
      <c r="P155" s="94" t="e">
        <f aca="false">IF(Skew_Switch=0,"",IF(C155="","",((calcskew(Put1-$L155,$C155,a,b))/100)))</f>
        <v>#VALUE!</v>
      </c>
      <c r="Q155" s="94" t="e">
        <f aca="false">IF(Skew_Switch=0,"",IF(C155="","",((calcskew(Call2-$L155,$C155,a,b))/100)))</f>
        <v>#VALUE!</v>
      </c>
      <c r="R155" s="94" t="e">
        <f aca="false">IF(Skew_Switch=0,"",IF(C155="","",((calcskew(Put2-$L155,$C155,a,b))/100)))</f>
        <v>#VALUE!</v>
      </c>
      <c r="S155" s="3" t="e">
        <f aca="false">IF($C155="","",(Front!$C$19=0)*$N155+(Front!$C$19=1)*($N155+O155))</f>
        <v>#VALUE!</v>
      </c>
      <c r="T155" s="3" t="e">
        <f aca="false">IF($C155="","",(Front!$C$19=0)*$N155+(Front!$C$19=1)*($N155+P155))</f>
        <v>#VALUE!</v>
      </c>
      <c r="U155" s="3" t="e">
        <f aca="false">IF($C155="","",(Front!$C$19=0)*$N155+(Front!$C$19=1)*($N155+Q155))</f>
        <v>#VALUE!</v>
      </c>
      <c r="V155" s="3" t="e">
        <f aca="false">IF($C155="","",(Front!$C$19=0)*$N155+(Front!$C$19=1)*($N155+R155))</f>
        <v>#VALUE!</v>
      </c>
      <c r="W155" s="90" t="e">
        <f aca="false">IF($C155="","",xEURO($L155,Call1,$G155,$G155,S155,$J155,1,0))</f>
        <v>#VALUE!</v>
      </c>
      <c r="X155" s="90" t="e">
        <f aca="false">IF($C155="","",xEURO($L155,Put1,$G155,$G155,T155,$J155,0,0))</f>
        <v>#VALUE!</v>
      </c>
      <c r="Y155" s="90" t="e">
        <f aca="false">IF($C155="","",xEURO($L155,Call2,$G155,$G155,U155,$J155,1,0))</f>
        <v>#VALUE!</v>
      </c>
      <c r="Z155" s="90" t="e">
        <f aca="false">IF($C155="","",xEURO($L155,Put2,$G155,$G155,V155,$J155,0,0))</f>
        <v>#VALUE!</v>
      </c>
      <c r="AA155" s="90" t="e">
        <f aca="false">IF($C155="","",xEURO($L155,Call1,$G155,$G155,$S155,$J155,1,1))</f>
        <v>#VALUE!</v>
      </c>
      <c r="AB155" s="90" t="e">
        <f aca="false">IF($C155="","",xEURO($L155,Put1,$G155,$G155,$T155,$J155,0,1))</f>
        <v>#VALUE!</v>
      </c>
      <c r="AC155" s="90" t="e">
        <f aca="false">IF($C155="","",xEURO($L155,Call2,$G155,$G155,$U155,$J155,1,1))</f>
        <v>#VALUE!</v>
      </c>
      <c r="AD155" s="90" t="e">
        <f aca="false">IF($C155="","",xEURO($L155,Put2,$G155,$G155,$V155,$J155,0,1))</f>
        <v>#VALUE!</v>
      </c>
      <c r="AE155" s="90" t="e">
        <f aca="false">IF($C155="","",xEURO($L155,Call1,$G155,$G155,$S155,$J155,1,3))</f>
        <v>#VALUE!</v>
      </c>
      <c r="AF155" s="90" t="e">
        <f aca="false">IF($C155="","",xEURO($L155,Put1,$G155,$G155,$T155,$J155,0,3))</f>
        <v>#VALUE!</v>
      </c>
      <c r="AG155" s="90" t="e">
        <f aca="false">IF($C155="","",xEURO($L155,Call2,$G155,$G155,$U155,$J155,1,3))</f>
        <v>#VALUE!</v>
      </c>
      <c r="AH155" s="90" t="e">
        <f aca="false">IF($C155="","",xEURO($L155,Put2,$G155,$G155,$V155,$J155,0,3))</f>
        <v>#VALUE!</v>
      </c>
      <c r="AI155" s="8" t="e">
        <f aca="false">IF(E155=1,G155,0)</f>
        <v>#VALUE!</v>
      </c>
      <c r="AJ155" s="8" t="e">
        <f aca="false">IF(E155=1,H155,0)</f>
        <v>#VALUE!</v>
      </c>
      <c r="AK155" s="8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</row>
    <row r="156" customFormat="false" ht="12.75" hidden="false" customHeight="false" outlineLevel="0" collapsed="false">
      <c r="A156" s="95" t="n">
        <f aca="false">Swap!A156</f>
        <v>41579</v>
      </c>
      <c r="B156" s="96" t="n">
        <f aca="false">B155+1</f>
        <v>147</v>
      </c>
      <c r="C156" s="95" t="e">
        <f aca="false">IF(AND(A156&gt;=Front!$E$11,A156&lt;=Front!$E$12),A156,"")</f>
        <v>#VALUE!</v>
      </c>
      <c r="D156" s="87" t="e">
        <f aca="false">Swap!AB156</f>
        <v>#VALUE!</v>
      </c>
      <c r="E156" s="87" t="e">
        <f aca="false">IF($C156="","",1)</f>
        <v>#VALUE!</v>
      </c>
      <c r="F156" s="97" t="e">
        <f aca="false">IF($C156="","",E156*H156)</f>
        <v>#VALUE!</v>
      </c>
      <c r="G156" s="31" t="n">
        <f aca="false">Swap!AG156</f>
        <v>0.0575048307456973</v>
      </c>
      <c r="H156" s="31" t="n">
        <f aca="false">Swap!AH156</f>
        <v>1.96351419948037</v>
      </c>
      <c r="I156" s="92" t="n">
        <f aca="false">INDEX(expery,MATCH(A156,exprymonth,0),2)</f>
        <v>41575</v>
      </c>
      <c r="J156" s="98" t="n">
        <f aca="false">I156-Front!$C$2</f>
        <v>-4351</v>
      </c>
      <c r="K156" s="99" t="n">
        <f aca="false">Swap!E156</f>
        <v>4.248</v>
      </c>
      <c r="L156" s="99" t="e">
        <f aca="false">IF(C156="","",(PriceSwitch=0)*K156+(PriceSwitch=1)*(Front!$H$21+K156)+(PriceSwitch=2)*Front!$H$21)</f>
        <v>#VALUE!</v>
      </c>
      <c r="M156" s="93" t="n">
        <f aca="false">INDEX(vols,MATCH(A156,volsmonth,0),2)</f>
        <v>0.17</v>
      </c>
      <c r="N156" s="3" t="e">
        <f aca="false">IF(Skew_Switch=0,"",IF($C156="","",(Front!$E$20=0)*M156+(Front!$E$20=1)*(Front!$E$21+M156)+(Front!$E$20=2)*Front!$E$21))</f>
        <v>#VALUE!</v>
      </c>
      <c r="O156" s="94" t="e">
        <f aca="false">IF(Skew_Switch=0,"",IF(C156="","",((calcskew(Call1-$L156,$C156,a,b))/100)))</f>
        <v>#VALUE!</v>
      </c>
      <c r="P156" s="94" t="e">
        <f aca="false">IF(Skew_Switch=0,"",IF(C156="","",((calcskew(Put1-$L156,$C156,a,b))/100)))</f>
        <v>#VALUE!</v>
      </c>
      <c r="Q156" s="94" t="e">
        <f aca="false">IF(Skew_Switch=0,"",IF(C156="","",((calcskew(Call2-$L156,$C156,a,b))/100)))</f>
        <v>#VALUE!</v>
      </c>
      <c r="R156" s="94" t="e">
        <f aca="false">IF(Skew_Switch=0,"",IF(C156="","",((calcskew(Put2-$L156,$C156,a,b))/100)))</f>
        <v>#VALUE!</v>
      </c>
      <c r="S156" s="3" t="e">
        <f aca="false">IF($C156="","",(Front!$C$19=0)*$N156+(Front!$C$19=1)*($N156+O156))</f>
        <v>#VALUE!</v>
      </c>
      <c r="T156" s="3" t="e">
        <f aca="false">IF($C156="","",(Front!$C$19=0)*$N156+(Front!$C$19=1)*($N156+P156))</f>
        <v>#VALUE!</v>
      </c>
      <c r="U156" s="3" t="e">
        <f aca="false">IF($C156="","",(Front!$C$19=0)*$N156+(Front!$C$19=1)*($N156+Q156))</f>
        <v>#VALUE!</v>
      </c>
      <c r="V156" s="3" t="e">
        <f aca="false">IF($C156="","",(Front!$C$19=0)*$N156+(Front!$C$19=1)*($N156+R156))</f>
        <v>#VALUE!</v>
      </c>
      <c r="W156" s="90" t="e">
        <f aca="false">IF($C156="","",xEURO($L156,Call1,$G156,$G156,S156,$J156,1,0))</f>
        <v>#VALUE!</v>
      </c>
      <c r="X156" s="90" t="e">
        <f aca="false">IF($C156="","",xEURO($L156,Put1,$G156,$G156,T156,$J156,0,0))</f>
        <v>#VALUE!</v>
      </c>
      <c r="Y156" s="90" t="e">
        <f aca="false">IF($C156="","",xEURO($L156,Call2,$G156,$G156,U156,$J156,1,0))</f>
        <v>#VALUE!</v>
      </c>
      <c r="Z156" s="90" t="e">
        <f aca="false">IF($C156="","",xEURO($L156,Put2,$G156,$G156,V156,$J156,0,0))</f>
        <v>#VALUE!</v>
      </c>
      <c r="AA156" s="90" t="e">
        <f aca="false">IF($C156="","",xEURO($L156,Call1,$G156,$G156,$S156,$J156,1,1))</f>
        <v>#VALUE!</v>
      </c>
      <c r="AB156" s="90" t="e">
        <f aca="false">IF($C156="","",xEURO($L156,Put1,$G156,$G156,$T156,$J156,0,1))</f>
        <v>#VALUE!</v>
      </c>
      <c r="AC156" s="90" t="e">
        <f aca="false">IF($C156="","",xEURO($L156,Call2,$G156,$G156,$U156,$J156,1,1))</f>
        <v>#VALUE!</v>
      </c>
      <c r="AD156" s="90" t="e">
        <f aca="false">IF($C156="","",xEURO($L156,Put2,$G156,$G156,$V156,$J156,0,1))</f>
        <v>#VALUE!</v>
      </c>
      <c r="AE156" s="90" t="e">
        <f aca="false">IF($C156="","",xEURO($L156,Call1,$G156,$G156,$S156,$J156,1,3))</f>
        <v>#VALUE!</v>
      </c>
      <c r="AF156" s="90" t="e">
        <f aca="false">IF($C156="","",xEURO($L156,Put1,$G156,$G156,$T156,$J156,0,3))</f>
        <v>#VALUE!</v>
      </c>
      <c r="AG156" s="90" t="e">
        <f aca="false">IF($C156="","",xEURO($L156,Call2,$G156,$G156,$U156,$J156,1,3))</f>
        <v>#VALUE!</v>
      </c>
      <c r="AH156" s="90" t="e">
        <f aca="false">IF($C156="","",xEURO($L156,Put2,$G156,$G156,$V156,$J156,0,3))</f>
        <v>#VALUE!</v>
      </c>
      <c r="AI156" s="8" t="e">
        <f aca="false">IF(E156=1,G156,0)</f>
        <v>#VALUE!</v>
      </c>
      <c r="AJ156" s="8" t="e">
        <f aca="false">IF(E156=1,H156,0)</f>
        <v>#VALUE!</v>
      </c>
      <c r="AK156" s="8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</row>
    <row r="157" customFormat="false" ht="12.75" hidden="false" customHeight="false" outlineLevel="0" collapsed="false">
      <c r="A157" s="95" t="n">
        <f aca="false">Swap!A157</f>
        <v>41609</v>
      </c>
      <c r="B157" s="96" t="n">
        <f aca="false">B156+1</f>
        <v>148</v>
      </c>
      <c r="C157" s="95" t="e">
        <f aca="false">IF(AND(A157&gt;=Front!$E$11,A157&lt;=Front!$E$12),A157,"")</f>
        <v>#VALUE!</v>
      </c>
      <c r="D157" s="87" t="e">
        <f aca="false">Swap!AB157</f>
        <v>#VALUE!</v>
      </c>
      <c r="E157" s="87" t="e">
        <f aca="false">IF($C157="","",1)</f>
        <v>#VALUE!</v>
      </c>
      <c r="F157" s="97" t="e">
        <f aca="false">IF($C157="","",E157*H157)</f>
        <v>#VALUE!</v>
      </c>
      <c r="G157" s="31" t="n">
        <f aca="false">Swap!AG157</f>
        <v>0.0575698682181938</v>
      </c>
      <c r="H157" s="31" t="n">
        <f aca="false">Swap!AH157</f>
        <v>1.95585309952319</v>
      </c>
      <c r="I157" s="92" t="n">
        <f aca="false">INDEX(expery,MATCH(A157,exprymonth,0),2)</f>
        <v>41603</v>
      </c>
      <c r="J157" s="98" t="n">
        <f aca="false">I157-Front!$C$2</f>
        <v>-4323</v>
      </c>
      <c r="K157" s="99" t="n">
        <f aca="false">Swap!E157</f>
        <v>4.423</v>
      </c>
      <c r="L157" s="99" t="e">
        <f aca="false">IF(C157="","",(PriceSwitch=0)*K157+(PriceSwitch=1)*(Front!$H$21+K157)+(PriceSwitch=2)*Front!$H$21)</f>
        <v>#VALUE!</v>
      </c>
      <c r="M157" s="93" t="n">
        <f aca="false">INDEX(vols,MATCH(A157,volsmonth,0),2)</f>
        <v>0.17</v>
      </c>
      <c r="N157" s="3" t="e">
        <f aca="false">IF(Skew_Switch=0,"",IF($C157="","",(Front!$E$20=0)*M157+(Front!$E$20=1)*(Front!$E$21+M157)+(Front!$E$20=2)*Front!$E$21))</f>
        <v>#VALUE!</v>
      </c>
      <c r="O157" s="94" t="e">
        <f aca="false">IF(Skew_Switch=0,"",IF(C157="","",((calcskew(Call1-$L157,$C157,a,b))/100)))</f>
        <v>#VALUE!</v>
      </c>
      <c r="P157" s="94" t="e">
        <f aca="false">IF(Skew_Switch=0,"",IF(C157="","",((calcskew(Put1-$L157,$C157,a,b))/100)))</f>
        <v>#VALUE!</v>
      </c>
      <c r="Q157" s="94" t="e">
        <f aca="false">IF(Skew_Switch=0,"",IF(C157="","",((calcskew(Call2-$L157,$C157,a,b))/100)))</f>
        <v>#VALUE!</v>
      </c>
      <c r="R157" s="94" t="e">
        <f aca="false">IF(Skew_Switch=0,"",IF(C157="","",((calcskew(Put2-$L157,$C157,a,b))/100)))</f>
        <v>#VALUE!</v>
      </c>
      <c r="S157" s="3" t="e">
        <f aca="false">IF($C157="","",(Front!$C$19=0)*$N157+(Front!$C$19=1)*($N157+O157))</f>
        <v>#VALUE!</v>
      </c>
      <c r="T157" s="3" t="e">
        <f aca="false">IF($C157="","",(Front!$C$19=0)*$N157+(Front!$C$19=1)*($N157+P157))</f>
        <v>#VALUE!</v>
      </c>
      <c r="U157" s="3" t="e">
        <f aca="false">IF($C157="","",(Front!$C$19=0)*$N157+(Front!$C$19=1)*($N157+Q157))</f>
        <v>#VALUE!</v>
      </c>
      <c r="V157" s="3" t="e">
        <f aca="false">IF($C157="","",(Front!$C$19=0)*$N157+(Front!$C$19=1)*($N157+R157))</f>
        <v>#VALUE!</v>
      </c>
      <c r="W157" s="90" t="e">
        <f aca="false">IF($C157="","",xEURO($L157,Call1,$G157,$G157,S157,$J157,1,0))</f>
        <v>#VALUE!</v>
      </c>
      <c r="X157" s="90" t="e">
        <f aca="false">IF($C157="","",xEURO($L157,Put1,$G157,$G157,T157,$J157,0,0))</f>
        <v>#VALUE!</v>
      </c>
      <c r="Y157" s="90" t="e">
        <f aca="false">IF($C157="","",xEURO($L157,Call2,$G157,$G157,U157,$J157,1,0))</f>
        <v>#VALUE!</v>
      </c>
      <c r="Z157" s="90" t="e">
        <f aca="false">IF($C157="","",xEURO($L157,Put2,$G157,$G157,V157,$J157,0,0))</f>
        <v>#VALUE!</v>
      </c>
      <c r="AA157" s="90" t="e">
        <f aca="false">IF($C157="","",xEURO($L157,Call1,$G157,$G157,$S157,$J157,1,1))</f>
        <v>#VALUE!</v>
      </c>
      <c r="AB157" s="90" t="e">
        <f aca="false">IF($C157="","",xEURO($L157,Put1,$G157,$G157,$T157,$J157,0,1))</f>
        <v>#VALUE!</v>
      </c>
      <c r="AC157" s="90" t="e">
        <f aca="false">IF($C157="","",xEURO($L157,Call2,$G157,$G157,$U157,$J157,1,1))</f>
        <v>#VALUE!</v>
      </c>
      <c r="AD157" s="90" t="e">
        <f aca="false">IF($C157="","",xEURO($L157,Put2,$G157,$G157,$V157,$J157,0,1))</f>
        <v>#VALUE!</v>
      </c>
      <c r="AE157" s="90" t="e">
        <f aca="false">IF($C157="","",xEURO($L157,Call1,$G157,$G157,$S157,$J157,1,3))</f>
        <v>#VALUE!</v>
      </c>
      <c r="AF157" s="90" t="e">
        <f aca="false">IF($C157="","",xEURO($L157,Put1,$G157,$G157,$T157,$J157,0,3))</f>
        <v>#VALUE!</v>
      </c>
      <c r="AG157" s="90" t="e">
        <f aca="false">IF($C157="","",xEURO($L157,Call2,$G157,$G157,$U157,$J157,1,3))</f>
        <v>#VALUE!</v>
      </c>
      <c r="AH157" s="90" t="e">
        <f aca="false">IF($C157="","",xEURO($L157,Put2,$G157,$G157,$V157,$J157,0,3))</f>
        <v>#VALUE!</v>
      </c>
      <c r="AI157" s="8" t="e">
        <f aca="false">IF(E157=1,G157,0)</f>
        <v>#VALUE!</v>
      </c>
      <c r="AJ157" s="8" t="e">
        <f aca="false">IF(E157=1,H157,0)</f>
        <v>#VALUE!</v>
      </c>
      <c r="AK157" s="8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</row>
    <row r="158" customFormat="false" ht="12.75" hidden="false" customHeight="false" outlineLevel="0" collapsed="false">
      <c r="A158" s="95" t="n">
        <f aca="false">Swap!A158</f>
        <v>41640</v>
      </c>
      <c r="B158" s="96" t="n">
        <f aca="false">B157+1</f>
        <v>149</v>
      </c>
      <c r="C158" s="95" t="e">
        <f aca="false">IF(AND(A158&gt;=Front!$E$11,A158&lt;=Front!$E$12),A158,"")</f>
        <v>#VALUE!</v>
      </c>
      <c r="D158" s="87" t="e">
        <f aca="false">Swap!AB158</f>
        <v>#VALUE!</v>
      </c>
      <c r="E158" s="87" t="e">
        <f aca="false">IF($C158="","",1)</f>
        <v>#VALUE!</v>
      </c>
      <c r="F158" s="97" t="e">
        <f aca="false">IF($C158="","",E158*H158)</f>
        <v>#VALUE!</v>
      </c>
      <c r="G158" s="31" t="n">
        <f aca="false">Swap!AG158</f>
        <v>0.0576370736079186</v>
      </c>
      <c r="H158" s="31" t="n">
        <f aca="false">Swap!AH158</f>
        <v>1.94794673069516</v>
      </c>
      <c r="I158" s="92" t="n">
        <f aca="false">INDEX(expery,MATCH(A158,exprymonth,0),2)</f>
        <v>41634</v>
      </c>
      <c r="J158" s="98" t="n">
        <f aca="false">I158-Front!$C$2</f>
        <v>-4292</v>
      </c>
      <c r="K158" s="99" t="n">
        <f aca="false">Swap!E158</f>
        <v>4.4805</v>
      </c>
      <c r="L158" s="99" t="e">
        <f aca="false">IF(C158="","",(PriceSwitch=0)*K158+(PriceSwitch=1)*(Front!$H$21+K158)+(PriceSwitch=2)*Front!$H$21)</f>
        <v>#VALUE!</v>
      </c>
      <c r="M158" s="93" t="n">
        <f aca="false">INDEX(vols,MATCH(A158,volsmonth,0),2)</f>
        <v>0.17</v>
      </c>
      <c r="N158" s="3" t="e">
        <f aca="false">IF(Skew_Switch=0,"",IF($C158="","",(Front!$E$20=0)*M158+(Front!$E$20=1)*(Front!$E$21+M158)+(Front!$E$20=2)*Front!$E$21))</f>
        <v>#VALUE!</v>
      </c>
      <c r="O158" s="94" t="e">
        <f aca="false">IF(Skew_Switch=0,"",IF(C158="","",((calcskew(Call1-$L158,$C158,a,b))/100)))</f>
        <v>#VALUE!</v>
      </c>
      <c r="P158" s="94" t="e">
        <f aca="false">IF(Skew_Switch=0,"",IF(C158="","",((calcskew(Put1-$L158,$C158,a,b))/100)))</f>
        <v>#VALUE!</v>
      </c>
      <c r="Q158" s="94" t="e">
        <f aca="false">IF(Skew_Switch=0,"",IF(C158="","",((calcskew(Call2-$L158,$C158,a,b))/100)))</f>
        <v>#VALUE!</v>
      </c>
      <c r="R158" s="94" t="e">
        <f aca="false">IF(Skew_Switch=0,"",IF(C158="","",((calcskew(Put2-$L158,$C158,a,b))/100)))</f>
        <v>#VALUE!</v>
      </c>
      <c r="S158" s="3" t="e">
        <f aca="false">IF($C158="","",(Front!$C$19=0)*$N158+(Front!$C$19=1)*($N158+O158))</f>
        <v>#VALUE!</v>
      </c>
      <c r="T158" s="3" t="e">
        <f aca="false">IF($C158="","",(Front!$C$19=0)*$N158+(Front!$C$19=1)*($N158+P158))</f>
        <v>#VALUE!</v>
      </c>
      <c r="U158" s="3" t="e">
        <f aca="false">IF($C158="","",(Front!$C$19=0)*$N158+(Front!$C$19=1)*($N158+Q158))</f>
        <v>#VALUE!</v>
      </c>
      <c r="V158" s="3" t="e">
        <f aca="false">IF($C158="","",(Front!$C$19=0)*$N158+(Front!$C$19=1)*($N158+R158))</f>
        <v>#VALUE!</v>
      </c>
      <c r="W158" s="90" t="e">
        <f aca="false">IF($C158="","",xEURO($L158,Call1,$G158,$G158,S158,$J158,1,0))</f>
        <v>#VALUE!</v>
      </c>
      <c r="X158" s="90" t="e">
        <f aca="false">IF($C158="","",xEURO($L158,Put1,$G158,$G158,T158,$J158,0,0))</f>
        <v>#VALUE!</v>
      </c>
      <c r="Y158" s="90" t="e">
        <f aca="false">IF($C158="","",xEURO($L158,Call2,$G158,$G158,U158,$J158,1,0))</f>
        <v>#VALUE!</v>
      </c>
      <c r="Z158" s="90" t="e">
        <f aca="false">IF($C158="","",xEURO($L158,Put2,$G158,$G158,V158,$J158,0,0))</f>
        <v>#VALUE!</v>
      </c>
      <c r="AA158" s="90" t="e">
        <f aca="false">IF($C158="","",xEURO($L158,Call1,$G158,$G158,$S158,$J158,1,1))</f>
        <v>#VALUE!</v>
      </c>
      <c r="AB158" s="90" t="e">
        <f aca="false">IF($C158="","",xEURO($L158,Put1,$G158,$G158,$T158,$J158,0,1))</f>
        <v>#VALUE!</v>
      </c>
      <c r="AC158" s="90" t="e">
        <f aca="false">IF($C158="","",xEURO($L158,Call2,$G158,$G158,$U158,$J158,1,1))</f>
        <v>#VALUE!</v>
      </c>
      <c r="AD158" s="90" t="e">
        <f aca="false">IF($C158="","",xEURO($L158,Put2,$G158,$G158,$V158,$J158,0,1))</f>
        <v>#VALUE!</v>
      </c>
      <c r="AE158" s="90" t="e">
        <f aca="false">IF($C158="","",xEURO($L158,Call1,$G158,$G158,$S158,$J158,1,3))</f>
        <v>#VALUE!</v>
      </c>
      <c r="AF158" s="90" t="e">
        <f aca="false">IF($C158="","",xEURO($L158,Put1,$G158,$G158,$T158,$J158,0,3))</f>
        <v>#VALUE!</v>
      </c>
      <c r="AG158" s="90" t="e">
        <f aca="false">IF($C158="","",xEURO($L158,Call2,$G158,$G158,$U158,$J158,1,3))</f>
        <v>#VALUE!</v>
      </c>
      <c r="AH158" s="90" t="e">
        <f aca="false">IF($C158="","",xEURO($L158,Put2,$G158,$G158,$V158,$J158,0,3))</f>
        <v>#VALUE!</v>
      </c>
      <c r="AI158" s="8" t="e">
        <f aca="false">IF(E158=1,G158,0)</f>
        <v>#VALUE!</v>
      </c>
      <c r="AJ158" s="8" t="e">
        <f aca="false">IF(E158=1,H158,0)</f>
        <v>#VALUE!</v>
      </c>
      <c r="AK158" s="8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</row>
    <row r="159" customFormat="false" ht="12.75" hidden="false" customHeight="false" outlineLevel="0" collapsed="false">
      <c r="A159" s="95" t="n">
        <f aca="false">Swap!A159</f>
        <v>41671</v>
      </c>
      <c r="B159" s="96" t="n">
        <f aca="false">B158+1</f>
        <v>150</v>
      </c>
      <c r="C159" s="95" t="e">
        <f aca="false">IF(AND(A159&gt;=Front!$E$11,A159&lt;=Front!$E$12),A159,"")</f>
        <v>#VALUE!</v>
      </c>
      <c r="D159" s="87" t="e">
        <f aca="false">Swap!AB159</f>
        <v>#VALUE!</v>
      </c>
      <c r="E159" s="87" t="e">
        <f aca="false">IF($C159="","",1)</f>
        <v>#VALUE!</v>
      </c>
      <c r="F159" s="97" t="e">
        <f aca="false">IF($C159="","",E159*H159)</f>
        <v>#VALUE!</v>
      </c>
      <c r="G159" s="31" t="n">
        <f aca="false">Swap!AG159</f>
        <v>0.0577042789991453</v>
      </c>
      <c r="H159" s="31" t="n">
        <f aca="false">Swap!AH159</f>
        <v>1.940050762074</v>
      </c>
      <c r="I159" s="92" t="n">
        <f aca="false">INDEX(expery,MATCH(A159,exprymonth,0),2)</f>
        <v>41667</v>
      </c>
      <c r="J159" s="98" t="n">
        <f aca="false">I159-Front!$C$2</f>
        <v>-4259</v>
      </c>
      <c r="K159" s="99" t="n">
        <f aca="false">Swap!E159</f>
        <v>4.3665</v>
      </c>
      <c r="L159" s="99" t="e">
        <f aca="false">IF(C159="","",(PriceSwitch=0)*K159+(PriceSwitch=1)*(Front!$H$21+K159)+(PriceSwitch=2)*Front!$H$21)</f>
        <v>#VALUE!</v>
      </c>
      <c r="M159" s="93" t="n">
        <f aca="false">INDEX(vols,MATCH(A159,volsmonth,0),2)</f>
        <v>0.17</v>
      </c>
      <c r="N159" s="3" t="e">
        <f aca="false">IF(Skew_Switch=0,"",IF($C159="","",(Front!$E$20=0)*M159+(Front!$E$20=1)*(Front!$E$21+M159)+(Front!$E$20=2)*Front!$E$21))</f>
        <v>#VALUE!</v>
      </c>
      <c r="O159" s="94" t="e">
        <f aca="false">IF(Skew_Switch=0,"",IF(C159="","",((calcskew(Call1-$L159,$C159,a,b))/100)))</f>
        <v>#VALUE!</v>
      </c>
      <c r="P159" s="94" t="e">
        <f aca="false">IF(Skew_Switch=0,"",IF(C159="","",((calcskew(Put1-$L159,$C159,a,b))/100)))</f>
        <v>#VALUE!</v>
      </c>
      <c r="Q159" s="94" t="e">
        <f aca="false">IF(Skew_Switch=0,"",IF(C159="","",((calcskew(Call2-$L159,$C159,a,b))/100)))</f>
        <v>#VALUE!</v>
      </c>
      <c r="R159" s="94" t="e">
        <f aca="false">IF(Skew_Switch=0,"",IF(C159="","",((calcskew(Put2-$L159,$C159,a,b))/100)))</f>
        <v>#VALUE!</v>
      </c>
      <c r="S159" s="3" t="e">
        <f aca="false">IF($C159="","",(Front!$C$19=0)*$N159+(Front!$C$19=1)*($N159+O159))</f>
        <v>#VALUE!</v>
      </c>
      <c r="T159" s="3" t="e">
        <f aca="false">IF($C159="","",(Front!$C$19=0)*$N159+(Front!$C$19=1)*($N159+P159))</f>
        <v>#VALUE!</v>
      </c>
      <c r="U159" s="3" t="e">
        <f aca="false">IF($C159="","",(Front!$C$19=0)*$N159+(Front!$C$19=1)*($N159+Q159))</f>
        <v>#VALUE!</v>
      </c>
      <c r="V159" s="3" t="e">
        <f aca="false">IF($C159="","",(Front!$C$19=0)*$N159+(Front!$C$19=1)*($N159+R159))</f>
        <v>#VALUE!</v>
      </c>
      <c r="W159" s="90" t="e">
        <f aca="false">IF($C159="","",xEURO($L159,Call1,$G159,$G159,S159,$J159,1,0))</f>
        <v>#VALUE!</v>
      </c>
      <c r="X159" s="90" t="e">
        <f aca="false">IF($C159="","",xEURO($L159,Put1,$G159,$G159,T159,$J159,0,0))</f>
        <v>#VALUE!</v>
      </c>
      <c r="Y159" s="90" t="e">
        <f aca="false">IF($C159="","",xEURO($L159,Call2,$G159,$G159,U159,$J159,1,0))</f>
        <v>#VALUE!</v>
      </c>
      <c r="Z159" s="90" t="e">
        <f aca="false">IF($C159="","",xEURO($L159,Put2,$G159,$G159,V159,$J159,0,0))</f>
        <v>#VALUE!</v>
      </c>
      <c r="AA159" s="90" t="e">
        <f aca="false">IF($C159="","",xEURO($L159,Call1,$G159,$G159,$S159,$J159,1,1))</f>
        <v>#VALUE!</v>
      </c>
      <c r="AB159" s="90" t="e">
        <f aca="false">IF($C159="","",xEURO($L159,Put1,$G159,$G159,$T159,$J159,0,1))</f>
        <v>#VALUE!</v>
      </c>
      <c r="AC159" s="90" t="e">
        <f aca="false">IF($C159="","",xEURO($L159,Call2,$G159,$G159,$U159,$J159,1,1))</f>
        <v>#VALUE!</v>
      </c>
      <c r="AD159" s="90" t="e">
        <f aca="false">IF($C159="","",xEURO($L159,Put2,$G159,$G159,$V159,$J159,0,1))</f>
        <v>#VALUE!</v>
      </c>
      <c r="AE159" s="90" t="e">
        <f aca="false">IF($C159="","",xEURO($L159,Call1,$G159,$G159,$S159,$J159,1,3))</f>
        <v>#VALUE!</v>
      </c>
      <c r="AF159" s="90" t="e">
        <f aca="false">IF($C159="","",xEURO($L159,Put1,$G159,$G159,$T159,$J159,0,3))</f>
        <v>#VALUE!</v>
      </c>
      <c r="AG159" s="90" t="e">
        <f aca="false">IF($C159="","",xEURO($L159,Call2,$G159,$G159,$U159,$J159,1,3))</f>
        <v>#VALUE!</v>
      </c>
      <c r="AH159" s="90" t="e">
        <f aca="false">IF($C159="","",xEURO($L159,Put2,$G159,$G159,$V159,$J159,0,3))</f>
        <v>#VALUE!</v>
      </c>
      <c r="AI159" s="8" t="e">
        <f aca="false">IF(E159=1,G159,0)</f>
        <v>#VALUE!</v>
      </c>
      <c r="AJ159" s="8" t="e">
        <f aca="false">IF(E159=1,H159,0)</f>
        <v>#VALUE!</v>
      </c>
      <c r="AK159" s="8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</row>
    <row r="160" customFormat="false" ht="12.75" hidden="false" customHeight="false" outlineLevel="0" collapsed="false">
      <c r="A160" s="95" t="n">
        <f aca="false">Swap!A160</f>
        <v>41699</v>
      </c>
      <c r="B160" s="96" t="n">
        <f aca="false">B159+1</f>
        <v>151</v>
      </c>
      <c r="C160" s="95" t="e">
        <f aca="false">IF(AND(A160&gt;=Front!$E$11,A160&lt;=Front!$E$12),A160,"")</f>
        <v>#VALUE!</v>
      </c>
      <c r="D160" s="87" t="e">
        <f aca="false">Swap!AB160</f>
        <v>#VALUE!</v>
      </c>
      <c r="E160" s="87" t="e">
        <f aca="false">IF($C160="","",1)</f>
        <v>#VALUE!</v>
      </c>
      <c r="F160" s="97" t="e">
        <f aca="false">IF($C160="","",E160*H160)</f>
        <v>#VALUE!</v>
      </c>
      <c r="G160" s="31" t="n">
        <f aca="false">Swap!AG160</f>
        <v>0.0577649806441256</v>
      </c>
      <c r="H160" s="31" t="n">
        <f aca="false">Swap!AH160</f>
        <v>1.93292797016003</v>
      </c>
      <c r="I160" s="92" t="n">
        <f aca="false">INDEX(expery,MATCH(A160,exprymonth,0),2)</f>
        <v>41695</v>
      </c>
      <c r="J160" s="98" t="n">
        <f aca="false">I160-Front!$C$2</f>
        <v>-4231</v>
      </c>
      <c r="K160" s="99" t="n">
        <f aca="false">Swap!E160</f>
        <v>4.2345</v>
      </c>
      <c r="L160" s="99" t="e">
        <f aca="false">IF(C160="","",(PriceSwitch=0)*K160+(PriceSwitch=1)*(Front!$H$21+K160)+(PriceSwitch=2)*Front!$H$21)</f>
        <v>#VALUE!</v>
      </c>
      <c r="M160" s="93" t="n">
        <f aca="false">INDEX(vols,MATCH(A160,volsmonth,0),2)</f>
        <v>0.17</v>
      </c>
      <c r="N160" s="3" t="e">
        <f aca="false">IF(Skew_Switch=0,"",IF($C160="","",(Front!$E$20=0)*M160+(Front!$E$20=1)*(Front!$E$21+M160)+(Front!$E$20=2)*Front!$E$21))</f>
        <v>#VALUE!</v>
      </c>
      <c r="O160" s="94" t="e">
        <f aca="false">IF(Skew_Switch=0,"",IF(C160="","",((calcskew(Call1-$L160,$C160,a,b))/100)))</f>
        <v>#VALUE!</v>
      </c>
      <c r="P160" s="94" t="e">
        <f aca="false">IF(Skew_Switch=0,"",IF(C160="","",((calcskew(Put1-$L160,$C160,a,b))/100)))</f>
        <v>#VALUE!</v>
      </c>
      <c r="Q160" s="94" t="e">
        <f aca="false">IF(Skew_Switch=0,"",IF(C160="","",((calcskew(Call2-$L160,$C160,a,b))/100)))</f>
        <v>#VALUE!</v>
      </c>
      <c r="R160" s="94" t="e">
        <f aca="false">IF(Skew_Switch=0,"",IF(C160="","",((calcskew(Put2-$L160,$C160,a,b))/100)))</f>
        <v>#VALUE!</v>
      </c>
      <c r="S160" s="3" t="e">
        <f aca="false">IF($C160="","",(Front!$C$19=0)*$N160+(Front!$C$19=1)*($N160+O160))</f>
        <v>#VALUE!</v>
      </c>
      <c r="T160" s="3" t="e">
        <f aca="false">IF($C160="","",(Front!$C$19=0)*$N160+(Front!$C$19=1)*($N160+P160))</f>
        <v>#VALUE!</v>
      </c>
      <c r="U160" s="3" t="e">
        <f aca="false">IF($C160="","",(Front!$C$19=0)*$N160+(Front!$C$19=1)*($N160+Q160))</f>
        <v>#VALUE!</v>
      </c>
      <c r="V160" s="3" t="e">
        <f aca="false">IF($C160="","",(Front!$C$19=0)*$N160+(Front!$C$19=1)*($N160+R160))</f>
        <v>#VALUE!</v>
      </c>
      <c r="W160" s="90" t="e">
        <f aca="false">IF($C160="","",xEURO($L160,Call1,$G160,$G160,S160,$J160,1,0))</f>
        <v>#VALUE!</v>
      </c>
      <c r="X160" s="90" t="e">
        <f aca="false">IF($C160="","",xEURO($L160,Put1,$G160,$G160,T160,$J160,0,0))</f>
        <v>#VALUE!</v>
      </c>
      <c r="Y160" s="90" t="e">
        <f aca="false">IF($C160="","",xEURO($L160,Call2,$G160,$G160,U160,$J160,1,0))</f>
        <v>#VALUE!</v>
      </c>
      <c r="Z160" s="90" t="e">
        <f aca="false">IF($C160="","",xEURO($L160,Put2,$G160,$G160,V160,$J160,0,0))</f>
        <v>#VALUE!</v>
      </c>
      <c r="AA160" s="90" t="e">
        <f aca="false">IF($C160="","",xEURO($L160,Call1,$G160,$G160,$S160,$J160,1,1))</f>
        <v>#VALUE!</v>
      </c>
      <c r="AB160" s="90" t="e">
        <f aca="false">IF($C160="","",xEURO($L160,Put1,$G160,$G160,$T160,$J160,0,1))</f>
        <v>#VALUE!</v>
      </c>
      <c r="AC160" s="90" t="e">
        <f aca="false">IF($C160="","",xEURO($L160,Call2,$G160,$G160,$U160,$J160,1,1))</f>
        <v>#VALUE!</v>
      </c>
      <c r="AD160" s="90" t="e">
        <f aca="false">IF($C160="","",xEURO($L160,Put2,$G160,$G160,$V160,$J160,0,1))</f>
        <v>#VALUE!</v>
      </c>
      <c r="AE160" s="90" t="e">
        <f aca="false">IF($C160="","",xEURO($L160,Call1,$G160,$G160,$S160,$J160,1,3))</f>
        <v>#VALUE!</v>
      </c>
      <c r="AF160" s="90" t="e">
        <f aca="false">IF($C160="","",xEURO($L160,Put1,$G160,$G160,$T160,$J160,0,3))</f>
        <v>#VALUE!</v>
      </c>
      <c r="AG160" s="90" t="e">
        <f aca="false">IF($C160="","",xEURO($L160,Call2,$G160,$G160,$U160,$J160,1,3))</f>
        <v>#VALUE!</v>
      </c>
      <c r="AH160" s="90" t="e">
        <f aca="false">IF($C160="","",xEURO($L160,Put2,$G160,$G160,$V160,$J160,0,3))</f>
        <v>#VALUE!</v>
      </c>
      <c r="AI160" s="8" t="e">
        <f aca="false">IF(E160=1,G160,0)</f>
        <v>#VALUE!</v>
      </c>
      <c r="AJ160" s="8" t="e">
        <f aca="false">IF(E160=1,H160,0)</f>
        <v>#VALUE!</v>
      </c>
      <c r="AK160" s="8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</row>
    <row r="161" customFormat="false" ht="12.75" hidden="false" customHeight="false" outlineLevel="0" collapsed="false">
      <c r="A161" s="95" t="n">
        <f aca="false">Swap!A161</f>
        <v>41730</v>
      </c>
      <c r="B161" s="96" t="n">
        <f aca="false">B160+1</f>
        <v>152</v>
      </c>
      <c r="C161" s="95" t="e">
        <f aca="false">IF(AND(A161&gt;=Front!$E$11,A161&lt;=Front!$E$12),A161,"")</f>
        <v>#VALUE!</v>
      </c>
      <c r="D161" s="87" t="e">
        <f aca="false">Swap!AB161</f>
        <v>#VALUE!</v>
      </c>
      <c r="E161" s="87" t="e">
        <f aca="false">IF($C161="","",1)</f>
        <v>#VALUE!</v>
      </c>
      <c r="F161" s="97" t="e">
        <f aca="false">IF($C161="","",E161*H161)</f>
        <v>#VALUE!</v>
      </c>
      <c r="G161" s="31" t="n">
        <f aca="false">Swap!AG161</f>
        <v>0.0578321860382123</v>
      </c>
      <c r="H161" s="31" t="n">
        <f aca="false">Swap!AH161</f>
        <v>1.92505216504443</v>
      </c>
      <c r="I161" s="92" t="n">
        <f aca="false">INDEX(expery,MATCH(A161,exprymonth,0),2)</f>
        <v>41724</v>
      </c>
      <c r="J161" s="98" t="n">
        <f aca="false">I161-Front!$C$2</f>
        <v>-4202</v>
      </c>
      <c r="K161" s="99" t="n">
        <f aca="false">Swap!E161</f>
        <v>4.0645</v>
      </c>
      <c r="L161" s="99" t="e">
        <f aca="false">IF(C161="","",(PriceSwitch=0)*K161+(PriceSwitch=1)*(Front!$H$21+K161)+(PriceSwitch=2)*Front!$H$21)</f>
        <v>#VALUE!</v>
      </c>
      <c r="M161" s="93" t="n">
        <f aca="false">INDEX(vols,MATCH(A161,volsmonth,0),2)</f>
        <v>0.17</v>
      </c>
      <c r="N161" s="3" t="e">
        <f aca="false">IF(Skew_Switch=0,"",IF($C161="","",(Front!$E$20=0)*M161+(Front!$E$20=1)*(Front!$E$21+M161)+(Front!$E$20=2)*Front!$E$21))</f>
        <v>#VALUE!</v>
      </c>
      <c r="O161" s="94" t="e">
        <f aca="false">IF(Skew_Switch=0,"",IF(C161="","",((calcskew(Call1-$L161,$C161,a,b))/100)))</f>
        <v>#VALUE!</v>
      </c>
      <c r="P161" s="94" t="e">
        <f aca="false">IF(Skew_Switch=0,"",IF(C161="","",((calcskew(Put1-$L161,$C161,a,b))/100)))</f>
        <v>#VALUE!</v>
      </c>
      <c r="Q161" s="94" t="e">
        <f aca="false">IF(Skew_Switch=0,"",IF(C161="","",((calcskew(Call2-$L161,$C161,a,b))/100)))</f>
        <v>#VALUE!</v>
      </c>
      <c r="R161" s="94" t="e">
        <f aca="false">IF(Skew_Switch=0,"",IF(C161="","",((calcskew(Put2-$L161,$C161,a,b))/100)))</f>
        <v>#VALUE!</v>
      </c>
      <c r="S161" s="3" t="e">
        <f aca="false">IF($C161="","",(Front!$C$19=0)*$N161+(Front!$C$19=1)*($N161+O161))</f>
        <v>#VALUE!</v>
      </c>
      <c r="T161" s="3" t="e">
        <f aca="false">IF($C161="","",(Front!$C$19=0)*$N161+(Front!$C$19=1)*($N161+P161))</f>
        <v>#VALUE!</v>
      </c>
      <c r="U161" s="3" t="e">
        <f aca="false">IF($C161="","",(Front!$C$19=0)*$N161+(Front!$C$19=1)*($N161+Q161))</f>
        <v>#VALUE!</v>
      </c>
      <c r="V161" s="3" t="e">
        <f aca="false">IF($C161="","",(Front!$C$19=0)*$N161+(Front!$C$19=1)*($N161+R161))</f>
        <v>#VALUE!</v>
      </c>
      <c r="W161" s="90" t="e">
        <f aca="false">IF($C161="","",xEURO($L161,Call1,$G161,$G161,S161,$J161,1,0))</f>
        <v>#VALUE!</v>
      </c>
      <c r="X161" s="90" t="e">
        <f aca="false">IF($C161="","",xEURO($L161,Put1,$G161,$G161,T161,$J161,0,0))</f>
        <v>#VALUE!</v>
      </c>
      <c r="Y161" s="90" t="e">
        <f aca="false">IF($C161="","",xEURO($L161,Call2,$G161,$G161,U161,$J161,1,0))</f>
        <v>#VALUE!</v>
      </c>
      <c r="Z161" s="90" t="e">
        <f aca="false">IF($C161="","",xEURO($L161,Put2,$G161,$G161,V161,$J161,0,0))</f>
        <v>#VALUE!</v>
      </c>
      <c r="AA161" s="90" t="e">
        <f aca="false">IF($C161="","",xEURO($L161,Call1,$G161,$G161,$S161,$J161,1,1))</f>
        <v>#VALUE!</v>
      </c>
      <c r="AB161" s="90" t="e">
        <f aca="false">IF($C161="","",xEURO($L161,Put1,$G161,$G161,$T161,$J161,0,1))</f>
        <v>#VALUE!</v>
      </c>
      <c r="AC161" s="90" t="e">
        <f aca="false">IF($C161="","",xEURO($L161,Call2,$G161,$G161,$U161,$J161,1,1))</f>
        <v>#VALUE!</v>
      </c>
      <c r="AD161" s="90" t="e">
        <f aca="false">IF($C161="","",xEURO($L161,Put2,$G161,$G161,$V161,$J161,0,1))</f>
        <v>#VALUE!</v>
      </c>
      <c r="AE161" s="90" t="e">
        <f aca="false">IF($C161="","",xEURO($L161,Call1,$G161,$G161,$S161,$J161,1,3))</f>
        <v>#VALUE!</v>
      </c>
      <c r="AF161" s="90" t="e">
        <f aca="false">IF($C161="","",xEURO($L161,Put1,$G161,$G161,$T161,$J161,0,3))</f>
        <v>#VALUE!</v>
      </c>
      <c r="AG161" s="90" t="e">
        <f aca="false">IF($C161="","",xEURO($L161,Call2,$G161,$G161,$U161,$J161,1,3))</f>
        <v>#VALUE!</v>
      </c>
      <c r="AH161" s="90" t="e">
        <f aca="false">IF($C161="","",xEURO($L161,Put2,$G161,$G161,$V161,$J161,0,3))</f>
        <v>#VALUE!</v>
      </c>
      <c r="AI161" s="8" t="e">
        <f aca="false">IF(E161=1,G161,0)</f>
        <v>#VALUE!</v>
      </c>
      <c r="AJ161" s="8" t="e">
        <f aca="false">IF(E161=1,H161,0)</f>
        <v>#VALUE!</v>
      </c>
      <c r="AK161" s="8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</row>
    <row r="162" customFormat="false" ht="12.75" hidden="false" customHeight="false" outlineLevel="0" collapsed="false">
      <c r="A162" s="95" t="n">
        <f aca="false">Swap!A162</f>
        <v>41760</v>
      </c>
      <c r="B162" s="96" t="n">
        <f aca="false">B161+1</f>
        <v>153</v>
      </c>
      <c r="C162" s="95" t="e">
        <f aca="false">IF(AND(A162&gt;=Front!$E$11,A162&lt;=Front!$E$12),A162,"")</f>
        <v>#VALUE!</v>
      </c>
      <c r="D162" s="87" t="e">
        <f aca="false">Swap!AB162</f>
        <v>#VALUE!</v>
      </c>
      <c r="E162" s="87" t="e">
        <f aca="false">IF($C162="","",1)</f>
        <v>#VALUE!</v>
      </c>
      <c r="F162" s="97" t="e">
        <f aca="false">IF($C162="","",E162*H162)</f>
        <v>#VALUE!</v>
      </c>
      <c r="G162" s="31" t="n">
        <f aca="false">Swap!AG162</f>
        <v>0.0578972235177906</v>
      </c>
      <c r="H162" s="31" t="n">
        <f aca="false">Swap!AH162</f>
        <v>1.91744068732468</v>
      </c>
      <c r="I162" s="92" t="n">
        <f aca="false">INDEX(expery,MATCH(A162,exprymonth,0),2)</f>
        <v>41754</v>
      </c>
      <c r="J162" s="98" t="n">
        <f aca="false">I162-Front!$C$2</f>
        <v>-4172</v>
      </c>
      <c r="K162" s="99" t="n">
        <f aca="false">Swap!E162</f>
        <v>4.0645</v>
      </c>
      <c r="L162" s="99" t="e">
        <f aca="false">IF(C162="","",(PriceSwitch=0)*K162+(PriceSwitch=1)*(Front!$H$21+K162)+(PriceSwitch=2)*Front!$H$21)</f>
        <v>#VALUE!</v>
      </c>
      <c r="M162" s="93" t="n">
        <f aca="false">INDEX(vols,MATCH(A162,volsmonth,0),2)</f>
        <v>0.17</v>
      </c>
      <c r="N162" s="3" t="e">
        <f aca="false">IF(Skew_Switch=0,"",IF($C162="","",(Front!$E$20=0)*M162+(Front!$E$20=1)*(Front!$E$21+M162)+(Front!$E$20=2)*Front!$E$21))</f>
        <v>#VALUE!</v>
      </c>
      <c r="O162" s="94" t="e">
        <f aca="false">IF(Skew_Switch=0,"",IF(C162="","",((calcskew(Call1-$L162,$C162,a,b))/100)))</f>
        <v>#VALUE!</v>
      </c>
      <c r="P162" s="94" t="e">
        <f aca="false">IF(Skew_Switch=0,"",IF(C162="","",((calcskew(Put1-$L162,$C162,a,b))/100)))</f>
        <v>#VALUE!</v>
      </c>
      <c r="Q162" s="94" t="e">
        <f aca="false">IF(Skew_Switch=0,"",IF(C162="","",((calcskew(Call2-$L162,$C162,a,b))/100)))</f>
        <v>#VALUE!</v>
      </c>
      <c r="R162" s="94" t="e">
        <f aca="false">IF(Skew_Switch=0,"",IF(C162="","",((calcskew(Put2-$L162,$C162,a,b))/100)))</f>
        <v>#VALUE!</v>
      </c>
      <c r="S162" s="3" t="e">
        <f aca="false">IF($C162="","",(Front!$C$19=0)*$N162+(Front!$C$19=1)*($N162+O162))</f>
        <v>#VALUE!</v>
      </c>
      <c r="T162" s="3" t="e">
        <f aca="false">IF($C162="","",(Front!$C$19=0)*$N162+(Front!$C$19=1)*($N162+P162))</f>
        <v>#VALUE!</v>
      </c>
      <c r="U162" s="3" t="e">
        <f aca="false">IF($C162="","",(Front!$C$19=0)*$N162+(Front!$C$19=1)*($N162+Q162))</f>
        <v>#VALUE!</v>
      </c>
      <c r="V162" s="3" t="e">
        <f aca="false">IF($C162="","",(Front!$C$19=0)*$N162+(Front!$C$19=1)*($N162+R162))</f>
        <v>#VALUE!</v>
      </c>
      <c r="W162" s="90" t="e">
        <f aca="false">IF($C162="","",xEURO($L162,Call1,$G162,$G162,S162,$J162,1,0))</f>
        <v>#VALUE!</v>
      </c>
      <c r="X162" s="90" t="e">
        <f aca="false">IF($C162="","",xEURO($L162,Put1,$G162,$G162,T162,$J162,0,0))</f>
        <v>#VALUE!</v>
      </c>
      <c r="Y162" s="90" t="e">
        <f aca="false">IF($C162="","",xEURO($L162,Call2,$G162,$G162,U162,$J162,1,0))</f>
        <v>#VALUE!</v>
      </c>
      <c r="Z162" s="90" t="e">
        <f aca="false">IF($C162="","",xEURO($L162,Put2,$G162,$G162,V162,$J162,0,0))</f>
        <v>#VALUE!</v>
      </c>
      <c r="AA162" s="90" t="e">
        <f aca="false">IF($C162="","",xEURO($L162,Call1,$G162,$G162,$S162,$J162,1,1))</f>
        <v>#VALUE!</v>
      </c>
      <c r="AB162" s="90" t="e">
        <f aca="false">IF($C162="","",xEURO($L162,Put1,$G162,$G162,$T162,$J162,0,1))</f>
        <v>#VALUE!</v>
      </c>
      <c r="AC162" s="90" t="e">
        <f aca="false">IF($C162="","",xEURO($L162,Call2,$G162,$G162,$U162,$J162,1,1))</f>
        <v>#VALUE!</v>
      </c>
      <c r="AD162" s="90" t="e">
        <f aca="false">IF($C162="","",xEURO($L162,Put2,$G162,$G162,$V162,$J162,0,1))</f>
        <v>#VALUE!</v>
      </c>
      <c r="AE162" s="90" t="e">
        <f aca="false">IF($C162="","",xEURO($L162,Call1,$G162,$G162,$S162,$J162,1,3))</f>
        <v>#VALUE!</v>
      </c>
      <c r="AF162" s="90" t="e">
        <f aca="false">IF($C162="","",xEURO($L162,Put1,$G162,$G162,$T162,$J162,0,3))</f>
        <v>#VALUE!</v>
      </c>
      <c r="AG162" s="90" t="e">
        <f aca="false">IF($C162="","",xEURO($L162,Call2,$G162,$G162,$U162,$J162,1,3))</f>
        <v>#VALUE!</v>
      </c>
      <c r="AH162" s="90" t="e">
        <f aca="false">IF($C162="","",xEURO($L162,Put2,$G162,$G162,$V162,$J162,0,3))</f>
        <v>#VALUE!</v>
      </c>
      <c r="AI162" s="8" t="e">
        <f aca="false">IF(E162=1,G162,0)</f>
        <v>#VALUE!</v>
      </c>
      <c r="AJ162" s="8" t="e">
        <f aca="false">IF(E162=1,H162,0)</f>
        <v>#VALUE!</v>
      </c>
      <c r="AK162" s="8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  <c r="IW162" s="0"/>
    </row>
    <row r="163" customFormat="false" ht="12.75" hidden="false" customHeight="false" outlineLevel="0" collapsed="false">
      <c r="A163" s="95" t="n">
        <f aca="false">Swap!A163</f>
        <v>41791</v>
      </c>
      <c r="B163" s="96" t="n">
        <f aca="false">B162+1</f>
        <v>154</v>
      </c>
      <c r="C163" s="95" t="e">
        <f aca="false">IF(AND(A163&gt;=Front!$E$11,A163&lt;=Front!$E$12),A163,"")</f>
        <v>#VALUE!</v>
      </c>
      <c r="D163" s="87" t="e">
        <f aca="false">Swap!AB163</f>
        <v>#VALUE!</v>
      </c>
      <c r="E163" s="87" t="e">
        <f aca="false">IF($C163="","",1)</f>
        <v>#VALUE!</v>
      </c>
      <c r="F163" s="97" t="e">
        <f aca="false">IF($C163="","",E163*H163)</f>
        <v>#VALUE!</v>
      </c>
      <c r="G163" s="31" t="n">
        <f aca="false">Swap!AG163</f>
        <v>0.0579644289148327</v>
      </c>
      <c r="H163" s="31" t="n">
        <f aca="false">Swap!AH163</f>
        <v>1.9095862330569</v>
      </c>
      <c r="I163" s="92" t="n">
        <f aca="false">INDEX(expery,MATCH(A163,exprymonth,0),2)</f>
        <v>41786</v>
      </c>
      <c r="J163" s="98" t="n">
        <f aca="false">I163-Front!$C$2</f>
        <v>-4140</v>
      </c>
      <c r="K163" s="99" t="n">
        <f aca="false">Swap!E163</f>
        <v>4.0965</v>
      </c>
      <c r="L163" s="99" t="e">
        <f aca="false">IF(C163="","",(PriceSwitch=0)*K163+(PriceSwitch=1)*(Front!$H$21+K163)+(PriceSwitch=2)*Front!$H$21)</f>
        <v>#VALUE!</v>
      </c>
      <c r="M163" s="93" t="n">
        <f aca="false">INDEX(vols,MATCH(A163,volsmonth,0),2)</f>
        <v>0.17</v>
      </c>
      <c r="N163" s="3" t="e">
        <f aca="false">IF(Skew_Switch=0,"",IF($C163="","",(Front!$E$20=0)*M163+(Front!$E$20=1)*(Front!$E$21+M163)+(Front!$E$20=2)*Front!$E$21))</f>
        <v>#VALUE!</v>
      </c>
      <c r="O163" s="94" t="e">
        <f aca="false">IF(Skew_Switch=0,"",IF(C163="","",((calcskew(Call1-$L163,$C163,a,b))/100)))</f>
        <v>#VALUE!</v>
      </c>
      <c r="P163" s="94" t="e">
        <f aca="false">IF(Skew_Switch=0,"",IF(C163="","",((calcskew(Put1-$L163,$C163,a,b))/100)))</f>
        <v>#VALUE!</v>
      </c>
      <c r="Q163" s="94" t="e">
        <f aca="false">IF(Skew_Switch=0,"",IF(C163="","",((calcskew(Call2-$L163,$C163,a,b))/100)))</f>
        <v>#VALUE!</v>
      </c>
      <c r="R163" s="94" t="e">
        <f aca="false">IF(Skew_Switch=0,"",IF(C163="","",((calcskew(Put2-$L163,$C163,a,b))/100)))</f>
        <v>#VALUE!</v>
      </c>
      <c r="S163" s="3" t="e">
        <f aca="false">IF($C163="","",(Front!$C$19=0)*$N163+(Front!$C$19=1)*($N163+O163))</f>
        <v>#VALUE!</v>
      </c>
      <c r="T163" s="3" t="e">
        <f aca="false">IF($C163="","",(Front!$C$19=0)*$N163+(Front!$C$19=1)*($N163+P163))</f>
        <v>#VALUE!</v>
      </c>
      <c r="U163" s="3" t="e">
        <f aca="false">IF($C163="","",(Front!$C$19=0)*$N163+(Front!$C$19=1)*($N163+Q163))</f>
        <v>#VALUE!</v>
      </c>
      <c r="V163" s="3" t="e">
        <f aca="false">IF($C163="","",(Front!$C$19=0)*$N163+(Front!$C$19=1)*($N163+R163))</f>
        <v>#VALUE!</v>
      </c>
      <c r="W163" s="90" t="e">
        <f aca="false">IF($C163="","",xEURO($L163,Call1,$G163,$G163,S163,$J163,1,0))</f>
        <v>#VALUE!</v>
      </c>
      <c r="X163" s="90" t="e">
        <f aca="false">IF($C163="","",xEURO($L163,Put1,$G163,$G163,T163,$J163,0,0))</f>
        <v>#VALUE!</v>
      </c>
      <c r="Y163" s="90" t="e">
        <f aca="false">IF($C163="","",xEURO($L163,Call2,$G163,$G163,U163,$J163,1,0))</f>
        <v>#VALUE!</v>
      </c>
      <c r="Z163" s="90" t="e">
        <f aca="false">IF($C163="","",xEURO($L163,Put2,$G163,$G163,V163,$J163,0,0))</f>
        <v>#VALUE!</v>
      </c>
      <c r="AA163" s="90" t="e">
        <f aca="false">IF($C163="","",xEURO($L163,Call1,$G163,$G163,$S163,$J163,1,1))</f>
        <v>#VALUE!</v>
      </c>
      <c r="AB163" s="90" t="e">
        <f aca="false">IF($C163="","",xEURO($L163,Put1,$G163,$G163,$T163,$J163,0,1))</f>
        <v>#VALUE!</v>
      </c>
      <c r="AC163" s="90" t="e">
        <f aca="false">IF($C163="","",xEURO($L163,Call2,$G163,$G163,$U163,$J163,1,1))</f>
        <v>#VALUE!</v>
      </c>
      <c r="AD163" s="90" t="e">
        <f aca="false">IF($C163="","",xEURO($L163,Put2,$G163,$G163,$V163,$J163,0,1))</f>
        <v>#VALUE!</v>
      </c>
      <c r="AE163" s="90" t="e">
        <f aca="false">IF($C163="","",xEURO($L163,Call1,$G163,$G163,$S163,$J163,1,3))</f>
        <v>#VALUE!</v>
      </c>
      <c r="AF163" s="90" t="e">
        <f aca="false">IF($C163="","",xEURO($L163,Put1,$G163,$G163,$T163,$J163,0,3))</f>
        <v>#VALUE!</v>
      </c>
      <c r="AG163" s="90" t="e">
        <f aca="false">IF($C163="","",xEURO($L163,Call2,$G163,$G163,$U163,$J163,1,3))</f>
        <v>#VALUE!</v>
      </c>
      <c r="AH163" s="90" t="e">
        <f aca="false">IF($C163="","",xEURO($L163,Put2,$G163,$G163,$V163,$J163,0,3))</f>
        <v>#VALUE!</v>
      </c>
      <c r="AI163" s="8" t="e">
        <f aca="false">IF(E163=1,G163,0)</f>
        <v>#VALUE!</v>
      </c>
      <c r="AJ163" s="8" t="e">
        <f aca="false">IF(E163=1,H163,0)</f>
        <v>#VALUE!</v>
      </c>
      <c r="AK163" s="8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  <c r="IW163" s="0"/>
    </row>
    <row r="164" customFormat="false" ht="12.75" hidden="false" customHeight="false" outlineLevel="0" collapsed="false">
      <c r="A164" s="95" t="n">
        <f aca="false">Swap!A164</f>
        <v>41821</v>
      </c>
      <c r="B164" s="96" t="n">
        <f aca="false">B163+1</f>
        <v>155</v>
      </c>
      <c r="C164" s="95" t="e">
        <f aca="false">IF(AND(A164&gt;=Front!$E$11,A164&lt;=Front!$E$12),A164,"")</f>
        <v>#VALUE!</v>
      </c>
      <c r="D164" s="87" t="e">
        <f aca="false">Swap!AB164</f>
        <v>#VALUE!</v>
      </c>
      <c r="E164" s="87" t="e">
        <f aca="false">IF($C164="","",1)</f>
        <v>#VALUE!</v>
      </c>
      <c r="F164" s="97" t="e">
        <f aca="false">IF($C164="","",E164*H164)</f>
        <v>#VALUE!</v>
      </c>
      <c r="G164" s="31" t="n">
        <f aca="false">Swap!AG164</f>
        <v>0.0580294663972718</v>
      </c>
      <c r="H164" s="31" t="n">
        <f aca="false">Swap!AH164</f>
        <v>1.90199566282139</v>
      </c>
      <c r="I164" s="92" t="n">
        <f aca="false">INDEX(expery,MATCH(A164,exprymonth,0),2)</f>
        <v>41815</v>
      </c>
      <c r="J164" s="98" t="n">
        <f aca="false">I164-Front!$C$2</f>
        <v>-4111</v>
      </c>
      <c r="K164" s="99" t="n">
        <f aca="false">Swap!E164</f>
        <v>4.1465</v>
      </c>
      <c r="L164" s="99" t="e">
        <f aca="false">IF(C164="","",(PriceSwitch=0)*K164+(PriceSwitch=1)*(Front!$H$21+K164)+(PriceSwitch=2)*Front!$H$21)</f>
        <v>#VALUE!</v>
      </c>
      <c r="M164" s="93" t="n">
        <f aca="false">INDEX(vols,MATCH(A164,volsmonth,0),2)</f>
        <v>0.17</v>
      </c>
      <c r="N164" s="3" t="e">
        <f aca="false">IF(Skew_Switch=0,"",IF($C164="","",(Front!$E$20=0)*M164+(Front!$E$20=1)*(Front!$E$21+M164)+(Front!$E$20=2)*Front!$E$21))</f>
        <v>#VALUE!</v>
      </c>
      <c r="O164" s="94" t="e">
        <f aca="false">IF(Skew_Switch=0,"",IF(C164="","",((calcskew(Call1-$L164,$C164,a,b))/100)))</f>
        <v>#VALUE!</v>
      </c>
      <c r="P164" s="94" t="e">
        <f aca="false">IF(Skew_Switch=0,"",IF(C164="","",((calcskew(Put1-$L164,$C164,a,b))/100)))</f>
        <v>#VALUE!</v>
      </c>
      <c r="Q164" s="94" t="e">
        <f aca="false">IF(Skew_Switch=0,"",IF(C164="","",((calcskew(Call2-$L164,$C164,a,b))/100)))</f>
        <v>#VALUE!</v>
      </c>
      <c r="R164" s="94" t="e">
        <f aca="false">IF(Skew_Switch=0,"",IF(C164="","",((calcskew(Put2-$L164,$C164,a,b))/100)))</f>
        <v>#VALUE!</v>
      </c>
      <c r="S164" s="3" t="e">
        <f aca="false">IF($C164="","",(Front!$C$19=0)*$N164+(Front!$C$19=1)*($N164+O164))</f>
        <v>#VALUE!</v>
      </c>
      <c r="T164" s="3" t="e">
        <f aca="false">IF($C164="","",(Front!$C$19=0)*$N164+(Front!$C$19=1)*($N164+P164))</f>
        <v>#VALUE!</v>
      </c>
      <c r="U164" s="3" t="e">
        <f aca="false">IF($C164="","",(Front!$C$19=0)*$N164+(Front!$C$19=1)*($N164+Q164))</f>
        <v>#VALUE!</v>
      </c>
      <c r="V164" s="3" t="e">
        <f aca="false">IF($C164="","",(Front!$C$19=0)*$N164+(Front!$C$19=1)*($N164+R164))</f>
        <v>#VALUE!</v>
      </c>
      <c r="W164" s="90" t="e">
        <f aca="false">IF($C164="","",xEURO($L164,Call1,$G164,$G164,S164,$J164,1,0))</f>
        <v>#VALUE!</v>
      </c>
      <c r="X164" s="90" t="e">
        <f aca="false">IF($C164="","",xEURO($L164,Put1,$G164,$G164,T164,$J164,0,0))</f>
        <v>#VALUE!</v>
      </c>
      <c r="Y164" s="90" t="e">
        <f aca="false">IF($C164="","",xEURO($L164,Call2,$G164,$G164,U164,$J164,1,0))</f>
        <v>#VALUE!</v>
      </c>
      <c r="Z164" s="90" t="e">
        <f aca="false">IF($C164="","",xEURO($L164,Put2,$G164,$G164,V164,$J164,0,0))</f>
        <v>#VALUE!</v>
      </c>
      <c r="AA164" s="90" t="e">
        <f aca="false">IF($C164="","",xEURO($L164,Call1,$G164,$G164,$S164,$J164,1,1))</f>
        <v>#VALUE!</v>
      </c>
      <c r="AB164" s="90" t="e">
        <f aca="false">IF($C164="","",xEURO($L164,Put1,$G164,$G164,$T164,$J164,0,1))</f>
        <v>#VALUE!</v>
      </c>
      <c r="AC164" s="90" t="e">
        <f aca="false">IF($C164="","",xEURO($L164,Call2,$G164,$G164,$U164,$J164,1,1))</f>
        <v>#VALUE!</v>
      </c>
      <c r="AD164" s="90" t="e">
        <f aca="false">IF($C164="","",xEURO($L164,Put2,$G164,$G164,$V164,$J164,0,1))</f>
        <v>#VALUE!</v>
      </c>
      <c r="AE164" s="90" t="e">
        <f aca="false">IF($C164="","",xEURO($L164,Call1,$G164,$G164,$S164,$J164,1,3))</f>
        <v>#VALUE!</v>
      </c>
      <c r="AF164" s="90" t="e">
        <f aca="false">IF($C164="","",xEURO($L164,Put1,$G164,$G164,$T164,$J164,0,3))</f>
        <v>#VALUE!</v>
      </c>
      <c r="AG164" s="90" t="e">
        <f aca="false">IF($C164="","",xEURO($L164,Call2,$G164,$G164,$U164,$J164,1,3))</f>
        <v>#VALUE!</v>
      </c>
      <c r="AH164" s="90" t="e">
        <f aca="false">IF($C164="","",xEURO($L164,Put2,$G164,$G164,$V164,$J164,0,3))</f>
        <v>#VALUE!</v>
      </c>
      <c r="AI164" s="8" t="e">
        <f aca="false">IF(E164=1,G164,0)</f>
        <v>#VALUE!</v>
      </c>
      <c r="AJ164" s="8" t="e">
        <f aca="false">IF(E164=1,H164,0)</f>
        <v>#VALUE!</v>
      </c>
      <c r="AK164" s="8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  <c r="IW164" s="0"/>
    </row>
    <row r="165" customFormat="false" ht="12.75" hidden="false" customHeight="false" outlineLevel="0" collapsed="false">
      <c r="A165" s="95" t="n">
        <f aca="false">Swap!A165</f>
        <v>41852</v>
      </c>
      <c r="B165" s="96" t="n">
        <f aca="false">B164+1</f>
        <v>156</v>
      </c>
      <c r="C165" s="95" t="e">
        <f aca="false">IF(AND(A165&gt;=Front!$E$11,A165&lt;=Front!$E$12),A165,"")</f>
        <v>#VALUE!</v>
      </c>
      <c r="D165" s="87" t="e">
        <f aca="false">Swap!AB165</f>
        <v>#VALUE!</v>
      </c>
      <c r="E165" s="87" t="e">
        <f aca="false">IF($C165="","",1)</f>
        <v>#VALUE!</v>
      </c>
      <c r="F165" s="97" t="e">
        <f aca="false">IF($C165="","",E165*H165)</f>
        <v>#VALUE!</v>
      </c>
      <c r="G165" s="31" t="n">
        <f aca="false">Swap!AG165</f>
        <v>0.0580966717972697</v>
      </c>
      <c r="H165" s="31" t="n">
        <f aca="false">Swap!AH165</f>
        <v>1.89416306475488</v>
      </c>
      <c r="I165" s="92" t="n">
        <f aca="false">INDEX(expery,MATCH(A165,exprymonth,0),2)</f>
        <v>41848</v>
      </c>
      <c r="J165" s="98" t="n">
        <f aca="false">I165-Front!$C$2</f>
        <v>-4078</v>
      </c>
      <c r="K165" s="99" t="n">
        <f aca="false">Swap!E165</f>
        <v>4.1805</v>
      </c>
      <c r="L165" s="99" t="e">
        <f aca="false">IF(C165="","",(PriceSwitch=0)*K165+(PriceSwitch=1)*(Front!$H$21+K165)+(PriceSwitch=2)*Front!$H$21)</f>
        <v>#VALUE!</v>
      </c>
      <c r="M165" s="93" t="n">
        <f aca="false">INDEX(vols,MATCH(A165,volsmonth,0),2)</f>
        <v>0.17</v>
      </c>
      <c r="N165" s="3" t="e">
        <f aca="false">IF(Skew_Switch=0,"",IF($C165="","",(Front!$E$20=0)*M165+(Front!$E$20=1)*(Front!$E$21+M165)+(Front!$E$20=2)*Front!$E$21))</f>
        <v>#VALUE!</v>
      </c>
      <c r="O165" s="94" t="e">
        <f aca="false">IF(Skew_Switch=0,"",IF(C165="","",((calcskew(Call1-$L165,$C165,a,b))/100)))</f>
        <v>#VALUE!</v>
      </c>
      <c r="P165" s="94" t="e">
        <f aca="false">IF(Skew_Switch=0,"",IF(C165="","",((calcskew(Put1-$L165,$C165,a,b))/100)))</f>
        <v>#VALUE!</v>
      </c>
      <c r="Q165" s="94" t="e">
        <f aca="false">IF(Skew_Switch=0,"",IF(C165="","",((calcskew(Call2-$L165,$C165,a,b))/100)))</f>
        <v>#VALUE!</v>
      </c>
      <c r="R165" s="94" t="e">
        <f aca="false">IF(Skew_Switch=0,"",IF(C165="","",((calcskew(Put2-$L165,$C165,a,b))/100)))</f>
        <v>#VALUE!</v>
      </c>
      <c r="S165" s="3" t="e">
        <f aca="false">IF($C165="","",(Front!$C$19=0)*$N165+(Front!$C$19=1)*($N165+O165))</f>
        <v>#VALUE!</v>
      </c>
      <c r="T165" s="3" t="e">
        <f aca="false">IF($C165="","",(Front!$C$19=0)*$N165+(Front!$C$19=1)*($N165+P165))</f>
        <v>#VALUE!</v>
      </c>
      <c r="U165" s="3" t="e">
        <f aca="false">IF($C165="","",(Front!$C$19=0)*$N165+(Front!$C$19=1)*($N165+Q165))</f>
        <v>#VALUE!</v>
      </c>
      <c r="V165" s="3" t="e">
        <f aca="false">IF($C165="","",(Front!$C$19=0)*$N165+(Front!$C$19=1)*($N165+R165))</f>
        <v>#VALUE!</v>
      </c>
      <c r="W165" s="90" t="e">
        <f aca="false">IF($C165="","",xEURO($L165,Call1,$G165,$G165,S165,$J165,1,0))</f>
        <v>#VALUE!</v>
      </c>
      <c r="X165" s="90" t="e">
        <f aca="false">IF($C165="","",xEURO($L165,Put1,$G165,$G165,T165,$J165,0,0))</f>
        <v>#VALUE!</v>
      </c>
      <c r="Y165" s="90" t="e">
        <f aca="false">IF($C165="","",xEURO($L165,Call2,$G165,$G165,U165,$J165,1,0))</f>
        <v>#VALUE!</v>
      </c>
      <c r="Z165" s="90" t="e">
        <f aca="false">IF($C165="","",xEURO($L165,Put2,$G165,$G165,V165,$J165,0,0))</f>
        <v>#VALUE!</v>
      </c>
      <c r="AA165" s="90" t="e">
        <f aca="false">IF($C165="","",xEURO($L165,Call1,$G165,$G165,$S165,$J165,1,1))</f>
        <v>#VALUE!</v>
      </c>
      <c r="AB165" s="90" t="e">
        <f aca="false">IF($C165="","",xEURO($L165,Put1,$G165,$G165,$T165,$J165,0,1))</f>
        <v>#VALUE!</v>
      </c>
      <c r="AC165" s="90" t="e">
        <f aca="false">IF($C165="","",xEURO($L165,Call2,$G165,$G165,$U165,$J165,1,1))</f>
        <v>#VALUE!</v>
      </c>
      <c r="AD165" s="90" t="e">
        <f aca="false">IF($C165="","",xEURO($L165,Put2,$G165,$G165,$V165,$J165,0,1))</f>
        <v>#VALUE!</v>
      </c>
      <c r="AE165" s="90" t="e">
        <f aca="false">IF($C165="","",xEURO($L165,Call1,$G165,$G165,$S165,$J165,1,3))</f>
        <v>#VALUE!</v>
      </c>
      <c r="AF165" s="90" t="e">
        <f aca="false">IF($C165="","",xEURO($L165,Put1,$G165,$G165,$T165,$J165,0,3))</f>
        <v>#VALUE!</v>
      </c>
      <c r="AG165" s="90" t="e">
        <f aca="false">IF($C165="","",xEURO($L165,Call2,$G165,$G165,$U165,$J165,1,3))</f>
        <v>#VALUE!</v>
      </c>
      <c r="AH165" s="90" t="e">
        <f aca="false">IF($C165="","",xEURO($L165,Put2,$G165,$G165,$V165,$J165,0,3))</f>
        <v>#VALUE!</v>
      </c>
      <c r="AI165" s="8" t="e">
        <f aca="false">IF(E165=1,G165,0)</f>
        <v>#VALUE!</v>
      </c>
      <c r="AJ165" s="8" t="e">
        <f aca="false">IF(E165=1,H165,0)</f>
        <v>#VALUE!</v>
      </c>
      <c r="AK165" s="8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  <c r="IW165" s="0"/>
    </row>
    <row r="166" customFormat="false" ht="12.75" hidden="false" customHeight="false" outlineLevel="0" collapsed="false">
      <c r="A166" s="95" t="n">
        <f aca="false">Swap!A166</f>
        <v>41883</v>
      </c>
      <c r="B166" s="96" t="n">
        <f aca="false">B165+1</f>
        <v>157</v>
      </c>
      <c r="C166" s="95" t="e">
        <f aca="false">IF(AND(A166&gt;=Front!$E$11,A166&lt;=Front!$E$12),A166,"")</f>
        <v>#VALUE!</v>
      </c>
      <c r="D166" s="87" t="e">
        <f aca="false">Swap!AB166</f>
        <v>#VALUE!</v>
      </c>
      <c r="E166" s="87" t="e">
        <f aca="false">IF($C166="","",1)</f>
        <v>#VALUE!</v>
      </c>
      <c r="F166" s="97" t="e">
        <f aca="false">IF($C166="","",E166*H166)</f>
        <v>#VALUE!</v>
      </c>
      <c r="G166" s="31" t="n">
        <f aca="false">Swap!AG166</f>
        <v>0.0581638771987705</v>
      </c>
      <c r="H166" s="31" t="n">
        <f aca="false">Swap!AH166</f>
        <v>1.88634176536865</v>
      </c>
      <c r="I166" s="92" t="n">
        <f aca="false">INDEX(expery,MATCH(A166,exprymonth,0),2)</f>
        <v>41877</v>
      </c>
      <c r="J166" s="98" t="n">
        <f aca="false">I166-Front!$C$2</f>
        <v>-4049</v>
      </c>
      <c r="K166" s="99" t="n">
        <f aca="false">Swap!E166</f>
        <v>4.1935</v>
      </c>
      <c r="L166" s="99" t="e">
        <f aca="false">IF(C166="","",(PriceSwitch=0)*K166+(PriceSwitch=1)*(Front!$H$21+K166)+(PriceSwitch=2)*Front!$H$21)</f>
        <v>#VALUE!</v>
      </c>
      <c r="M166" s="93" t="n">
        <f aca="false">INDEX(vols,MATCH(A166,volsmonth,0),2)</f>
        <v>0.17</v>
      </c>
      <c r="N166" s="3" t="e">
        <f aca="false">IF(Skew_Switch=0,"",IF($C166="","",(Front!$E$20=0)*M166+(Front!$E$20=1)*(Front!$E$21+M166)+(Front!$E$20=2)*Front!$E$21))</f>
        <v>#VALUE!</v>
      </c>
      <c r="O166" s="94" t="e">
        <f aca="false">IF(Skew_Switch=0,"",IF(C166="","",((calcskew(Call1-$L166,$C166,a,b))/100)))</f>
        <v>#VALUE!</v>
      </c>
      <c r="P166" s="94" t="e">
        <f aca="false">IF(Skew_Switch=0,"",IF(C166="","",((calcskew(Put1-$L166,$C166,a,b))/100)))</f>
        <v>#VALUE!</v>
      </c>
      <c r="Q166" s="94" t="e">
        <f aca="false">IF(Skew_Switch=0,"",IF(C166="","",((calcskew(Call2-$L166,$C166,a,b))/100)))</f>
        <v>#VALUE!</v>
      </c>
      <c r="R166" s="94" t="e">
        <f aca="false">IF(Skew_Switch=0,"",IF(C166="","",((calcskew(Put2-$L166,$C166,a,b))/100)))</f>
        <v>#VALUE!</v>
      </c>
      <c r="S166" s="3" t="e">
        <f aca="false">IF($C166="","",(Front!$C$19=0)*$N166+(Front!$C$19=1)*($N166+O166))</f>
        <v>#VALUE!</v>
      </c>
      <c r="T166" s="3" t="e">
        <f aca="false">IF($C166="","",(Front!$C$19=0)*$N166+(Front!$C$19=1)*($N166+P166))</f>
        <v>#VALUE!</v>
      </c>
      <c r="U166" s="3" t="e">
        <f aca="false">IF($C166="","",(Front!$C$19=0)*$N166+(Front!$C$19=1)*($N166+Q166))</f>
        <v>#VALUE!</v>
      </c>
      <c r="V166" s="3" t="e">
        <f aca="false">IF($C166="","",(Front!$C$19=0)*$N166+(Front!$C$19=1)*($N166+R166))</f>
        <v>#VALUE!</v>
      </c>
      <c r="W166" s="90" t="e">
        <f aca="false">IF($C166="","",xEURO($L166,Call1,$G166,$G166,S166,$J166,1,0))</f>
        <v>#VALUE!</v>
      </c>
      <c r="X166" s="90" t="e">
        <f aca="false">IF($C166="","",xEURO($L166,Put1,$G166,$G166,T166,$J166,0,0))</f>
        <v>#VALUE!</v>
      </c>
      <c r="Y166" s="90" t="e">
        <f aca="false">IF($C166="","",xEURO($L166,Call2,$G166,$G166,U166,$J166,1,0))</f>
        <v>#VALUE!</v>
      </c>
      <c r="Z166" s="90" t="e">
        <f aca="false">IF($C166="","",xEURO($L166,Put2,$G166,$G166,V166,$J166,0,0))</f>
        <v>#VALUE!</v>
      </c>
      <c r="AA166" s="90" t="e">
        <f aca="false">IF($C166="","",xEURO($L166,Call1,$G166,$G166,$S166,$J166,1,1))</f>
        <v>#VALUE!</v>
      </c>
      <c r="AB166" s="90" t="e">
        <f aca="false">IF($C166="","",xEURO($L166,Put1,$G166,$G166,$T166,$J166,0,1))</f>
        <v>#VALUE!</v>
      </c>
      <c r="AC166" s="90" t="e">
        <f aca="false">IF($C166="","",xEURO($L166,Call2,$G166,$G166,$U166,$J166,1,1))</f>
        <v>#VALUE!</v>
      </c>
      <c r="AD166" s="90" t="e">
        <f aca="false">IF($C166="","",xEURO($L166,Put2,$G166,$G166,$V166,$J166,0,1))</f>
        <v>#VALUE!</v>
      </c>
      <c r="AE166" s="90" t="e">
        <f aca="false">IF($C166="","",xEURO($L166,Call1,$G166,$G166,$S166,$J166,1,3))</f>
        <v>#VALUE!</v>
      </c>
      <c r="AF166" s="90" t="e">
        <f aca="false">IF($C166="","",xEURO($L166,Put1,$G166,$G166,$T166,$J166,0,3))</f>
        <v>#VALUE!</v>
      </c>
      <c r="AG166" s="90" t="e">
        <f aca="false">IF($C166="","",xEURO($L166,Call2,$G166,$G166,$U166,$J166,1,3))</f>
        <v>#VALUE!</v>
      </c>
      <c r="AH166" s="90" t="e">
        <f aca="false">IF($C166="","",xEURO($L166,Put2,$G166,$G166,$V166,$J166,0,3))</f>
        <v>#VALUE!</v>
      </c>
      <c r="AI166" s="8" t="e">
        <f aca="false">IF(E166=1,G166,0)</f>
        <v>#VALUE!</v>
      </c>
      <c r="AJ166" s="8" t="e">
        <f aca="false">IF(E166=1,H166,0)</f>
        <v>#VALUE!</v>
      </c>
      <c r="AK166" s="8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  <c r="IW166" s="0"/>
    </row>
    <row r="167" customFormat="false" ht="12.75" hidden="false" customHeight="false" outlineLevel="0" collapsed="false">
      <c r="A167" s="95" t="n">
        <f aca="false">Swap!A167</f>
        <v>41913</v>
      </c>
      <c r="B167" s="96" t="n">
        <f aca="false">B166+1</f>
        <v>158</v>
      </c>
      <c r="C167" s="95" t="e">
        <f aca="false">IF(AND(A167&gt;=Front!$E$11,A167&lt;=Front!$E$12),A167,"")</f>
        <v>#VALUE!</v>
      </c>
      <c r="D167" s="87" t="e">
        <f aca="false">Swap!AB167</f>
        <v>#VALUE!</v>
      </c>
      <c r="E167" s="87" t="e">
        <f aca="false">IF($C167="","",1)</f>
        <v>#VALUE!</v>
      </c>
      <c r="F167" s="97" t="e">
        <f aca="false">IF($C167="","",E167*H167)</f>
        <v>#VALUE!</v>
      </c>
      <c r="G167" s="31" t="n">
        <f aca="false">Swap!AG167</f>
        <v>0.058228914685523</v>
      </c>
      <c r="H167" s="31" t="n">
        <f aca="false">Swap!AH167</f>
        <v>1.8787836441849</v>
      </c>
      <c r="I167" s="92" t="n">
        <f aca="false">INDEX(expery,MATCH(A167,exprymonth,0),2)</f>
        <v>41907</v>
      </c>
      <c r="J167" s="98" t="n">
        <f aca="false">I167-Front!$C$2</f>
        <v>-4019</v>
      </c>
      <c r="K167" s="99" t="n">
        <f aca="false">Swap!E167</f>
        <v>4.1855</v>
      </c>
      <c r="L167" s="99" t="e">
        <f aca="false">IF(C167="","",(PriceSwitch=0)*K167+(PriceSwitch=1)*(Front!$H$21+K167)+(PriceSwitch=2)*Front!$H$21)</f>
        <v>#VALUE!</v>
      </c>
      <c r="M167" s="93" t="n">
        <f aca="false">INDEX(vols,MATCH(A167,volsmonth,0),2)</f>
        <v>0.17</v>
      </c>
      <c r="N167" s="3" t="e">
        <f aca="false">IF(Skew_Switch=0,"",IF($C167="","",(Front!$E$20=0)*M167+(Front!$E$20=1)*(Front!$E$21+M167)+(Front!$E$20=2)*Front!$E$21))</f>
        <v>#VALUE!</v>
      </c>
      <c r="O167" s="94" t="e">
        <f aca="false">IF(Skew_Switch=0,"",IF(C167="","",((calcskew(Call1-$L167,$C167,a,b))/100)))</f>
        <v>#VALUE!</v>
      </c>
      <c r="P167" s="94" t="e">
        <f aca="false">IF(Skew_Switch=0,"",IF(C167="","",((calcskew(Put1-$L167,$C167,a,b))/100)))</f>
        <v>#VALUE!</v>
      </c>
      <c r="Q167" s="94" t="e">
        <f aca="false">IF(Skew_Switch=0,"",IF(C167="","",((calcskew(Call2-$L167,$C167,a,b))/100)))</f>
        <v>#VALUE!</v>
      </c>
      <c r="R167" s="94" t="e">
        <f aca="false">IF(Skew_Switch=0,"",IF(C167="","",((calcskew(Put2-$L167,$C167,a,b))/100)))</f>
        <v>#VALUE!</v>
      </c>
      <c r="S167" s="3" t="e">
        <f aca="false">IF($C167="","",(Front!$C$19=0)*$N167+(Front!$C$19=1)*($N167+O167))</f>
        <v>#VALUE!</v>
      </c>
      <c r="T167" s="3" t="e">
        <f aca="false">IF($C167="","",(Front!$C$19=0)*$N167+(Front!$C$19=1)*($N167+P167))</f>
        <v>#VALUE!</v>
      </c>
      <c r="U167" s="3" t="e">
        <f aca="false">IF($C167="","",(Front!$C$19=0)*$N167+(Front!$C$19=1)*($N167+Q167))</f>
        <v>#VALUE!</v>
      </c>
      <c r="V167" s="3" t="e">
        <f aca="false">IF($C167="","",(Front!$C$19=0)*$N167+(Front!$C$19=1)*($N167+R167))</f>
        <v>#VALUE!</v>
      </c>
      <c r="W167" s="90" t="e">
        <f aca="false">IF($C167="","",xEURO($L167,Call1,$G167,$G167,S167,$J167,1,0))</f>
        <v>#VALUE!</v>
      </c>
      <c r="X167" s="90" t="e">
        <f aca="false">IF($C167="","",xEURO($L167,Put1,$G167,$G167,T167,$J167,0,0))</f>
        <v>#VALUE!</v>
      </c>
      <c r="Y167" s="90" t="e">
        <f aca="false">IF($C167="","",xEURO($L167,Call2,$G167,$G167,U167,$J167,1,0))</f>
        <v>#VALUE!</v>
      </c>
      <c r="Z167" s="90" t="e">
        <f aca="false">IF($C167="","",xEURO($L167,Put2,$G167,$G167,V167,$J167,0,0))</f>
        <v>#VALUE!</v>
      </c>
      <c r="AA167" s="90" t="e">
        <f aca="false">IF($C167="","",xEURO($L167,Call1,$G167,$G167,$S167,$J167,1,1))</f>
        <v>#VALUE!</v>
      </c>
      <c r="AB167" s="90" t="e">
        <f aca="false">IF($C167="","",xEURO($L167,Put1,$G167,$G167,$T167,$J167,0,1))</f>
        <v>#VALUE!</v>
      </c>
      <c r="AC167" s="90" t="e">
        <f aca="false">IF($C167="","",xEURO($L167,Call2,$G167,$G167,$U167,$J167,1,1))</f>
        <v>#VALUE!</v>
      </c>
      <c r="AD167" s="90" t="e">
        <f aca="false">IF($C167="","",xEURO($L167,Put2,$G167,$G167,$V167,$J167,0,1))</f>
        <v>#VALUE!</v>
      </c>
      <c r="AE167" s="90" t="e">
        <f aca="false">IF($C167="","",xEURO($L167,Call1,$G167,$G167,$S167,$J167,1,3))</f>
        <v>#VALUE!</v>
      </c>
      <c r="AF167" s="90" t="e">
        <f aca="false">IF($C167="","",xEURO($L167,Put1,$G167,$G167,$T167,$J167,0,3))</f>
        <v>#VALUE!</v>
      </c>
      <c r="AG167" s="90" t="e">
        <f aca="false">IF($C167="","",xEURO($L167,Call2,$G167,$G167,$U167,$J167,1,3))</f>
        <v>#VALUE!</v>
      </c>
      <c r="AH167" s="90" t="e">
        <f aca="false">IF($C167="","",xEURO($L167,Put2,$G167,$G167,$V167,$J167,0,3))</f>
        <v>#VALUE!</v>
      </c>
      <c r="AI167" s="8" t="e">
        <f aca="false">IF(E167=1,G167,0)</f>
        <v>#VALUE!</v>
      </c>
      <c r="AJ167" s="8" t="e">
        <f aca="false">IF(E167=1,H167,0)</f>
        <v>#VALUE!</v>
      </c>
      <c r="AK167" s="8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  <c r="IW167" s="0"/>
    </row>
    <row r="168" customFormat="false" ht="12.75" hidden="false" customHeight="false" outlineLevel="0" collapsed="false">
      <c r="A168" s="95" t="n">
        <f aca="false">Swap!A168</f>
        <v>41944</v>
      </c>
      <c r="B168" s="96" t="n">
        <f aca="false">B167+1</f>
        <v>159</v>
      </c>
      <c r="C168" s="95" t="e">
        <f aca="false">IF(AND(A168&gt;=Front!$E$11,A168&lt;=Front!$E$12),A168,"")</f>
        <v>#VALUE!</v>
      </c>
      <c r="D168" s="87" t="e">
        <f aca="false">Swap!AB168</f>
        <v>#VALUE!</v>
      </c>
      <c r="E168" s="87" t="e">
        <f aca="false">IF($C168="","",1)</f>
        <v>#VALUE!</v>
      </c>
      <c r="F168" s="97" t="e">
        <f aca="false">IF($C168="","",E168*H168)</f>
        <v>#VALUE!</v>
      </c>
      <c r="G168" s="31" t="n">
        <f aca="false">Swap!AG168</f>
        <v>0.0582961200899788</v>
      </c>
      <c r="H168" s="31" t="n">
        <f aca="false">Swap!AH168</f>
        <v>1.87098494995493</v>
      </c>
      <c r="I168" s="92" t="n">
        <f aca="false">INDEX(expery,MATCH(A168,exprymonth,0),2)</f>
        <v>41940</v>
      </c>
      <c r="J168" s="98" t="n">
        <f aca="false">I168-Front!$C$2</f>
        <v>-3986</v>
      </c>
      <c r="K168" s="99" t="n">
        <f aca="false">Swap!E168</f>
        <v>4.3555</v>
      </c>
      <c r="L168" s="99" t="e">
        <f aca="false">IF(C168="","",(PriceSwitch=0)*K168+(PriceSwitch=1)*(Front!$H$21+K168)+(PriceSwitch=2)*Front!$H$21)</f>
        <v>#VALUE!</v>
      </c>
      <c r="M168" s="93" t="n">
        <f aca="false">INDEX(vols,MATCH(A168,volsmonth,0),2)</f>
        <v>0.17</v>
      </c>
      <c r="N168" s="3" t="e">
        <f aca="false">IF(Skew_Switch=0,"",IF($C168="","",(Front!$E$20=0)*M168+(Front!$E$20=1)*(Front!$E$21+M168)+(Front!$E$20=2)*Front!$E$21))</f>
        <v>#VALUE!</v>
      </c>
      <c r="O168" s="94" t="e">
        <f aca="false">IF(Skew_Switch=0,"",IF(C168="","",((calcskew(Call1-$L168,$C168,a,b))/100)))</f>
        <v>#VALUE!</v>
      </c>
      <c r="P168" s="94" t="e">
        <f aca="false">IF(Skew_Switch=0,"",IF(C168="","",((calcskew(Put1-$L168,$C168,a,b))/100)))</f>
        <v>#VALUE!</v>
      </c>
      <c r="Q168" s="94" t="e">
        <f aca="false">IF(Skew_Switch=0,"",IF(C168="","",((calcskew(Call2-$L168,$C168,a,b))/100)))</f>
        <v>#VALUE!</v>
      </c>
      <c r="R168" s="94" t="e">
        <f aca="false">IF(Skew_Switch=0,"",IF(C168="","",((calcskew(Put2-$L168,$C168,a,b))/100)))</f>
        <v>#VALUE!</v>
      </c>
      <c r="S168" s="3" t="e">
        <f aca="false">IF($C168="","",(Front!$C$19=0)*$N168+(Front!$C$19=1)*($N168+O168))</f>
        <v>#VALUE!</v>
      </c>
      <c r="T168" s="3" t="e">
        <f aca="false">IF($C168="","",(Front!$C$19=0)*$N168+(Front!$C$19=1)*($N168+P168))</f>
        <v>#VALUE!</v>
      </c>
      <c r="U168" s="3" t="e">
        <f aca="false">IF($C168="","",(Front!$C$19=0)*$N168+(Front!$C$19=1)*($N168+Q168))</f>
        <v>#VALUE!</v>
      </c>
      <c r="V168" s="3" t="e">
        <f aca="false">IF($C168="","",(Front!$C$19=0)*$N168+(Front!$C$19=1)*($N168+R168))</f>
        <v>#VALUE!</v>
      </c>
      <c r="W168" s="90" t="e">
        <f aca="false">IF($C168="","",xEURO($L168,Call1,$G168,$G168,S168,$J168,1,0))</f>
        <v>#VALUE!</v>
      </c>
      <c r="X168" s="90" t="e">
        <f aca="false">IF($C168="","",xEURO($L168,Put1,$G168,$G168,T168,$J168,0,0))</f>
        <v>#VALUE!</v>
      </c>
      <c r="Y168" s="90" t="e">
        <f aca="false">IF($C168="","",xEURO($L168,Call2,$G168,$G168,U168,$J168,1,0))</f>
        <v>#VALUE!</v>
      </c>
      <c r="Z168" s="90" t="e">
        <f aca="false">IF($C168="","",xEURO($L168,Put2,$G168,$G168,V168,$J168,0,0))</f>
        <v>#VALUE!</v>
      </c>
      <c r="AA168" s="90" t="e">
        <f aca="false">IF($C168="","",xEURO($L168,Call1,$G168,$G168,$S168,$J168,1,1))</f>
        <v>#VALUE!</v>
      </c>
      <c r="AB168" s="90" t="e">
        <f aca="false">IF($C168="","",xEURO($L168,Put1,$G168,$G168,$T168,$J168,0,1))</f>
        <v>#VALUE!</v>
      </c>
      <c r="AC168" s="90" t="e">
        <f aca="false">IF($C168="","",xEURO($L168,Call2,$G168,$G168,$U168,$J168,1,1))</f>
        <v>#VALUE!</v>
      </c>
      <c r="AD168" s="90" t="e">
        <f aca="false">IF($C168="","",xEURO($L168,Put2,$G168,$G168,$V168,$J168,0,1))</f>
        <v>#VALUE!</v>
      </c>
      <c r="AE168" s="90" t="e">
        <f aca="false">IF($C168="","",xEURO($L168,Call1,$G168,$G168,$S168,$J168,1,3))</f>
        <v>#VALUE!</v>
      </c>
      <c r="AF168" s="90" t="e">
        <f aca="false">IF($C168="","",xEURO($L168,Put1,$G168,$G168,$T168,$J168,0,3))</f>
        <v>#VALUE!</v>
      </c>
      <c r="AG168" s="90" t="e">
        <f aca="false">IF($C168="","",xEURO($L168,Call2,$G168,$G168,$U168,$J168,1,3))</f>
        <v>#VALUE!</v>
      </c>
      <c r="AH168" s="90" t="e">
        <f aca="false">IF($C168="","",xEURO($L168,Put2,$G168,$G168,$V168,$J168,0,3))</f>
        <v>#VALUE!</v>
      </c>
      <c r="AI168" s="8" t="e">
        <f aca="false">IF(E168=1,G168,0)</f>
        <v>#VALUE!</v>
      </c>
      <c r="AJ168" s="8" t="e">
        <f aca="false">IF(E168=1,H168,0)</f>
        <v>#VALUE!</v>
      </c>
      <c r="AK168" s="8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  <c r="IW168" s="0"/>
    </row>
    <row r="169" customFormat="false" ht="12.75" hidden="false" customHeight="false" outlineLevel="0" collapsed="false">
      <c r="A169" s="95" t="n">
        <f aca="false">Swap!A169</f>
        <v>41974</v>
      </c>
      <c r="B169" s="96" t="n">
        <f aca="false">B168+1</f>
        <v>160</v>
      </c>
      <c r="C169" s="95" t="e">
        <f aca="false">IF(AND(A169&gt;=Front!$E$11,A169&lt;=Front!$E$12),A169,"")</f>
        <v>#VALUE!</v>
      </c>
      <c r="D169" s="87" t="e">
        <f aca="false">Swap!AB169</f>
        <v>#VALUE!</v>
      </c>
      <c r="E169" s="87" t="e">
        <f aca="false">IF($C169="","",1)</f>
        <v>#VALUE!</v>
      </c>
      <c r="F169" s="97" t="e">
        <f aca="false">IF($C169="","",E169*H169)</f>
        <v>#VALUE!</v>
      </c>
      <c r="G169" s="31" t="n">
        <f aca="false">Swap!AG169</f>
        <v>0.0583611575795922</v>
      </c>
      <c r="H169" s="31" t="n">
        <f aca="false">Swap!AH169</f>
        <v>1.86344894161</v>
      </c>
      <c r="I169" s="92" t="n">
        <f aca="false">INDEX(expery,MATCH(A169,exprymonth,0),2)</f>
        <v>41967</v>
      </c>
      <c r="J169" s="98" t="n">
        <f aca="false">I169-Front!$C$2</f>
        <v>-3959</v>
      </c>
      <c r="K169" s="99" t="n">
        <f aca="false">Swap!E169</f>
        <v>4.5305</v>
      </c>
      <c r="L169" s="99" t="e">
        <f aca="false">IF(C169="","",(PriceSwitch=0)*K169+(PriceSwitch=1)*(Front!$H$21+K169)+(PriceSwitch=2)*Front!$H$21)</f>
        <v>#VALUE!</v>
      </c>
      <c r="M169" s="93" t="n">
        <f aca="false">INDEX(vols,MATCH(A169,volsmonth,0),2)</f>
        <v>0.17</v>
      </c>
      <c r="N169" s="3" t="e">
        <f aca="false">IF(Skew_Switch=0,"",IF($C169="","",(Front!$E$20=0)*M169+(Front!$E$20=1)*(Front!$E$21+M169)+(Front!$E$20=2)*Front!$E$21))</f>
        <v>#VALUE!</v>
      </c>
      <c r="O169" s="94" t="e">
        <f aca="false">IF(Skew_Switch=0,"",IF(C169="","",((calcskew(Call1-$L169,$C169,a,b))/100)))</f>
        <v>#VALUE!</v>
      </c>
      <c r="P169" s="94" t="e">
        <f aca="false">IF(Skew_Switch=0,"",IF(C169="","",((calcskew(Put1-$L169,$C169,a,b))/100)))</f>
        <v>#VALUE!</v>
      </c>
      <c r="Q169" s="94" t="e">
        <f aca="false">IF(Skew_Switch=0,"",IF(C169="","",((calcskew(Call2-$L169,$C169,a,b))/100)))</f>
        <v>#VALUE!</v>
      </c>
      <c r="R169" s="94" t="e">
        <f aca="false">IF(Skew_Switch=0,"",IF(C169="","",((calcskew(Put2-$L169,$C169,a,b))/100)))</f>
        <v>#VALUE!</v>
      </c>
      <c r="S169" s="3" t="e">
        <f aca="false">IF($C169="","",(Front!$C$19=0)*$N169+(Front!$C$19=1)*($N169+O169))</f>
        <v>#VALUE!</v>
      </c>
      <c r="T169" s="3" t="e">
        <f aca="false">IF($C169="","",(Front!$C$19=0)*$N169+(Front!$C$19=1)*($N169+P169))</f>
        <v>#VALUE!</v>
      </c>
      <c r="U169" s="3" t="e">
        <f aca="false">IF($C169="","",(Front!$C$19=0)*$N169+(Front!$C$19=1)*($N169+Q169))</f>
        <v>#VALUE!</v>
      </c>
      <c r="V169" s="3" t="e">
        <f aca="false">IF($C169="","",(Front!$C$19=0)*$N169+(Front!$C$19=1)*($N169+R169))</f>
        <v>#VALUE!</v>
      </c>
      <c r="W169" s="90" t="e">
        <f aca="false">IF($C169="","",xEURO($L169,Call1,$G169,$G169,S169,$J169,1,0))</f>
        <v>#VALUE!</v>
      </c>
      <c r="X169" s="90" t="e">
        <f aca="false">IF($C169="","",xEURO($L169,Put1,$G169,$G169,T169,$J169,0,0))</f>
        <v>#VALUE!</v>
      </c>
      <c r="Y169" s="90" t="e">
        <f aca="false">IF($C169="","",xEURO($L169,Call2,$G169,$G169,U169,$J169,1,0))</f>
        <v>#VALUE!</v>
      </c>
      <c r="Z169" s="90" t="e">
        <f aca="false">IF($C169="","",xEURO($L169,Put2,$G169,$G169,V169,$J169,0,0))</f>
        <v>#VALUE!</v>
      </c>
      <c r="AA169" s="90" t="e">
        <f aca="false">IF($C169="","",xEURO($L169,Call1,$G169,$G169,$S169,$J169,1,1))</f>
        <v>#VALUE!</v>
      </c>
      <c r="AB169" s="90" t="e">
        <f aca="false">IF($C169="","",xEURO($L169,Put1,$G169,$G169,$T169,$J169,0,1))</f>
        <v>#VALUE!</v>
      </c>
      <c r="AC169" s="90" t="e">
        <f aca="false">IF($C169="","",xEURO($L169,Call2,$G169,$G169,$U169,$J169,1,1))</f>
        <v>#VALUE!</v>
      </c>
      <c r="AD169" s="90" t="e">
        <f aca="false">IF($C169="","",xEURO($L169,Put2,$G169,$G169,$V169,$J169,0,1))</f>
        <v>#VALUE!</v>
      </c>
      <c r="AE169" s="90" t="e">
        <f aca="false">IF($C169="","",xEURO($L169,Call1,$G169,$G169,$S169,$J169,1,3))</f>
        <v>#VALUE!</v>
      </c>
      <c r="AF169" s="90" t="e">
        <f aca="false">IF($C169="","",xEURO($L169,Put1,$G169,$G169,$T169,$J169,0,3))</f>
        <v>#VALUE!</v>
      </c>
      <c r="AG169" s="90" t="e">
        <f aca="false">IF($C169="","",xEURO($L169,Call2,$G169,$G169,$U169,$J169,1,3))</f>
        <v>#VALUE!</v>
      </c>
      <c r="AH169" s="90" t="e">
        <f aca="false">IF($C169="","",xEURO($L169,Put2,$G169,$G169,$V169,$J169,0,3))</f>
        <v>#VALUE!</v>
      </c>
      <c r="AI169" s="8" t="e">
        <f aca="false">IF(E169=1,G169,0)</f>
        <v>#VALUE!</v>
      </c>
      <c r="AJ169" s="8" t="e">
        <f aca="false">IF(E169=1,H169,0)</f>
        <v>#VALUE!</v>
      </c>
      <c r="AK169" s="8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  <c r="IW169" s="0"/>
    </row>
    <row r="170" customFormat="false" ht="12.75" hidden="false" customHeight="false" outlineLevel="0" collapsed="false">
      <c r="A170" s="95" t="n">
        <f aca="false">Swap!A170</f>
        <v>42005</v>
      </c>
      <c r="B170" s="96" t="n">
        <f aca="false">B169+1</f>
        <v>161</v>
      </c>
      <c r="C170" s="95" t="e">
        <f aca="false">IF(AND(A170&gt;=Front!$E$11,A170&lt;=Front!$E$12),A170,"")</f>
        <v>#VALUE!</v>
      </c>
      <c r="D170" s="87" t="e">
        <f aca="false">Swap!AB170</f>
        <v>#VALUE!</v>
      </c>
      <c r="E170" s="87" t="e">
        <f aca="false">IF($C170="","",1)</f>
        <v>#VALUE!</v>
      </c>
      <c r="F170" s="97" t="e">
        <f aca="false">IF($C170="","",E170*H170)</f>
        <v>#VALUE!</v>
      </c>
      <c r="G170" s="31" t="n">
        <f aca="false">Swap!AG170</f>
        <v>0.0584283629870033</v>
      </c>
      <c r="H170" s="31" t="n">
        <f aca="false">Swap!AH170</f>
        <v>1.85567334032136</v>
      </c>
      <c r="I170" s="92" t="n">
        <f aca="false">INDEX(expery,MATCH(A170,exprymonth,0),2)</f>
        <v>41999</v>
      </c>
      <c r="J170" s="98" t="n">
        <f aca="false">I170-Front!$C$2</f>
        <v>-3927</v>
      </c>
      <c r="K170" s="99" t="n">
        <f aca="false">Swap!E170</f>
        <v>4.588</v>
      </c>
      <c r="L170" s="99" t="e">
        <f aca="false">IF(C170="","",(PriceSwitch=0)*K170+(PriceSwitch=1)*(Front!$H$21+K170)+(PriceSwitch=2)*Front!$H$21)</f>
        <v>#VALUE!</v>
      </c>
      <c r="M170" s="93" t="n">
        <f aca="false">INDEX(vols,MATCH(A170,volsmonth,0),2)</f>
        <v>0.17</v>
      </c>
      <c r="N170" s="3" t="e">
        <f aca="false">IF(Skew_Switch=0,"",IF($C170="","",(Front!$E$20=0)*M170+(Front!$E$20=1)*(Front!$E$21+M170)+(Front!$E$20=2)*Front!$E$21))</f>
        <v>#VALUE!</v>
      </c>
      <c r="O170" s="94" t="e">
        <f aca="false">IF(Skew_Switch=0,"",IF(C170="","",((calcskew(Call1-$L170,$C170,a,b))/100)))</f>
        <v>#VALUE!</v>
      </c>
      <c r="P170" s="94" t="e">
        <f aca="false">IF(Skew_Switch=0,"",IF(C170="","",((calcskew(Put1-$L170,$C170,a,b))/100)))</f>
        <v>#VALUE!</v>
      </c>
      <c r="Q170" s="94" t="e">
        <f aca="false">IF(Skew_Switch=0,"",IF(C170="","",((calcskew(Call2-$L170,$C170,a,b))/100)))</f>
        <v>#VALUE!</v>
      </c>
      <c r="R170" s="94" t="e">
        <f aca="false">IF(Skew_Switch=0,"",IF(C170="","",((calcskew(Put2-$L170,$C170,a,b))/100)))</f>
        <v>#VALUE!</v>
      </c>
      <c r="S170" s="3" t="e">
        <f aca="false">IF($C170="","",(Front!$C$19=0)*$N170+(Front!$C$19=1)*($N170+O170))</f>
        <v>#VALUE!</v>
      </c>
      <c r="T170" s="3" t="e">
        <f aca="false">IF($C170="","",(Front!$C$19=0)*$N170+(Front!$C$19=1)*($N170+P170))</f>
        <v>#VALUE!</v>
      </c>
      <c r="U170" s="3" t="e">
        <f aca="false">IF($C170="","",(Front!$C$19=0)*$N170+(Front!$C$19=1)*($N170+Q170))</f>
        <v>#VALUE!</v>
      </c>
      <c r="V170" s="3" t="e">
        <f aca="false">IF($C170="","",(Front!$C$19=0)*$N170+(Front!$C$19=1)*($N170+R170))</f>
        <v>#VALUE!</v>
      </c>
      <c r="W170" s="90" t="e">
        <f aca="false">IF($C170="","",xEURO($L170,Call1,$G170,$G170,S170,$J170,1,0))</f>
        <v>#VALUE!</v>
      </c>
      <c r="X170" s="90" t="e">
        <f aca="false">IF($C170="","",xEURO($L170,Put1,$G170,$G170,T170,$J170,0,0))</f>
        <v>#VALUE!</v>
      </c>
      <c r="Y170" s="90" t="e">
        <f aca="false">IF($C170="","",xEURO($L170,Call2,$G170,$G170,U170,$J170,1,0))</f>
        <v>#VALUE!</v>
      </c>
      <c r="Z170" s="90" t="e">
        <f aca="false">IF($C170="","",xEURO($L170,Put2,$G170,$G170,V170,$J170,0,0))</f>
        <v>#VALUE!</v>
      </c>
      <c r="AA170" s="90" t="e">
        <f aca="false">IF($C170="","",xEURO($L170,Call1,$G170,$G170,$S170,$J170,1,1))</f>
        <v>#VALUE!</v>
      </c>
      <c r="AB170" s="90" t="e">
        <f aca="false">IF($C170="","",xEURO($L170,Put1,$G170,$G170,$T170,$J170,0,1))</f>
        <v>#VALUE!</v>
      </c>
      <c r="AC170" s="90" t="e">
        <f aca="false">IF($C170="","",xEURO($L170,Call2,$G170,$G170,$U170,$J170,1,1))</f>
        <v>#VALUE!</v>
      </c>
      <c r="AD170" s="90" t="e">
        <f aca="false">IF($C170="","",xEURO($L170,Put2,$G170,$G170,$V170,$J170,0,1))</f>
        <v>#VALUE!</v>
      </c>
      <c r="AE170" s="90" t="e">
        <f aca="false">IF($C170="","",xEURO($L170,Call1,$G170,$G170,$S170,$J170,1,3))</f>
        <v>#VALUE!</v>
      </c>
      <c r="AF170" s="90" t="e">
        <f aca="false">IF($C170="","",xEURO($L170,Put1,$G170,$G170,$T170,$J170,0,3))</f>
        <v>#VALUE!</v>
      </c>
      <c r="AG170" s="90" t="e">
        <f aca="false">IF($C170="","",xEURO($L170,Call2,$G170,$G170,$U170,$J170,1,3))</f>
        <v>#VALUE!</v>
      </c>
      <c r="AH170" s="90" t="e">
        <f aca="false">IF($C170="","",xEURO($L170,Put2,$G170,$G170,$V170,$J170,0,3))</f>
        <v>#VALUE!</v>
      </c>
      <c r="AI170" s="8" t="e">
        <f aca="false">IF(E170=1,G170,0)</f>
        <v>#VALUE!</v>
      </c>
      <c r="AJ170" s="8" t="e">
        <f aca="false">IF(E170=1,H170,0)</f>
        <v>#VALUE!</v>
      </c>
      <c r="AK170" s="8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  <c r="IW170" s="0"/>
    </row>
    <row r="171" customFormat="false" ht="12.75" hidden="false" customHeight="false" outlineLevel="0" collapsed="false">
      <c r="A171" s="95" t="n">
        <f aca="false">Swap!A171</f>
        <v>42036</v>
      </c>
      <c r="B171" s="96" t="n">
        <f aca="false">B170+1</f>
        <v>162</v>
      </c>
      <c r="C171" s="95" t="e">
        <f aca="false">IF(AND(A171&gt;=Front!$E$11,A171&lt;=Front!$E$12),A171,"")</f>
        <v>#VALUE!</v>
      </c>
      <c r="D171" s="87" t="e">
        <f aca="false">Swap!AB171</f>
        <v>#VALUE!</v>
      </c>
      <c r="E171" s="87" t="e">
        <f aca="false">IF($C171="","",1)</f>
        <v>#VALUE!</v>
      </c>
      <c r="F171" s="97" t="e">
        <f aca="false">IF($C171="","",E171*H171)</f>
        <v>#VALUE!</v>
      </c>
      <c r="G171" s="31" t="n">
        <f aca="false">Swap!AG171</f>
        <v>0.0584955683959163</v>
      </c>
      <c r="H171" s="31" t="n">
        <f aca="false">Swap!AH171</f>
        <v>1.84790965946559</v>
      </c>
      <c r="I171" s="92" t="n">
        <f aca="false">INDEX(expery,MATCH(A171,exprymonth,0),2)</f>
        <v>42031</v>
      </c>
      <c r="J171" s="98" t="n">
        <f aca="false">I171-Front!$C$2</f>
        <v>-3895</v>
      </c>
      <c r="K171" s="99" t="n">
        <f aca="false">Swap!E171</f>
        <v>4.474</v>
      </c>
      <c r="L171" s="99" t="e">
        <f aca="false">IF(C171="","",(PriceSwitch=0)*K171+(PriceSwitch=1)*(Front!$H$21+K171)+(PriceSwitch=2)*Front!$H$21)</f>
        <v>#VALUE!</v>
      </c>
      <c r="M171" s="93" t="n">
        <f aca="false">INDEX(vols,MATCH(A171,volsmonth,0),2)</f>
        <v>0.17</v>
      </c>
      <c r="N171" s="3" t="e">
        <f aca="false">IF(Skew_Switch=0,"",IF($C171="","",(Front!$E$20=0)*M171+(Front!$E$20=1)*(Front!$E$21+M171)+(Front!$E$20=2)*Front!$E$21))</f>
        <v>#VALUE!</v>
      </c>
      <c r="O171" s="94" t="e">
        <f aca="false">IF(Skew_Switch=0,"",IF(C171="","",((calcskew(Call1-$L171,$C171,a,b))/100)))</f>
        <v>#VALUE!</v>
      </c>
      <c r="P171" s="94" t="e">
        <f aca="false">IF(Skew_Switch=0,"",IF(C171="","",((calcskew(Put1-$L171,$C171,a,b))/100)))</f>
        <v>#VALUE!</v>
      </c>
      <c r="Q171" s="94" t="e">
        <f aca="false">IF(Skew_Switch=0,"",IF(C171="","",((calcskew(Call2-$L171,$C171,a,b))/100)))</f>
        <v>#VALUE!</v>
      </c>
      <c r="R171" s="94" t="e">
        <f aca="false">IF(Skew_Switch=0,"",IF(C171="","",((calcskew(Put2-$L171,$C171,a,b))/100)))</f>
        <v>#VALUE!</v>
      </c>
      <c r="S171" s="3" t="e">
        <f aca="false">IF($C171="","",(Front!$C$19=0)*$N171+(Front!$C$19=1)*($N171+O171))</f>
        <v>#VALUE!</v>
      </c>
      <c r="T171" s="3" t="e">
        <f aca="false">IF($C171="","",(Front!$C$19=0)*$N171+(Front!$C$19=1)*($N171+P171))</f>
        <v>#VALUE!</v>
      </c>
      <c r="U171" s="3" t="e">
        <f aca="false">IF($C171="","",(Front!$C$19=0)*$N171+(Front!$C$19=1)*($N171+Q171))</f>
        <v>#VALUE!</v>
      </c>
      <c r="V171" s="3" t="e">
        <f aca="false">IF($C171="","",(Front!$C$19=0)*$N171+(Front!$C$19=1)*($N171+R171))</f>
        <v>#VALUE!</v>
      </c>
      <c r="W171" s="90" t="e">
        <f aca="false">IF($C171="","",xEURO($L171,Call1,$G171,$G171,S171,$J171,1,0))</f>
        <v>#VALUE!</v>
      </c>
      <c r="X171" s="90" t="e">
        <f aca="false">IF($C171="","",xEURO($L171,Put1,$G171,$G171,T171,$J171,0,0))</f>
        <v>#VALUE!</v>
      </c>
      <c r="Y171" s="90" t="e">
        <f aca="false">IF($C171="","",xEURO($L171,Call2,$G171,$G171,U171,$J171,1,0))</f>
        <v>#VALUE!</v>
      </c>
      <c r="Z171" s="90" t="e">
        <f aca="false">IF($C171="","",xEURO($L171,Put2,$G171,$G171,V171,$J171,0,0))</f>
        <v>#VALUE!</v>
      </c>
      <c r="AA171" s="90" t="e">
        <f aca="false">IF($C171="","",xEURO($L171,Call1,$G171,$G171,$S171,$J171,1,1))</f>
        <v>#VALUE!</v>
      </c>
      <c r="AB171" s="90" t="e">
        <f aca="false">IF($C171="","",xEURO($L171,Put1,$G171,$G171,$T171,$J171,0,1))</f>
        <v>#VALUE!</v>
      </c>
      <c r="AC171" s="90" t="e">
        <f aca="false">IF($C171="","",xEURO($L171,Call2,$G171,$G171,$U171,$J171,1,1))</f>
        <v>#VALUE!</v>
      </c>
      <c r="AD171" s="90" t="e">
        <f aca="false">IF($C171="","",xEURO($L171,Put2,$G171,$G171,$V171,$J171,0,1))</f>
        <v>#VALUE!</v>
      </c>
      <c r="AE171" s="90" t="e">
        <f aca="false">IF($C171="","",xEURO($L171,Call1,$G171,$G171,$S171,$J171,1,3))</f>
        <v>#VALUE!</v>
      </c>
      <c r="AF171" s="90" t="e">
        <f aca="false">IF($C171="","",xEURO($L171,Put1,$G171,$G171,$T171,$J171,0,3))</f>
        <v>#VALUE!</v>
      </c>
      <c r="AG171" s="90" t="e">
        <f aca="false">IF($C171="","",xEURO($L171,Call2,$G171,$G171,$U171,$J171,1,3))</f>
        <v>#VALUE!</v>
      </c>
      <c r="AH171" s="90" t="e">
        <f aca="false">IF($C171="","",xEURO($L171,Put2,$G171,$G171,$V171,$J171,0,3))</f>
        <v>#VALUE!</v>
      </c>
      <c r="AI171" s="8" t="e">
        <f aca="false">IF(E171=1,G171,0)</f>
        <v>#VALUE!</v>
      </c>
      <c r="AJ171" s="8" t="e">
        <f aca="false">IF(E171=1,H171,0)</f>
        <v>#VALUE!</v>
      </c>
      <c r="AK171" s="8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  <c r="IW171" s="0"/>
    </row>
    <row r="172" customFormat="false" ht="12.75" hidden="false" customHeight="false" outlineLevel="0" collapsed="false">
      <c r="A172" s="95" t="n">
        <f aca="false">Swap!A172</f>
        <v>42064</v>
      </c>
      <c r="B172" s="96" t="n">
        <f aca="false">B171+1</f>
        <v>163</v>
      </c>
      <c r="C172" s="95" t="e">
        <f aca="false">IF(AND(A172&gt;=Front!$E$11,A172&lt;=Front!$E$12),A172,"")</f>
        <v>#VALUE!</v>
      </c>
      <c r="D172" s="87" t="e">
        <f aca="false">Swap!AB172</f>
        <v>#VALUE!</v>
      </c>
      <c r="E172" s="87" t="e">
        <f aca="false">IF($C172="","",1)</f>
        <v>#VALUE!</v>
      </c>
      <c r="F172" s="97" t="e">
        <f aca="false">IF($C172="","",E172*H172)</f>
        <v>#VALUE!</v>
      </c>
      <c r="G172" s="31" t="n">
        <f aca="false">Swap!AG172</f>
        <v>0.0585562700568705</v>
      </c>
      <c r="H172" s="31" t="n">
        <f aca="false">Swap!AH172</f>
        <v>1.84090765094967</v>
      </c>
      <c r="I172" s="92" t="n">
        <f aca="false">INDEX(expery,MATCH(A172,exprymonth,0),2)</f>
        <v>42059</v>
      </c>
      <c r="J172" s="98" t="n">
        <f aca="false">I172-Front!$C$2</f>
        <v>-3867</v>
      </c>
      <c r="K172" s="99" t="n">
        <f aca="false">Swap!E172</f>
        <v>4.342</v>
      </c>
      <c r="L172" s="99" t="e">
        <f aca="false">IF(C172="","",(PriceSwitch=0)*K172+(PriceSwitch=1)*(Front!$H$21+K172)+(PriceSwitch=2)*Front!$H$21)</f>
        <v>#VALUE!</v>
      </c>
      <c r="M172" s="93" t="n">
        <f aca="false">INDEX(vols,MATCH(A172,volsmonth,0),2)</f>
        <v>0.17</v>
      </c>
      <c r="N172" s="3" t="e">
        <f aca="false">IF(Skew_Switch=0,"",IF($C172="","",(Front!$E$20=0)*M172+(Front!$E$20=1)*(Front!$E$21+M172)+(Front!$E$20=2)*Front!$E$21))</f>
        <v>#VALUE!</v>
      </c>
      <c r="O172" s="94" t="e">
        <f aca="false">IF(Skew_Switch=0,"",IF(C172="","",((calcskew(Call1-$L172,$C172,a,b))/100)))</f>
        <v>#VALUE!</v>
      </c>
      <c r="P172" s="94" t="e">
        <f aca="false">IF(Skew_Switch=0,"",IF(C172="","",((calcskew(Put1-$L172,$C172,a,b))/100)))</f>
        <v>#VALUE!</v>
      </c>
      <c r="Q172" s="94" t="e">
        <f aca="false">IF(Skew_Switch=0,"",IF(C172="","",((calcskew(Call2-$L172,$C172,a,b))/100)))</f>
        <v>#VALUE!</v>
      </c>
      <c r="R172" s="94" t="e">
        <f aca="false">IF(Skew_Switch=0,"",IF(C172="","",((calcskew(Put2-$L172,$C172,a,b))/100)))</f>
        <v>#VALUE!</v>
      </c>
      <c r="S172" s="3" t="e">
        <f aca="false">IF($C172="","",(Front!$C$19=0)*$N172+(Front!$C$19=1)*($N172+O172))</f>
        <v>#VALUE!</v>
      </c>
      <c r="T172" s="3" t="e">
        <f aca="false">IF($C172="","",(Front!$C$19=0)*$N172+(Front!$C$19=1)*($N172+P172))</f>
        <v>#VALUE!</v>
      </c>
      <c r="U172" s="3" t="e">
        <f aca="false">IF($C172="","",(Front!$C$19=0)*$N172+(Front!$C$19=1)*($N172+Q172))</f>
        <v>#VALUE!</v>
      </c>
      <c r="V172" s="3" t="e">
        <f aca="false">IF($C172="","",(Front!$C$19=0)*$N172+(Front!$C$19=1)*($N172+R172))</f>
        <v>#VALUE!</v>
      </c>
      <c r="W172" s="90" t="e">
        <f aca="false">IF($C172="","",xEURO($L172,Call1,$G172,$G172,S172,$J172,1,0))</f>
        <v>#VALUE!</v>
      </c>
      <c r="X172" s="90" t="e">
        <f aca="false">IF($C172="","",xEURO($L172,Put1,$G172,$G172,T172,$J172,0,0))</f>
        <v>#VALUE!</v>
      </c>
      <c r="Y172" s="90" t="e">
        <f aca="false">IF($C172="","",xEURO($L172,Call2,$G172,$G172,U172,$J172,1,0))</f>
        <v>#VALUE!</v>
      </c>
      <c r="Z172" s="90" t="e">
        <f aca="false">IF($C172="","",xEURO($L172,Put2,$G172,$G172,V172,$J172,0,0))</f>
        <v>#VALUE!</v>
      </c>
      <c r="AA172" s="90" t="e">
        <f aca="false">IF($C172="","",xEURO($L172,Call1,$G172,$G172,$S172,$J172,1,1))</f>
        <v>#VALUE!</v>
      </c>
      <c r="AB172" s="90" t="e">
        <f aca="false">IF($C172="","",xEURO($L172,Put1,$G172,$G172,$T172,$J172,0,1))</f>
        <v>#VALUE!</v>
      </c>
      <c r="AC172" s="90" t="e">
        <f aca="false">IF($C172="","",xEURO($L172,Call2,$G172,$G172,$U172,$J172,1,1))</f>
        <v>#VALUE!</v>
      </c>
      <c r="AD172" s="90" t="e">
        <f aca="false">IF($C172="","",xEURO($L172,Put2,$G172,$G172,$V172,$J172,0,1))</f>
        <v>#VALUE!</v>
      </c>
      <c r="AE172" s="90" t="e">
        <f aca="false">IF($C172="","",xEURO($L172,Call1,$G172,$G172,$S172,$J172,1,3))</f>
        <v>#VALUE!</v>
      </c>
      <c r="AF172" s="90" t="e">
        <f aca="false">IF($C172="","",xEURO($L172,Put1,$G172,$G172,$T172,$J172,0,3))</f>
        <v>#VALUE!</v>
      </c>
      <c r="AG172" s="90" t="e">
        <f aca="false">IF($C172="","",xEURO($L172,Call2,$G172,$G172,$U172,$J172,1,3))</f>
        <v>#VALUE!</v>
      </c>
      <c r="AH172" s="90" t="e">
        <f aca="false">IF($C172="","",xEURO($L172,Put2,$G172,$G172,$V172,$J172,0,3))</f>
        <v>#VALUE!</v>
      </c>
      <c r="AI172" s="8" t="e">
        <f aca="false">IF(E172=1,G172,0)</f>
        <v>#VALUE!</v>
      </c>
      <c r="AJ172" s="8" t="e">
        <f aca="false">IF(E172=1,H172,0)</f>
        <v>#VALUE!</v>
      </c>
      <c r="AK172" s="8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  <c r="IW172" s="0"/>
    </row>
    <row r="173" customFormat="false" ht="12.75" hidden="false" customHeight="false" outlineLevel="0" collapsed="false">
      <c r="A173" s="95" t="n">
        <f aca="false">Swap!A173</f>
        <v>42095</v>
      </c>
      <c r="B173" s="96" t="n">
        <f aca="false">B172+1</f>
        <v>164</v>
      </c>
      <c r="C173" s="95" t="e">
        <f aca="false">IF(AND(A173&gt;=Front!$E$11,A173&lt;=Front!$E$12),A173,"")</f>
        <v>#VALUE!</v>
      </c>
      <c r="D173" s="87" t="e">
        <f aca="false">Swap!AB173</f>
        <v>#VALUE!</v>
      </c>
      <c r="E173" s="87" t="e">
        <f aca="false">IF($C173="","",1)</f>
        <v>#VALUE!</v>
      </c>
      <c r="F173" s="97" t="e">
        <f aca="false">IF($C173="","",E173*H173)</f>
        <v>#VALUE!</v>
      </c>
      <c r="G173" s="31" t="n">
        <f aca="false">Swap!AG173</f>
        <v>0.0586234754686417</v>
      </c>
      <c r="H173" s="31" t="n">
        <f aca="false">Swap!AH173</f>
        <v>1.83316699704621</v>
      </c>
      <c r="I173" s="92" t="n">
        <f aca="false">INDEX(expery,MATCH(A173,exprymonth,0),2)</f>
        <v>42089</v>
      </c>
      <c r="J173" s="98" t="n">
        <f aca="false">I173-Front!$C$2</f>
        <v>-3837</v>
      </c>
      <c r="K173" s="99" t="n">
        <f aca="false">Swap!E173</f>
        <v>4.172</v>
      </c>
      <c r="L173" s="99" t="e">
        <f aca="false">IF(C173="","",(PriceSwitch=0)*K173+(PriceSwitch=1)*(Front!$H$21+K173)+(PriceSwitch=2)*Front!$H$21)</f>
        <v>#VALUE!</v>
      </c>
      <c r="M173" s="93" t="n">
        <f aca="false">INDEX(vols,MATCH(A173,volsmonth,0),2)</f>
        <v>0.17</v>
      </c>
      <c r="N173" s="3" t="e">
        <f aca="false">IF(Skew_Switch=0,"",IF($C173="","",(Front!$E$20=0)*M173+(Front!$E$20=1)*(Front!$E$21+M173)+(Front!$E$20=2)*Front!$E$21))</f>
        <v>#VALUE!</v>
      </c>
      <c r="O173" s="94" t="e">
        <f aca="false">IF(Skew_Switch=0,"",IF(C173="","",((calcskew(Call1-$L173,$C173,a,b))/100)))</f>
        <v>#VALUE!</v>
      </c>
      <c r="P173" s="94" t="e">
        <f aca="false">IF(Skew_Switch=0,"",IF(C173="","",((calcskew(Put1-$L173,$C173,a,b))/100)))</f>
        <v>#VALUE!</v>
      </c>
      <c r="Q173" s="94" t="e">
        <f aca="false">IF(Skew_Switch=0,"",IF(C173="","",((calcskew(Call2-$L173,$C173,a,b))/100)))</f>
        <v>#VALUE!</v>
      </c>
      <c r="R173" s="94" t="e">
        <f aca="false">IF(Skew_Switch=0,"",IF(C173="","",((calcskew(Put2-$L173,$C173,a,b))/100)))</f>
        <v>#VALUE!</v>
      </c>
      <c r="S173" s="3" t="e">
        <f aca="false">IF($C173="","",(Front!$C$19=0)*$N173+(Front!$C$19=1)*($N173+O173))</f>
        <v>#VALUE!</v>
      </c>
      <c r="T173" s="3" t="e">
        <f aca="false">IF($C173="","",(Front!$C$19=0)*$N173+(Front!$C$19=1)*($N173+P173))</f>
        <v>#VALUE!</v>
      </c>
      <c r="U173" s="3" t="e">
        <f aca="false">IF($C173="","",(Front!$C$19=0)*$N173+(Front!$C$19=1)*($N173+Q173))</f>
        <v>#VALUE!</v>
      </c>
      <c r="V173" s="3" t="e">
        <f aca="false">IF($C173="","",(Front!$C$19=0)*$N173+(Front!$C$19=1)*($N173+R173))</f>
        <v>#VALUE!</v>
      </c>
      <c r="W173" s="90" t="e">
        <f aca="false">IF($C173="","",xEURO($L173,Call1,$G173,$G173,S173,$J173,1,0))</f>
        <v>#VALUE!</v>
      </c>
      <c r="X173" s="90" t="e">
        <f aca="false">IF($C173="","",xEURO($L173,Put1,$G173,$G173,T173,$J173,0,0))</f>
        <v>#VALUE!</v>
      </c>
      <c r="Y173" s="90" t="e">
        <f aca="false">IF($C173="","",xEURO($L173,Call2,$G173,$G173,U173,$J173,1,0))</f>
        <v>#VALUE!</v>
      </c>
      <c r="Z173" s="90" t="e">
        <f aca="false">IF($C173="","",xEURO($L173,Put2,$G173,$G173,V173,$J173,0,0))</f>
        <v>#VALUE!</v>
      </c>
      <c r="AA173" s="90" t="e">
        <f aca="false">IF($C173="","",xEURO($L173,Call1,$G173,$G173,$S173,$J173,1,1))</f>
        <v>#VALUE!</v>
      </c>
      <c r="AB173" s="90" t="e">
        <f aca="false">IF($C173="","",xEURO($L173,Put1,$G173,$G173,$T173,$J173,0,1))</f>
        <v>#VALUE!</v>
      </c>
      <c r="AC173" s="90" t="e">
        <f aca="false">IF($C173="","",xEURO($L173,Call2,$G173,$G173,$U173,$J173,1,1))</f>
        <v>#VALUE!</v>
      </c>
      <c r="AD173" s="90" t="e">
        <f aca="false">IF($C173="","",xEURO($L173,Put2,$G173,$G173,$V173,$J173,0,1))</f>
        <v>#VALUE!</v>
      </c>
      <c r="AE173" s="90" t="e">
        <f aca="false">IF($C173="","",xEURO($L173,Call1,$G173,$G173,$S173,$J173,1,3))</f>
        <v>#VALUE!</v>
      </c>
      <c r="AF173" s="90" t="e">
        <f aca="false">IF($C173="","",xEURO($L173,Put1,$G173,$G173,$T173,$J173,0,3))</f>
        <v>#VALUE!</v>
      </c>
      <c r="AG173" s="90" t="e">
        <f aca="false">IF($C173="","",xEURO($L173,Call2,$G173,$G173,$U173,$J173,1,3))</f>
        <v>#VALUE!</v>
      </c>
      <c r="AH173" s="90" t="e">
        <f aca="false">IF($C173="","",xEURO($L173,Put2,$G173,$G173,$V173,$J173,0,3))</f>
        <v>#VALUE!</v>
      </c>
      <c r="AI173" s="8" t="e">
        <f aca="false">IF(E173=1,G173,0)</f>
        <v>#VALUE!</v>
      </c>
      <c r="AJ173" s="8" t="e">
        <f aca="false">IF(E173=1,H173,0)</f>
        <v>#VALUE!</v>
      </c>
      <c r="AK173" s="8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  <c r="IW173" s="0"/>
    </row>
    <row r="174" customFormat="false" ht="12.75" hidden="false" customHeight="false" outlineLevel="0" collapsed="false">
      <c r="A174" s="95" t="n">
        <f aca="false">Swap!A174</f>
        <v>42125</v>
      </c>
      <c r="B174" s="96" t="n">
        <f aca="false">B173+1</f>
        <v>165</v>
      </c>
      <c r="C174" s="95" t="e">
        <f aca="false">IF(AND(A174&gt;=Front!$E$11,A174&lt;=Front!$E$12),A174,"")</f>
        <v>#VALUE!</v>
      </c>
      <c r="D174" s="87" t="e">
        <f aca="false">Swap!AB174</f>
        <v>#VALUE!</v>
      </c>
      <c r="E174" s="87" t="e">
        <f aca="false">IF($C174="","",1)</f>
        <v>#VALUE!</v>
      </c>
      <c r="F174" s="97" t="e">
        <f aca="false">IF($C174="","",E174*H174)</f>
        <v>#VALUE!</v>
      </c>
      <c r="G174" s="31" t="n">
        <f aca="false">Swap!AG174</f>
        <v>0.0586885129653338</v>
      </c>
      <c r="H174" s="31" t="n">
        <f aca="false">Swap!AH174</f>
        <v>1.82568772844927</v>
      </c>
      <c r="I174" s="92" t="n">
        <f aca="false">INDEX(expery,MATCH(A174,exprymonth,0),2)</f>
        <v>42121</v>
      </c>
      <c r="J174" s="98" t="n">
        <f aca="false">I174-Front!$C$2</f>
        <v>-3805</v>
      </c>
      <c r="K174" s="99" t="n">
        <f aca="false">Swap!E174</f>
        <v>4.172</v>
      </c>
      <c r="L174" s="99" t="e">
        <f aca="false">IF(C174="","",(PriceSwitch=0)*K174+(PriceSwitch=1)*(Front!$H$21+K174)+(PriceSwitch=2)*Front!$H$21)</f>
        <v>#VALUE!</v>
      </c>
      <c r="M174" s="93" t="n">
        <f aca="false">INDEX(vols,MATCH(A174,volsmonth,0),2)</f>
        <v>0.17</v>
      </c>
      <c r="N174" s="3" t="e">
        <f aca="false">IF(Skew_Switch=0,"",IF($C174="","",(Front!$E$20=0)*M174+(Front!$E$20=1)*(Front!$E$21+M174)+(Front!$E$20=2)*Front!$E$21))</f>
        <v>#VALUE!</v>
      </c>
      <c r="O174" s="94" t="e">
        <f aca="false">IF(Skew_Switch=0,"",IF(C174="","",((calcskew(Call1-$L174,$C174,a,b))/100)))</f>
        <v>#VALUE!</v>
      </c>
      <c r="P174" s="94" t="e">
        <f aca="false">IF(Skew_Switch=0,"",IF(C174="","",((calcskew(Put1-$L174,$C174,a,b))/100)))</f>
        <v>#VALUE!</v>
      </c>
      <c r="Q174" s="94" t="e">
        <f aca="false">IF(Skew_Switch=0,"",IF(C174="","",((calcskew(Call2-$L174,$C174,a,b))/100)))</f>
        <v>#VALUE!</v>
      </c>
      <c r="R174" s="94" t="e">
        <f aca="false">IF(Skew_Switch=0,"",IF(C174="","",((calcskew(Put2-$L174,$C174,a,b))/100)))</f>
        <v>#VALUE!</v>
      </c>
      <c r="S174" s="3" t="e">
        <f aca="false">IF($C174="","",(Front!$C$19=0)*$N174+(Front!$C$19=1)*($N174+O174))</f>
        <v>#VALUE!</v>
      </c>
      <c r="T174" s="3" t="e">
        <f aca="false">IF($C174="","",(Front!$C$19=0)*$N174+(Front!$C$19=1)*($N174+P174))</f>
        <v>#VALUE!</v>
      </c>
      <c r="U174" s="3" t="e">
        <f aca="false">IF($C174="","",(Front!$C$19=0)*$N174+(Front!$C$19=1)*($N174+Q174))</f>
        <v>#VALUE!</v>
      </c>
      <c r="V174" s="3" t="e">
        <f aca="false">IF($C174="","",(Front!$C$19=0)*$N174+(Front!$C$19=1)*($N174+R174))</f>
        <v>#VALUE!</v>
      </c>
      <c r="W174" s="90" t="e">
        <f aca="false">IF($C174="","",xEURO($L174,Call1,$G174,$G174,S174,$J174,1,0))</f>
        <v>#VALUE!</v>
      </c>
      <c r="X174" s="90" t="e">
        <f aca="false">IF($C174="","",xEURO($L174,Put1,$G174,$G174,T174,$J174,0,0))</f>
        <v>#VALUE!</v>
      </c>
      <c r="Y174" s="90" t="e">
        <f aca="false">IF($C174="","",xEURO($L174,Call2,$G174,$G174,U174,$J174,1,0))</f>
        <v>#VALUE!</v>
      </c>
      <c r="Z174" s="90" t="e">
        <f aca="false">IF($C174="","",xEURO($L174,Put2,$G174,$G174,V174,$J174,0,0))</f>
        <v>#VALUE!</v>
      </c>
      <c r="AA174" s="90" t="e">
        <f aca="false">IF($C174="","",xEURO($L174,Call1,$G174,$G174,$S174,$J174,1,1))</f>
        <v>#VALUE!</v>
      </c>
      <c r="AB174" s="90" t="e">
        <f aca="false">IF($C174="","",xEURO($L174,Put1,$G174,$G174,$T174,$J174,0,1))</f>
        <v>#VALUE!</v>
      </c>
      <c r="AC174" s="90" t="e">
        <f aca="false">IF($C174="","",xEURO($L174,Call2,$G174,$G174,$U174,$J174,1,1))</f>
        <v>#VALUE!</v>
      </c>
      <c r="AD174" s="90" t="e">
        <f aca="false">IF($C174="","",xEURO($L174,Put2,$G174,$G174,$V174,$J174,0,1))</f>
        <v>#VALUE!</v>
      </c>
      <c r="AE174" s="90" t="e">
        <f aca="false">IF($C174="","",xEURO($L174,Call1,$G174,$G174,$S174,$J174,1,3))</f>
        <v>#VALUE!</v>
      </c>
      <c r="AF174" s="90" t="e">
        <f aca="false">IF($C174="","",xEURO($L174,Put1,$G174,$G174,$T174,$J174,0,3))</f>
        <v>#VALUE!</v>
      </c>
      <c r="AG174" s="90" t="e">
        <f aca="false">IF($C174="","",xEURO($L174,Call2,$G174,$G174,$U174,$J174,1,3))</f>
        <v>#VALUE!</v>
      </c>
      <c r="AH174" s="90" t="e">
        <f aca="false">IF($C174="","",xEURO($L174,Put2,$G174,$G174,$V174,$J174,0,3))</f>
        <v>#VALUE!</v>
      </c>
      <c r="AI174" s="8" t="e">
        <f aca="false">IF(E174=1,G174,0)</f>
        <v>#VALUE!</v>
      </c>
      <c r="AJ174" s="8" t="e">
        <f aca="false">IF(E174=1,H174,0)</f>
        <v>#VALUE!</v>
      </c>
      <c r="AK174" s="8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  <c r="IW174" s="0"/>
    </row>
    <row r="175" customFormat="false" ht="12.75" hidden="false" customHeight="false" outlineLevel="0" collapsed="false">
      <c r="A175" s="95" t="n">
        <f aca="false">Swap!A175</f>
        <v>42156</v>
      </c>
      <c r="B175" s="96" t="n">
        <f aca="false">B174+1</f>
        <v>166</v>
      </c>
      <c r="C175" s="95" t="e">
        <f aca="false">IF(AND(A175&gt;=Front!$E$11,A175&lt;=Front!$E$12),A175,"")</f>
        <v>#VALUE!</v>
      </c>
      <c r="D175" s="87" t="e">
        <f aca="false">Swap!AB175</f>
        <v>#VALUE!</v>
      </c>
      <c r="E175" s="87" t="e">
        <f aca="false">IF($C175="","",1)</f>
        <v>#VALUE!</v>
      </c>
      <c r="F175" s="97" t="e">
        <f aca="false">IF($C175="","",E175*H175)</f>
        <v>#VALUE!</v>
      </c>
      <c r="G175" s="31" t="n">
        <f aca="false">Swap!AG175</f>
        <v>0.05875571838006</v>
      </c>
      <c r="H175" s="31" t="n">
        <f aca="false">Swap!AH175</f>
        <v>1.81797134457443</v>
      </c>
      <c r="I175" s="92" t="n">
        <f aca="false">INDEX(expery,MATCH(A175,exprymonth,0),2)</f>
        <v>42150</v>
      </c>
      <c r="J175" s="98" t="n">
        <f aca="false">I175-Front!$C$2</f>
        <v>-3776</v>
      </c>
      <c r="K175" s="99" t="n">
        <f aca="false">Swap!E175</f>
        <v>4.204</v>
      </c>
      <c r="L175" s="99" t="e">
        <f aca="false">IF(C175="","",(PriceSwitch=0)*K175+(PriceSwitch=1)*(Front!$H$21+K175)+(PriceSwitch=2)*Front!$H$21)</f>
        <v>#VALUE!</v>
      </c>
      <c r="M175" s="93" t="n">
        <f aca="false">INDEX(vols,MATCH(A175,volsmonth,0),2)</f>
        <v>0.17</v>
      </c>
      <c r="N175" s="3" t="e">
        <f aca="false">IF(Skew_Switch=0,"",IF($C175="","",(Front!$E$20=0)*M175+(Front!$E$20=1)*(Front!$E$21+M175)+(Front!$E$20=2)*Front!$E$21))</f>
        <v>#VALUE!</v>
      </c>
      <c r="O175" s="94" t="e">
        <f aca="false">IF(Skew_Switch=0,"",IF(C175="","",((calcskew(Call1-$L175,$C175,a,b))/100)))</f>
        <v>#VALUE!</v>
      </c>
      <c r="P175" s="94" t="e">
        <f aca="false">IF(Skew_Switch=0,"",IF(C175="","",((calcskew(Put1-$L175,$C175,a,b))/100)))</f>
        <v>#VALUE!</v>
      </c>
      <c r="Q175" s="94" t="e">
        <f aca="false">IF(Skew_Switch=0,"",IF(C175="","",((calcskew(Call2-$L175,$C175,a,b))/100)))</f>
        <v>#VALUE!</v>
      </c>
      <c r="R175" s="94" t="e">
        <f aca="false">IF(Skew_Switch=0,"",IF(C175="","",((calcskew(Put2-$L175,$C175,a,b))/100)))</f>
        <v>#VALUE!</v>
      </c>
      <c r="S175" s="3" t="e">
        <f aca="false">IF($C175="","",(Front!$C$19=0)*$N175+(Front!$C$19=1)*($N175+O175))</f>
        <v>#VALUE!</v>
      </c>
      <c r="T175" s="3" t="e">
        <f aca="false">IF($C175="","",(Front!$C$19=0)*$N175+(Front!$C$19=1)*($N175+P175))</f>
        <v>#VALUE!</v>
      </c>
      <c r="U175" s="3" t="e">
        <f aca="false">IF($C175="","",(Front!$C$19=0)*$N175+(Front!$C$19=1)*($N175+Q175))</f>
        <v>#VALUE!</v>
      </c>
      <c r="V175" s="3" t="e">
        <f aca="false">IF($C175="","",(Front!$C$19=0)*$N175+(Front!$C$19=1)*($N175+R175))</f>
        <v>#VALUE!</v>
      </c>
      <c r="W175" s="90" t="e">
        <f aca="false">IF($C175="","",xEURO($L175,Call1,$G175,$G175,S175,$J175,1,0))</f>
        <v>#VALUE!</v>
      </c>
      <c r="X175" s="90" t="e">
        <f aca="false">IF($C175="","",xEURO($L175,Put1,$G175,$G175,T175,$J175,0,0))</f>
        <v>#VALUE!</v>
      </c>
      <c r="Y175" s="90" t="e">
        <f aca="false">IF($C175="","",xEURO($L175,Call2,$G175,$G175,U175,$J175,1,0))</f>
        <v>#VALUE!</v>
      </c>
      <c r="Z175" s="90" t="e">
        <f aca="false">IF($C175="","",xEURO($L175,Put2,$G175,$G175,V175,$J175,0,0))</f>
        <v>#VALUE!</v>
      </c>
      <c r="AA175" s="90" t="e">
        <f aca="false">IF($C175="","",xEURO($L175,Call1,$G175,$G175,$S175,$J175,1,1))</f>
        <v>#VALUE!</v>
      </c>
      <c r="AB175" s="90" t="e">
        <f aca="false">IF($C175="","",xEURO($L175,Put1,$G175,$G175,$T175,$J175,0,1))</f>
        <v>#VALUE!</v>
      </c>
      <c r="AC175" s="90" t="e">
        <f aca="false">IF($C175="","",xEURO($L175,Call2,$G175,$G175,$U175,$J175,1,1))</f>
        <v>#VALUE!</v>
      </c>
      <c r="AD175" s="90" t="e">
        <f aca="false">IF($C175="","",xEURO($L175,Put2,$G175,$G175,$V175,$J175,0,1))</f>
        <v>#VALUE!</v>
      </c>
      <c r="AE175" s="90" t="e">
        <f aca="false">IF($C175="","",xEURO($L175,Call1,$G175,$G175,$S175,$J175,1,3))</f>
        <v>#VALUE!</v>
      </c>
      <c r="AF175" s="90" t="e">
        <f aca="false">IF($C175="","",xEURO($L175,Put1,$G175,$G175,$T175,$J175,0,3))</f>
        <v>#VALUE!</v>
      </c>
      <c r="AG175" s="90" t="e">
        <f aca="false">IF($C175="","",xEURO($L175,Call2,$G175,$G175,$U175,$J175,1,3))</f>
        <v>#VALUE!</v>
      </c>
      <c r="AH175" s="90" t="e">
        <f aca="false">IF($C175="","",xEURO($L175,Put2,$G175,$G175,$V175,$J175,0,3))</f>
        <v>#VALUE!</v>
      </c>
      <c r="AI175" s="8" t="e">
        <f aca="false">IF(E175=1,G175,0)</f>
        <v>#VALUE!</v>
      </c>
      <c r="AJ175" s="8" t="e">
        <f aca="false">IF(E175=1,H175,0)</f>
        <v>#VALUE!</v>
      </c>
      <c r="AK175" s="8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  <c r="IW175" s="0"/>
    </row>
    <row r="176" customFormat="false" ht="12.75" hidden="false" customHeight="false" outlineLevel="0" collapsed="false">
      <c r="A176" s="95" t="n">
        <f aca="false">Swap!A176</f>
        <v>42186</v>
      </c>
      <c r="B176" s="96" t="n">
        <f aca="false">B175+1</f>
        <v>167</v>
      </c>
      <c r="C176" s="95" t="e">
        <f aca="false">IF(AND(A176&gt;=Front!$E$11,A176&lt;=Front!$E$12),A176,"")</f>
        <v>#VALUE!</v>
      </c>
      <c r="D176" s="87" t="e">
        <f aca="false">Swap!AB176</f>
        <v>#VALUE!</v>
      </c>
      <c r="E176" s="87" t="e">
        <f aca="false">IF($C176="","",1)</f>
        <v>#VALUE!</v>
      </c>
      <c r="F176" s="97" t="e">
        <f aca="false">IF($C176="","",E176*H176)</f>
        <v>#VALUE!</v>
      </c>
      <c r="G176" s="31" t="n">
        <f aca="false">Swap!AG176</f>
        <v>0.0588207558796117</v>
      </c>
      <c r="H176" s="31" t="n">
        <f aca="false">Swap!AH176</f>
        <v>1.81051578808712</v>
      </c>
      <c r="I176" s="92" t="n">
        <f aca="false">INDEX(expery,MATCH(A176,exprymonth,0),2)</f>
        <v>42180</v>
      </c>
      <c r="J176" s="98" t="n">
        <f aca="false">I176-Front!$C$2</f>
        <v>-3746</v>
      </c>
      <c r="K176" s="99" t="n">
        <f aca="false">Swap!E176</f>
        <v>4.254</v>
      </c>
      <c r="L176" s="99" t="e">
        <f aca="false">IF(C176="","",(PriceSwitch=0)*K176+(PriceSwitch=1)*(Front!$H$21+K176)+(PriceSwitch=2)*Front!$H$21)</f>
        <v>#VALUE!</v>
      </c>
      <c r="M176" s="93" t="n">
        <f aca="false">INDEX(vols,MATCH(A176,volsmonth,0),2)</f>
        <v>0.17</v>
      </c>
      <c r="N176" s="3" t="e">
        <f aca="false">IF(Skew_Switch=0,"",IF($C176="","",(Front!$E$20=0)*M176+(Front!$E$20=1)*(Front!$E$21+M176)+(Front!$E$20=2)*Front!$E$21))</f>
        <v>#VALUE!</v>
      </c>
      <c r="O176" s="94" t="e">
        <f aca="false">IF(Skew_Switch=0,"",IF(C176="","",((calcskew(Call1-$L176,$C176,a,b))/100)))</f>
        <v>#VALUE!</v>
      </c>
      <c r="P176" s="94" t="e">
        <f aca="false">IF(Skew_Switch=0,"",IF(C176="","",((calcskew(Put1-$L176,$C176,a,b))/100)))</f>
        <v>#VALUE!</v>
      </c>
      <c r="Q176" s="94" t="e">
        <f aca="false">IF(Skew_Switch=0,"",IF(C176="","",((calcskew(Call2-$L176,$C176,a,b))/100)))</f>
        <v>#VALUE!</v>
      </c>
      <c r="R176" s="94" t="e">
        <f aca="false">IF(Skew_Switch=0,"",IF(C176="","",((calcskew(Put2-$L176,$C176,a,b))/100)))</f>
        <v>#VALUE!</v>
      </c>
      <c r="S176" s="3" t="e">
        <f aca="false">IF($C176="","",(Front!$C$19=0)*$N176+(Front!$C$19=1)*($N176+O176))</f>
        <v>#VALUE!</v>
      </c>
      <c r="T176" s="3" t="e">
        <f aca="false">IF($C176="","",(Front!$C$19=0)*$N176+(Front!$C$19=1)*($N176+P176))</f>
        <v>#VALUE!</v>
      </c>
      <c r="U176" s="3" t="e">
        <f aca="false">IF($C176="","",(Front!$C$19=0)*$N176+(Front!$C$19=1)*($N176+Q176))</f>
        <v>#VALUE!</v>
      </c>
      <c r="V176" s="3" t="e">
        <f aca="false">IF($C176="","",(Front!$C$19=0)*$N176+(Front!$C$19=1)*($N176+R176))</f>
        <v>#VALUE!</v>
      </c>
      <c r="W176" s="90" t="e">
        <f aca="false">IF($C176="","",xEURO($L176,Call1,$G176,$G176,S176,$J176,1,0))</f>
        <v>#VALUE!</v>
      </c>
      <c r="X176" s="90" t="e">
        <f aca="false">IF($C176="","",xEURO($L176,Put1,$G176,$G176,T176,$J176,0,0))</f>
        <v>#VALUE!</v>
      </c>
      <c r="Y176" s="90" t="e">
        <f aca="false">IF($C176="","",xEURO($L176,Call2,$G176,$G176,U176,$J176,1,0))</f>
        <v>#VALUE!</v>
      </c>
      <c r="Z176" s="90" t="e">
        <f aca="false">IF($C176="","",xEURO($L176,Put2,$G176,$G176,V176,$J176,0,0))</f>
        <v>#VALUE!</v>
      </c>
      <c r="AA176" s="90" t="e">
        <f aca="false">IF($C176="","",xEURO($L176,Call1,$G176,$G176,$S176,$J176,1,1))</f>
        <v>#VALUE!</v>
      </c>
      <c r="AB176" s="90" t="e">
        <f aca="false">IF($C176="","",xEURO($L176,Put1,$G176,$G176,$T176,$J176,0,1))</f>
        <v>#VALUE!</v>
      </c>
      <c r="AC176" s="90" t="e">
        <f aca="false">IF($C176="","",xEURO($L176,Call2,$G176,$G176,$U176,$J176,1,1))</f>
        <v>#VALUE!</v>
      </c>
      <c r="AD176" s="90" t="e">
        <f aca="false">IF($C176="","",xEURO($L176,Put2,$G176,$G176,$V176,$J176,0,1))</f>
        <v>#VALUE!</v>
      </c>
      <c r="AE176" s="90" t="e">
        <f aca="false">IF($C176="","",xEURO($L176,Call1,$G176,$G176,$S176,$J176,1,3))</f>
        <v>#VALUE!</v>
      </c>
      <c r="AF176" s="90" t="e">
        <f aca="false">IF($C176="","",xEURO($L176,Put1,$G176,$G176,$T176,$J176,0,3))</f>
        <v>#VALUE!</v>
      </c>
      <c r="AG176" s="90" t="e">
        <f aca="false">IF($C176="","",xEURO($L176,Call2,$G176,$G176,$U176,$J176,1,3))</f>
        <v>#VALUE!</v>
      </c>
      <c r="AH176" s="90" t="e">
        <f aca="false">IF($C176="","",xEURO($L176,Put2,$G176,$G176,$V176,$J176,0,3))</f>
        <v>#VALUE!</v>
      </c>
      <c r="AI176" s="8" t="e">
        <f aca="false">IF(E176=1,G176,0)</f>
        <v>#VALUE!</v>
      </c>
      <c r="AJ176" s="8" t="e">
        <f aca="false">IF(E176=1,H176,0)</f>
        <v>#VALUE!</v>
      </c>
      <c r="AK176" s="8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  <c r="IW176" s="0"/>
    </row>
    <row r="177" customFormat="false" ht="12.75" hidden="false" customHeight="false" outlineLevel="0" collapsed="false">
      <c r="A177" s="95" t="n">
        <f aca="false">Swap!A177</f>
        <v>42217</v>
      </c>
      <c r="B177" s="96" t="n">
        <f aca="false">B176+1</f>
        <v>168</v>
      </c>
      <c r="C177" s="95" t="e">
        <f aca="false">IF(AND(A177&gt;=Front!$E$11,A177&lt;=Front!$E$12),A177,"")</f>
        <v>#VALUE!</v>
      </c>
      <c r="D177" s="87" t="e">
        <f aca="false">Swap!AB177</f>
        <v>#VALUE!</v>
      </c>
      <c r="E177" s="87" t="e">
        <f aca="false">IF($C177="","",1)</f>
        <v>#VALUE!</v>
      </c>
      <c r="F177" s="97" t="e">
        <f aca="false">IF($C177="","",E177*H177)</f>
        <v>#VALUE!</v>
      </c>
      <c r="G177" s="31" t="n">
        <f aca="false">Swap!AG177</f>
        <v>0.0588879612972928</v>
      </c>
      <c r="H177" s="31" t="n">
        <f aca="false">Swap!AH177</f>
        <v>1.80282413742117</v>
      </c>
      <c r="I177" s="92" t="n">
        <f aca="false">INDEX(expery,MATCH(A177,exprymonth,0),2)</f>
        <v>42213</v>
      </c>
      <c r="J177" s="98" t="n">
        <f aca="false">I177-Front!$C$2</f>
        <v>-3713</v>
      </c>
      <c r="K177" s="99" t="n">
        <f aca="false">Swap!E177</f>
        <v>4.288</v>
      </c>
      <c r="L177" s="99" t="e">
        <f aca="false">IF(C177="","",(PriceSwitch=0)*K177+(PriceSwitch=1)*(Front!$H$21+K177)+(PriceSwitch=2)*Front!$H$21)</f>
        <v>#VALUE!</v>
      </c>
      <c r="M177" s="93" t="n">
        <f aca="false">INDEX(vols,MATCH(A177,volsmonth,0),2)</f>
        <v>0.17</v>
      </c>
      <c r="N177" s="3" t="e">
        <f aca="false">IF(Skew_Switch=0,"",IF($C177="","",(Front!$E$20=0)*M177+(Front!$E$20=1)*(Front!$E$21+M177)+(Front!$E$20=2)*Front!$E$21))</f>
        <v>#VALUE!</v>
      </c>
      <c r="O177" s="94" t="e">
        <f aca="false">IF(Skew_Switch=0,"",IF(C177="","",((calcskew(Call1-$L177,$C177,a,b))/100)))</f>
        <v>#VALUE!</v>
      </c>
      <c r="P177" s="94" t="e">
        <f aca="false">IF(Skew_Switch=0,"",IF(C177="","",((calcskew(Put1-$L177,$C177,a,b))/100)))</f>
        <v>#VALUE!</v>
      </c>
      <c r="Q177" s="94" t="e">
        <f aca="false">IF(Skew_Switch=0,"",IF(C177="","",((calcskew(Call2-$L177,$C177,a,b))/100)))</f>
        <v>#VALUE!</v>
      </c>
      <c r="R177" s="94" t="e">
        <f aca="false">IF(Skew_Switch=0,"",IF(C177="","",((calcskew(Put2-$L177,$C177,a,b))/100)))</f>
        <v>#VALUE!</v>
      </c>
      <c r="S177" s="3" t="e">
        <f aca="false">IF($C177="","",(Front!$C$19=0)*$N177+(Front!$C$19=1)*($N177+O177))</f>
        <v>#VALUE!</v>
      </c>
      <c r="T177" s="3" t="e">
        <f aca="false">IF($C177="","",(Front!$C$19=0)*$N177+(Front!$C$19=1)*($N177+P177))</f>
        <v>#VALUE!</v>
      </c>
      <c r="U177" s="3" t="e">
        <f aca="false">IF($C177="","",(Front!$C$19=0)*$N177+(Front!$C$19=1)*($N177+Q177))</f>
        <v>#VALUE!</v>
      </c>
      <c r="V177" s="3" t="e">
        <f aca="false">IF($C177="","",(Front!$C$19=0)*$N177+(Front!$C$19=1)*($N177+R177))</f>
        <v>#VALUE!</v>
      </c>
      <c r="W177" s="90" t="e">
        <f aca="false">IF($C177="","",xEURO($L177,Call1,$G177,$G177,S177,$J177,1,0))</f>
        <v>#VALUE!</v>
      </c>
      <c r="X177" s="90" t="e">
        <f aca="false">IF($C177="","",xEURO($L177,Put1,$G177,$G177,T177,$J177,0,0))</f>
        <v>#VALUE!</v>
      </c>
      <c r="Y177" s="90" t="e">
        <f aca="false">IF($C177="","",xEURO($L177,Call2,$G177,$G177,U177,$J177,1,0))</f>
        <v>#VALUE!</v>
      </c>
      <c r="Z177" s="90" t="e">
        <f aca="false">IF($C177="","",xEURO($L177,Put2,$G177,$G177,V177,$J177,0,0))</f>
        <v>#VALUE!</v>
      </c>
      <c r="AA177" s="90" t="e">
        <f aca="false">IF($C177="","",xEURO($L177,Call1,$G177,$G177,$S177,$J177,1,1))</f>
        <v>#VALUE!</v>
      </c>
      <c r="AB177" s="90" t="e">
        <f aca="false">IF($C177="","",xEURO($L177,Put1,$G177,$G177,$T177,$J177,0,1))</f>
        <v>#VALUE!</v>
      </c>
      <c r="AC177" s="90" t="e">
        <f aca="false">IF($C177="","",xEURO($L177,Call2,$G177,$G177,$U177,$J177,1,1))</f>
        <v>#VALUE!</v>
      </c>
      <c r="AD177" s="90" t="e">
        <f aca="false">IF($C177="","",xEURO($L177,Put2,$G177,$G177,$V177,$J177,0,1))</f>
        <v>#VALUE!</v>
      </c>
      <c r="AE177" s="90" t="e">
        <f aca="false">IF($C177="","",xEURO($L177,Call1,$G177,$G177,$S177,$J177,1,3))</f>
        <v>#VALUE!</v>
      </c>
      <c r="AF177" s="90" t="e">
        <f aca="false">IF($C177="","",xEURO($L177,Put1,$G177,$G177,$T177,$J177,0,3))</f>
        <v>#VALUE!</v>
      </c>
      <c r="AG177" s="90" t="e">
        <f aca="false">IF($C177="","",xEURO($L177,Call2,$G177,$G177,$U177,$J177,1,3))</f>
        <v>#VALUE!</v>
      </c>
      <c r="AH177" s="90" t="e">
        <f aca="false">IF($C177="","",xEURO($L177,Put2,$G177,$G177,$V177,$J177,0,3))</f>
        <v>#VALUE!</v>
      </c>
      <c r="AI177" s="8" t="e">
        <f aca="false">IF(E177=1,G177,0)</f>
        <v>#VALUE!</v>
      </c>
      <c r="AJ177" s="8" t="e">
        <f aca="false">IF(E177=1,H177,0)</f>
        <v>#VALUE!</v>
      </c>
      <c r="AK177" s="8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  <c r="IW177" s="0"/>
    </row>
    <row r="178" customFormat="false" ht="12.75" hidden="false" customHeight="false" outlineLevel="0" collapsed="false">
      <c r="A178" s="95" t="n">
        <f aca="false">Swap!A178</f>
        <v>42248</v>
      </c>
      <c r="B178" s="96" t="n">
        <f aca="false">B177+1</f>
        <v>169</v>
      </c>
      <c r="C178" s="95" t="e">
        <f aca="false">IF(AND(A178&gt;=Front!$E$11,A178&lt;=Front!$E$12),A178,"")</f>
        <v>#VALUE!</v>
      </c>
      <c r="D178" s="87" t="e">
        <f aca="false">Swap!AB178</f>
        <v>#VALUE!</v>
      </c>
      <c r="E178" s="87" t="e">
        <f aca="false">IF($C178="","",1)</f>
        <v>#VALUE!</v>
      </c>
      <c r="F178" s="97" t="e">
        <f aca="false">IF($C178="","",E178*H178)</f>
        <v>#VALUE!</v>
      </c>
      <c r="G178" s="31" t="n">
        <f aca="false">Swap!AG178</f>
        <v>0.0589551667164749</v>
      </c>
      <c r="H178" s="31" t="n">
        <f aca="false">Swap!AH178</f>
        <v>1.79514523131279</v>
      </c>
      <c r="I178" s="92" t="n">
        <f aca="false">INDEX(expery,MATCH(A178,exprymonth,0),2)</f>
        <v>42242</v>
      </c>
      <c r="J178" s="98" t="n">
        <f aca="false">I178-Front!$C$2</f>
        <v>-3684</v>
      </c>
      <c r="K178" s="99" t="n">
        <f aca="false">Swap!E178</f>
        <v>4.301</v>
      </c>
      <c r="L178" s="99" t="e">
        <f aca="false">IF(C178="","",(PriceSwitch=0)*K178+(PriceSwitch=1)*(Front!$H$21+K178)+(PriceSwitch=2)*Front!$H$21)</f>
        <v>#VALUE!</v>
      </c>
      <c r="M178" s="93" t="n">
        <f aca="false">INDEX(vols,MATCH(A178,volsmonth,0),2)</f>
        <v>0.17</v>
      </c>
      <c r="N178" s="3" t="e">
        <f aca="false">IF(Skew_Switch=0,"",IF($C178="","",(Front!$E$20=0)*M178+(Front!$E$20=1)*(Front!$E$21+M178)+(Front!$E$20=2)*Front!$E$21))</f>
        <v>#VALUE!</v>
      </c>
      <c r="O178" s="94" t="e">
        <f aca="false">IF(Skew_Switch=0,"",IF(C178="","",((calcskew(Call1-$L178,$C178,a,b))/100)))</f>
        <v>#VALUE!</v>
      </c>
      <c r="P178" s="94" t="e">
        <f aca="false">IF(Skew_Switch=0,"",IF(C178="","",((calcskew(Put1-$L178,$C178,a,b))/100)))</f>
        <v>#VALUE!</v>
      </c>
      <c r="Q178" s="94" t="e">
        <f aca="false">IF(Skew_Switch=0,"",IF(C178="","",((calcskew(Call2-$L178,$C178,a,b))/100)))</f>
        <v>#VALUE!</v>
      </c>
      <c r="R178" s="94" t="e">
        <f aca="false">IF(Skew_Switch=0,"",IF(C178="","",((calcskew(Put2-$L178,$C178,a,b))/100)))</f>
        <v>#VALUE!</v>
      </c>
      <c r="S178" s="3" t="e">
        <f aca="false">IF($C178="","",(Front!$C$19=0)*$N178+(Front!$C$19=1)*($N178+O178))</f>
        <v>#VALUE!</v>
      </c>
      <c r="T178" s="3" t="e">
        <f aca="false">IF($C178="","",(Front!$C$19=0)*$N178+(Front!$C$19=1)*($N178+P178))</f>
        <v>#VALUE!</v>
      </c>
      <c r="U178" s="3" t="e">
        <f aca="false">IF($C178="","",(Front!$C$19=0)*$N178+(Front!$C$19=1)*($N178+Q178))</f>
        <v>#VALUE!</v>
      </c>
      <c r="V178" s="3" t="e">
        <f aca="false">IF($C178="","",(Front!$C$19=0)*$N178+(Front!$C$19=1)*($N178+R178))</f>
        <v>#VALUE!</v>
      </c>
      <c r="W178" s="90" t="e">
        <f aca="false">IF($C178="","",xEURO($L178,Call1,$G178,$G178,S178,$J178,1,0))</f>
        <v>#VALUE!</v>
      </c>
      <c r="X178" s="90" t="e">
        <f aca="false">IF($C178="","",xEURO($L178,Put1,$G178,$G178,T178,$J178,0,0))</f>
        <v>#VALUE!</v>
      </c>
      <c r="Y178" s="90" t="e">
        <f aca="false">IF($C178="","",xEURO($L178,Call2,$G178,$G178,U178,$J178,1,0))</f>
        <v>#VALUE!</v>
      </c>
      <c r="Z178" s="90" t="e">
        <f aca="false">IF($C178="","",xEURO($L178,Put2,$G178,$G178,V178,$J178,0,0))</f>
        <v>#VALUE!</v>
      </c>
      <c r="AA178" s="90" t="e">
        <f aca="false">IF($C178="","",xEURO($L178,Call1,$G178,$G178,$S178,$J178,1,1))</f>
        <v>#VALUE!</v>
      </c>
      <c r="AB178" s="90" t="e">
        <f aca="false">IF($C178="","",xEURO($L178,Put1,$G178,$G178,$T178,$J178,0,1))</f>
        <v>#VALUE!</v>
      </c>
      <c r="AC178" s="90" t="e">
        <f aca="false">IF($C178="","",xEURO($L178,Call2,$G178,$G178,$U178,$J178,1,1))</f>
        <v>#VALUE!</v>
      </c>
      <c r="AD178" s="90" t="e">
        <f aca="false">IF($C178="","",xEURO($L178,Put2,$G178,$G178,$V178,$J178,0,1))</f>
        <v>#VALUE!</v>
      </c>
      <c r="AE178" s="90" t="e">
        <f aca="false">IF($C178="","",xEURO($L178,Call1,$G178,$G178,$S178,$J178,1,3))</f>
        <v>#VALUE!</v>
      </c>
      <c r="AF178" s="90" t="e">
        <f aca="false">IF($C178="","",xEURO($L178,Put1,$G178,$G178,$T178,$J178,0,3))</f>
        <v>#VALUE!</v>
      </c>
      <c r="AG178" s="90" t="e">
        <f aca="false">IF($C178="","",xEURO($L178,Call2,$G178,$G178,$U178,$J178,1,3))</f>
        <v>#VALUE!</v>
      </c>
      <c r="AH178" s="90" t="e">
        <f aca="false">IF($C178="","",xEURO($L178,Put2,$G178,$G178,$V178,$J178,0,3))</f>
        <v>#VALUE!</v>
      </c>
      <c r="AI178" s="8" t="e">
        <f aca="false">IF(E178=1,G178,0)</f>
        <v>#VALUE!</v>
      </c>
      <c r="AJ178" s="8" t="e">
        <f aca="false">IF(E178=1,H178,0)</f>
        <v>#VALUE!</v>
      </c>
      <c r="AK178" s="8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  <c r="IW178" s="0"/>
    </row>
    <row r="179" customFormat="false" ht="12.75" hidden="false" customHeight="false" outlineLevel="0" collapsed="false">
      <c r="A179" s="95" t="n">
        <f aca="false">Swap!A179</f>
        <v>42278</v>
      </c>
      <c r="B179" s="96" t="n">
        <f aca="false">B178+1</f>
        <v>170</v>
      </c>
      <c r="C179" s="95" t="e">
        <f aca="false">IF(AND(A179&gt;=Front!$E$11,A179&lt;=Front!$E$12),A179,"")</f>
        <v>#VALUE!</v>
      </c>
      <c r="D179" s="87" t="e">
        <f aca="false">Swap!AB179</f>
        <v>#VALUE!</v>
      </c>
      <c r="E179" s="87" t="e">
        <f aca="false">IF($C179="","",1)</f>
        <v>#VALUE!</v>
      </c>
      <c r="F179" s="97" t="e">
        <f aca="false">IF($C179="","",E179*H179)</f>
        <v>#VALUE!</v>
      </c>
      <c r="G179" s="31" t="n">
        <f aca="false">Swap!AG179</f>
        <v>0.0590202042203392</v>
      </c>
      <c r="H179" s="31" t="n">
        <f aca="false">Swap!AH179</f>
        <v>1.78772627643241</v>
      </c>
      <c r="I179" s="92" t="n">
        <f aca="false">INDEX(expery,MATCH(A179,exprymonth,0),2)</f>
        <v>42272</v>
      </c>
      <c r="J179" s="98" t="n">
        <f aca="false">I179-Front!$C$2</f>
        <v>-3654</v>
      </c>
      <c r="K179" s="99" t="n">
        <f aca="false">Swap!E179</f>
        <v>4.293</v>
      </c>
      <c r="L179" s="99" t="e">
        <f aca="false">IF(C179="","",(PriceSwitch=0)*K179+(PriceSwitch=1)*(Front!$H$21+K179)+(PriceSwitch=2)*Front!$H$21)</f>
        <v>#VALUE!</v>
      </c>
      <c r="M179" s="93" t="n">
        <f aca="false">INDEX(vols,MATCH(A179,volsmonth,0),2)</f>
        <v>0.17</v>
      </c>
      <c r="N179" s="3" t="e">
        <f aca="false">IF(Skew_Switch=0,"",IF($C179="","",(Front!$E$20=0)*M179+(Front!$E$20=1)*(Front!$E$21+M179)+(Front!$E$20=2)*Front!$E$21))</f>
        <v>#VALUE!</v>
      </c>
      <c r="O179" s="94" t="e">
        <f aca="false">IF(Skew_Switch=0,"",IF(C179="","",((calcskew(Call1-$L179,$C179,a,b))/100)))</f>
        <v>#VALUE!</v>
      </c>
      <c r="P179" s="94" t="e">
        <f aca="false">IF(Skew_Switch=0,"",IF(C179="","",((calcskew(Put1-$L179,$C179,a,b))/100)))</f>
        <v>#VALUE!</v>
      </c>
      <c r="Q179" s="94" t="e">
        <f aca="false">IF(Skew_Switch=0,"",IF(C179="","",((calcskew(Call2-$L179,$C179,a,b))/100)))</f>
        <v>#VALUE!</v>
      </c>
      <c r="R179" s="94" t="e">
        <f aca="false">IF(Skew_Switch=0,"",IF(C179="","",((calcskew(Put2-$L179,$C179,a,b))/100)))</f>
        <v>#VALUE!</v>
      </c>
      <c r="S179" s="3" t="e">
        <f aca="false">IF($C179="","",(Front!$C$19=0)*$N179+(Front!$C$19=1)*($N179+O179))</f>
        <v>#VALUE!</v>
      </c>
      <c r="T179" s="3" t="e">
        <f aca="false">IF($C179="","",(Front!$C$19=0)*$N179+(Front!$C$19=1)*($N179+P179))</f>
        <v>#VALUE!</v>
      </c>
      <c r="U179" s="3" t="e">
        <f aca="false">IF($C179="","",(Front!$C$19=0)*$N179+(Front!$C$19=1)*($N179+Q179))</f>
        <v>#VALUE!</v>
      </c>
      <c r="V179" s="3" t="e">
        <f aca="false">IF($C179="","",(Front!$C$19=0)*$N179+(Front!$C$19=1)*($N179+R179))</f>
        <v>#VALUE!</v>
      </c>
      <c r="W179" s="90" t="e">
        <f aca="false">IF($C179="","",xEURO($L179,Call1,$G179,$G179,S179,$J179,1,0))</f>
        <v>#VALUE!</v>
      </c>
      <c r="X179" s="90" t="e">
        <f aca="false">IF($C179="","",xEURO($L179,Put1,$G179,$G179,T179,$J179,0,0))</f>
        <v>#VALUE!</v>
      </c>
      <c r="Y179" s="90" t="e">
        <f aca="false">IF($C179="","",xEURO($L179,Call2,$G179,$G179,U179,$J179,1,0))</f>
        <v>#VALUE!</v>
      </c>
      <c r="Z179" s="90" t="e">
        <f aca="false">IF($C179="","",xEURO($L179,Put2,$G179,$G179,V179,$J179,0,0))</f>
        <v>#VALUE!</v>
      </c>
      <c r="AA179" s="90" t="e">
        <f aca="false">IF($C179="","",xEURO($L179,Call1,$G179,$G179,$S179,$J179,1,1))</f>
        <v>#VALUE!</v>
      </c>
      <c r="AB179" s="90" t="e">
        <f aca="false">IF($C179="","",xEURO($L179,Put1,$G179,$G179,$T179,$J179,0,1))</f>
        <v>#VALUE!</v>
      </c>
      <c r="AC179" s="90" t="e">
        <f aca="false">IF($C179="","",xEURO($L179,Call2,$G179,$G179,$U179,$J179,1,1))</f>
        <v>#VALUE!</v>
      </c>
      <c r="AD179" s="90" t="e">
        <f aca="false">IF($C179="","",xEURO($L179,Put2,$G179,$G179,$V179,$J179,0,1))</f>
        <v>#VALUE!</v>
      </c>
      <c r="AE179" s="90" t="e">
        <f aca="false">IF($C179="","",xEURO($L179,Call1,$G179,$G179,$S179,$J179,1,3))</f>
        <v>#VALUE!</v>
      </c>
      <c r="AF179" s="90" t="e">
        <f aca="false">IF($C179="","",xEURO($L179,Put1,$G179,$G179,$T179,$J179,0,3))</f>
        <v>#VALUE!</v>
      </c>
      <c r="AG179" s="90" t="e">
        <f aca="false">IF($C179="","",xEURO($L179,Call2,$G179,$G179,$U179,$J179,1,3))</f>
        <v>#VALUE!</v>
      </c>
      <c r="AH179" s="90" t="e">
        <f aca="false">IF($C179="","",xEURO($L179,Put2,$G179,$G179,$V179,$J179,0,3))</f>
        <v>#VALUE!</v>
      </c>
      <c r="AI179" s="8" t="e">
        <f aca="false">IF(E179=1,G179,0)</f>
        <v>#VALUE!</v>
      </c>
      <c r="AJ179" s="8" t="e">
        <f aca="false">IF(E179=1,H179,0)</f>
        <v>#VALUE!</v>
      </c>
      <c r="AK179" s="8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  <c r="IW179" s="0"/>
    </row>
    <row r="180" customFormat="false" ht="12.75" hidden="false" customHeight="false" outlineLevel="0" collapsed="false">
      <c r="A180" s="95" t="n">
        <f aca="false">Swap!A180</f>
        <v>42309</v>
      </c>
      <c r="B180" s="96" t="n">
        <f aca="false">B179+1</f>
        <v>171</v>
      </c>
      <c r="C180" s="95" t="e">
        <f aca="false">IF(AND(A180&gt;=Front!$E$11,A180&lt;=Front!$E$12),A180,"")</f>
        <v>#VALUE!</v>
      </c>
      <c r="D180" s="87" t="e">
        <f aca="false">Swap!AB180</f>
        <v>#VALUE!</v>
      </c>
      <c r="E180" s="87" t="e">
        <f aca="false">IF($C180="","",1)</f>
        <v>#VALUE!</v>
      </c>
      <c r="F180" s="97" t="e">
        <f aca="false">IF($C180="","",E180*H180)</f>
        <v>#VALUE!</v>
      </c>
      <c r="G180" s="31" t="n">
        <f aca="false">Swap!AG180</f>
        <v>0.0590874096424758</v>
      </c>
      <c r="H180" s="31" t="n">
        <f aca="false">Swap!AH180</f>
        <v>1.78007278861386</v>
      </c>
      <c r="I180" s="92" t="n">
        <f aca="false">INDEX(expery,MATCH(A180,exprymonth,0),2)</f>
        <v>42304</v>
      </c>
      <c r="J180" s="98" t="n">
        <f aca="false">I180-Front!$C$2</f>
        <v>-3622</v>
      </c>
      <c r="K180" s="99" t="n">
        <f aca="false">Swap!E180</f>
        <v>4.463</v>
      </c>
      <c r="L180" s="99" t="e">
        <f aca="false">IF(C180="","",(PriceSwitch=0)*K180+(PriceSwitch=1)*(Front!$H$21+K180)+(PriceSwitch=2)*Front!$H$21)</f>
        <v>#VALUE!</v>
      </c>
      <c r="M180" s="93" t="n">
        <f aca="false">INDEX(vols,MATCH(A180,volsmonth,0),2)</f>
        <v>0.17</v>
      </c>
      <c r="N180" s="3" t="e">
        <f aca="false">IF(Skew_Switch=0,"",IF($C180="","",(Front!$E$20=0)*M180+(Front!$E$20=1)*(Front!$E$21+M180)+(Front!$E$20=2)*Front!$E$21))</f>
        <v>#VALUE!</v>
      </c>
      <c r="O180" s="94" t="e">
        <f aca="false">IF(Skew_Switch=0,"",IF(C180="","",((calcskew(Call1-$L180,$C180,a,b))/100)))</f>
        <v>#VALUE!</v>
      </c>
      <c r="P180" s="94" t="e">
        <f aca="false">IF(Skew_Switch=0,"",IF(C180="","",((calcskew(Put1-$L180,$C180,a,b))/100)))</f>
        <v>#VALUE!</v>
      </c>
      <c r="Q180" s="94" t="e">
        <f aca="false">IF(Skew_Switch=0,"",IF(C180="","",((calcskew(Call2-$L180,$C180,a,b))/100)))</f>
        <v>#VALUE!</v>
      </c>
      <c r="R180" s="94" t="e">
        <f aca="false">IF(Skew_Switch=0,"",IF(C180="","",((calcskew(Put2-$L180,$C180,a,b))/100)))</f>
        <v>#VALUE!</v>
      </c>
      <c r="S180" s="3" t="e">
        <f aca="false">IF($C180="","",(Front!$C$19=0)*$N180+(Front!$C$19=1)*($N180+O180))</f>
        <v>#VALUE!</v>
      </c>
      <c r="T180" s="3" t="e">
        <f aca="false">IF($C180="","",(Front!$C$19=0)*$N180+(Front!$C$19=1)*($N180+P180))</f>
        <v>#VALUE!</v>
      </c>
      <c r="U180" s="3" t="e">
        <f aca="false">IF($C180="","",(Front!$C$19=0)*$N180+(Front!$C$19=1)*($N180+Q180))</f>
        <v>#VALUE!</v>
      </c>
      <c r="V180" s="3" t="e">
        <f aca="false">IF($C180="","",(Front!$C$19=0)*$N180+(Front!$C$19=1)*($N180+R180))</f>
        <v>#VALUE!</v>
      </c>
      <c r="W180" s="90" t="e">
        <f aca="false">IF($C180="","",xEURO($L180,Call1,$G180,$G180,S180,$J180,1,0))</f>
        <v>#VALUE!</v>
      </c>
      <c r="X180" s="90" t="e">
        <f aca="false">IF($C180="","",xEURO($L180,Put1,$G180,$G180,T180,$J180,0,0))</f>
        <v>#VALUE!</v>
      </c>
      <c r="Y180" s="90" t="e">
        <f aca="false">IF($C180="","",xEURO($L180,Call2,$G180,$G180,U180,$J180,1,0))</f>
        <v>#VALUE!</v>
      </c>
      <c r="Z180" s="90" t="e">
        <f aca="false">IF($C180="","",xEURO($L180,Put2,$G180,$G180,V180,$J180,0,0))</f>
        <v>#VALUE!</v>
      </c>
      <c r="AA180" s="90" t="e">
        <f aca="false">IF($C180="","",xEURO($L180,Call1,$G180,$G180,$S180,$J180,1,1))</f>
        <v>#VALUE!</v>
      </c>
      <c r="AB180" s="90" t="e">
        <f aca="false">IF($C180="","",xEURO($L180,Put1,$G180,$G180,$T180,$J180,0,1))</f>
        <v>#VALUE!</v>
      </c>
      <c r="AC180" s="90" t="e">
        <f aca="false">IF($C180="","",xEURO($L180,Call2,$G180,$G180,$U180,$J180,1,1))</f>
        <v>#VALUE!</v>
      </c>
      <c r="AD180" s="90" t="e">
        <f aca="false">IF($C180="","",xEURO($L180,Put2,$G180,$G180,$V180,$J180,0,1))</f>
        <v>#VALUE!</v>
      </c>
      <c r="AE180" s="90" t="e">
        <f aca="false">IF($C180="","",xEURO($L180,Call1,$G180,$G180,$S180,$J180,1,3))</f>
        <v>#VALUE!</v>
      </c>
      <c r="AF180" s="90" t="e">
        <f aca="false">IF($C180="","",xEURO($L180,Put1,$G180,$G180,$T180,$J180,0,3))</f>
        <v>#VALUE!</v>
      </c>
      <c r="AG180" s="90" t="e">
        <f aca="false">IF($C180="","",xEURO($L180,Call2,$G180,$G180,$U180,$J180,1,3))</f>
        <v>#VALUE!</v>
      </c>
      <c r="AH180" s="90" t="e">
        <f aca="false">IF($C180="","",xEURO($L180,Put2,$G180,$G180,$V180,$J180,0,3))</f>
        <v>#VALUE!</v>
      </c>
      <c r="AI180" s="8" t="e">
        <f aca="false">IF(E180=1,G180,0)</f>
        <v>#VALUE!</v>
      </c>
      <c r="AJ180" s="8" t="e">
        <f aca="false">IF(E180=1,H180,0)</f>
        <v>#VALUE!</v>
      </c>
      <c r="AK180" s="8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  <c r="IW180" s="0"/>
    </row>
    <row r="181" customFormat="false" ht="12.75" hidden="false" customHeight="false" outlineLevel="0" collapsed="false">
      <c r="A181" s="95" t="n">
        <f aca="false">Swap!A181</f>
        <v>42339</v>
      </c>
      <c r="B181" s="96" t="n">
        <f aca="false">B180+1</f>
        <v>172</v>
      </c>
      <c r="C181" s="95" t="e">
        <f aca="false">IF(AND(A181&gt;=Front!$E$11,A181&lt;=Front!$E$12),A181,"")</f>
        <v>#VALUE!</v>
      </c>
      <c r="D181" s="87" t="e">
        <f aca="false">Swap!AB181</f>
        <v>#VALUE!</v>
      </c>
      <c r="E181" s="87" t="e">
        <f aca="false">IF($C181="","",1)</f>
        <v>#VALUE!</v>
      </c>
      <c r="F181" s="97" t="e">
        <f aca="false">IF($C181="","",E181*H181)</f>
        <v>#VALUE!</v>
      </c>
      <c r="G181" s="31" t="n">
        <f aca="false">Swap!AG181</f>
        <v>0.0591524471491986</v>
      </c>
      <c r="H181" s="31" t="n">
        <f aca="false">Swap!AH181</f>
        <v>1.77267864840319</v>
      </c>
      <c r="I181" s="92" t="n">
        <f aca="false">INDEX(expery,MATCH(A181,exprymonth,0),2)</f>
        <v>42332</v>
      </c>
      <c r="J181" s="98" t="n">
        <f aca="false">I181-Front!$C$2</f>
        <v>-3594</v>
      </c>
      <c r="K181" s="99" t="n">
        <f aca="false">Swap!E181</f>
        <v>4.638</v>
      </c>
      <c r="L181" s="99" t="e">
        <f aca="false">IF(C181="","",(PriceSwitch=0)*K181+(PriceSwitch=1)*(Front!$H$21+K181)+(PriceSwitch=2)*Front!$H$21)</f>
        <v>#VALUE!</v>
      </c>
      <c r="M181" s="93" t="n">
        <f aca="false">INDEX(vols,MATCH(A181,volsmonth,0),2)</f>
        <v>0.17</v>
      </c>
      <c r="N181" s="3" t="e">
        <f aca="false">IF(Skew_Switch=0,"",IF($C181="","",(Front!$E$20=0)*M181+(Front!$E$20=1)*(Front!$E$21+M181)+(Front!$E$20=2)*Front!$E$21))</f>
        <v>#VALUE!</v>
      </c>
      <c r="O181" s="94" t="e">
        <f aca="false">IF(Skew_Switch=0,"",IF(C181="","",((calcskew(Call1-$L181,$C181,a,b))/100)))</f>
        <v>#VALUE!</v>
      </c>
      <c r="P181" s="94" t="e">
        <f aca="false">IF(Skew_Switch=0,"",IF(C181="","",((calcskew(Put1-$L181,$C181,a,b))/100)))</f>
        <v>#VALUE!</v>
      </c>
      <c r="Q181" s="94" t="e">
        <f aca="false">IF(Skew_Switch=0,"",IF(C181="","",((calcskew(Call2-$L181,$C181,a,b))/100)))</f>
        <v>#VALUE!</v>
      </c>
      <c r="R181" s="94" t="e">
        <f aca="false">IF(Skew_Switch=0,"",IF(C181="","",((calcskew(Put2-$L181,$C181,a,b))/100)))</f>
        <v>#VALUE!</v>
      </c>
      <c r="S181" s="3" t="e">
        <f aca="false">IF($C181="","",(Front!$C$19=0)*$N181+(Front!$C$19=1)*($N181+O181))</f>
        <v>#VALUE!</v>
      </c>
      <c r="T181" s="3" t="e">
        <f aca="false">IF($C181="","",(Front!$C$19=0)*$N181+(Front!$C$19=1)*($N181+P181))</f>
        <v>#VALUE!</v>
      </c>
      <c r="U181" s="3" t="e">
        <f aca="false">IF($C181="","",(Front!$C$19=0)*$N181+(Front!$C$19=1)*($N181+Q181))</f>
        <v>#VALUE!</v>
      </c>
      <c r="V181" s="3" t="e">
        <f aca="false">IF($C181="","",(Front!$C$19=0)*$N181+(Front!$C$19=1)*($N181+R181))</f>
        <v>#VALUE!</v>
      </c>
      <c r="W181" s="90" t="e">
        <f aca="false">IF($C181="","",xEURO($L181,Call1,$G181,$G181,S181,$J181,1,0))</f>
        <v>#VALUE!</v>
      </c>
      <c r="X181" s="90" t="e">
        <f aca="false">IF($C181="","",xEURO($L181,Put1,$G181,$G181,T181,$J181,0,0))</f>
        <v>#VALUE!</v>
      </c>
      <c r="Y181" s="90" t="e">
        <f aca="false">IF($C181="","",xEURO($L181,Call2,$G181,$G181,U181,$J181,1,0))</f>
        <v>#VALUE!</v>
      </c>
      <c r="Z181" s="90" t="e">
        <f aca="false">IF($C181="","",xEURO($L181,Put2,$G181,$G181,V181,$J181,0,0))</f>
        <v>#VALUE!</v>
      </c>
      <c r="AA181" s="90" t="e">
        <f aca="false">IF($C181="","",xEURO($L181,Call1,$G181,$G181,$S181,$J181,1,1))</f>
        <v>#VALUE!</v>
      </c>
      <c r="AB181" s="90" t="e">
        <f aca="false">IF($C181="","",xEURO($L181,Put1,$G181,$G181,$T181,$J181,0,1))</f>
        <v>#VALUE!</v>
      </c>
      <c r="AC181" s="90" t="e">
        <f aca="false">IF($C181="","",xEURO($L181,Call2,$G181,$G181,$U181,$J181,1,1))</f>
        <v>#VALUE!</v>
      </c>
      <c r="AD181" s="90" t="e">
        <f aca="false">IF($C181="","",xEURO($L181,Put2,$G181,$G181,$V181,$J181,0,1))</f>
        <v>#VALUE!</v>
      </c>
      <c r="AE181" s="90" t="e">
        <f aca="false">IF($C181="","",xEURO($L181,Call1,$G181,$G181,$S181,$J181,1,3))</f>
        <v>#VALUE!</v>
      </c>
      <c r="AF181" s="90" t="e">
        <f aca="false">IF($C181="","",xEURO($L181,Put1,$G181,$G181,$T181,$J181,0,3))</f>
        <v>#VALUE!</v>
      </c>
      <c r="AG181" s="90" t="e">
        <f aca="false">IF($C181="","",xEURO($L181,Call2,$G181,$G181,$U181,$J181,1,3))</f>
        <v>#VALUE!</v>
      </c>
      <c r="AH181" s="90" t="e">
        <f aca="false">IF($C181="","",xEURO($L181,Put2,$G181,$G181,$V181,$J181,0,3))</f>
        <v>#VALUE!</v>
      </c>
      <c r="AI181" s="8" t="e">
        <f aca="false">IF(E181=1,G181,0)</f>
        <v>#VALUE!</v>
      </c>
      <c r="AJ181" s="8" t="e">
        <f aca="false">IF(E181=1,H181,0)</f>
        <v>#VALUE!</v>
      </c>
      <c r="AK181" s="8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  <c r="IW181" s="0"/>
    </row>
    <row r="182" customFormat="false" ht="12.75" hidden="false" customHeight="false" outlineLevel="0" collapsed="false">
      <c r="A182" s="95" t="n">
        <f aca="false">Swap!A182</f>
        <v>42370</v>
      </c>
      <c r="B182" s="96" t="n">
        <f aca="false">B181+1</f>
        <v>173</v>
      </c>
      <c r="C182" s="95" t="e">
        <f aca="false">IF(AND(A182&gt;=Front!$E$11,A182&lt;=Front!$E$12),A182,"")</f>
        <v>#VALUE!</v>
      </c>
      <c r="D182" s="87" t="e">
        <f aca="false">Swap!AB182</f>
        <v>#VALUE!</v>
      </c>
      <c r="E182" s="87" t="e">
        <f aca="false">IF($C182="","",1)</f>
        <v>#VALUE!</v>
      </c>
      <c r="F182" s="97" t="e">
        <f aca="false">IF($C182="","",E182*H182)</f>
        <v>#VALUE!</v>
      </c>
      <c r="G182" s="31" t="n">
        <f aca="false">Swap!AG182</f>
        <v>0.0592196525742898</v>
      </c>
      <c r="H182" s="31" t="n">
        <f aca="false">Swap!AH182</f>
        <v>1.76505102414539</v>
      </c>
      <c r="I182" s="92" t="n">
        <f aca="false">INDEX(expery,MATCH(A182,exprymonth,0),2)</f>
        <v>42366</v>
      </c>
      <c r="J182" s="98" t="n">
        <f aca="false">I182-Front!$C$2</f>
        <v>-3560</v>
      </c>
      <c r="K182" s="99" t="n">
        <f aca="false">Swap!E182</f>
        <v>4.6955</v>
      </c>
      <c r="L182" s="99" t="e">
        <f aca="false">IF(C182="","",(PriceSwitch=0)*K182+(PriceSwitch=1)*(Front!$H$21+K182)+(PriceSwitch=2)*Front!$H$21)</f>
        <v>#VALUE!</v>
      </c>
      <c r="M182" s="93" t="n">
        <f aca="false">INDEX(vols,MATCH(A182,volsmonth,0),2)</f>
        <v>0.17</v>
      </c>
      <c r="N182" s="3" t="e">
        <f aca="false">IF(Skew_Switch=0,"",IF($C182="","",(Front!$E$20=0)*M182+(Front!$E$20=1)*(Front!$E$21+M182)+(Front!$E$20=2)*Front!$E$21))</f>
        <v>#VALUE!</v>
      </c>
      <c r="O182" s="94" t="e">
        <f aca="false">IF(Skew_Switch=0,"",IF(C182="","",((calcskew(Call1-$L182,$C182,a,b))/100)))</f>
        <v>#VALUE!</v>
      </c>
      <c r="P182" s="94" t="e">
        <f aca="false">IF(Skew_Switch=0,"",IF(C182="","",((calcskew(Put1-$L182,$C182,a,b))/100)))</f>
        <v>#VALUE!</v>
      </c>
      <c r="Q182" s="94" t="e">
        <f aca="false">IF(Skew_Switch=0,"",IF(C182="","",((calcskew(Call2-$L182,$C182,a,b))/100)))</f>
        <v>#VALUE!</v>
      </c>
      <c r="R182" s="94" t="e">
        <f aca="false">IF(Skew_Switch=0,"",IF(C182="","",((calcskew(Put2-$L182,$C182,a,b))/100)))</f>
        <v>#VALUE!</v>
      </c>
      <c r="S182" s="3" t="e">
        <f aca="false">IF($C182="","",(Front!$C$19=0)*$N182+(Front!$C$19=1)*($N182+O182))</f>
        <v>#VALUE!</v>
      </c>
      <c r="T182" s="3" t="e">
        <f aca="false">IF($C182="","",(Front!$C$19=0)*$N182+(Front!$C$19=1)*($N182+P182))</f>
        <v>#VALUE!</v>
      </c>
      <c r="U182" s="3" t="e">
        <f aca="false">IF($C182="","",(Front!$C$19=0)*$N182+(Front!$C$19=1)*($N182+Q182))</f>
        <v>#VALUE!</v>
      </c>
      <c r="V182" s="3" t="e">
        <f aca="false">IF($C182="","",(Front!$C$19=0)*$N182+(Front!$C$19=1)*($N182+R182))</f>
        <v>#VALUE!</v>
      </c>
      <c r="W182" s="90" t="e">
        <f aca="false">IF($C182="","",xEURO($L182,Call1,$G182,$G182,S182,$J182,1,0))</f>
        <v>#VALUE!</v>
      </c>
      <c r="X182" s="90" t="e">
        <f aca="false">IF($C182="","",xEURO($L182,Put1,$G182,$G182,T182,$J182,0,0))</f>
        <v>#VALUE!</v>
      </c>
      <c r="Y182" s="90" t="e">
        <f aca="false">IF($C182="","",xEURO($L182,Call2,$G182,$G182,U182,$J182,1,0))</f>
        <v>#VALUE!</v>
      </c>
      <c r="Z182" s="90" t="e">
        <f aca="false">IF($C182="","",xEURO($L182,Put2,$G182,$G182,V182,$J182,0,0))</f>
        <v>#VALUE!</v>
      </c>
      <c r="AA182" s="90" t="e">
        <f aca="false">IF($C182="","",xEURO($L182,Call1,$G182,$G182,$S182,$J182,1,1))</f>
        <v>#VALUE!</v>
      </c>
      <c r="AB182" s="90" t="e">
        <f aca="false">IF($C182="","",xEURO($L182,Put1,$G182,$G182,$T182,$J182,0,1))</f>
        <v>#VALUE!</v>
      </c>
      <c r="AC182" s="90" t="e">
        <f aca="false">IF($C182="","",xEURO($L182,Call2,$G182,$G182,$U182,$J182,1,1))</f>
        <v>#VALUE!</v>
      </c>
      <c r="AD182" s="90" t="e">
        <f aca="false">IF($C182="","",xEURO($L182,Put2,$G182,$G182,$V182,$J182,0,1))</f>
        <v>#VALUE!</v>
      </c>
      <c r="AE182" s="90" t="e">
        <f aca="false">IF($C182="","",xEURO($L182,Call1,$G182,$G182,$S182,$J182,1,3))</f>
        <v>#VALUE!</v>
      </c>
      <c r="AF182" s="90" t="e">
        <f aca="false">IF($C182="","",xEURO($L182,Put1,$G182,$G182,$T182,$J182,0,3))</f>
        <v>#VALUE!</v>
      </c>
      <c r="AG182" s="90" t="e">
        <f aca="false">IF($C182="","",xEURO($L182,Call2,$G182,$G182,$U182,$J182,1,3))</f>
        <v>#VALUE!</v>
      </c>
      <c r="AH182" s="90" t="e">
        <f aca="false">IF($C182="","",xEURO($L182,Put2,$G182,$G182,$V182,$J182,0,3))</f>
        <v>#VALUE!</v>
      </c>
      <c r="AI182" s="8" t="e">
        <f aca="false">IF(E182=1,G182,0)</f>
        <v>#VALUE!</v>
      </c>
      <c r="AJ182" s="8" t="e">
        <f aca="false">IF(E182=1,H182,0)</f>
        <v>#VALUE!</v>
      </c>
      <c r="AK182" s="8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  <c r="IW182" s="0"/>
    </row>
    <row r="183" customFormat="false" ht="12.75" hidden="false" customHeight="false" outlineLevel="0" collapsed="false">
      <c r="A183" s="95" t="n">
        <f aca="false">Swap!A183</f>
        <v>42401</v>
      </c>
      <c r="B183" s="96" t="n">
        <f aca="false">B182+1</f>
        <v>174</v>
      </c>
      <c r="C183" s="95" t="e">
        <f aca="false">IF(AND(A183&gt;=Front!$E$11,A183&lt;=Front!$E$12),A183,"")</f>
        <v>#VALUE!</v>
      </c>
      <c r="D183" s="87" t="e">
        <f aca="false">Swap!AB183</f>
        <v>#VALUE!</v>
      </c>
      <c r="E183" s="87" t="e">
        <f aca="false">IF($C183="","",1)</f>
        <v>#VALUE!</v>
      </c>
      <c r="F183" s="97" t="e">
        <f aca="false">IF($C183="","",E183*H183)</f>
        <v>#VALUE!</v>
      </c>
      <c r="G183" s="31" t="n">
        <f aca="false">Swap!AG183</f>
        <v>0.0592868580008821</v>
      </c>
      <c r="H183" s="31" t="n">
        <f aca="false">Swap!AH183</f>
        <v>1.75743671200925</v>
      </c>
      <c r="I183" s="92" t="n">
        <f aca="false">INDEX(expery,MATCH(A183,exprymonth,0),2)</f>
        <v>42395</v>
      </c>
      <c r="J183" s="98" t="n">
        <f aca="false">I183-Front!$C$2</f>
        <v>-3531</v>
      </c>
      <c r="K183" s="99" t="n">
        <f aca="false">Swap!E183</f>
        <v>4.5815</v>
      </c>
      <c r="L183" s="99" t="e">
        <f aca="false">IF(C183="","",(PriceSwitch=0)*K183+(PriceSwitch=1)*(Front!$H$21+K183)+(PriceSwitch=2)*Front!$H$21)</f>
        <v>#VALUE!</v>
      </c>
      <c r="M183" s="93" t="n">
        <f aca="false">INDEX(vols,MATCH(A183,volsmonth,0),2)</f>
        <v>0.17</v>
      </c>
      <c r="N183" s="3" t="e">
        <f aca="false">IF(Skew_Switch=0,"",IF($C183="","",(Front!$E$20=0)*M183+(Front!$E$20=1)*(Front!$E$21+M183)+(Front!$E$20=2)*Front!$E$21))</f>
        <v>#VALUE!</v>
      </c>
      <c r="O183" s="94" t="e">
        <f aca="false">IF(Skew_Switch=0,"",IF(C183="","",((calcskew(Call1-$L183,$C183,a,b))/100)))</f>
        <v>#VALUE!</v>
      </c>
      <c r="P183" s="94" t="e">
        <f aca="false">IF(Skew_Switch=0,"",IF(C183="","",((calcskew(Put1-$L183,$C183,a,b))/100)))</f>
        <v>#VALUE!</v>
      </c>
      <c r="Q183" s="94" t="e">
        <f aca="false">IF(Skew_Switch=0,"",IF(C183="","",((calcskew(Call2-$L183,$C183,a,b))/100)))</f>
        <v>#VALUE!</v>
      </c>
      <c r="R183" s="94" t="e">
        <f aca="false">IF(Skew_Switch=0,"",IF(C183="","",((calcskew(Put2-$L183,$C183,a,b))/100)))</f>
        <v>#VALUE!</v>
      </c>
      <c r="S183" s="3" t="e">
        <f aca="false">IF($C183="","",(Front!$C$19=0)*$N183+(Front!$C$19=1)*($N183+O183))</f>
        <v>#VALUE!</v>
      </c>
      <c r="T183" s="3" t="e">
        <f aca="false">IF($C183="","",(Front!$C$19=0)*$N183+(Front!$C$19=1)*($N183+P183))</f>
        <v>#VALUE!</v>
      </c>
      <c r="U183" s="3" t="e">
        <f aca="false">IF($C183="","",(Front!$C$19=0)*$N183+(Front!$C$19=1)*($N183+Q183))</f>
        <v>#VALUE!</v>
      </c>
      <c r="V183" s="3" t="e">
        <f aca="false">IF($C183="","",(Front!$C$19=0)*$N183+(Front!$C$19=1)*($N183+R183))</f>
        <v>#VALUE!</v>
      </c>
      <c r="W183" s="90" t="e">
        <f aca="false">IF($C183="","",xEURO($L183,Call1,$G183,$G183,S183,$J183,1,0))</f>
        <v>#VALUE!</v>
      </c>
      <c r="X183" s="90" t="e">
        <f aca="false">IF($C183="","",xEURO($L183,Put1,$G183,$G183,T183,$J183,0,0))</f>
        <v>#VALUE!</v>
      </c>
      <c r="Y183" s="90" t="e">
        <f aca="false">IF($C183="","",xEURO($L183,Call2,$G183,$G183,U183,$J183,1,0))</f>
        <v>#VALUE!</v>
      </c>
      <c r="Z183" s="90" t="e">
        <f aca="false">IF($C183="","",xEURO($L183,Put2,$G183,$G183,V183,$J183,0,0))</f>
        <v>#VALUE!</v>
      </c>
      <c r="AA183" s="90" t="e">
        <f aca="false">IF($C183="","",xEURO($L183,Call1,$G183,$G183,$S183,$J183,1,1))</f>
        <v>#VALUE!</v>
      </c>
      <c r="AB183" s="90" t="e">
        <f aca="false">IF($C183="","",xEURO($L183,Put1,$G183,$G183,$T183,$J183,0,1))</f>
        <v>#VALUE!</v>
      </c>
      <c r="AC183" s="90" t="e">
        <f aca="false">IF($C183="","",xEURO($L183,Call2,$G183,$G183,$U183,$J183,1,1))</f>
        <v>#VALUE!</v>
      </c>
      <c r="AD183" s="90" t="e">
        <f aca="false">IF($C183="","",xEURO($L183,Put2,$G183,$G183,$V183,$J183,0,1))</f>
        <v>#VALUE!</v>
      </c>
      <c r="AE183" s="90" t="e">
        <f aca="false">IF($C183="","",xEURO($L183,Call1,$G183,$G183,$S183,$J183,1,3))</f>
        <v>#VALUE!</v>
      </c>
      <c r="AF183" s="90" t="e">
        <f aca="false">IF($C183="","",xEURO($L183,Put1,$G183,$G183,$T183,$J183,0,3))</f>
        <v>#VALUE!</v>
      </c>
      <c r="AG183" s="90" t="e">
        <f aca="false">IF($C183="","",xEURO($L183,Call2,$G183,$G183,$U183,$J183,1,3))</f>
        <v>#VALUE!</v>
      </c>
      <c r="AH183" s="90" t="e">
        <f aca="false">IF($C183="","",xEURO($L183,Put2,$G183,$G183,$V183,$J183,0,3))</f>
        <v>#VALUE!</v>
      </c>
      <c r="AI183" s="8" t="e">
        <f aca="false">IF(E183=1,G183,0)</f>
        <v>#VALUE!</v>
      </c>
      <c r="AJ183" s="8" t="e">
        <f aca="false">IF(E183=1,H183,0)</f>
        <v>#VALUE!</v>
      </c>
      <c r="AK183" s="8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  <c r="IW183" s="0"/>
    </row>
    <row r="184" customFormat="false" ht="12.75" hidden="false" customHeight="false" outlineLevel="0" collapsed="false">
      <c r="A184" s="95" t="n">
        <f aca="false">Swap!A184</f>
        <v>42430</v>
      </c>
      <c r="B184" s="96" t="n">
        <f aca="false">B183+1</f>
        <v>175</v>
      </c>
      <c r="C184" s="95" t="e">
        <f aca="false">IF(AND(A184&gt;=Front!$E$11,A184&lt;=Front!$E$12),A184,"")</f>
        <v>#VALUE!</v>
      </c>
      <c r="D184" s="87" t="e">
        <f aca="false">Swap!AB184</f>
        <v>#VALUE!</v>
      </c>
      <c r="E184" s="87" t="e">
        <f aca="false">IF($C184="","",1)</f>
        <v>#VALUE!</v>
      </c>
      <c r="F184" s="97" t="e">
        <f aca="false">IF($C184="","",E184*H184)</f>
        <v>#VALUE!</v>
      </c>
      <c r="G184" s="31" t="n">
        <f aca="false">Swap!AG184</f>
        <v>0.05934972759486</v>
      </c>
      <c r="H184" s="31" t="n">
        <f aca="false">Swap!AH184</f>
        <v>1.75032579678185</v>
      </c>
      <c r="I184" s="92" t="n">
        <f aca="false">INDEX(expery,MATCH(A184,exprymonth,0),2)</f>
        <v>42424</v>
      </c>
      <c r="J184" s="98" t="n">
        <f aca="false">I184-Front!$C$2</f>
        <v>-3502</v>
      </c>
      <c r="K184" s="99" t="n">
        <f aca="false">Swap!E184</f>
        <v>4.4495</v>
      </c>
      <c r="L184" s="99" t="e">
        <f aca="false">IF(C184="","",(PriceSwitch=0)*K184+(PriceSwitch=1)*(Front!$H$21+K184)+(PriceSwitch=2)*Front!$H$21)</f>
        <v>#VALUE!</v>
      </c>
      <c r="M184" s="93" t="n">
        <f aca="false">INDEX(vols,MATCH(A184,volsmonth,0),2)</f>
        <v>0.17</v>
      </c>
      <c r="N184" s="3" t="e">
        <f aca="false">IF(Skew_Switch=0,"",IF($C184="","",(Front!$E$20=0)*M184+(Front!$E$20=1)*(Front!$E$21+M184)+(Front!$E$20=2)*Front!$E$21))</f>
        <v>#VALUE!</v>
      </c>
      <c r="O184" s="94" t="e">
        <f aca="false">IF(Skew_Switch=0,"",IF(C184="","",((calcskew(Call1-$L184,$C184,a,b))/100)))</f>
        <v>#VALUE!</v>
      </c>
      <c r="P184" s="94" t="e">
        <f aca="false">IF(Skew_Switch=0,"",IF(C184="","",((calcskew(Put1-$L184,$C184,a,b))/100)))</f>
        <v>#VALUE!</v>
      </c>
      <c r="Q184" s="94" t="e">
        <f aca="false">IF(Skew_Switch=0,"",IF(C184="","",((calcskew(Call2-$L184,$C184,a,b))/100)))</f>
        <v>#VALUE!</v>
      </c>
      <c r="R184" s="94" t="e">
        <f aca="false">IF(Skew_Switch=0,"",IF(C184="","",((calcskew(Put2-$L184,$C184,a,b))/100)))</f>
        <v>#VALUE!</v>
      </c>
      <c r="S184" s="3" t="e">
        <f aca="false">IF($C184="","",(Front!$C$19=0)*$N184+(Front!$C$19=1)*($N184+O184))</f>
        <v>#VALUE!</v>
      </c>
      <c r="T184" s="3" t="e">
        <f aca="false">IF($C184="","",(Front!$C$19=0)*$N184+(Front!$C$19=1)*($N184+P184))</f>
        <v>#VALUE!</v>
      </c>
      <c r="U184" s="3" t="e">
        <f aca="false">IF($C184="","",(Front!$C$19=0)*$N184+(Front!$C$19=1)*($N184+Q184))</f>
        <v>#VALUE!</v>
      </c>
      <c r="V184" s="3" t="e">
        <f aca="false">IF($C184="","",(Front!$C$19=0)*$N184+(Front!$C$19=1)*($N184+R184))</f>
        <v>#VALUE!</v>
      </c>
      <c r="W184" s="90" t="e">
        <f aca="false">IF($C184="","",xEURO($L184,Call1,$G184,$G184,S184,$J184,1,0))</f>
        <v>#VALUE!</v>
      </c>
      <c r="X184" s="90" t="e">
        <f aca="false">IF($C184="","",xEURO($L184,Put1,$G184,$G184,T184,$J184,0,0))</f>
        <v>#VALUE!</v>
      </c>
      <c r="Y184" s="90" t="e">
        <f aca="false">IF($C184="","",xEURO($L184,Call2,$G184,$G184,U184,$J184,1,0))</f>
        <v>#VALUE!</v>
      </c>
      <c r="Z184" s="90" t="e">
        <f aca="false">IF($C184="","",xEURO($L184,Put2,$G184,$G184,V184,$J184,0,0))</f>
        <v>#VALUE!</v>
      </c>
      <c r="AA184" s="90" t="e">
        <f aca="false">IF($C184="","",xEURO($L184,Call1,$G184,$G184,$S184,$J184,1,1))</f>
        <v>#VALUE!</v>
      </c>
      <c r="AB184" s="90" t="e">
        <f aca="false">IF($C184="","",xEURO($L184,Put1,$G184,$G184,$T184,$J184,0,1))</f>
        <v>#VALUE!</v>
      </c>
      <c r="AC184" s="90" t="e">
        <f aca="false">IF($C184="","",xEURO($L184,Call2,$G184,$G184,$U184,$J184,1,1))</f>
        <v>#VALUE!</v>
      </c>
      <c r="AD184" s="90" t="e">
        <f aca="false">IF($C184="","",xEURO($L184,Put2,$G184,$G184,$V184,$J184,0,1))</f>
        <v>#VALUE!</v>
      </c>
      <c r="AE184" s="90" t="e">
        <f aca="false">IF($C184="","",xEURO($L184,Call1,$G184,$G184,$S184,$J184,1,3))</f>
        <v>#VALUE!</v>
      </c>
      <c r="AF184" s="90" t="e">
        <f aca="false">IF($C184="","",xEURO($L184,Put1,$G184,$G184,$T184,$J184,0,3))</f>
        <v>#VALUE!</v>
      </c>
      <c r="AG184" s="90" t="e">
        <f aca="false">IF($C184="","",xEURO($L184,Call2,$G184,$G184,$U184,$J184,1,3))</f>
        <v>#VALUE!</v>
      </c>
      <c r="AH184" s="90" t="e">
        <f aca="false">IF($C184="","",xEURO($L184,Put2,$G184,$G184,$V184,$J184,0,3))</f>
        <v>#VALUE!</v>
      </c>
      <c r="AI184" s="8" t="e">
        <f aca="false">IF(E184=1,G184,0)</f>
        <v>#VALUE!</v>
      </c>
      <c r="AJ184" s="8" t="e">
        <f aca="false">IF(E184=1,H184,0)</f>
        <v>#VALUE!</v>
      </c>
      <c r="AK184" s="8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  <c r="IW184" s="0"/>
    </row>
    <row r="185" customFormat="false" ht="12.75" hidden="false" customHeight="false" outlineLevel="0" collapsed="false">
      <c r="A185" s="95" t="n">
        <f aca="false">Swap!A185</f>
        <v>42461</v>
      </c>
      <c r="B185" s="96" t="n">
        <f aca="false">B184+1</f>
        <v>176</v>
      </c>
      <c r="C185" s="95" t="e">
        <f aca="false">IF(AND(A185&gt;=Front!$E$11,A185&lt;=Front!$E$12),A185,"")</f>
        <v>#VALUE!</v>
      </c>
      <c r="D185" s="87" t="e">
        <f aca="false">Swap!AB185</f>
        <v>#VALUE!</v>
      </c>
      <c r="E185" s="87" t="e">
        <f aca="false">IF($C185="","",1)</f>
        <v>#VALUE!</v>
      </c>
      <c r="F185" s="97" t="e">
        <f aca="false">IF($C185="","",E185*H185)</f>
        <v>#VALUE!</v>
      </c>
      <c r="G185" s="31" t="n">
        <f aca="false">Swap!AG185</f>
        <v>0.0594169330243575</v>
      </c>
      <c r="H185" s="31" t="n">
        <f aca="false">Swap!AH185</f>
        <v>1.74273756795463</v>
      </c>
      <c r="I185" s="92" t="n">
        <f aca="false">INDEX(expery,MATCH(A185,exprymonth,0),2)</f>
        <v>42457</v>
      </c>
      <c r="J185" s="98" t="n">
        <f aca="false">I185-Front!$C$2</f>
        <v>-3469</v>
      </c>
      <c r="K185" s="99" t="n">
        <f aca="false">Swap!E185</f>
        <v>4.2795</v>
      </c>
      <c r="L185" s="99" t="e">
        <f aca="false">IF(C185="","",(PriceSwitch=0)*K185+(PriceSwitch=1)*(Front!$H$21+K185)+(PriceSwitch=2)*Front!$H$21)</f>
        <v>#VALUE!</v>
      </c>
      <c r="M185" s="93" t="n">
        <f aca="false">INDEX(vols,MATCH(A185,volsmonth,0),2)</f>
        <v>0.17</v>
      </c>
      <c r="N185" s="3" t="e">
        <f aca="false">IF(Skew_Switch=0,"",IF($C185="","",(Front!$E$20=0)*M185+(Front!$E$20=1)*(Front!$E$21+M185)+(Front!$E$20=2)*Front!$E$21))</f>
        <v>#VALUE!</v>
      </c>
      <c r="O185" s="94" t="e">
        <f aca="false">IF(Skew_Switch=0,"",IF(C185="","",((calcskew(Call1-$L185,$C185,a,b))/100)))</f>
        <v>#VALUE!</v>
      </c>
      <c r="P185" s="94" t="e">
        <f aca="false">IF(Skew_Switch=0,"",IF(C185="","",((calcskew(Put1-$L185,$C185,a,b))/100)))</f>
        <v>#VALUE!</v>
      </c>
      <c r="Q185" s="94" t="e">
        <f aca="false">IF(Skew_Switch=0,"",IF(C185="","",((calcskew(Call2-$L185,$C185,a,b))/100)))</f>
        <v>#VALUE!</v>
      </c>
      <c r="R185" s="94" t="e">
        <f aca="false">IF(Skew_Switch=0,"",IF(C185="","",((calcskew(Put2-$L185,$C185,a,b))/100)))</f>
        <v>#VALUE!</v>
      </c>
      <c r="S185" s="3" t="e">
        <f aca="false">IF($C185="","",(Front!$C$19=0)*$N185+(Front!$C$19=1)*($N185+O185))</f>
        <v>#VALUE!</v>
      </c>
      <c r="T185" s="3" t="e">
        <f aca="false">IF($C185="","",(Front!$C$19=0)*$N185+(Front!$C$19=1)*($N185+P185))</f>
        <v>#VALUE!</v>
      </c>
      <c r="U185" s="3" t="e">
        <f aca="false">IF($C185="","",(Front!$C$19=0)*$N185+(Front!$C$19=1)*($N185+Q185))</f>
        <v>#VALUE!</v>
      </c>
      <c r="V185" s="3" t="e">
        <f aca="false">IF($C185="","",(Front!$C$19=0)*$N185+(Front!$C$19=1)*($N185+R185))</f>
        <v>#VALUE!</v>
      </c>
      <c r="W185" s="90" t="e">
        <f aca="false">IF($C185="","",xEURO($L185,Call1,$G185,$G185,S185,$J185,1,0))</f>
        <v>#VALUE!</v>
      </c>
      <c r="X185" s="90" t="e">
        <f aca="false">IF($C185="","",xEURO($L185,Put1,$G185,$G185,T185,$J185,0,0))</f>
        <v>#VALUE!</v>
      </c>
      <c r="Y185" s="90" t="e">
        <f aca="false">IF($C185="","",xEURO($L185,Call2,$G185,$G185,U185,$J185,1,0))</f>
        <v>#VALUE!</v>
      </c>
      <c r="Z185" s="90" t="e">
        <f aca="false">IF($C185="","",xEURO($L185,Put2,$G185,$G185,V185,$J185,0,0))</f>
        <v>#VALUE!</v>
      </c>
      <c r="AA185" s="90" t="e">
        <f aca="false">IF($C185="","",xEURO($L185,Call1,$G185,$G185,$S185,$J185,1,1))</f>
        <v>#VALUE!</v>
      </c>
      <c r="AB185" s="90" t="e">
        <f aca="false">IF($C185="","",xEURO($L185,Put1,$G185,$G185,$T185,$J185,0,1))</f>
        <v>#VALUE!</v>
      </c>
      <c r="AC185" s="90" t="e">
        <f aca="false">IF($C185="","",xEURO($L185,Call2,$G185,$G185,$U185,$J185,1,1))</f>
        <v>#VALUE!</v>
      </c>
      <c r="AD185" s="90" t="e">
        <f aca="false">IF($C185="","",xEURO($L185,Put2,$G185,$G185,$V185,$J185,0,1))</f>
        <v>#VALUE!</v>
      </c>
      <c r="AE185" s="90" t="e">
        <f aca="false">IF($C185="","",xEURO($L185,Call1,$G185,$G185,$S185,$J185,1,3))</f>
        <v>#VALUE!</v>
      </c>
      <c r="AF185" s="90" t="e">
        <f aca="false">IF($C185="","",xEURO($L185,Put1,$G185,$G185,$T185,$J185,0,3))</f>
        <v>#VALUE!</v>
      </c>
      <c r="AG185" s="90" t="e">
        <f aca="false">IF($C185="","",xEURO($L185,Call2,$G185,$G185,$U185,$J185,1,3))</f>
        <v>#VALUE!</v>
      </c>
      <c r="AH185" s="90" t="e">
        <f aca="false">IF($C185="","",xEURO($L185,Put2,$G185,$G185,$V185,$J185,0,3))</f>
        <v>#VALUE!</v>
      </c>
      <c r="AI185" s="8" t="e">
        <f aca="false">IF(E185=1,G185,0)</f>
        <v>#VALUE!</v>
      </c>
      <c r="AJ185" s="8" t="e">
        <f aca="false">IF(E185=1,H185,0)</f>
        <v>#VALUE!</v>
      </c>
      <c r="AK185" s="8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  <c r="IW185" s="0"/>
    </row>
    <row r="186" customFormat="false" ht="12.75" hidden="false" customHeight="false" outlineLevel="0" collapsed="false">
      <c r="A186" s="95" t="n">
        <f aca="false">Swap!A186</f>
        <v>42491</v>
      </c>
      <c r="B186" s="96" t="n">
        <f aca="false">B185+1</f>
        <v>177</v>
      </c>
      <c r="C186" s="95" t="e">
        <f aca="false">IF(AND(A186&gt;=Front!$E$11,A186&lt;=Front!$E$12),A186,"")</f>
        <v>#VALUE!</v>
      </c>
      <c r="D186" s="87" t="e">
        <f aca="false">Swap!AB186</f>
        <v>#VALUE!</v>
      </c>
      <c r="E186" s="87" t="e">
        <f aca="false">IF($C186="","",1)</f>
        <v>#VALUE!</v>
      </c>
      <c r="F186" s="97" t="e">
        <f aca="false">IF($C186="","",E186*H186)</f>
        <v>#VALUE!</v>
      </c>
      <c r="G186" s="31" t="n">
        <f aca="false">Swap!AG186</f>
        <v>0.0594819705382039</v>
      </c>
      <c r="H186" s="31" t="n">
        <f aca="false">Swap!AH186</f>
        <v>1.7354071055473</v>
      </c>
      <c r="I186" s="92" t="n">
        <f aca="false">INDEX(expery,MATCH(A186,exprymonth,0),2)</f>
        <v>42486</v>
      </c>
      <c r="J186" s="98" t="n">
        <f aca="false">I186-Front!$C$2</f>
        <v>-3440</v>
      </c>
      <c r="K186" s="99" t="n">
        <f aca="false">Swap!E186</f>
        <v>4.2795</v>
      </c>
      <c r="L186" s="99" t="e">
        <f aca="false">IF(C186="","",(PriceSwitch=0)*K186+(PriceSwitch=1)*(Front!$H$21+K186)+(PriceSwitch=2)*Front!$H$21)</f>
        <v>#VALUE!</v>
      </c>
      <c r="M186" s="93" t="n">
        <f aca="false">INDEX(vols,MATCH(A186,volsmonth,0),2)</f>
        <v>0.17</v>
      </c>
      <c r="N186" s="3" t="e">
        <f aca="false">IF(Skew_Switch=0,"",IF($C186="","",(Front!$E$20=0)*M186+(Front!$E$20=1)*(Front!$E$21+M186)+(Front!$E$20=2)*Front!$E$21))</f>
        <v>#VALUE!</v>
      </c>
      <c r="O186" s="94" t="e">
        <f aca="false">IF(Skew_Switch=0,"",IF(C186="","",((calcskew(Call1-$L186,$C186,a,b))/100)))</f>
        <v>#VALUE!</v>
      </c>
      <c r="P186" s="94" t="e">
        <f aca="false">IF(Skew_Switch=0,"",IF(C186="","",((calcskew(Put1-$L186,$C186,a,b))/100)))</f>
        <v>#VALUE!</v>
      </c>
      <c r="Q186" s="94" t="e">
        <f aca="false">IF(Skew_Switch=0,"",IF(C186="","",((calcskew(Call2-$L186,$C186,a,b))/100)))</f>
        <v>#VALUE!</v>
      </c>
      <c r="R186" s="94" t="e">
        <f aca="false">IF(Skew_Switch=0,"",IF(C186="","",((calcskew(Put2-$L186,$C186,a,b))/100)))</f>
        <v>#VALUE!</v>
      </c>
      <c r="S186" s="3" t="e">
        <f aca="false">IF($C186="","",(Front!$C$19=0)*$N186+(Front!$C$19=1)*($N186+O186))</f>
        <v>#VALUE!</v>
      </c>
      <c r="T186" s="3" t="e">
        <f aca="false">IF($C186="","",(Front!$C$19=0)*$N186+(Front!$C$19=1)*($N186+P186))</f>
        <v>#VALUE!</v>
      </c>
      <c r="U186" s="3" t="e">
        <f aca="false">IF($C186="","",(Front!$C$19=0)*$N186+(Front!$C$19=1)*($N186+Q186))</f>
        <v>#VALUE!</v>
      </c>
      <c r="V186" s="3" t="e">
        <f aca="false">IF($C186="","",(Front!$C$19=0)*$N186+(Front!$C$19=1)*($N186+R186))</f>
        <v>#VALUE!</v>
      </c>
      <c r="W186" s="90" t="e">
        <f aca="false">IF($C186="","",xEURO($L186,Call1,$G186,$G186,S186,$J186,1,0))</f>
        <v>#VALUE!</v>
      </c>
      <c r="X186" s="90" t="e">
        <f aca="false">IF($C186="","",xEURO($L186,Put1,$G186,$G186,T186,$J186,0,0))</f>
        <v>#VALUE!</v>
      </c>
      <c r="Y186" s="90" t="e">
        <f aca="false">IF($C186="","",xEURO($L186,Call2,$G186,$G186,U186,$J186,1,0))</f>
        <v>#VALUE!</v>
      </c>
      <c r="Z186" s="90" t="e">
        <f aca="false">IF($C186="","",xEURO($L186,Put2,$G186,$G186,V186,$J186,0,0))</f>
        <v>#VALUE!</v>
      </c>
      <c r="AA186" s="90" t="e">
        <f aca="false">IF($C186="","",xEURO($L186,Call1,$G186,$G186,$S186,$J186,1,1))</f>
        <v>#VALUE!</v>
      </c>
      <c r="AB186" s="90" t="e">
        <f aca="false">IF($C186="","",xEURO($L186,Put1,$G186,$G186,$T186,$J186,0,1))</f>
        <v>#VALUE!</v>
      </c>
      <c r="AC186" s="90" t="e">
        <f aca="false">IF($C186="","",xEURO($L186,Call2,$G186,$G186,$U186,$J186,1,1))</f>
        <v>#VALUE!</v>
      </c>
      <c r="AD186" s="90" t="e">
        <f aca="false">IF($C186="","",xEURO($L186,Put2,$G186,$G186,$V186,$J186,0,1))</f>
        <v>#VALUE!</v>
      </c>
      <c r="AE186" s="90" t="e">
        <f aca="false">IF($C186="","",xEURO($L186,Call1,$G186,$G186,$S186,$J186,1,3))</f>
        <v>#VALUE!</v>
      </c>
      <c r="AF186" s="90" t="e">
        <f aca="false">IF($C186="","",xEURO($L186,Put1,$G186,$G186,$T186,$J186,0,3))</f>
        <v>#VALUE!</v>
      </c>
      <c r="AG186" s="90" t="e">
        <f aca="false">IF($C186="","",xEURO($L186,Call2,$G186,$G186,$U186,$J186,1,3))</f>
        <v>#VALUE!</v>
      </c>
      <c r="AH186" s="90" t="e">
        <f aca="false">IF($C186="","",xEURO($L186,Put2,$G186,$G186,$V186,$J186,0,3))</f>
        <v>#VALUE!</v>
      </c>
      <c r="AI186" s="8" t="e">
        <f aca="false">IF(E186=1,G186,0)</f>
        <v>#VALUE!</v>
      </c>
      <c r="AJ186" s="8" t="e">
        <f aca="false">IF(E186=1,H186,0)</f>
        <v>#VALUE!</v>
      </c>
      <c r="AK186" s="8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  <c r="IW186" s="0"/>
    </row>
    <row r="187" customFormat="false" ht="12.75" hidden="false" customHeight="false" outlineLevel="0" collapsed="false">
      <c r="A187" s="95" t="n">
        <f aca="false">Swap!A187</f>
        <v>42522</v>
      </c>
      <c r="B187" s="96" t="n">
        <f aca="false">B186+1</f>
        <v>178</v>
      </c>
      <c r="C187" s="95" t="e">
        <f aca="false">IF(AND(A187&gt;=Front!$E$11,A187&lt;=Front!$E$12),A187,"")</f>
        <v>#VALUE!</v>
      </c>
      <c r="D187" s="87" t="e">
        <f aca="false">Swap!AB187</f>
        <v>#VALUE!</v>
      </c>
      <c r="E187" s="87" t="e">
        <f aca="false">IF($C187="","",1)</f>
        <v>#VALUE!</v>
      </c>
      <c r="F187" s="97" t="e">
        <f aca="false">IF($C187="","",E187*H187)</f>
        <v>#VALUE!</v>
      </c>
      <c r="G187" s="31" t="n">
        <f aca="false">Swap!AG187</f>
        <v>0.0595491759706555</v>
      </c>
      <c r="H187" s="31" t="n">
        <f aca="false">Swap!AH187</f>
        <v>1.72784581859101</v>
      </c>
      <c r="I187" s="92" t="n">
        <f aca="false">INDEX(expery,MATCH(A187,exprymonth,0),2)</f>
        <v>42515</v>
      </c>
      <c r="J187" s="98" t="n">
        <f aca="false">I187-Front!$C$2</f>
        <v>-3411</v>
      </c>
      <c r="K187" s="99" t="n">
        <f aca="false">Swap!E187</f>
        <v>4.3115</v>
      </c>
      <c r="L187" s="99" t="e">
        <f aca="false">IF(C187="","",(PriceSwitch=0)*K187+(PriceSwitch=1)*(Front!$H$21+K187)+(PriceSwitch=2)*Front!$H$21)</f>
        <v>#VALUE!</v>
      </c>
      <c r="M187" s="93" t="n">
        <f aca="false">INDEX(vols,MATCH(A187,volsmonth,0),2)</f>
        <v>0.17</v>
      </c>
      <c r="N187" s="3" t="e">
        <f aca="false">IF(Skew_Switch=0,"",IF($C187="","",(Front!$E$20=0)*M187+(Front!$E$20=1)*(Front!$E$21+M187)+(Front!$E$20=2)*Front!$E$21))</f>
        <v>#VALUE!</v>
      </c>
      <c r="O187" s="94" t="e">
        <f aca="false">IF(Skew_Switch=0,"",IF(C187="","",((calcskew(Call1-$L187,$C187,a,b))/100)))</f>
        <v>#VALUE!</v>
      </c>
      <c r="P187" s="94" t="e">
        <f aca="false">IF(Skew_Switch=0,"",IF(C187="","",((calcskew(Put1-$L187,$C187,a,b))/100)))</f>
        <v>#VALUE!</v>
      </c>
      <c r="Q187" s="94" t="e">
        <f aca="false">IF(Skew_Switch=0,"",IF(C187="","",((calcskew(Call2-$L187,$C187,a,b))/100)))</f>
        <v>#VALUE!</v>
      </c>
      <c r="R187" s="94" t="e">
        <f aca="false">IF(Skew_Switch=0,"",IF(C187="","",((calcskew(Put2-$L187,$C187,a,b))/100)))</f>
        <v>#VALUE!</v>
      </c>
      <c r="S187" s="3" t="e">
        <f aca="false">IF($C187="","",(Front!$C$19=0)*$N187+(Front!$C$19=1)*($N187+O187))</f>
        <v>#VALUE!</v>
      </c>
      <c r="T187" s="3" t="e">
        <f aca="false">IF($C187="","",(Front!$C$19=0)*$N187+(Front!$C$19=1)*($N187+P187))</f>
        <v>#VALUE!</v>
      </c>
      <c r="U187" s="3" t="e">
        <f aca="false">IF($C187="","",(Front!$C$19=0)*$N187+(Front!$C$19=1)*($N187+Q187))</f>
        <v>#VALUE!</v>
      </c>
      <c r="V187" s="3" t="e">
        <f aca="false">IF($C187="","",(Front!$C$19=0)*$N187+(Front!$C$19=1)*($N187+R187))</f>
        <v>#VALUE!</v>
      </c>
      <c r="W187" s="90" t="e">
        <f aca="false">IF($C187="","",xEURO($L187,Call1,$G187,$G187,S187,$J187,1,0))</f>
        <v>#VALUE!</v>
      </c>
      <c r="X187" s="90" t="e">
        <f aca="false">IF($C187="","",xEURO($L187,Put1,$G187,$G187,T187,$J187,0,0))</f>
        <v>#VALUE!</v>
      </c>
      <c r="Y187" s="90" t="e">
        <f aca="false">IF($C187="","",xEURO($L187,Call2,$G187,$G187,U187,$J187,1,0))</f>
        <v>#VALUE!</v>
      </c>
      <c r="Z187" s="90" t="e">
        <f aca="false">IF($C187="","",xEURO($L187,Put2,$G187,$G187,V187,$J187,0,0))</f>
        <v>#VALUE!</v>
      </c>
      <c r="AA187" s="90" t="e">
        <f aca="false">IF($C187="","",xEURO($L187,Call1,$G187,$G187,$S187,$J187,1,1))</f>
        <v>#VALUE!</v>
      </c>
      <c r="AB187" s="90" t="e">
        <f aca="false">IF($C187="","",xEURO($L187,Put1,$G187,$G187,$T187,$J187,0,1))</f>
        <v>#VALUE!</v>
      </c>
      <c r="AC187" s="90" t="e">
        <f aca="false">IF($C187="","",xEURO($L187,Call2,$G187,$G187,$U187,$J187,1,1))</f>
        <v>#VALUE!</v>
      </c>
      <c r="AD187" s="90" t="e">
        <f aca="false">IF($C187="","",xEURO($L187,Put2,$G187,$G187,$V187,$J187,0,1))</f>
        <v>#VALUE!</v>
      </c>
      <c r="AE187" s="90" t="e">
        <f aca="false">IF($C187="","",xEURO($L187,Call1,$G187,$G187,$S187,$J187,1,3))</f>
        <v>#VALUE!</v>
      </c>
      <c r="AF187" s="90" t="e">
        <f aca="false">IF($C187="","",xEURO($L187,Put1,$G187,$G187,$T187,$J187,0,3))</f>
        <v>#VALUE!</v>
      </c>
      <c r="AG187" s="90" t="e">
        <f aca="false">IF($C187="","",xEURO($L187,Call2,$G187,$G187,$U187,$J187,1,3))</f>
        <v>#VALUE!</v>
      </c>
      <c r="AH187" s="90" t="e">
        <f aca="false">IF($C187="","",xEURO($L187,Put2,$G187,$G187,$V187,$J187,0,3))</f>
        <v>#VALUE!</v>
      </c>
      <c r="AI187" s="8" t="e">
        <f aca="false">IF(E187=1,G187,0)</f>
        <v>#VALUE!</v>
      </c>
      <c r="AJ187" s="8" t="e">
        <f aca="false">IF(E187=1,H187,0)</f>
        <v>#VALUE!</v>
      </c>
      <c r="AK187" s="8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  <c r="IW187" s="0"/>
    </row>
    <row r="188" customFormat="false" ht="12.75" hidden="false" customHeight="false" outlineLevel="0" collapsed="false">
      <c r="A188" s="95" t="n">
        <f aca="false">Swap!A188</f>
        <v>42552</v>
      </c>
      <c r="B188" s="96" t="n">
        <f aca="false">B187+1</f>
        <v>179</v>
      </c>
      <c r="C188" s="95" t="e">
        <f aca="false">IF(AND(A188&gt;=Front!$E$11,A188&lt;=Front!$E$12),A188,"")</f>
        <v>#VALUE!</v>
      </c>
      <c r="D188" s="87" t="e">
        <f aca="false">Swap!AB188</f>
        <v>#VALUE!</v>
      </c>
      <c r="E188" s="87" t="e">
        <f aca="false">IF($C188="","",1)</f>
        <v>#VALUE!</v>
      </c>
      <c r="F188" s="97" t="e">
        <f aca="false">IF($C188="","",E188*H188)</f>
        <v>#VALUE!</v>
      </c>
      <c r="G188" s="31" t="n">
        <f aca="false">Swap!AG188</f>
        <v>0.0596142134873601</v>
      </c>
      <c r="H188" s="31" t="n">
        <f aca="false">Swap!AH188</f>
        <v>1.72054163315232</v>
      </c>
      <c r="I188" s="92" t="n">
        <f aca="false">INDEX(expery,MATCH(A188,exprymonth,0),2)</f>
        <v>42548</v>
      </c>
      <c r="J188" s="98" t="n">
        <f aca="false">I188-Front!$C$2</f>
        <v>-3378</v>
      </c>
      <c r="K188" s="99" t="n">
        <f aca="false">Swap!E188</f>
        <v>4.3615</v>
      </c>
      <c r="L188" s="99" t="e">
        <f aca="false">IF(C188="","",(PriceSwitch=0)*K188+(PriceSwitch=1)*(Front!$H$21+K188)+(PriceSwitch=2)*Front!$H$21)</f>
        <v>#VALUE!</v>
      </c>
      <c r="M188" s="93" t="n">
        <f aca="false">INDEX(vols,MATCH(A188,volsmonth,0),2)</f>
        <v>0.17</v>
      </c>
      <c r="N188" s="3" t="e">
        <f aca="false">IF(Skew_Switch=0,"",IF($C188="","",(Front!$E$20=0)*M188+(Front!$E$20=1)*(Front!$E$21+M188)+(Front!$E$20=2)*Front!$E$21))</f>
        <v>#VALUE!</v>
      </c>
      <c r="O188" s="94" t="e">
        <f aca="false">IF(Skew_Switch=0,"",IF(C188="","",((calcskew(Call1-$L188,$C188,a,b))/100)))</f>
        <v>#VALUE!</v>
      </c>
      <c r="P188" s="94" t="e">
        <f aca="false">IF(Skew_Switch=0,"",IF(C188="","",((calcskew(Put1-$L188,$C188,a,b))/100)))</f>
        <v>#VALUE!</v>
      </c>
      <c r="Q188" s="94" t="e">
        <f aca="false">IF(Skew_Switch=0,"",IF(C188="","",((calcskew(Call2-$L188,$C188,a,b))/100)))</f>
        <v>#VALUE!</v>
      </c>
      <c r="R188" s="94" t="e">
        <f aca="false">IF(Skew_Switch=0,"",IF(C188="","",((calcskew(Put2-$L188,$C188,a,b))/100)))</f>
        <v>#VALUE!</v>
      </c>
      <c r="S188" s="3" t="e">
        <f aca="false">IF($C188="","",(Front!$C$19=0)*$N188+(Front!$C$19=1)*($N188+O188))</f>
        <v>#VALUE!</v>
      </c>
      <c r="T188" s="3" t="e">
        <f aca="false">IF($C188="","",(Front!$C$19=0)*$N188+(Front!$C$19=1)*($N188+P188))</f>
        <v>#VALUE!</v>
      </c>
      <c r="U188" s="3" t="e">
        <f aca="false">IF($C188="","",(Front!$C$19=0)*$N188+(Front!$C$19=1)*($N188+Q188))</f>
        <v>#VALUE!</v>
      </c>
      <c r="V188" s="3" t="e">
        <f aca="false">IF($C188="","",(Front!$C$19=0)*$N188+(Front!$C$19=1)*($N188+R188))</f>
        <v>#VALUE!</v>
      </c>
      <c r="W188" s="90" t="e">
        <f aca="false">IF($C188="","",xEURO($L188,Call1,$G188,$G188,S188,$J188,1,0))</f>
        <v>#VALUE!</v>
      </c>
      <c r="X188" s="90" t="e">
        <f aca="false">IF($C188="","",xEURO($L188,Put1,$G188,$G188,T188,$J188,0,0))</f>
        <v>#VALUE!</v>
      </c>
      <c r="Y188" s="90" t="e">
        <f aca="false">IF($C188="","",xEURO($L188,Call2,$G188,$G188,U188,$J188,1,0))</f>
        <v>#VALUE!</v>
      </c>
      <c r="Z188" s="90" t="e">
        <f aca="false">IF($C188="","",xEURO($L188,Put2,$G188,$G188,V188,$J188,0,0))</f>
        <v>#VALUE!</v>
      </c>
      <c r="AA188" s="90" t="e">
        <f aca="false">IF($C188="","",xEURO($L188,Call1,$G188,$G188,$S188,$J188,1,1))</f>
        <v>#VALUE!</v>
      </c>
      <c r="AB188" s="90" t="e">
        <f aca="false">IF($C188="","",xEURO($L188,Put1,$G188,$G188,$T188,$J188,0,1))</f>
        <v>#VALUE!</v>
      </c>
      <c r="AC188" s="90" t="e">
        <f aca="false">IF($C188="","",xEURO($L188,Call2,$G188,$G188,$U188,$J188,1,1))</f>
        <v>#VALUE!</v>
      </c>
      <c r="AD188" s="90" t="e">
        <f aca="false">IF($C188="","",xEURO($L188,Put2,$G188,$G188,$V188,$J188,0,1))</f>
        <v>#VALUE!</v>
      </c>
      <c r="AE188" s="90" t="e">
        <f aca="false">IF($C188="","",xEURO($L188,Call1,$G188,$G188,$S188,$J188,1,3))</f>
        <v>#VALUE!</v>
      </c>
      <c r="AF188" s="90" t="e">
        <f aca="false">IF($C188="","",xEURO($L188,Put1,$G188,$G188,$T188,$J188,0,3))</f>
        <v>#VALUE!</v>
      </c>
      <c r="AG188" s="90" t="e">
        <f aca="false">IF($C188="","",xEURO($L188,Call2,$G188,$G188,$U188,$J188,1,3))</f>
        <v>#VALUE!</v>
      </c>
      <c r="AH188" s="90" t="e">
        <f aca="false">IF($C188="","",xEURO($L188,Put2,$G188,$G188,$V188,$J188,0,3))</f>
        <v>#VALUE!</v>
      </c>
      <c r="AI188" s="8" t="e">
        <f aca="false">IF(E188=1,G188,0)</f>
        <v>#VALUE!</v>
      </c>
      <c r="AJ188" s="8" t="e">
        <f aca="false">IF(E188=1,H188,0)</f>
        <v>#VALUE!</v>
      </c>
      <c r="AK188" s="8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  <c r="IW188" s="0"/>
    </row>
    <row r="189" customFormat="false" ht="12.75" hidden="false" customHeight="false" outlineLevel="0" collapsed="false">
      <c r="A189" s="95" t="n">
        <f aca="false">Swap!A189</f>
        <v>42583</v>
      </c>
      <c r="B189" s="96" t="n">
        <f aca="false">B188+1</f>
        <v>180</v>
      </c>
      <c r="C189" s="95" t="e">
        <f aca="false">IF(AND(A189&gt;=Front!$E$11,A189&lt;=Front!$E$12),A189,"")</f>
        <v>#VALUE!</v>
      </c>
      <c r="D189" s="87" t="e">
        <f aca="false">Swap!AB189</f>
        <v>#VALUE!</v>
      </c>
      <c r="E189" s="87" t="e">
        <f aca="false">IF($C189="","",1)</f>
        <v>#VALUE!</v>
      </c>
      <c r="F189" s="97" t="e">
        <f aca="false">IF($C189="","",E189*H189)</f>
        <v>#VALUE!</v>
      </c>
      <c r="G189" s="31" t="n">
        <f aca="false">Swap!AG189</f>
        <v>0.0596814189227652</v>
      </c>
      <c r="H189" s="31" t="n">
        <f aca="false">Swap!AH189</f>
        <v>1.71300770824914</v>
      </c>
      <c r="I189" s="92" t="n">
        <f aca="false">INDEX(expery,MATCH(A189,exprymonth,0),2)</f>
        <v>42577</v>
      </c>
      <c r="J189" s="98" t="n">
        <f aca="false">I189-Front!$C$2</f>
        <v>-3349</v>
      </c>
      <c r="K189" s="99" t="n">
        <f aca="false">Swap!E189</f>
        <v>4.3955</v>
      </c>
      <c r="L189" s="99" t="e">
        <f aca="false">IF(C189="","",(PriceSwitch=0)*K189+(PriceSwitch=1)*(Front!$H$21+K189)+(PriceSwitch=2)*Front!$H$21)</f>
        <v>#VALUE!</v>
      </c>
      <c r="M189" s="93" t="n">
        <f aca="false">INDEX(vols,MATCH(A189,volsmonth,0),2)</f>
        <v>0.17</v>
      </c>
      <c r="N189" s="3" t="e">
        <f aca="false">IF(Skew_Switch=0,"",IF($C189="","",(Front!$E$20=0)*M189+(Front!$E$20=1)*(Front!$E$21+M189)+(Front!$E$20=2)*Front!$E$21))</f>
        <v>#VALUE!</v>
      </c>
      <c r="O189" s="94" t="e">
        <f aca="false">IF(Skew_Switch=0,"",IF(C189="","",((calcskew(Call1-$L189,$C189,a,b))/100)))</f>
        <v>#VALUE!</v>
      </c>
      <c r="P189" s="94" t="e">
        <f aca="false">IF(Skew_Switch=0,"",IF(C189="","",((calcskew(Put1-$L189,$C189,a,b))/100)))</f>
        <v>#VALUE!</v>
      </c>
      <c r="Q189" s="94" t="e">
        <f aca="false">IF(Skew_Switch=0,"",IF(C189="","",((calcskew(Call2-$L189,$C189,a,b))/100)))</f>
        <v>#VALUE!</v>
      </c>
      <c r="R189" s="94" t="e">
        <f aca="false">IF(Skew_Switch=0,"",IF(C189="","",((calcskew(Put2-$L189,$C189,a,b))/100)))</f>
        <v>#VALUE!</v>
      </c>
      <c r="S189" s="3" t="e">
        <f aca="false">IF($C189="","",(Front!$C$19=0)*$N189+(Front!$C$19=1)*($N189+O189))</f>
        <v>#VALUE!</v>
      </c>
      <c r="T189" s="3" t="e">
        <f aca="false">IF($C189="","",(Front!$C$19=0)*$N189+(Front!$C$19=1)*($N189+P189))</f>
        <v>#VALUE!</v>
      </c>
      <c r="U189" s="3" t="e">
        <f aca="false">IF($C189="","",(Front!$C$19=0)*$N189+(Front!$C$19=1)*($N189+Q189))</f>
        <v>#VALUE!</v>
      </c>
      <c r="V189" s="3" t="e">
        <f aca="false">IF($C189="","",(Front!$C$19=0)*$N189+(Front!$C$19=1)*($N189+R189))</f>
        <v>#VALUE!</v>
      </c>
      <c r="W189" s="90" t="e">
        <f aca="false">IF($C189="","",xEURO($L189,Call1,$G189,$G189,S189,$J189,1,0))</f>
        <v>#VALUE!</v>
      </c>
      <c r="X189" s="90" t="e">
        <f aca="false">IF($C189="","",xEURO($L189,Put1,$G189,$G189,T189,$J189,0,0))</f>
        <v>#VALUE!</v>
      </c>
      <c r="Y189" s="90" t="e">
        <f aca="false">IF($C189="","",xEURO($L189,Call2,$G189,$G189,U189,$J189,1,0))</f>
        <v>#VALUE!</v>
      </c>
      <c r="Z189" s="90" t="e">
        <f aca="false">IF($C189="","",xEURO($L189,Put2,$G189,$G189,V189,$J189,0,0))</f>
        <v>#VALUE!</v>
      </c>
      <c r="AA189" s="90" t="e">
        <f aca="false">IF($C189="","",xEURO($L189,Call1,$G189,$G189,$S189,$J189,1,1))</f>
        <v>#VALUE!</v>
      </c>
      <c r="AB189" s="90" t="e">
        <f aca="false">IF($C189="","",xEURO($L189,Put1,$G189,$G189,$T189,$J189,0,1))</f>
        <v>#VALUE!</v>
      </c>
      <c r="AC189" s="90" t="e">
        <f aca="false">IF($C189="","",xEURO($L189,Call2,$G189,$G189,$U189,$J189,1,1))</f>
        <v>#VALUE!</v>
      </c>
      <c r="AD189" s="90" t="e">
        <f aca="false">IF($C189="","",xEURO($L189,Put2,$G189,$G189,$V189,$J189,0,1))</f>
        <v>#VALUE!</v>
      </c>
      <c r="AE189" s="90" t="e">
        <f aca="false">IF($C189="","",xEURO($L189,Call1,$G189,$G189,$S189,$J189,1,3))</f>
        <v>#VALUE!</v>
      </c>
      <c r="AF189" s="90" t="e">
        <f aca="false">IF($C189="","",xEURO($L189,Put1,$G189,$G189,$T189,$J189,0,3))</f>
        <v>#VALUE!</v>
      </c>
      <c r="AG189" s="90" t="e">
        <f aca="false">IF($C189="","",xEURO($L189,Call2,$G189,$G189,$U189,$J189,1,3))</f>
        <v>#VALUE!</v>
      </c>
      <c r="AH189" s="90" t="e">
        <f aca="false">IF($C189="","",xEURO($L189,Put2,$G189,$G189,$V189,$J189,0,3))</f>
        <v>#VALUE!</v>
      </c>
      <c r="AI189" s="8" t="e">
        <f aca="false">IF(E189=1,G189,0)</f>
        <v>#VALUE!</v>
      </c>
      <c r="AJ189" s="8" t="e">
        <f aca="false">IF(E189=1,H189,0)</f>
        <v>#VALUE!</v>
      </c>
      <c r="AK189" s="8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  <c r="IW189" s="0"/>
    </row>
    <row r="190" customFormat="false" ht="12.75" hidden="false" customHeight="false" outlineLevel="0" collapsed="false">
      <c r="A190" s="95" t="n">
        <f aca="false">Swap!A190</f>
        <v>42614</v>
      </c>
      <c r="B190" s="96" t="n">
        <f aca="false">B189+1</f>
        <v>181</v>
      </c>
      <c r="C190" s="95" t="e">
        <f aca="false">IF(AND(A190&gt;=Front!$E$11,A190&lt;=Front!$E$12),A190,"")</f>
        <v>#VALUE!</v>
      </c>
      <c r="D190" s="87" t="e">
        <f aca="false">Swap!AB190</f>
        <v>#VALUE!</v>
      </c>
      <c r="E190" s="87" t="e">
        <f aca="false">IF($C190="","",1)</f>
        <v>#VALUE!</v>
      </c>
      <c r="F190" s="97" t="e">
        <f aca="false">IF($C190="","",E190*H190)</f>
        <v>#VALUE!</v>
      </c>
      <c r="G190" s="31" t="n">
        <f aca="false">Swap!AG190</f>
        <v>0.0597486243596714</v>
      </c>
      <c r="H190" s="31" t="n">
        <f aca="false">Swap!AH190</f>
        <v>1.70548784736849</v>
      </c>
      <c r="I190" s="92" t="n">
        <f aca="false">INDEX(expery,MATCH(A190,exprymonth,0),2)</f>
        <v>42608</v>
      </c>
      <c r="J190" s="98" t="n">
        <f aca="false">I190-Front!$C$2</f>
        <v>-3318</v>
      </c>
      <c r="K190" s="99" t="n">
        <f aca="false">Swap!E190</f>
        <v>4.4085</v>
      </c>
      <c r="L190" s="99" t="e">
        <f aca="false">IF(C190="","",(PriceSwitch=0)*K190+(PriceSwitch=1)*(Front!$H$21+K190)+(PriceSwitch=2)*Front!$H$21)</f>
        <v>#VALUE!</v>
      </c>
      <c r="M190" s="93" t="n">
        <f aca="false">INDEX(vols,MATCH(A190,volsmonth,0),2)</f>
        <v>0.17</v>
      </c>
      <c r="N190" s="3" t="e">
        <f aca="false">IF(Skew_Switch=0,"",IF($C190="","",(Front!$E$20=0)*M190+(Front!$E$20=1)*(Front!$E$21+M190)+(Front!$E$20=2)*Front!$E$21))</f>
        <v>#VALUE!</v>
      </c>
      <c r="O190" s="94" t="e">
        <f aca="false">IF(Skew_Switch=0,"",IF(C190="","",((calcskew(Call1-$L190,$C190,a,b))/100)))</f>
        <v>#VALUE!</v>
      </c>
      <c r="P190" s="94" t="e">
        <f aca="false">IF(Skew_Switch=0,"",IF(C190="","",((calcskew(Put1-$L190,$C190,a,b))/100)))</f>
        <v>#VALUE!</v>
      </c>
      <c r="Q190" s="94" t="e">
        <f aca="false">IF(Skew_Switch=0,"",IF(C190="","",((calcskew(Call2-$L190,$C190,a,b))/100)))</f>
        <v>#VALUE!</v>
      </c>
      <c r="R190" s="94" t="e">
        <f aca="false">IF(Skew_Switch=0,"",IF(C190="","",((calcskew(Put2-$L190,$C190,a,b))/100)))</f>
        <v>#VALUE!</v>
      </c>
      <c r="S190" s="3" t="e">
        <f aca="false">IF($C190="","",(Front!$C$19=0)*$N190+(Front!$C$19=1)*($N190+O190))</f>
        <v>#VALUE!</v>
      </c>
      <c r="T190" s="3" t="e">
        <f aca="false">IF($C190="","",(Front!$C$19=0)*$N190+(Front!$C$19=1)*($N190+P190))</f>
        <v>#VALUE!</v>
      </c>
      <c r="U190" s="3" t="e">
        <f aca="false">IF($C190="","",(Front!$C$19=0)*$N190+(Front!$C$19=1)*($N190+Q190))</f>
        <v>#VALUE!</v>
      </c>
      <c r="V190" s="3" t="e">
        <f aca="false">IF($C190="","",(Front!$C$19=0)*$N190+(Front!$C$19=1)*($N190+R190))</f>
        <v>#VALUE!</v>
      </c>
      <c r="W190" s="90" t="e">
        <f aca="false">IF($C190="","",xEURO($L190,Call1,$G190,$G190,S190,$J190,1,0))</f>
        <v>#VALUE!</v>
      </c>
      <c r="X190" s="90" t="e">
        <f aca="false">IF($C190="","",xEURO($L190,Put1,$G190,$G190,T190,$J190,0,0))</f>
        <v>#VALUE!</v>
      </c>
      <c r="Y190" s="90" t="e">
        <f aca="false">IF($C190="","",xEURO($L190,Call2,$G190,$G190,U190,$J190,1,0))</f>
        <v>#VALUE!</v>
      </c>
      <c r="Z190" s="90" t="e">
        <f aca="false">IF($C190="","",xEURO($L190,Put2,$G190,$G190,V190,$J190,0,0))</f>
        <v>#VALUE!</v>
      </c>
      <c r="AA190" s="90" t="e">
        <f aca="false">IF($C190="","",xEURO($L190,Call1,$G190,$G190,$S190,$J190,1,1))</f>
        <v>#VALUE!</v>
      </c>
      <c r="AB190" s="90" t="e">
        <f aca="false">IF($C190="","",xEURO($L190,Put1,$G190,$G190,$T190,$J190,0,1))</f>
        <v>#VALUE!</v>
      </c>
      <c r="AC190" s="90" t="e">
        <f aca="false">IF($C190="","",xEURO($L190,Call2,$G190,$G190,$U190,$J190,1,1))</f>
        <v>#VALUE!</v>
      </c>
      <c r="AD190" s="90" t="e">
        <f aca="false">IF($C190="","",xEURO($L190,Put2,$G190,$G190,$V190,$J190,0,1))</f>
        <v>#VALUE!</v>
      </c>
      <c r="AE190" s="90" t="e">
        <f aca="false">IF($C190="","",xEURO($L190,Call1,$G190,$G190,$S190,$J190,1,3))</f>
        <v>#VALUE!</v>
      </c>
      <c r="AF190" s="90" t="e">
        <f aca="false">IF($C190="","",xEURO($L190,Put1,$G190,$G190,$T190,$J190,0,3))</f>
        <v>#VALUE!</v>
      </c>
      <c r="AG190" s="90" t="e">
        <f aca="false">IF($C190="","",xEURO($L190,Call2,$G190,$G190,$U190,$J190,1,3))</f>
        <v>#VALUE!</v>
      </c>
      <c r="AH190" s="90" t="e">
        <f aca="false">IF($C190="","",xEURO($L190,Put2,$G190,$G190,$V190,$J190,0,3))</f>
        <v>#VALUE!</v>
      </c>
      <c r="AI190" s="8" t="e">
        <f aca="false">IF(E190=1,G190,0)</f>
        <v>#VALUE!</v>
      </c>
      <c r="AJ190" s="8" t="e">
        <f aca="false">IF(E190=1,H190,0)</f>
        <v>#VALUE!</v>
      </c>
      <c r="AK190" s="8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  <c r="IW190" s="0"/>
    </row>
    <row r="191" customFormat="false" ht="12.75" hidden="false" customHeight="false" outlineLevel="0" collapsed="false">
      <c r="A191" s="95" t="n">
        <f aca="false">Swap!A191</f>
        <v>42644</v>
      </c>
      <c r="B191" s="96" t="n">
        <f aca="false">B190+1</f>
        <v>182</v>
      </c>
      <c r="C191" s="95" t="e">
        <f aca="false">IF(AND(A191&gt;=Front!$E$11,A191&lt;=Front!$E$12),A191,"")</f>
        <v>#VALUE!</v>
      </c>
      <c r="D191" s="87" t="e">
        <f aca="false">Swap!AB191</f>
        <v>#VALUE!</v>
      </c>
      <c r="E191" s="87" t="e">
        <f aca="false">IF($C191="","",1)</f>
        <v>#VALUE!</v>
      </c>
      <c r="F191" s="97" t="e">
        <f aca="false">IF($C191="","",E191*H191)</f>
        <v>#VALUE!</v>
      </c>
      <c r="G191" s="31" t="n">
        <f aca="false">Swap!AG191</f>
        <v>0.0598136618806868</v>
      </c>
      <c r="H191" s="31" t="n">
        <f aca="false">Swap!AH191</f>
        <v>1.69822405304188</v>
      </c>
      <c r="I191" s="92" t="n">
        <f aca="false">INDEX(expery,MATCH(A191,exprymonth,0),2)</f>
        <v>42640</v>
      </c>
      <c r="J191" s="98" t="n">
        <f aca="false">I191-Front!$C$2</f>
        <v>-3286</v>
      </c>
      <c r="K191" s="99" t="n">
        <f aca="false">Swap!E191</f>
        <v>4.4005</v>
      </c>
      <c r="L191" s="99" t="e">
        <f aca="false">IF(C191="","",(PriceSwitch=0)*K191+(PriceSwitch=1)*(Front!$H$21+K191)+(PriceSwitch=2)*Front!$H$21)</f>
        <v>#VALUE!</v>
      </c>
      <c r="M191" s="93" t="n">
        <f aca="false">INDEX(vols,MATCH(A191,volsmonth,0),2)</f>
        <v>0.17</v>
      </c>
      <c r="N191" s="3" t="e">
        <f aca="false">IF(Skew_Switch=0,"",IF($C191="","",(Front!$E$20=0)*M191+(Front!$E$20=1)*(Front!$E$21+M191)+(Front!$E$20=2)*Front!$E$21))</f>
        <v>#VALUE!</v>
      </c>
      <c r="O191" s="94" t="e">
        <f aca="false">IF(Skew_Switch=0,"",IF(C191="","",((calcskew(Call1-$L191,$C191,a,b))/100)))</f>
        <v>#VALUE!</v>
      </c>
      <c r="P191" s="94" t="e">
        <f aca="false">IF(Skew_Switch=0,"",IF(C191="","",((calcskew(Put1-$L191,$C191,a,b))/100)))</f>
        <v>#VALUE!</v>
      </c>
      <c r="Q191" s="94" t="e">
        <f aca="false">IF(Skew_Switch=0,"",IF(C191="","",((calcskew(Call2-$L191,$C191,a,b))/100)))</f>
        <v>#VALUE!</v>
      </c>
      <c r="R191" s="94" t="e">
        <f aca="false">IF(Skew_Switch=0,"",IF(C191="","",((calcskew(Put2-$L191,$C191,a,b))/100)))</f>
        <v>#VALUE!</v>
      </c>
      <c r="S191" s="3" t="e">
        <f aca="false">IF($C191="","",(Front!$C$19=0)*$N191+(Front!$C$19=1)*($N191+O191))</f>
        <v>#VALUE!</v>
      </c>
      <c r="T191" s="3" t="e">
        <f aca="false">IF($C191="","",(Front!$C$19=0)*$N191+(Front!$C$19=1)*($N191+P191))</f>
        <v>#VALUE!</v>
      </c>
      <c r="U191" s="3" t="e">
        <f aca="false">IF($C191="","",(Front!$C$19=0)*$N191+(Front!$C$19=1)*($N191+Q191))</f>
        <v>#VALUE!</v>
      </c>
      <c r="V191" s="3" t="e">
        <f aca="false">IF($C191="","",(Front!$C$19=0)*$N191+(Front!$C$19=1)*($N191+R191))</f>
        <v>#VALUE!</v>
      </c>
      <c r="W191" s="90" t="e">
        <f aca="false">IF($C191="","",xEURO($L191,Call1,$G191,$G191,S191,$J191,1,0))</f>
        <v>#VALUE!</v>
      </c>
      <c r="X191" s="90" t="e">
        <f aca="false">IF($C191="","",xEURO($L191,Put1,$G191,$G191,T191,$J191,0,0))</f>
        <v>#VALUE!</v>
      </c>
      <c r="Y191" s="90" t="e">
        <f aca="false">IF($C191="","",xEURO($L191,Call2,$G191,$G191,U191,$J191,1,0))</f>
        <v>#VALUE!</v>
      </c>
      <c r="Z191" s="90" t="e">
        <f aca="false">IF($C191="","",xEURO($L191,Put2,$G191,$G191,V191,$J191,0,0))</f>
        <v>#VALUE!</v>
      </c>
      <c r="AA191" s="90" t="e">
        <f aca="false">IF($C191="","",xEURO($L191,Call1,$G191,$G191,$S191,$J191,1,1))</f>
        <v>#VALUE!</v>
      </c>
      <c r="AB191" s="90" t="e">
        <f aca="false">IF($C191="","",xEURO($L191,Put1,$G191,$G191,$T191,$J191,0,1))</f>
        <v>#VALUE!</v>
      </c>
      <c r="AC191" s="90" t="e">
        <f aca="false">IF($C191="","",xEURO($L191,Call2,$G191,$G191,$U191,$J191,1,1))</f>
        <v>#VALUE!</v>
      </c>
      <c r="AD191" s="90" t="e">
        <f aca="false">IF($C191="","",xEURO($L191,Put2,$G191,$G191,$V191,$J191,0,1))</f>
        <v>#VALUE!</v>
      </c>
      <c r="AE191" s="90" t="e">
        <f aca="false">IF($C191="","",xEURO($L191,Call1,$G191,$G191,$S191,$J191,1,3))</f>
        <v>#VALUE!</v>
      </c>
      <c r="AF191" s="90" t="e">
        <f aca="false">IF($C191="","",xEURO($L191,Put1,$G191,$G191,$T191,$J191,0,3))</f>
        <v>#VALUE!</v>
      </c>
      <c r="AG191" s="90" t="e">
        <f aca="false">IF($C191="","",xEURO($L191,Call2,$G191,$G191,$U191,$J191,1,3))</f>
        <v>#VALUE!</v>
      </c>
      <c r="AH191" s="90" t="e">
        <f aca="false">IF($C191="","",xEURO($L191,Put2,$G191,$G191,$V191,$J191,0,3))</f>
        <v>#VALUE!</v>
      </c>
      <c r="AI191" s="8" t="e">
        <f aca="false">IF(E191=1,G191,0)</f>
        <v>#VALUE!</v>
      </c>
      <c r="AJ191" s="8" t="e">
        <f aca="false">IF(E191=1,H191,0)</f>
        <v>#VALUE!</v>
      </c>
      <c r="AK191" s="8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  <c r="IW191" s="0"/>
    </row>
    <row r="192" customFormat="false" ht="12.75" hidden="false" customHeight="false" outlineLevel="0" collapsed="false">
      <c r="A192" s="95" t="n">
        <f aca="false">Swap!A192</f>
        <v>42675</v>
      </c>
      <c r="B192" s="96" t="n">
        <f aca="false">B191+1</f>
        <v>183</v>
      </c>
      <c r="C192" s="95" t="e">
        <f aca="false">IF(AND(A192&gt;=Front!$E$11,A192&lt;=Front!$E$12),A192,"")</f>
        <v>#VALUE!</v>
      </c>
      <c r="D192" s="87" t="e">
        <f aca="false">Swap!AB192</f>
        <v>#VALUE!</v>
      </c>
      <c r="E192" s="87" t="e">
        <f aca="false">IF($C192="","",1)</f>
        <v>#VALUE!</v>
      </c>
      <c r="F192" s="97" t="e">
        <f aca="false">IF($C192="","",E192*H192)</f>
        <v>#VALUE!</v>
      </c>
      <c r="G192" s="31" t="n">
        <f aca="false">Swap!AG192</f>
        <v>0.0598808673205462</v>
      </c>
      <c r="H192" s="31" t="n">
        <f aca="false">Swap!AH192</f>
        <v>1.69073217429243</v>
      </c>
      <c r="I192" s="92" t="n">
        <f aca="false">INDEX(expery,MATCH(A192,exprymonth,0),2)</f>
        <v>42669</v>
      </c>
      <c r="J192" s="98" t="n">
        <f aca="false">I192-Front!$C$2</f>
        <v>-3257</v>
      </c>
      <c r="K192" s="99" t="n">
        <f aca="false">Swap!E192</f>
        <v>4.5705</v>
      </c>
      <c r="L192" s="99" t="e">
        <f aca="false">IF(C192="","",(PriceSwitch=0)*K192+(PriceSwitch=1)*(Front!$H$21+K192)+(PriceSwitch=2)*Front!$H$21)</f>
        <v>#VALUE!</v>
      </c>
      <c r="M192" s="93" t="n">
        <f aca="false">INDEX(vols,MATCH(A192,volsmonth,0),2)</f>
        <v>0.17</v>
      </c>
      <c r="N192" s="3" t="e">
        <f aca="false">IF(Skew_Switch=0,"",IF($C192="","",(Front!$E$20=0)*M192+(Front!$E$20=1)*(Front!$E$21+M192)+(Front!$E$20=2)*Front!$E$21))</f>
        <v>#VALUE!</v>
      </c>
      <c r="O192" s="94" t="e">
        <f aca="false">IF(Skew_Switch=0,"",IF(C192="","",((calcskew(Call1-$L192,$C192,a,b))/100)))</f>
        <v>#VALUE!</v>
      </c>
      <c r="P192" s="94" t="e">
        <f aca="false">IF(Skew_Switch=0,"",IF(C192="","",((calcskew(Put1-$L192,$C192,a,b))/100)))</f>
        <v>#VALUE!</v>
      </c>
      <c r="Q192" s="94" t="e">
        <f aca="false">IF(Skew_Switch=0,"",IF(C192="","",((calcskew(Call2-$L192,$C192,a,b))/100)))</f>
        <v>#VALUE!</v>
      </c>
      <c r="R192" s="94" t="e">
        <f aca="false">IF(Skew_Switch=0,"",IF(C192="","",((calcskew(Put2-$L192,$C192,a,b))/100)))</f>
        <v>#VALUE!</v>
      </c>
      <c r="S192" s="3" t="e">
        <f aca="false">IF($C192="","",(Front!$C$19=0)*$N192+(Front!$C$19=1)*($N192+O192))</f>
        <v>#VALUE!</v>
      </c>
      <c r="T192" s="3" t="e">
        <f aca="false">IF($C192="","",(Front!$C$19=0)*$N192+(Front!$C$19=1)*($N192+P192))</f>
        <v>#VALUE!</v>
      </c>
      <c r="U192" s="3" t="e">
        <f aca="false">IF($C192="","",(Front!$C$19=0)*$N192+(Front!$C$19=1)*($N192+Q192))</f>
        <v>#VALUE!</v>
      </c>
      <c r="V192" s="3" t="e">
        <f aca="false">IF($C192="","",(Front!$C$19=0)*$N192+(Front!$C$19=1)*($N192+R192))</f>
        <v>#VALUE!</v>
      </c>
      <c r="W192" s="90" t="e">
        <f aca="false">IF($C192="","",xEURO($L192,Call1,$G192,$G192,S192,$J192,1,0))</f>
        <v>#VALUE!</v>
      </c>
      <c r="X192" s="90" t="e">
        <f aca="false">IF($C192="","",xEURO($L192,Put1,$G192,$G192,T192,$J192,0,0))</f>
        <v>#VALUE!</v>
      </c>
      <c r="Y192" s="90" t="e">
        <f aca="false">IF($C192="","",xEURO($L192,Call2,$G192,$G192,U192,$J192,1,0))</f>
        <v>#VALUE!</v>
      </c>
      <c r="Z192" s="90" t="e">
        <f aca="false">IF($C192="","",xEURO($L192,Put2,$G192,$G192,V192,$J192,0,0))</f>
        <v>#VALUE!</v>
      </c>
      <c r="AA192" s="90" t="e">
        <f aca="false">IF($C192="","",xEURO($L192,Call1,$G192,$G192,$S192,$J192,1,1))</f>
        <v>#VALUE!</v>
      </c>
      <c r="AB192" s="90" t="e">
        <f aca="false">IF($C192="","",xEURO($L192,Put1,$G192,$G192,$T192,$J192,0,1))</f>
        <v>#VALUE!</v>
      </c>
      <c r="AC192" s="90" t="e">
        <f aca="false">IF($C192="","",xEURO($L192,Call2,$G192,$G192,$U192,$J192,1,1))</f>
        <v>#VALUE!</v>
      </c>
      <c r="AD192" s="90" t="e">
        <f aca="false">IF($C192="","",xEURO($L192,Put2,$G192,$G192,$V192,$J192,0,1))</f>
        <v>#VALUE!</v>
      </c>
      <c r="AE192" s="90" t="e">
        <f aca="false">IF($C192="","",xEURO($L192,Call1,$G192,$G192,$S192,$J192,1,3))</f>
        <v>#VALUE!</v>
      </c>
      <c r="AF192" s="90" t="e">
        <f aca="false">IF($C192="","",xEURO($L192,Put1,$G192,$G192,$T192,$J192,0,3))</f>
        <v>#VALUE!</v>
      </c>
      <c r="AG192" s="90" t="e">
        <f aca="false">IF($C192="","",xEURO($L192,Call2,$G192,$G192,$U192,$J192,1,3))</f>
        <v>#VALUE!</v>
      </c>
      <c r="AH192" s="90" t="e">
        <f aca="false">IF($C192="","",xEURO($L192,Put2,$G192,$G192,$V192,$J192,0,3))</f>
        <v>#VALUE!</v>
      </c>
      <c r="AI192" s="8" t="e">
        <f aca="false">IF(E192=1,G192,0)</f>
        <v>#VALUE!</v>
      </c>
      <c r="AJ192" s="8" t="e">
        <f aca="false">IF(E192=1,H192,0)</f>
        <v>#VALUE!</v>
      </c>
      <c r="AK192" s="8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  <c r="IW192" s="0"/>
    </row>
    <row r="193" customFormat="false" ht="12.75" hidden="false" customHeight="false" outlineLevel="0" collapsed="false">
      <c r="A193" s="95" t="n">
        <f aca="false">Swap!A193</f>
        <v>42705</v>
      </c>
      <c r="B193" s="96" t="n">
        <f aca="false">B192+1</f>
        <v>184</v>
      </c>
      <c r="C193" s="95" t="e">
        <f aca="false">IF(AND(A193&gt;=Front!$E$11,A193&lt;=Front!$E$12),A193,"")</f>
        <v>#VALUE!</v>
      </c>
      <c r="D193" s="87" t="e">
        <f aca="false">Swap!AB193</f>
        <v>#VALUE!</v>
      </c>
      <c r="E193" s="87" t="e">
        <f aca="false">IF($C193="","",1)</f>
        <v>#VALUE!</v>
      </c>
      <c r="F193" s="97" t="e">
        <f aca="false">IF($C193="","",E193*H193)</f>
        <v>#VALUE!</v>
      </c>
      <c r="G193" s="31" t="n">
        <f aca="false">Swap!AG193</f>
        <v>0.0599459048444198</v>
      </c>
      <c r="H193" s="31" t="n">
        <f aca="false">Swap!AH193</f>
        <v>1.68349565488317</v>
      </c>
      <c r="I193" s="92" t="n">
        <f aca="false">INDEX(expery,MATCH(A193,exprymonth,0),2)</f>
        <v>42699</v>
      </c>
      <c r="J193" s="98" t="n">
        <f aca="false">I193-Front!$C$2</f>
        <v>-3227</v>
      </c>
      <c r="K193" s="99" t="n">
        <f aca="false">Swap!E193</f>
        <v>4.7455</v>
      </c>
      <c r="L193" s="99" t="e">
        <f aca="false">IF(C193="","",(PriceSwitch=0)*K193+(PriceSwitch=1)*(Front!$H$21+K193)+(PriceSwitch=2)*Front!$H$21)</f>
        <v>#VALUE!</v>
      </c>
      <c r="M193" s="93" t="n">
        <f aca="false">INDEX(vols,MATCH(A193,volsmonth,0),2)</f>
        <v>0.17</v>
      </c>
      <c r="N193" s="3" t="e">
        <f aca="false">IF(Skew_Switch=0,"",IF($C193="","",(Front!$E$20=0)*M193+(Front!$E$20=1)*(Front!$E$21+M193)+(Front!$E$20=2)*Front!$E$21))</f>
        <v>#VALUE!</v>
      </c>
      <c r="O193" s="94" t="e">
        <f aca="false">IF(Skew_Switch=0,"",IF(C193="","",((calcskew(Call1-$L193,$C193,a,b))/100)))</f>
        <v>#VALUE!</v>
      </c>
      <c r="P193" s="94" t="e">
        <f aca="false">IF(Skew_Switch=0,"",IF(C193="","",((calcskew(Put1-$L193,$C193,a,b))/100)))</f>
        <v>#VALUE!</v>
      </c>
      <c r="Q193" s="94" t="e">
        <f aca="false">IF(Skew_Switch=0,"",IF(C193="","",((calcskew(Call2-$L193,$C193,a,b))/100)))</f>
        <v>#VALUE!</v>
      </c>
      <c r="R193" s="94" t="e">
        <f aca="false">IF(Skew_Switch=0,"",IF(C193="","",((calcskew(Put2-$L193,$C193,a,b))/100)))</f>
        <v>#VALUE!</v>
      </c>
      <c r="S193" s="3" t="e">
        <f aca="false">IF($C193="","",(Front!$C$19=0)*$N193+(Front!$C$19=1)*($N193+O193))</f>
        <v>#VALUE!</v>
      </c>
      <c r="T193" s="3" t="e">
        <f aca="false">IF($C193="","",(Front!$C$19=0)*$N193+(Front!$C$19=1)*($N193+P193))</f>
        <v>#VALUE!</v>
      </c>
      <c r="U193" s="3" t="e">
        <f aca="false">IF($C193="","",(Front!$C$19=0)*$N193+(Front!$C$19=1)*($N193+Q193))</f>
        <v>#VALUE!</v>
      </c>
      <c r="V193" s="3" t="e">
        <f aca="false">IF($C193="","",(Front!$C$19=0)*$N193+(Front!$C$19=1)*($N193+R193))</f>
        <v>#VALUE!</v>
      </c>
      <c r="W193" s="90" t="e">
        <f aca="false">IF($C193="","",xEURO($L193,Call1,$G193,$G193,S193,$J193,1,0))</f>
        <v>#VALUE!</v>
      </c>
      <c r="X193" s="90" t="e">
        <f aca="false">IF($C193="","",xEURO($L193,Put1,$G193,$G193,T193,$J193,0,0))</f>
        <v>#VALUE!</v>
      </c>
      <c r="Y193" s="90" t="e">
        <f aca="false">IF($C193="","",xEURO($L193,Call2,$G193,$G193,U193,$J193,1,0))</f>
        <v>#VALUE!</v>
      </c>
      <c r="Z193" s="90" t="e">
        <f aca="false">IF($C193="","",xEURO($L193,Put2,$G193,$G193,V193,$J193,0,0))</f>
        <v>#VALUE!</v>
      </c>
      <c r="AA193" s="90" t="e">
        <f aca="false">IF($C193="","",xEURO($L193,Call1,$G193,$G193,$S193,$J193,1,1))</f>
        <v>#VALUE!</v>
      </c>
      <c r="AB193" s="90" t="e">
        <f aca="false">IF($C193="","",xEURO($L193,Put1,$G193,$G193,$T193,$J193,0,1))</f>
        <v>#VALUE!</v>
      </c>
      <c r="AC193" s="90" t="e">
        <f aca="false">IF($C193="","",xEURO($L193,Call2,$G193,$G193,$U193,$J193,1,1))</f>
        <v>#VALUE!</v>
      </c>
      <c r="AD193" s="90" t="e">
        <f aca="false">IF($C193="","",xEURO($L193,Put2,$G193,$G193,$V193,$J193,0,1))</f>
        <v>#VALUE!</v>
      </c>
      <c r="AE193" s="90" t="e">
        <f aca="false">IF($C193="","",xEURO($L193,Call1,$G193,$G193,$S193,$J193,1,3))</f>
        <v>#VALUE!</v>
      </c>
      <c r="AF193" s="90" t="e">
        <f aca="false">IF($C193="","",xEURO($L193,Put1,$G193,$G193,$T193,$J193,0,3))</f>
        <v>#VALUE!</v>
      </c>
      <c r="AG193" s="90" t="e">
        <f aca="false">IF($C193="","",xEURO($L193,Call2,$G193,$G193,$U193,$J193,1,3))</f>
        <v>#VALUE!</v>
      </c>
      <c r="AH193" s="90" t="e">
        <f aca="false">IF($C193="","",xEURO($L193,Put2,$G193,$G193,$V193,$J193,0,3))</f>
        <v>#VALUE!</v>
      </c>
      <c r="AI193" s="8" t="e">
        <f aca="false">IF(E193=1,G193,0)</f>
        <v>#VALUE!</v>
      </c>
      <c r="AJ193" s="8" t="e">
        <f aca="false">IF(E193=1,H193,0)</f>
        <v>#VALUE!</v>
      </c>
      <c r="AK193" s="8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  <c r="IW193" s="0"/>
    </row>
    <row r="194" customFormat="false" ht="12.75" hidden="false" customHeight="false" outlineLevel="0" collapsed="false">
      <c r="A194" s="95" t="n">
        <f aca="false">Swap!A194</f>
        <v>42736</v>
      </c>
      <c r="B194" s="96" t="n">
        <f aca="false">B193+1</f>
        <v>185</v>
      </c>
      <c r="C194" s="95" t="e">
        <f aca="false">IF(AND(A194&gt;=Front!$E$11,A194&lt;=Front!$E$12),A194,"")</f>
        <v>#VALUE!</v>
      </c>
      <c r="D194" s="87" t="e">
        <f aca="false">Swap!AB194</f>
        <v>#VALUE!</v>
      </c>
      <c r="E194" s="87" t="e">
        <f aca="false">IF($C194="","",1)</f>
        <v>#VALUE!</v>
      </c>
      <c r="F194" s="97" t="e">
        <f aca="false">IF($C194="","",E194*H194)</f>
        <v>#VALUE!</v>
      </c>
      <c r="G194" s="31" t="n">
        <f aca="false">Swap!AG194</f>
        <v>0.0600131102872319</v>
      </c>
      <c r="H194" s="31" t="n">
        <f aca="false">Swap!AH194</f>
        <v>1.67603216034911</v>
      </c>
      <c r="I194" s="92" t="n">
        <f aca="false">INDEX(expery,MATCH(A194,exprymonth,0),2)</f>
        <v>42731</v>
      </c>
      <c r="J194" s="98" t="n">
        <f aca="false">I194-Front!$C$2</f>
        <v>-3195</v>
      </c>
      <c r="K194" s="99" t="n">
        <f aca="false">Swap!E194</f>
        <v>4.803</v>
      </c>
      <c r="L194" s="99" t="e">
        <f aca="false">IF(C194="","",(PriceSwitch=0)*K194+(PriceSwitch=1)*(Front!$H$21+K194)+(PriceSwitch=2)*Front!$H$21)</f>
        <v>#VALUE!</v>
      </c>
      <c r="M194" s="93" t="n">
        <f aca="false">INDEX(vols,MATCH(A194,volsmonth,0),2)</f>
        <v>0.17</v>
      </c>
      <c r="N194" s="3" t="e">
        <f aca="false">IF(Skew_Switch=0,"",IF($C194="","",(Front!$E$20=0)*M194+(Front!$E$20=1)*(Front!$E$21+M194)+(Front!$E$20=2)*Front!$E$21))</f>
        <v>#VALUE!</v>
      </c>
      <c r="O194" s="94" t="e">
        <f aca="false">IF(Skew_Switch=0,"",IF(C194="","",((calcskew(Call1-$L194,$C194,a,b))/100)))</f>
        <v>#VALUE!</v>
      </c>
      <c r="P194" s="94" t="e">
        <f aca="false">IF(Skew_Switch=0,"",IF(C194="","",((calcskew(Put1-$L194,$C194,a,b))/100)))</f>
        <v>#VALUE!</v>
      </c>
      <c r="Q194" s="94" t="e">
        <f aca="false">IF(Skew_Switch=0,"",IF(C194="","",((calcskew(Call2-$L194,$C194,a,b))/100)))</f>
        <v>#VALUE!</v>
      </c>
      <c r="R194" s="94" t="e">
        <f aca="false">IF(Skew_Switch=0,"",IF(C194="","",((calcskew(Put2-$L194,$C194,a,b))/100)))</f>
        <v>#VALUE!</v>
      </c>
      <c r="S194" s="3" t="e">
        <f aca="false">IF($C194="","",(Front!$C$19=0)*$N194+(Front!$C$19=1)*($N194+O194))</f>
        <v>#VALUE!</v>
      </c>
      <c r="T194" s="3" t="e">
        <f aca="false">IF($C194="","",(Front!$C$19=0)*$N194+(Front!$C$19=1)*($N194+P194))</f>
        <v>#VALUE!</v>
      </c>
      <c r="U194" s="3" t="e">
        <f aca="false">IF($C194="","",(Front!$C$19=0)*$N194+(Front!$C$19=1)*($N194+Q194))</f>
        <v>#VALUE!</v>
      </c>
      <c r="V194" s="3" t="e">
        <f aca="false">IF($C194="","",(Front!$C$19=0)*$N194+(Front!$C$19=1)*($N194+R194))</f>
        <v>#VALUE!</v>
      </c>
      <c r="W194" s="90" t="e">
        <f aca="false">IF($C194="","",xEURO($L194,Call1,$G194,$G194,S194,$J194,1,0))</f>
        <v>#VALUE!</v>
      </c>
      <c r="X194" s="90" t="e">
        <f aca="false">IF($C194="","",xEURO($L194,Put1,$G194,$G194,T194,$J194,0,0))</f>
        <v>#VALUE!</v>
      </c>
      <c r="Y194" s="90" t="e">
        <f aca="false">IF($C194="","",xEURO($L194,Call2,$G194,$G194,U194,$J194,1,0))</f>
        <v>#VALUE!</v>
      </c>
      <c r="Z194" s="90" t="e">
        <f aca="false">IF($C194="","",xEURO($L194,Put2,$G194,$G194,V194,$J194,0,0))</f>
        <v>#VALUE!</v>
      </c>
      <c r="AA194" s="90" t="e">
        <f aca="false">IF($C194="","",xEURO($L194,Call1,$G194,$G194,$S194,$J194,1,1))</f>
        <v>#VALUE!</v>
      </c>
      <c r="AB194" s="90" t="e">
        <f aca="false">IF($C194="","",xEURO($L194,Put1,$G194,$G194,$T194,$J194,0,1))</f>
        <v>#VALUE!</v>
      </c>
      <c r="AC194" s="90" t="e">
        <f aca="false">IF($C194="","",xEURO($L194,Call2,$G194,$G194,$U194,$J194,1,1))</f>
        <v>#VALUE!</v>
      </c>
      <c r="AD194" s="90" t="e">
        <f aca="false">IF($C194="","",xEURO($L194,Put2,$G194,$G194,$V194,$J194,0,1))</f>
        <v>#VALUE!</v>
      </c>
      <c r="AE194" s="90" t="e">
        <f aca="false">IF($C194="","",xEURO($L194,Call1,$G194,$G194,$S194,$J194,1,3))</f>
        <v>#VALUE!</v>
      </c>
      <c r="AF194" s="90" t="e">
        <f aca="false">IF($C194="","",xEURO($L194,Put1,$G194,$G194,$T194,$J194,0,3))</f>
        <v>#VALUE!</v>
      </c>
      <c r="AG194" s="90" t="e">
        <f aca="false">IF($C194="","",xEURO($L194,Call2,$G194,$G194,$U194,$J194,1,3))</f>
        <v>#VALUE!</v>
      </c>
      <c r="AH194" s="90" t="e">
        <f aca="false">IF($C194="","",xEURO($L194,Put2,$G194,$G194,$V194,$J194,0,3))</f>
        <v>#VALUE!</v>
      </c>
      <c r="AI194" s="8" t="e">
        <f aca="false">IF(E194=1,G194,0)</f>
        <v>#VALUE!</v>
      </c>
      <c r="AJ194" s="8" t="e">
        <f aca="false">IF(E194=1,H194,0)</f>
        <v>#VALUE!</v>
      </c>
      <c r="AK194" s="8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</row>
    <row r="195" customFormat="false" ht="12.75" hidden="false" customHeight="false" outlineLevel="0" collapsed="false">
      <c r="A195" s="95" t="n">
        <f aca="false">Swap!A195</f>
        <v>42767</v>
      </c>
      <c r="B195" s="96" t="n">
        <f aca="false">B194+1</f>
        <v>186</v>
      </c>
      <c r="C195" s="95" t="e">
        <f aca="false">IF(AND(A195&gt;=Front!$E$11,A195&lt;=Front!$E$12),A195,"")</f>
        <v>#VALUE!</v>
      </c>
      <c r="D195" s="87" t="e">
        <f aca="false">Swap!AB195</f>
        <v>#VALUE!</v>
      </c>
      <c r="E195" s="87" t="e">
        <f aca="false">IF($C195="","",1)</f>
        <v>#VALUE!</v>
      </c>
      <c r="F195" s="97" t="e">
        <f aca="false">IF($C195="","",E195*H195)</f>
        <v>#VALUE!</v>
      </c>
      <c r="G195" s="31" t="n">
        <f aca="false">Swap!AG195</f>
        <v>0.060080315731545</v>
      </c>
      <c r="H195" s="31" t="n">
        <f aca="false">Swap!AH195</f>
        <v>1.66858324235581</v>
      </c>
      <c r="I195" s="92" t="n">
        <f aca="false">INDEX(expery,MATCH(A195,exprymonth,0),2)</f>
        <v>42761</v>
      </c>
      <c r="J195" s="98" t="n">
        <f aca="false">I195-Front!$C$2</f>
        <v>-3165</v>
      </c>
      <c r="K195" s="99" t="n">
        <f aca="false">Swap!E195</f>
        <v>4.689</v>
      </c>
      <c r="L195" s="99" t="e">
        <f aca="false">IF(C195="","",(PriceSwitch=0)*K195+(PriceSwitch=1)*(Front!$H$21+K195)+(PriceSwitch=2)*Front!$H$21)</f>
        <v>#VALUE!</v>
      </c>
      <c r="M195" s="93" t="n">
        <f aca="false">INDEX(vols,MATCH(A195,volsmonth,0),2)</f>
        <v>0.17</v>
      </c>
      <c r="N195" s="3" t="e">
        <f aca="false">IF(Skew_Switch=0,"",IF($C195="","",(Front!$E$20=0)*M195+(Front!$E$20=1)*(Front!$E$21+M195)+(Front!$E$20=2)*Front!$E$21))</f>
        <v>#VALUE!</v>
      </c>
      <c r="O195" s="94" t="e">
        <f aca="false">IF(Skew_Switch=0,"",IF(C195="","",((calcskew(Call1-$L195,$C195,a,b))/100)))</f>
        <v>#VALUE!</v>
      </c>
      <c r="P195" s="94" t="e">
        <f aca="false">IF(Skew_Switch=0,"",IF(C195="","",((calcskew(Put1-$L195,$C195,a,b))/100)))</f>
        <v>#VALUE!</v>
      </c>
      <c r="Q195" s="94" t="e">
        <f aca="false">IF(Skew_Switch=0,"",IF(C195="","",((calcskew(Call2-$L195,$C195,a,b))/100)))</f>
        <v>#VALUE!</v>
      </c>
      <c r="R195" s="94" t="e">
        <f aca="false">IF(Skew_Switch=0,"",IF(C195="","",((calcskew(Put2-$L195,$C195,a,b))/100)))</f>
        <v>#VALUE!</v>
      </c>
      <c r="S195" s="3" t="e">
        <f aca="false">IF($C195="","",(Front!$C$19=0)*$N195+(Front!$C$19=1)*($N195+O195))</f>
        <v>#VALUE!</v>
      </c>
      <c r="T195" s="3" t="e">
        <f aca="false">IF($C195="","",(Front!$C$19=0)*$N195+(Front!$C$19=1)*($N195+P195))</f>
        <v>#VALUE!</v>
      </c>
      <c r="U195" s="3" t="e">
        <f aca="false">IF($C195="","",(Front!$C$19=0)*$N195+(Front!$C$19=1)*($N195+Q195))</f>
        <v>#VALUE!</v>
      </c>
      <c r="V195" s="3" t="e">
        <f aca="false">IF($C195="","",(Front!$C$19=0)*$N195+(Front!$C$19=1)*($N195+R195))</f>
        <v>#VALUE!</v>
      </c>
      <c r="W195" s="90" t="e">
        <f aca="false">IF($C195="","",xEURO($L195,Call1,$G195,$G195,S195,$J195,1,0))</f>
        <v>#VALUE!</v>
      </c>
      <c r="X195" s="90" t="e">
        <f aca="false">IF($C195="","",xEURO($L195,Put1,$G195,$G195,T195,$J195,0,0))</f>
        <v>#VALUE!</v>
      </c>
      <c r="Y195" s="90" t="e">
        <f aca="false">IF($C195="","",xEURO($L195,Call2,$G195,$G195,U195,$J195,1,0))</f>
        <v>#VALUE!</v>
      </c>
      <c r="Z195" s="90" t="e">
        <f aca="false">IF($C195="","",xEURO($L195,Put2,$G195,$G195,V195,$J195,0,0))</f>
        <v>#VALUE!</v>
      </c>
      <c r="AA195" s="90" t="e">
        <f aca="false">IF($C195="","",xEURO($L195,Call1,$G195,$G195,$S195,$J195,1,1))</f>
        <v>#VALUE!</v>
      </c>
      <c r="AB195" s="90" t="e">
        <f aca="false">IF($C195="","",xEURO($L195,Put1,$G195,$G195,$T195,$J195,0,1))</f>
        <v>#VALUE!</v>
      </c>
      <c r="AC195" s="90" t="e">
        <f aca="false">IF($C195="","",xEURO($L195,Call2,$G195,$G195,$U195,$J195,1,1))</f>
        <v>#VALUE!</v>
      </c>
      <c r="AD195" s="90" t="e">
        <f aca="false">IF($C195="","",xEURO($L195,Put2,$G195,$G195,$V195,$J195,0,1))</f>
        <v>#VALUE!</v>
      </c>
      <c r="AE195" s="90" t="e">
        <f aca="false">IF($C195="","",xEURO($L195,Call1,$G195,$G195,$S195,$J195,1,3))</f>
        <v>#VALUE!</v>
      </c>
      <c r="AF195" s="90" t="e">
        <f aca="false">IF($C195="","",xEURO($L195,Put1,$G195,$G195,$T195,$J195,0,3))</f>
        <v>#VALUE!</v>
      </c>
      <c r="AG195" s="90" t="e">
        <f aca="false">IF($C195="","",xEURO($L195,Call2,$G195,$G195,$U195,$J195,1,3))</f>
        <v>#VALUE!</v>
      </c>
      <c r="AH195" s="90" t="e">
        <f aca="false">IF($C195="","",xEURO($L195,Put2,$G195,$G195,$V195,$J195,0,3))</f>
        <v>#VALUE!</v>
      </c>
      <c r="AI195" s="8" t="e">
        <f aca="false">IF(E195=1,G195,0)</f>
        <v>#VALUE!</v>
      </c>
      <c r="AJ195" s="8" t="e">
        <f aca="false">IF(E195=1,H195,0)</f>
        <v>#VALUE!</v>
      </c>
      <c r="AK195" s="8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  <c r="IW195" s="0"/>
    </row>
    <row r="196" customFormat="false" ht="12.75" hidden="false" customHeight="false" outlineLevel="0" collapsed="false">
      <c r="A196" s="95" t="n">
        <f aca="false">Swap!A196</f>
        <v>42795</v>
      </c>
      <c r="B196" s="96" t="n">
        <f aca="false">B195+1</f>
        <v>187</v>
      </c>
      <c r="C196" s="95" t="e">
        <f aca="false">IF(AND(A196&gt;=Front!$E$11,A196&lt;=Front!$E$12),A196,"")</f>
        <v>#VALUE!</v>
      </c>
      <c r="D196" s="87" t="e">
        <f aca="false">Swap!AB196</f>
        <v>#VALUE!</v>
      </c>
      <c r="E196" s="87" t="e">
        <f aca="false">IF($C196="","",1)</f>
        <v>#VALUE!</v>
      </c>
      <c r="F196" s="97" t="e">
        <f aca="false">IF($C196="","",E196*H196)</f>
        <v>#VALUE!</v>
      </c>
      <c r="G196" s="31" t="n">
        <f aca="false">Swap!AG196</f>
        <v>0.0601410174244728</v>
      </c>
      <c r="H196" s="31" t="n">
        <f aca="false">Swap!AH196</f>
        <v>1.66186780029602</v>
      </c>
      <c r="I196" s="92" t="n">
        <f aca="false">INDEX(expery,MATCH(A196,exprymonth,0),2)</f>
        <v>42789</v>
      </c>
      <c r="J196" s="98" t="n">
        <f aca="false">I196-Front!$C$2</f>
        <v>-3137</v>
      </c>
      <c r="K196" s="99" t="n">
        <f aca="false">Swap!E196</f>
        <v>4.557</v>
      </c>
      <c r="L196" s="99" t="e">
        <f aca="false">IF(C196="","",(PriceSwitch=0)*K196+(PriceSwitch=1)*(Front!$H$21+K196)+(PriceSwitch=2)*Front!$H$21)</f>
        <v>#VALUE!</v>
      </c>
      <c r="M196" s="93" t="n">
        <f aca="false">INDEX(vols,MATCH(A196,volsmonth,0),2)</f>
        <v>0.17</v>
      </c>
      <c r="N196" s="3" t="e">
        <f aca="false">IF(Skew_Switch=0,"",IF($C196="","",(Front!$E$20=0)*M196+(Front!$E$20=1)*(Front!$E$21+M196)+(Front!$E$20=2)*Front!$E$21))</f>
        <v>#VALUE!</v>
      </c>
      <c r="O196" s="94" t="e">
        <f aca="false">IF(Skew_Switch=0,"",IF(C196="","",((calcskew(Call1-$L196,$C196,a,b))/100)))</f>
        <v>#VALUE!</v>
      </c>
      <c r="P196" s="94" t="e">
        <f aca="false">IF(Skew_Switch=0,"",IF(C196="","",((calcskew(Put1-$L196,$C196,a,b))/100)))</f>
        <v>#VALUE!</v>
      </c>
      <c r="Q196" s="94" t="e">
        <f aca="false">IF(Skew_Switch=0,"",IF(C196="","",((calcskew(Call2-$L196,$C196,a,b))/100)))</f>
        <v>#VALUE!</v>
      </c>
      <c r="R196" s="94" t="e">
        <f aca="false">IF(Skew_Switch=0,"",IF(C196="","",((calcskew(Put2-$L196,$C196,a,b))/100)))</f>
        <v>#VALUE!</v>
      </c>
      <c r="S196" s="3" t="e">
        <f aca="false">IF($C196="","",(Front!$C$19=0)*$N196+(Front!$C$19=1)*($N196+O196))</f>
        <v>#VALUE!</v>
      </c>
      <c r="T196" s="3" t="e">
        <f aca="false">IF($C196="","",(Front!$C$19=0)*$N196+(Front!$C$19=1)*($N196+P196))</f>
        <v>#VALUE!</v>
      </c>
      <c r="U196" s="3" t="e">
        <f aca="false">IF($C196="","",(Front!$C$19=0)*$N196+(Front!$C$19=1)*($N196+Q196))</f>
        <v>#VALUE!</v>
      </c>
      <c r="V196" s="3" t="e">
        <f aca="false">IF($C196="","",(Front!$C$19=0)*$N196+(Front!$C$19=1)*($N196+R196))</f>
        <v>#VALUE!</v>
      </c>
      <c r="W196" s="90" t="e">
        <f aca="false">IF($C196="","",xEURO($L196,Call1,$G196,$G196,S196,$J196,1,0))</f>
        <v>#VALUE!</v>
      </c>
      <c r="X196" s="90" t="e">
        <f aca="false">IF($C196="","",xEURO($L196,Put1,$G196,$G196,T196,$J196,0,0))</f>
        <v>#VALUE!</v>
      </c>
      <c r="Y196" s="90" t="e">
        <f aca="false">IF($C196="","",xEURO($L196,Call2,$G196,$G196,U196,$J196,1,0))</f>
        <v>#VALUE!</v>
      </c>
      <c r="Z196" s="90" t="e">
        <f aca="false">IF($C196="","",xEURO($L196,Put2,$G196,$G196,V196,$J196,0,0))</f>
        <v>#VALUE!</v>
      </c>
      <c r="AA196" s="90" t="e">
        <f aca="false">IF($C196="","",xEURO($L196,Call1,$G196,$G196,$S196,$J196,1,1))</f>
        <v>#VALUE!</v>
      </c>
      <c r="AB196" s="90" t="e">
        <f aca="false">IF($C196="","",xEURO($L196,Put1,$G196,$G196,$T196,$J196,0,1))</f>
        <v>#VALUE!</v>
      </c>
      <c r="AC196" s="90" t="e">
        <f aca="false">IF($C196="","",xEURO($L196,Call2,$G196,$G196,$U196,$J196,1,1))</f>
        <v>#VALUE!</v>
      </c>
      <c r="AD196" s="90" t="e">
        <f aca="false">IF($C196="","",xEURO($L196,Put2,$G196,$G196,$V196,$J196,0,1))</f>
        <v>#VALUE!</v>
      </c>
      <c r="AE196" s="90" t="e">
        <f aca="false">IF($C196="","",xEURO($L196,Call1,$G196,$G196,$S196,$J196,1,3))</f>
        <v>#VALUE!</v>
      </c>
      <c r="AF196" s="90" t="e">
        <f aca="false">IF($C196="","",xEURO($L196,Put1,$G196,$G196,$T196,$J196,0,3))</f>
        <v>#VALUE!</v>
      </c>
      <c r="AG196" s="90" t="e">
        <f aca="false">IF($C196="","",xEURO($L196,Call2,$G196,$G196,$U196,$J196,1,3))</f>
        <v>#VALUE!</v>
      </c>
      <c r="AH196" s="90" t="e">
        <f aca="false">IF($C196="","",xEURO($L196,Put2,$G196,$G196,$V196,$J196,0,3))</f>
        <v>#VALUE!</v>
      </c>
      <c r="AI196" s="8" t="e">
        <f aca="false">IF(E196=1,G196,0)</f>
        <v>#VALUE!</v>
      </c>
      <c r="AJ196" s="8" t="e">
        <f aca="false">IF(E196=1,H196,0)</f>
        <v>#VALUE!</v>
      </c>
      <c r="AK196" s="8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  <c r="IW196" s="0"/>
    </row>
    <row r="197" customFormat="false" ht="12.75" hidden="false" customHeight="false" outlineLevel="0" collapsed="false">
      <c r="A197" s="95" t="n">
        <f aca="false">Swap!A197</f>
        <v>42826</v>
      </c>
      <c r="B197" s="96" t="n">
        <f aca="false">B196+1</f>
        <v>188</v>
      </c>
      <c r="C197" s="95" t="e">
        <f aca="false">IF(AND(A197&gt;=Front!$E$11,A197&lt;=Front!$E$12),A197,"")</f>
        <v>#VALUE!</v>
      </c>
      <c r="D197" s="87" t="e">
        <f aca="false">Swap!AB197</f>
        <v>#VALUE!</v>
      </c>
      <c r="E197" s="87" t="e">
        <f aca="false">IF($C197="","",1)</f>
        <v>#VALUE!</v>
      </c>
      <c r="F197" s="97" t="e">
        <f aca="false">IF($C197="","",E197*H197)</f>
        <v>#VALUE!</v>
      </c>
      <c r="G197" s="31" t="n">
        <f aca="false">Swap!AG197</f>
        <v>0.0602082228716418</v>
      </c>
      <c r="H197" s="31" t="n">
        <f aca="false">Swap!AH197</f>
        <v>1.65444690307824</v>
      </c>
      <c r="I197" s="92" t="n">
        <f aca="false">INDEX(expery,MATCH(A197,exprymonth,0),2)</f>
        <v>42822</v>
      </c>
      <c r="J197" s="98" t="n">
        <f aca="false">I197-Front!$C$2</f>
        <v>-3104</v>
      </c>
      <c r="K197" s="99" t="n">
        <f aca="false">Swap!E197</f>
        <v>4.387</v>
      </c>
      <c r="L197" s="99" t="e">
        <f aca="false">IF(C197="","",(PriceSwitch=0)*K197+(PriceSwitch=1)*(Front!$H$21+K197)+(PriceSwitch=2)*Front!$H$21)</f>
        <v>#VALUE!</v>
      </c>
      <c r="M197" s="93" t="n">
        <f aca="false">INDEX(vols,MATCH(A197,volsmonth,0),2)</f>
        <v>0.17</v>
      </c>
      <c r="N197" s="3" t="e">
        <f aca="false">IF(Skew_Switch=0,"",IF($C197="","",(Front!$E$20=0)*M197+(Front!$E$20=1)*(Front!$E$21+M197)+(Front!$E$20=2)*Front!$E$21))</f>
        <v>#VALUE!</v>
      </c>
      <c r="O197" s="94" t="e">
        <f aca="false">IF(Skew_Switch=0,"",IF(C197="","",((calcskew(Call1-$L197,$C197,a,b))/100)))</f>
        <v>#VALUE!</v>
      </c>
      <c r="P197" s="94" t="e">
        <f aca="false">IF(Skew_Switch=0,"",IF(C197="","",((calcskew(Put1-$L197,$C197,a,b))/100)))</f>
        <v>#VALUE!</v>
      </c>
      <c r="Q197" s="94" t="e">
        <f aca="false">IF(Skew_Switch=0,"",IF(C197="","",((calcskew(Call2-$L197,$C197,a,b))/100)))</f>
        <v>#VALUE!</v>
      </c>
      <c r="R197" s="94" t="e">
        <f aca="false">IF(Skew_Switch=0,"",IF(C197="","",((calcskew(Put2-$L197,$C197,a,b))/100)))</f>
        <v>#VALUE!</v>
      </c>
      <c r="S197" s="3" t="e">
        <f aca="false">IF($C197="","",(Front!$C$19=0)*$N197+(Front!$C$19=1)*($N197+O197))</f>
        <v>#VALUE!</v>
      </c>
      <c r="T197" s="3" t="e">
        <f aca="false">IF($C197="","",(Front!$C$19=0)*$N197+(Front!$C$19=1)*($N197+P197))</f>
        <v>#VALUE!</v>
      </c>
      <c r="U197" s="3" t="e">
        <f aca="false">IF($C197="","",(Front!$C$19=0)*$N197+(Front!$C$19=1)*($N197+Q197))</f>
        <v>#VALUE!</v>
      </c>
      <c r="V197" s="3" t="e">
        <f aca="false">IF($C197="","",(Front!$C$19=0)*$N197+(Front!$C$19=1)*($N197+R197))</f>
        <v>#VALUE!</v>
      </c>
      <c r="W197" s="90" t="e">
        <f aca="false">IF($C197="","",xEURO($L197,Call1,$G197,$G197,S197,$J197,1,0))</f>
        <v>#VALUE!</v>
      </c>
      <c r="X197" s="90" t="e">
        <f aca="false">IF($C197="","",xEURO($L197,Put1,$G197,$G197,T197,$J197,0,0))</f>
        <v>#VALUE!</v>
      </c>
      <c r="Y197" s="90" t="e">
        <f aca="false">IF($C197="","",xEURO($L197,Call2,$G197,$G197,U197,$J197,1,0))</f>
        <v>#VALUE!</v>
      </c>
      <c r="Z197" s="90" t="e">
        <f aca="false">IF($C197="","",xEURO($L197,Put2,$G197,$G197,V197,$J197,0,0))</f>
        <v>#VALUE!</v>
      </c>
      <c r="AA197" s="90" t="e">
        <f aca="false">IF($C197="","",xEURO($L197,Call1,$G197,$G197,$S197,$J197,1,1))</f>
        <v>#VALUE!</v>
      </c>
      <c r="AB197" s="90" t="e">
        <f aca="false">IF($C197="","",xEURO($L197,Put1,$G197,$G197,$T197,$J197,0,1))</f>
        <v>#VALUE!</v>
      </c>
      <c r="AC197" s="90" t="e">
        <f aca="false">IF($C197="","",xEURO($L197,Call2,$G197,$G197,$U197,$J197,1,1))</f>
        <v>#VALUE!</v>
      </c>
      <c r="AD197" s="90" t="e">
        <f aca="false">IF($C197="","",xEURO($L197,Put2,$G197,$G197,$V197,$J197,0,1))</f>
        <v>#VALUE!</v>
      </c>
      <c r="AE197" s="90" t="e">
        <f aca="false">IF($C197="","",xEURO($L197,Call1,$G197,$G197,$S197,$J197,1,3))</f>
        <v>#VALUE!</v>
      </c>
      <c r="AF197" s="90" t="e">
        <f aca="false">IF($C197="","",xEURO($L197,Put1,$G197,$G197,$T197,$J197,0,3))</f>
        <v>#VALUE!</v>
      </c>
      <c r="AG197" s="90" t="e">
        <f aca="false">IF($C197="","",xEURO($L197,Call2,$G197,$G197,$U197,$J197,1,3))</f>
        <v>#VALUE!</v>
      </c>
      <c r="AH197" s="90" t="e">
        <f aca="false">IF($C197="","",xEURO($L197,Put2,$G197,$G197,$V197,$J197,0,3))</f>
        <v>#VALUE!</v>
      </c>
      <c r="AI197" s="8" t="e">
        <f aca="false">IF(E197=1,G197,0)</f>
        <v>#VALUE!</v>
      </c>
      <c r="AJ197" s="8" t="e">
        <f aca="false">IF(E197=1,H197,0)</f>
        <v>#VALUE!</v>
      </c>
      <c r="AK197" s="8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  <c r="IW197" s="0"/>
    </row>
    <row r="198" customFormat="false" ht="12.75" hidden="false" customHeight="false" outlineLevel="0" collapsed="false">
      <c r="A198" s="95" t="n">
        <f aca="false">Swap!A198</f>
        <v>42856</v>
      </c>
      <c r="B198" s="96" t="n">
        <f aca="false">B197+1</f>
        <v>189</v>
      </c>
      <c r="C198" s="95" t="e">
        <f aca="false">IF(AND(A198&gt;=Front!$E$11,A198&lt;=Front!$E$12),A198,"")</f>
        <v>#VALUE!</v>
      </c>
      <c r="D198" s="87" t="e">
        <f aca="false">Swap!AB198</f>
        <v>#VALUE!</v>
      </c>
      <c r="E198" s="87" t="e">
        <f aca="false">IF($C198="","",1)</f>
        <v>#VALUE!</v>
      </c>
      <c r="F198" s="97" t="e">
        <f aca="false">IF($C198="","",E198*H198)</f>
        <v>#VALUE!</v>
      </c>
      <c r="G198" s="31" t="n">
        <f aca="false">Swap!AG198</f>
        <v>0.0602732604025888</v>
      </c>
      <c r="H198" s="31" t="n">
        <f aca="false">Swap!AH198</f>
        <v>1.64727954421364</v>
      </c>
      <c r="I198" s="92" t="n">
        <f aca="false">INDEX(expery,MATCH(A198,exprymonth,0),2)</f>
        <v>42850</v>
      </c>
      <c r="J198" s="98" t="n">
        <f aca="false">I198-Front!$C$2</f>
        <v>-3076</v>
      </c>
      <c r="K198" s="99" t="n">
        <f aca="false">Swap!E198</f>
        <v>4.387</v>
      </c>
      <c r="L198" s="99" t="e">
        <f aca="false">IF(C198="","",(PriceSwitch=0)*K198+(PriceSwitch=1)*(Front!$H$21+K198)+(PriceSwitch=2)*Front!$H$21)</f>
        <v>#VALUE!</v>
      </c>
      <c r="M198" s="93" t="n">
        <f aca="false">INDEX(vols,MATCH(A198,volsmonth,0),2)</f>
        <v>0.17</v>
      </c>
      <c r="N198" s="3" t="e">
        <f aca="false">IF(Skew_Switch=0,"",IF($C198="","",(Front!$E$20=0)*M198+(Front!$E$20=1)*(Front!$E$21+M198)+(Front!$E$20=2)*Front!$E$21))</f>
        <v>#VALUE!</v>
      </c>
      <c r="O198" s="94" t="e">
        <f aca="false">IF(Skew_Switch=0,"",IF(C198="","",((calcskew(Call1-$L198,$C198,a,b))/100)))</f>
        <v>#VALUE!</v>
      </c>
      <c r="P198" s="94" t="e">
        <f aca="false">IF(Skew_Switch=0,"",IF(C198="","",((calcskew(Put1-$L198,$C198,a,b))/100)))</f>
        <v>#VALUE!</v>
      </c>
      <c r="Q198" s="94" t="e">
        <f aca="false">IF(Skew_Switch=0,"",IF(C198="","",((calcskew(Call2-$L198,$C198,a,b))/100)))</f>
        <v>#VALUE!</v>
      </c>
      <c r="R198" s="94" t="e">
        <f aca="false">IF(Skew_Switch=0,"",IF(C198="","",((calcskew(Put2-$L198,$C198,a,b))/100)))</f>
        <v>#VALUE!</v>
      </c>
      <c r="S198" s="3" t="e">
        <f aca="false">IF($C198="","",(Front!$C$19=0)*$N198+(Front!$C$19=1)*($N198+O198))</f>
        <v>#VALUE!</v>
      </c>
      <c r="T198" s="3" t="e">
        <f aca="false">IF($C198="","",(Front!$C$19=0)*$N198+(Front!$C$19=1)*($N198+P198))</f>
        <v>#VALUE!</v>
      </c>
      <c r="U198" s="3" t="e">
        <f aca="false">IF($C198="","",(Front!$C$19=0)*$N198+(Front!$C$19=1)*($N198+Q198))</f>
        <v>#VALUE!</v>
      </c>
      <c r="V198" s="3" t="e">
        <f aca="false">IF($C198="","",(Front!$C$19=0)*$N198+(Front!$C$19=1)*($N198+R198))</f>
        <v>#VALUE!</v>
      </c>
      <c r="W198" s="90" t="e">
        <f aca="false">IF($C198="","",xEURO($L198,Call1,$G198,$G198,S198,$J198,1,0))</f>
        <v>#VALUE!</v>
      </c>
      <c r="X198" s="90" t="e">
        <f aca="false">IF($C198="","",xEURO($L198,Put1,$G198,$G198,T198,$J198,0,0))</f>
        <v>#VALUE!</v>
      </c>
      <c r="Y198" s="90" t="e">
        <f aca="false">IF($C198="","",xEURO($L198,Call2,$G198,$G198,U198,$J198,1,0))</f>
        <v>#VALUE!</v>
      </c>
      <c r="Z198" s="90" t="e">
        <f aca="false">IF($C198="","",xEURO($L198,Put2,$G198,$G198,V198,$J198,0,0))</f>
        <v>#VALUE!</v>
      </c>
      <c r="AA198" s="90" t="e">
        <f aca="false">IF($C198="","",xEURO($L198,Call1,$G198,$G198,$S198,$J198,1,1))</f>
        <v>#VALUE!</v>
      </c>
      <c r="AB198" s="90" t="e">
        <f aca="false">IF($C198="","",xEURO($L198,Put1,$G198,$G198,$T198,$J198,0,1))</f>
        <v>#VALUE!</v>
      </c>
      <c r="AC198" s="90" t="e">
        <f aca="false">IF($C198="","",xEURO($L198,Call2,$G198,$G198,$U198,$J198,1,1))</f>
        <v>#VALUE!</v>
      </c>
      <c r="AD198" s="90" t="e">
        <f aca="false">IF($C198="","",xEURO($L198,Put2,$G198,$G198,$V198,$J198,0,1))</f>
        <v>#VALUE!</v>
      </c>
      <c r="AE198" s="90" t="e">
        <f aca="false">IF($C198="","",xEURO($L198,Call1,$G198,$G198,$S198,$J198,1,3))</f>
        <v>#VALUE!</v>
      </c>
      <c r="AF198" s="90" t="e">
        <f aca="false">IF($C198="","",xEURO($L198,Put1,$G198,$G198,$T198,$J198,0,3))</f>
        <v>#VALUE!</v>
      </c>
      <c r="AG198" s="90" t="e">
        <f aca="false">IF($C198="","",xEURO($L198,Call2,$G198,$G198,$U198,$J198,1,3))</f>
        <v>#VALUE!</v>
      </c>
      <c r="AH198" s="90" t="e">
        <f aca="false">IF($C198="","",xEURO($L198,Put2,$G198,$G198,$V198,$J198,0,3))</f>
        <v>#VALUE!</v>
      </c>
      <c r="AI198" s="8" t="e">
        <f aca="false">IF(E198=1,G198,0)</f>
        <v>#VALUE!</v>
      </c>
      <c r="AJ198" s="8" t="e">
        <f aca="false">IF(E198=1,H198,0)</f>
        <v>#VALUE!</v>
      </c>
      <c r="AK198" s="8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  <c r="IW198" s="0"/>
    </row>
    <row r="199" customFormat="false" ht="12.75" hidden="false" customHeight="false" outlineLevel="0" collapsed="false">
      <c r="A199" s="95" t="n">
        <f aca="false">Swap!A199</f>
        <v>42887</v>
      </c>
      <c r="B199" s="96" t="n">
        <f aca="false">B198+1</f>
        <v>190</v>
      </c>
      <c r="C199" s="95" t="e">
        <f aca="false">IF(AND(A199&gt;=Front!$E$11,A199&lt;=Front!$E$12),A199,"")</f>
        <v>#VALUE!</v>
      </c>
      <c r="D199" s="87" t="e">
        <f aca="false">Swap!AB199</f>
        <v>#VALUE!</v>
      </c>
      <c r="E199" s="87" t="e">
        <f aca="false">IF($C199="","",1)</f>
        <v>#VALUE!</v>
      </c>
      <c r="F199" s="97" t="e">
        <f aca="false">IF($C199="","",E199*H199)</f>
        <v>#VALUE!</v>
      </c>
      <c r="G199" s="31" t="n">
        <f aca="false">Swap!AG199</f>
        <v>0.0603404658527107</v>
      </c>
      <c r="H199" s="31" t="n">
        <f aca="false">Swap!AH199</f>
        <v>1.63988799544081</v>
      </c>
      <c r="I199" s="92" t="n">
        <f aca="false">INDEX(expery,MATCH(A199,exprymonth,0),2)</f>
        <v>42880</v>
      </c>
      <c r="J199" s="98" t="n">
        <f aca="false">I199-Front!$C$2</f>
        <v>-3046</v>
      </c>
      <c r="K199" s="99" t="n">
        <f aca="false">Swap!E199</f>
        <v>4.419</v>
      </c>
      <c r="L199" s="99" t="e">
        <f aca="false">IF(C199="","",(PriceSwitch=0)*K199+(PriceSwitch=1)*(Front!$H$21+K199)+(PriceSwitch=2)*Front!$H$21)</f>
        <v>#VALUE!</v>
      </c>
      <c r="M199" s="93" t="n">
        <f aca="false">INDEX(vols,MATCH(A199,volsmonth,0),2)</f>
        <v>0.17</v>
      </c>
      <c r="N199" s="3" t="e">
        <f aca="false">IF(Skew_Switch=0,"",IF($C199="","",(Front!$E$20=0)*M199+(Front!$E$20=1)*(Front!$E$21+M199)+(Front!$E$20=2)*Front!$E$21))</f>
        <v>#VALUE!</v>
      </c>
      <c r="O199" s="94" t="e">
        <f aca="false">IF(Skew_Switch=0,"",IF(C199="","",((calcskew(Call1-$L199,$C199,a,b))/100)))</f>
        <v>#VALUE!</v>
      </c>
      <c r="P199" s="94" t="e">
        <f aca="false">IF(Skew_Switch=0,"",IF(C199="","",((calcskew(Put1-$L199,$C199,a,b))/100)))</f>
        <v>#VALUE!</v>
      </c>
      <c r="Q199" s="94" t="e">
        <f aca="false">IF(Skew_Switch=0,"",IF(C199="","",((calcskew(Call2-$L199,$C199,a,b))/100)))</f>
        <v>#VALUE!</v>
      </c>
      <c r="R199" s="94" t="e">
        <f aca="false">IF(Skew_Switch=0,"",IF(C199="","",((calcskew(Put2-$L199,$C199,a,b))/100)))</f>
        <v>#VALUE!</v>
      </c>
      <c r="S199" s="3" t="e">
        <f aca="false">IF($C199="","",(Front!$C$19=0)*$N199+(Front!$C$19=1)*($N199+O199))</f>
        <v>#VALUE!</v>
      </c>
      <c r="T199" s="3" t="e">
        <f aca="false">IF($C199="","",(Front!$C$19=0)*$N199+(Front!$C$19=1)*($N199+P199))</f>
        <v>#VALUE!</v>
      </c>
      <c r="U199" s="3" t="e">
        <f aca="false">IF($C199="","",(Front!$C$19=0)*$N199+(Front!$C$19=1)*($N199+Q199))</f>
        <v>#VALUE!</v>
      </c>
      <c r="V199" s="3" t="e">
        <f aca="false">IF($C199="","",(Front!$C$19=0)*$N199+(Front!$C$19=1)*($N199+R199))</f>
        <v>#VALUE!</v>
      </c>
      <c r="W199" s="90" t="e">
        <f aca="false">IF($C199="","",xEURO($L199,Call1,$G199,$G199,S199,$J199,1,0))</f>
        <v>#VALUE!</v>
      </c>
      <c r="X199" s="90" t="e">
        <f aca="false">IF($C199="","",xEURO($L199,Put1,$G199,$G199,T199,$J199,0,0))</f>
        <v>#VALUE!</v>
      </c>
      <c r="Y199" s="90" t="e">
        <f aca="false">IF($C199="","",xEURO($L199,Call2,$G199,$G199,U199,$J199,1,0))</f>
        <v>#VALUE!</v>
      </c>
      <c r="Z199" s="90" t="e">
        <f aca="false">IF($C199="","",xEURO($L199,Put2,$G199,$G199,V199,$J199,0,0))</f>
        <v>#VALUE!</v>
      </c>
      <c r="AA199" s="90" t="e">
        <f aca="false">IF($C199="","",xEURO($L199,Call1,$G199,$G199,$S199,$J199,1,1))</f>
        <v>#VALUE!</v>
      </c>
      <c r="AB199" s="90" t="e">
        <f aca="false">IF($C199="","",xEURO($L199,Put1,$G199,$G199,$T199,$J199,0,1))</f>
        <v>#VALUE!</v>
      </c>
      <c r="AC199" s="90" t="e">
        <f aca="false">IF($C199="","",xEURO($L199,Call2,$G199,$G199,$U199,$J199,1,1))</f>
        <v>#VALUE!</v>
      </c>
      <c r="AD199" s="90" t="e">
        <f aca="false">IF($C199="","",xEURO($L199,Put2,$G199,$G199,$V199,$J199,0,1))</f>
        <v>#VALUE!</v>
      </c>
      <c r="AE199" s="90" t="e">
        <f aca="false">IF($C199="","",xEURO($L199,Call1,$G199,$G199,$S199,$J199,1,3))</f>
        <v>#VALUE!</v>
      </c>
      <c r="AF199" s="90" t="e">
        <f aca="false">IF($C199="","",xEURO($L199,Put1,$G199,$G199,$T199,$J199,0,3))</f>
        <v>#VALUE!</v>
      </c>
      <c r="AG199" s="90" t="e">
        <f aca="false">IF($C199="","",xEURO($L199,Call2,$G199,$G199,$U199,$J199,1,3))</f>
        <v>#VALUE!</v>
      </c>
      <c r="AH199" s="90" t="e">
        <f aca="false">IF($C199="","",xEURO($L199,Put2,$G199,$G199,$V199,$J199,0,3))</f>
        <v>#VALUE!</v>
      </c>
      <c r="AI199" s="8" t="e">
        <f aca="false">IF(E199=1,G199,0)</f>
        <v>#VALUE!</v>
      </c>
      <c r="AJ199" s="8" t="e">
        <f aca="false">IF(E199=1,H199,0)</f>
        <v>#VALUE!</v>
      </c>
      <c r="AK199" s="8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  <c r="IW199" s="0"/>
    </row>
    <row r="200" customFormat="false" ht="12.75" hidden="false" customHeight="false" outlineLevel="0" collapsed="false">
      <c r="A200" s="95" t="n">
        <f aca="false">Swap!A200</f>
        <v>42917</v>
      </c>
      <c r="B200" s="96" t="n">
        <f aca="false">B199+1</f>
        <v>191</v>
      </c>
      <c r="C200" s="95" t="e">
        <f aca="false">IF(AND(A200&gt;=Front!$E$11,A200&lt;=Front!$E$12),A200,"")</f>
        <v>#VALUE!</v>
      </c>
      <c r="D200" s="87" t="e">
        <f aca="false">Swap!AB200</f>
        <v>#VALUE!</v>
      </c>
      <c r="E200" s="87" t="e">
        <f aca="false">IF($C200="","",1)</f>
        <v>#VALUE!</v>
      </c>
      <c r="F200" s="97" t="e">
        <f aca="false">IF($C200="","",E200*H200)</f>
        <v>#VALUE!</v>
      </c>
      <c r="G200" s="31" t="n">
        <f aca="false">Swap!AG200</f>
        <v>0.0604055033865154</v>
      </c>
      <c r="H200" s="31" t="n">
        <f aca="false">Swap!AH200</f>
        <v>1.63274922157459</v>
      </c>
      <c r="I200" s="92" t="n">
        <f aca="false">INDEX(expery,MATCH(A200,exprymonth,0),2)</f>
        <v>42913</v>
      </c>
      <c r="J200" s="98" t="n">
        <f aca="false">I200-Front!$C$2</f>
        <v>-3013</v>
      </c>
      <c r="K200" s="99" t="n">
        <f aca="false">Swap!E200</f>
        <v>4.469</v>
      </c>
      <c r="L200" s="99" t="e">
        <f aca="false">IF(C200="","",(PriceSwitch=0)*K200+(PriceSwitch=1)*(Front!$H$21+K200)+(PriceSwitch=2)*Front!$H$21)</f>
        <v>#VALUE!</v>
      </c>
      <c r="M200" s="93" t="n">
        <f aca="false">INDEX(vols,MATCH(A200,volsmonth,0),2)</f>
        <v>0.17</v>
      </c>
      <c r="N200" s="3" t="e">
        <f aca="false">IF(Skew_Switch=0,"",IF($C200="","",(Front!$E$20=0)*M200+(Front!$E$20=1)*(Front!$E$21+M200)+(Front!$E$20=2)*Front!$E$21))</f>
        <v>#VALUE!</v>
      </c>
      <c r="O200" s="94" t="e">
        <f aca="false">IF(Skew_Switch=0,"",IF(C200="","",((calcskew(Call1-$L200,$C200,a,b))/100)))</f>
        <v>#VALUE!</v>
      </c>
      <c r="P200" s="94" t="e">
        <f aca="false">IF(Skew_Switch=0,"",IF(C200="","",((calcskew(Put1-$L200,$C200,a,b))/100)))</f>
        <v>#VALUE!</v>
      </c>
      <c r="Q200" s="94" t="e">
        <f aca="false">IF(Skew_Switch=0,"",IF(C200="","",((calcskew(Call2-$L200,$C200,a,b))/100)))</f>
        <v>#VALUE!</v>
      </c>
      <c r="R200" s="94" t="e">
        <f aca="false">IF(Skew_Switch=0,"",IF(C200="","",((calcskew(Put2-$L200,$C200,a,b))/100)))</f>
        <v>#VALUE!</v>
      </c>
      <c r="S200" s="3" t="e">
        <f aca="false">IF($C200="","",(Front!$C$19=0)*$N200+(Front!$C$19=1)*($N200+O200))</f>
        <v>#VALUE!</v>
      </c>
      <c r="T200" s="3" t="e">
        <f aca="false">IF($C200="","",(Front!$C$19=0)*$N200+(Front!$C$19=1)*($N200+P200))</f>
        <v>#VALUE!</v>
      </c>
      <c r="U200" s="3" t="e">
        <f aca="false">IF($C200="","",(Front!$C$19=0)*$N200+(Front!$C$19=1)*($N200+Q200))</f>
        <v>#VALUE!</v>
      </c>
      <c r="V200" s="3" t="e">
        <f aca="false">IF($C200="","",(Front!$C$19=0)*$N200+(Front!$C$19=1)*($N200+R200))</f>
        <v>#VALUE!</v>
      </c>
      <c r="W200" s="90" t="e">
        <f aca="false">IF($C200="","",xEURO($L200,Call1,$G200,$G200,S200,$J200,1,0))</f>
        <v>#VALUE!</v>
      </c>
      <c r="X200" s="90" t="e">
        <f aca="false">IF($C200="","",xEURO($L200,Put1,$G200,$G200,T200,$J200,0,0))</f>
        <v>#VALUE!</v>
      </c>
      <c r="Y200" s="90" t="e">
        <f aca="false">IF($C200="","",xEURO($L200,Call2,$G200,$G200,U200,$J200,1,0))</f>
        <v>#VALUE!</v>
      </c>
      <c r="Z200" s="90" t="e">
        <f aca="false">IF($C200="","",xEURO($L200,Put2,$G200,$G200,V200,$J200,0,0))</f>
        <v>#VALUE!</v>
      </c>
      <c r="AA200" s="90" t="e">
        <f aca="false">IF($C200="","",xEURO($L200,Call1,$G200,$G200,$S200,$J200,1,1))</f>
        <v>#VALUE!</v>
      </c>
      <c r="AB200" s="90" t="e">
        <f aca="false">IF($C200="","",xEURO($L200,Put1,$G200,$G200,$T200,$J200,0,1))</f>
        <v>#VALUE!</v>
      </c>
      <c r="AC200" s="90" t="e">
        <f aca="false">IF($C200="","",xEURO($L200,Call2,$G200,$G200,$U200,$J200,1,1))</f>
        <v>#VALUE!</v>
      </c>
      <c r="AD200" s="90" t="e">
        <f aca="false">IF($C200="","",xEURO($L200,Put2,$G200,$G200,$V200,$J200,0,1))</f>
        <v>#VALUE!</v>
      </c>
      <c r="AE200" s="90" t="e">
        <f aca="false">IF($C200="","",xEURO($L200,Call1,$G200,$G200,$S200,$J200,1,3))</f>
        <v>#VALUE!</v>
      </c>
      <c r="AF200" s="90" t="e">
        <f aca="false">IF($C200="","",xEURO($L200,Put1,$G200,$G200,$T200,$J200,0,3))</f>
        <v>#VALUE!</v>
      </c>
      <c r="AG200" s="90" t="e">
        <f aca="false">IF($C200="","",xEURO($L200,Call2,$G200,$G200,$U200,$J200,1,3))</f>
        <v>#VALUE!</v>
      </c>
      <c r="AH200" s="90" t="e">
        <f aca="false">IF($C200="","",xEURO($L200,Put2,$G200,$G200,$V200,$J200,0,3))</f>
        <v>#VALUE!</v>
      </c>
      <c r="AI200" s="8" t="e">
        <f aca="false">IF(E200=1,G200,0)</f>
        <v>#VALUE!</v>
      </c>
      <c r="AJ200" s="8" t="e">
        <f aca="false">IF(E200=1,H200,0)</f>
        <v>#VALUE!</v>
      </c>
      <c r="AK200" s="8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  <c r="IW200" s="0"/>
    </row>
    <row r="201" customFormat="false" ht="12.75" hidden="false" customHeight="false" outlineLevel="0" collapsed="false">
      <c r="A201" s="95" t="n">
        <f aca="false">Swap!A201</f>
        <v>42948</v>
      </c>
      <c r="B201" s="96" t="n">
        <f aca="false">B200+1</f>
        <v>192</v>
      </c>
      <c r="C201" s="95" t="e">
        <f aca="false">IF(AND(A201&gt;=Front!$E$11,A201&lt;=Front!$E$12),A201,"")</f>
        <v>#VALUE!</v>
      </c>
      <c r="D201" s="87" t="e">
        <f aca="false">Swap!AB201</f>
        <v>#VALUE!</v>
      </c>
      <c r="E201" s="87" t="e">
        <f aca="false">IF($C201="","",1)</f>
        <v>#VALUE!</v>
      </c>
      <c r="F201" s="97" t="e">
        <f aca="false">IF($C201="","",E201*H201)</f>
        <v>#VALUE!</v>
      </c>
      <c r="G201" s="31" t="n">
        <f aca="false">Swap!AG201</f>
        <v>0.0604727088395891</v>
      </c>
      <c r="H201" s="31" t="n">
        <f aca="false">Swap!AH201</f>
        <v>1.62538739820179</v>
      </c>
      <c r="I201" s="92" t="n">
        <f aca="false">INDEX(expery,MATCH(A201,exprymonth,0),2)</f>
        <v>42942</v>
      </c>
      <c r="J201" s="98" t="n">
        <f aca="false">I201-Front!$C$2</f>
        <v>-2984</v>
      </c>
      <c r="K201" s="99" t="n">
        <f aca="false">Swap!E201</f>
        <v>4.503</v>
      </c>
      <c r="L201" s="99" t="e">
        <f aca="false">IF(C201="","",(PriceSwitch=0)*K201+(PriceSwitch=1)*(Front!$H$21+K201)+(PriceSwitch=2)*Front!$H$21)</f>
        <v>#VALUE!</v>
      </c>
      <c r="M201" s="93" t="n">
        <f aca="false">INDEX(vols,MATCH(A201,volsmonth,0),2)</f>
        <v>0.17</v>
      </c>
      <c r="N201" s="3" t="e">
        <f aca="false">IF(Skew_Switch=0,"",IF($C201="","",(Front!$E$20=0)*M201+(Front!$E$20=1)*(Front!$E$21+M201)+(Front!$E$20=2)*Front!$E$21))</f>
        <v>#VALUE!</v>
      </c>
      <c r="O201" s="94" t="e">
        <f aca="false">IF(Skew_Switch=0,"",IF(C201="","",((calcskew(Call1-$L201,$C201,a,b))/100)))</f>
        <v>#VALUE!</v>
      </c>
      <c r="P201" s="94" t="e">
        <f aca="false">IF(Skew_Switch=0,"",IF(C201="","",((calcskew(Put1-$L201,$C201,a,b))/100)))</f>
        <v>#VALUE!</v>
      </c>
      <c r="Q201" s="94" t="e">
        <f aca="false">IF(Skew_Switch=0,"",IF(C201="","",((calcskew(Call2-$L201,$C201,a,b))/100)))</f>
        <v>#VALUE!</v>
      </c>
      <c r="R201" s="94" t="e">
        <f aca="false">IF(Skew_Switch=0,"",IF(C201="","",((calcskew(Put2-$L201,$C201,a,b))/100)))</f>
        <v>#VALUE!</v>
      </c>
      <c r="S201" s="3" t="e">
        <f aca="false">IF($C201="","",(Front!$C$19=0)*$N201+(Front!$C$19=1)*($N201+O201))</f>
        <v>#VALUE!</v>
      </c>
      <c r="T201" s="3" t="e">
        <f aca="false">IF($C201="","",(Front!$C$19=0)*$N201+(Front!$C$19=1)*($N201+P201))</f>
        <v>#VALUE!</v>
      </c>
      <c r="U201" s="3" t="e">
        <f aca="false">IF($C201="","",(Front!$C$19=0)*$N201+(Front!$C$19=1)*($N201+Q201))</f>
        <v>#VALUE!</v>
      </c>
      <c r="V201" s="3" t="e">
        <f aca="false">IF($C201="","",(Front!$C$19=0)*$N201+(Front!$C$19=1)*($N201+R201))</f>
        <v>#VALUE!</v>
      </c>
      <c r="W201" s="90" t="e">
        <f aca="false">IF($C201="","",xEURO($L201,Call1,$G201,$G201,S201,$J201,1,0))</f>
        <v>#VALUE!</v>
      </c>
      <c r="X201" s="90" t="e">
        <f aca="false">IF($C201="","",xEURO($L201,Put1,$G201,$G201,T201,$J201,0,0))</f>
        <v>#VALUE!</v>
      </c>
      <c r="Y201" s="90" t="e">
        <f aca="false">IF($C201="","",xEURO($L201,Call2,$G201,$G201,U201,$J201,1,0))</f>
        <v>#VALUE!</v>
      </c>
      <c r="Z201" s="90" t="e">
        <f aca="false">IF($C201="","",xEURO($L201,Put2,$G201,$G201,V201,$J201,0,0))</f>
        <v>#VALUE!</v>
      </c>
      <c r="AA201" s="90" t="e">
        <f aca="false">IF($C201="","",xEURO($L201,Call1,$G201,$G201,$S201,$J201,1,1))</f>
        <v>#VALUE!</v>
      </c>
      <c r="AB201" s="90" t="e">
        <f aca="false">IF($C201="","",xEURO($L201,Put1,$G201,$G201,$T201,$J201,0,1))</f>
        <v>#VALUE!</v>
      </c>
      <c r="AC201" s="90" t="e">
        <f aca="false">IF($C201="","",xEURO($L201,Call2,$G201,$G201,$U201,$J201,1,1))</f>
        <v>#VALUE!</v>
      </c>
      <c r="AD201" s="90" t="e">
        <f aca="false">IF($C201="","",xEURO($L201,Put2,$G201,$G201,$V201,$J201,0,1))</f>
        <v>#VALUE!</v>
      </c>
      <c r="AE201" s="90" t="e">
        <f aca="false">IF($C201="","",xEURO($L201,Call1,$G201,$G201,$S201,$J201,1,3))</f>
        <v>#VALUE!</v>
      </c>
      <c r="AF201" s="90" t="e">
        <f aca="false">IF($C201="","",xEURO($L201,Put1,$G201,$G201,$T201,$J201,0,3))</f>
        <v>#VALUE!</v>
      </c>
      <c r="AG201" s="90" t="e">
        <f aca="false">IF($C201="","",xEURO($L201,Call2,$G201,$G201,$U201,$J201,1,3))</f>
        <v>#VALUE!</v>
      </c>
      <c r="AH201" s="90" t="e">
        <f aca="false">IF($C201="","",xEURO($L201,Put2,$G201,$G201,$V201,$J201,0,3))</f>
        <v>#VALUE!</v>
      </c>
      <c r="AI201" s="8" t="e">
        <f aca="false">IF(E201=1,G201,0)</f>
        <v>#VALUE!</v>
      </c>
      <c r="AJ201" s="8" t="e">
        <f aca="false">IF(E201=1,H201,0)</f>
        <v>#VALUE!</v>
      </c>
      <c r="AK201" s="8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  <c r="IW201" s="0"/>
    </row>
    <row r="202" customFormat="false" ht="12.75" hidden="false" customHeight="false" outlineLevel="0" collapsed="false">
      <c r="A202" s="95" t="n">
        <f aca="false">Swap!A202</f>
        <v>42979</v>
      </c>
      <c r="B202" s="96" t="n">
        <f aca="false">B201+1</f>
        <v>193</v>
      </c>
      <c r="C202" s="95" t="e">
        <f aca="false">IF(AND(A202&gt;=Front!$E$11,A202&lt;=Front!$E$12),A202,"")</f>
        <v>#VALUE!</v>
      </c>
      <c r="D202" s="87" t="e">
        <f aca="false">Swap!AB202</f>
        <v>#VALUE!</v>
      </c>
      <c r="E202" s="87" t="e">
        <f aca="false">IF($C202="","",1)</f>
        <v>#VALUE!</v>
      </c>
      <c r="F202" s="97" t="e">
        <f aca="false">IF($C202="","",E202*H202)</f>
        <v>#VALUE!</v>
      </c>
      <c r="G202" s="31" t="n">
        <f aca="false">Swap!AG202</f>
        <v>0.0605399142941634</v>
      </c>
      <c r="H202" s="31" t="n">
        <f aca="false">Swap!AH202</f>
        <v>1.61804082332278</v>
      </c>
      <c r="I202" s="92" t="n">
        <f aca="false">INDEX(expery,MATCH(A202,exprymonth,0),2)</f>
        <v>42975</v>
      </c>
      <c r="J202" s="98" t="n">
        <f aca="false">I202-Front!$C$2</f>
        <v>-2951</v>
      </c>
      <c r="K202" s="99" t="n">
        <f aca="false">Swap!E202</f>
        <v>4.516</v>
      </c>
      <c r="L202" s="99" t="e">
        <f aca="false">IF(C202="","",(PriceSwitch=0)*K202+(PriceSwitch=1)*(Front!$H$21+K202)+(PriceSwitch=2)*Front!$H$21)</f>
        <v>#VALUE!</v>
      </c>
      <c r="M202" s="93" t="n">
        <f aca="false">INDEX(vols,MATCH(A202,volsmonth,0),2)</f>
        <v>0.17</v>
      </c>
      <c r="N202" s="3" t="e">
        <f aca="false">IF(Skew_Switch=0,"",IF($C202="","",(Front!$E$20=0)*M202+(Front!$E$20=1)*(Front!$E$21+M202)+(Front!$E$20=2)*Front!$E$21))</f>
        <v>#VALUE!</v>
      </c>
      <c r="O202" s="94" t="e">
        <f aca="false">IF(Skew_Switch=0,"",IF(C202="","",((calcskew(Call1-$L202,$C202,a,b))/100)))</f>
        <v>#VALUE!</v>
      </c>
      <c r="P202" s="94" t="e">
        <f aca="false">IF(Skew_Switch=0,"",IF(C202="","",((calcskew(Put1-$L202,$C202,a,b))/100)))</f>
        <v>#VALUE!</v>
      </c>
      <c r="Q202" s="94" t="e">
        <f aca="false">IF(Skew_Switch=0,"",IF(C202="","",((calcskew(Call2-$L202,$C202,a,b))/100)))</f>
        <v>#VALUE!</v>
      </c>
      <c r="R202" s="94" t="e">
        <f aca="false">IF(Skew_Switch=0,"",IF(C202="","",((calcskew(Put2-$L202,$C202,a,b))/100)))</f>
        <v>#VALUE!</v>
      </c>
      <c r="S202" s="3" t="e">
        <f aca="false">IF($C202="","",(Front!$C$19=0)*$N202+(Front!$C$19=1)*($N202+O202))</f>
        <v>#VALUE!</v>
      </c>
      <c r="T202" s="3" t="e">
        <f aca="false">IF($C202="","",(Front!$C$19=0)*$N202+(Front!$C$19=1)*($N202+P202))</f>
        <v>#VALUE!</v>
      </c>
      <c r="U202" s="3" t="e">
        <f aca="false">IF($C202="","",(Front!$C$19=0)*$N202+(Front!$C$19=1)*($N202+Q202))</f>
        <v>#VALUE!</v>
      </c>
      <c r="V202" s="3" t="e">
        <f aca="false">IF($C202="","",(Front!$C$19=0)*$N202+(Front!$C$19=1)*($N202+R202))</f>
        <v>#VALUE!</v>
      </c>
      <c r="W202" s="90" t="e">
        <f aca="false">IF($C202="","",xEURO($L202,Call1,$G202,$G202,S202,$J202,1,0))</f>
        <v>#VALUE!</v>
      </c>
      <c r="X202" s="90" t="e">
        <f aca="false">IF($C202="","",xEURO($L202,Put1,$G202,$G202,T202,$J202,0,0))</f>
        <v>#VALUE!</v>
      </c>
      <c r="Y202" s="90" t="e">
        <f aca="false">IF($C202="","",xEURO($L202,Call2,$G202,$G202,U202,$J202,1,0))</f>
        <v>#VALUE!</v>
      </c>
      <c r="Z202" s="90" t="e">
        <f aca="false">IF($C202="","",xEURO($L202,Put2,$G202,$G202,V202,$J202,0,0))</f>
        <v>#VALUE!</v>
      </c>
      <c r="AA202" s="90" t="e">
        <f aca="false">IF($C202="","",xEURO($L202,Call1,$G202,$G202,$S202,$J202,1,1))</f>
        <v>#VALUE!</v>
      </c>
      <c r="AB202" s="90" t="e">
        <f aca="false">IF($C202="","",xEURO($L202,Put1,$G202,$G202,$T202,$J202,0,1))</f>
        <v>#VALUE!</v>
      </c>
      <c r="AC202" s="90" t="e">
        <f aca="false">IF($C202="","",xEURO($L202,Call2,$G202,$G202,$U202,$J202,1,1))</f>
        <v>#VALUE!</v>
      </c>
      <c r="AD202" s="90" t="e">
        <f aca="false">IF($C202="","",xEURO($L202,Put2,$G202,$G202,$V202,$J202,0,1))</f>
        <v>#VALUE!</v>
      </c>
      <c r="AE202" s="90" t="e">
        <f aca="false">IF($C202="","",xEURO($L202,Call1,$G202,$G202,$S202,$J202,1,3))</f>
        <v>#VALUE!</v>
      </c>
      <c r="AF202" s="90" t="e">
        <f aca="false">IF($C202="","",xEURO($L202,Put1,$G202,$G202,$T202,$J202,0,3))</f>
        <v>#VALUE!</v>
      </c>
      <c r="AG202" s="90" t="e">
        <f aca="false">IF($C202="","",xEURO($L202,Call2,$G202,$G202,$U202,$J202,1,3))</f>
        <v>#VALUE!</v>
      </c>
      <c r="AH202" s="90" t="e">
        <f aca="false">IF($C202="","",xEURO($L202,Put2,$G202,$G202,$V202,$J202,0,3))</f>
        <v>#VALUE!</v>
      </c>
      <c r="AI202" s="8" t="e">
        <f aca="false">IF(E202=1,G202,0)</f>
        <v>#VALUE!</v>
      </c>
      <c r="AJ202" s="8" t="e">
        <f aca="false">IF(E202=1,H202,0)</f>
        <v>#VALUE!</v>
      </c>
      <c r="AK202" s="8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  <c r="IW202" s="0"/>
    </row>
    <row r="203" customFormat="false" ht="12.75" hidden="false" customHeight="false" outlineLevel="0" collapsed="false">
      <c r="A203" s="95" t="n">
        <f aca="false">Swap!A203</f>
        <v>43009</v>
      </c>
      <c r="B203" s="96" t="n">
        <f aca="false">B202+1</f>
        <v>194</v>
      </c>
      <c r="C203" s="95" t="e">
        <f aca="false">IF(AND(A203&gt;=Front!$E$11,A203&lt;=Front!$E$12),A203,"")</f>
        <v>#VALUE!</v>
      </c>
      <c r="D203" s="87" t="e">
        <f aca="false">Swap!AB203</f>
        <v>#VALUE!</v>
      </c>
      <c r="E203" s="87" t="e">
        <f aca="false">IF($C203="","",1)</f>
        <v>#VALUE!</v>
      </c>
      <c r="F203" s="97" t="e">
        <f aca="false">IF($C203="","",E203*H203)</f>
        <v>#VALUE!</v>
      </c>
      <c r="G203" s="31" t="n">
        <f aca="false">Swap!AG203</f>
        <v>0.0606049518322775</v>
      </c>
      <c r="H203" s="31" t="n">
        <f aca="false">Swap!AH203</f>
        <v>1.61094584237794</v>
      </c>
      <c r="I203" s="92" t="n">
        <f aca="false">INDEX(expery,MATCH(A203,exprymonth,0),2)</f>
        <v>43004</v>
      </c>
      <c r="J203" s="98" t="n">
        <f aca="false">I203-Front!$C$2</f>
        <v>-2922</v>
      </c>
      <c r="K203" s="99" t="n">
        <f aca="false">Swap!E203</f>
        <v>4.508</v>
      </c>
      <c r="L203" s="99" t="e">
        <f aca="false">IF(C203="","",(PriceSwitch=0)*K203+(PriceSwitch=1)*(Front!$H$21+K203)+(PriceSwitch=2)*Front!$H$21)</f>
        <v>#VALUE!</v>
      </c>
      <c r="M203" s="93" t="n">
        <f aca="false">INDEX(vols,MATCH(A203,volsmonth,0),2)</f>
        <v>0.17</v>
      </c>
      <c r="N203" s="3" t="e">
        <f aca="false">IF(Skew_Switch=0,"",IF($C203="","",(Front!$E$20=0)*M203+(Front!$E$20=1)*(Front!$E$21+M203)+(Front!$E$20=2)*Front!$E$21))</f>
        <v>#VALUE!</v>
      </c>
      <c r="O203" s="94" t="e">
        <f aca="false">IF(Skew_Switch=0,"",IF(C203="","",((calcskew(Call1-$L203,$C203,a,b))/100)))</f>
        <v>#VALUE!</v>
      </c>
      <c r="P203" s="94" t="e">
        <f aca="false">IF(Skew_Switch=0,"",IF(C203="","",((calcskew(Put1-$L203,$C203,a,b))/100)))</f>
        <v>#VALUE!</v>
      </c>
      <c r="Q203" s="94" t="e">
        <f aca="false">IF(Skew_Switch=0,"",IF(C203="","",((calcskew(Call2-$L203,$C203,a,b))/100)))</f>
        <v>#VALUE!</v>
      </c>
      <c r="R203" s="94" t="e">
        <f aca="false">IF(Skew_Switch=0,"",IF(C203="","",((calcskew(Put2-$L203,$C203,a,b))/100)))</f>
        <v>#VALUE!</v>
      </c>
      <c r="S203" s="3" t="e">
        <f aca="false">IF($C203="","",(Front!$C$19=0)*$N203+(Front!$C$19=1)*($N203+O203))</f>
        <v>#VALUE!</v>
      </c>
      <c r="T203" s="3" t="e">
        <f aca="false">IF($C203="","",(Front!$C$19=0)*$N203+(Front!$C$19=1)*($N203+P203))</f>
        <v>#VALUE!</v>
      </c>
      <c r="U203" s="3" t="e">
        <f aca="false">IF($C203="","",(Front!$C$19=0)*$N203+(Front!$C$19=1)*($N203+Q203))</f>
        <v>#VALUE!</v>
      </c>
      <c r="V203" s="3" t="e">
        <f aca="false">IF($C203="","",(Front!$C$19=0)*$N203+(Front!$C$19=1)*($N203+R203))</f>
        <v>#VALUE!</v>
      </c>
      <c r="W203" s="90" t="e">
        <f aca="false">IF($C203="","",xEURO($L203,Call1,$G203,$G203,S203,$J203,1,0))</f>
        <v>#VALUE!</v>
      </c>
      <c r="X203" s="90" t="e">
        <f aca="false">IF($C203="","",xEURO($L203,Put1,$G203,$G203,T203,$J203,0,0))</f>
        <v>#VALUE!</v>
      </c>
      <c r="Y203" s="90" t="e">
        <f aca="false">IF($C203="","",xEURO($L203,Call2,$G203,$G203,U203,$J203,1,0))</f>
        <v>#VALUE!</v>
      </c>
      <c r="Z203" s="90" t="e">
        <f aca="false">IF($C203="","",xEURO($L203,Put2,$G203,$G203,V203,$J203,0,0))</f>
        <v>#VALUE!</v>
      </c>
      <c r="AA203" s="90" t="e">
        <f aca="false">IF($C203="","",xEURO($L203,Call1,$G203,$G203,$S203,$J203,1,1))</f>
        <v>#VALUE!</v>
      </c>
      <c r="AB203" s="90" t="e">
        <f aca="false">IF($C203="","",xEURO($L203,Put1,$G203,$G203,$T203,$J203,0,1))</f>
        <v>#VALUE!</v>
      </c>
      <c r="AC203" s="90" t="e">
        <f aca="false">IF($C203="","",xEURO($L203,Call2,$G203,$G203,$U203,$J203,1,1))</f>
        <v>#VALUE!</v>
      </c>
      <c r="AD203" s="90" t="e">
        <f aca="false">IF($C203="","",xEURO($L203,Put2,$G203,$G203,$V203,$J203,0,1))</f>
        <v>#VALUE!</v>
      </c>
      <c r="AE203" s="90" t="e">
        <f aca="false">IF($C203="","",xEURO($L203,Call1,$G203,$G203,$S203,$J203,1,3))</f>
        <v>#VALUE!</v>
      </c>
      <c r="AF203" s="90" t="e">
        <f aca="false">IF($C203="","",xEURO($L203,Put1,$G203,$G203,$T203,$J203,0,3))</f>
        <v>#VALUE!</v>
      </c>
      <c r="AG203" s="90" t="e">
        <f aca="false">IF($C203="","",xEURO($L203,Call2,$G203,$G203,$U203,$J203,1,3))</f>
        <v>#VALUE!</v>
      </c>
      <c r="AH203" s="90" t="e">
        <f aca="false">IF($C203="","",xEURO($L203,Put2,$G203,$G203,$V203,$J203,0,3))</f>
        <v>#VALUE!</v>
      </c>
      <c r="AI203" s="8" t="e">
        <f aca="false">IF(E203=1,G203,0)</f>
        <v>#VALUE!</v>
      </c>
      <c r="AJ203" s="8" t="e">
        <f aca="false">IF(E203=1,H203,0)</f>
        <v>#VALUE!</v>
      </c>
      <c r="AK203" s="8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  <c r="IW203" s="0"/>
    </row>
    <row r="204" customFormat="false" ht="12.75" hidden="false" customHeight="false" outlineLevel="0" collapsed="false">
      <c r="A204" s="95" t="n">
        <f aca="false">Swap!A204</f>
        <v>43040</v>
      </c>
      <c r="B204" s="96" t="n">
        <f aca="false">B203+1</f>
        <v>195</v>
      </c>
      <c r="C204" s="95" t="e">
        <f aca="false">IF(AND(A204&gt;=Front!$E$11,A204&lt;=Front!$E$12),A204,"")</f>
        <v>#VALUE!</v>
      </c>
      <c r="D204" s="87" t="e">
        <f aca="false">Swap!AB204</f>
        <v>#VALUE!</v>
      </c>
      <c r="E204" s="87" t="e">
        <f aca="false">IF($C204="","",1)</f>
        <v>#VALUE!</v>
      </c>
      <c r="F204" s="97" t="e">
        <f aca="false">IF($C204="","",E204*H204)</f>
        <v>#VALUE!</v>
      </c>
      <c r="G204" s="31" t="n">
        <f aca="false">Swap!AG204</f>
        <v>0.0606721572898037</v>
      </c>
      <c r="H204" s="31" t="n">
        <f aca="false">Swap!AH204</f>
        <v>1.60362954774032</v>
      </c>
      <c r="I204" s="92" t="n">
        <f aca="false">INDEX(expery,MATCH(A204,exprymonth,0),2)</f>
        <v>43034</v>
      </c>
      <c r="J204" s="98" t="n">
        <f aca="false">I204-Front!$C$2</f>
        <v>-2892</v>
      </c>
      <c r="K204" s="99" t="n">
        <f aca="false">Swap!E204</f>
        <v>4.678</v>
      </c>
      <c r="L204" s="99" t="e">
        <f aca="false">IF(C204="","",(PriceSwitch=0)*K204+(PriceSwitch=1)*(Front!$H$21+K204)+(PriceSwitch=2)*Front!$H$21)</f>
        <v>#VALUE!</v>
      </c>
      <c r="M204" s="93" t="n">
        <f aca="false">INDEX(vols,MATCH(A204,volsmonth,0),2)</f>
        <v>0.17</v>
      </c>
      <c r="N204" s="3" t="e">
        <f aca="false">IF(Skew_Switch=0,"",IF($C204="","",(Front!$E$20=0)*M204+(Front!$E$20=1)*(Front!$E$21+M204)+(Front!$E$20=2)*Front!$E$21))</f>
        <v>#VALUE!</v>
      </c>
      <c r="O204" s="94" t="e">
        <f aca="false">IF(Skew_Switch=0,"",IF(C204="","",((calcskew(Call1-$L204,$C204,a,b))/100)))</f>
        <v>#VALUE!</v>
      </c>
      <c r="P204" s="94" t="e">
        <f aca="false">IF(Skew_Switch=0,"",IF(C204="","",((calcskew(Put1-$L204,$C204,a,b))/100)))</f>
        <v>#VALUE!</v>
      </c>
      <c r="Q204" s="94" t="e">
        <f aca="false">IF(Skew_Switch=0,"",IF(C204="","",((calcskew(Call2-$L204,$C204,a,b))/100)))</f>
        <v>#VALUE!</v>
      </c>
      <c r="R204" s="94" t="e">
        <f aca="false">IF(Skew_Switch=0,"",IF(C204="","",((calcskew(Put2-$L204,$C204,a,b))/100)))</f>
        <v>#VALUE!</v>
      </c>
      <c r="S204" s="3" t="e">
        <f aca="false">IF($C204="","",(Front!$C$19=0)*$N204+(Front!$C$19=1)*($N204+O204))</f>
        <v>#VALUE!</v>
      </c>
      <c r="T204" s="3" t="e">
        <f aca="false">IF($C204="","",(Front!$C$19=0)*$N204+(Front!$C$19=1)*($N204+P204))</f>
        <v>#VALUE!</v>
      </c>
      <c r="U204" s="3" t="e">
        <f aca="false">IF($C204="","",(Front!$C$19=0)*$N204+(Front!$C$19=1)*($N204+Q204))</f>
        <v>#VALUE!</v>
      </c>
      <c r="V204" s="3" t="e">
        <f aca="false">IF($C204="","",(Front!$C$19=0)*$N204+(Front!$C$19=1)*($N204+R204))</f>
        <v>#VALUE!</v>
      </c>
      <c r="W204" s="90" t="e">
        <f aca="false">IF($C204="","",xEURO($L204,Call1,$G204,$G204,S204,$J204,1,0))</f>
        <v>#VALUE!</v>
      </c>
      <c r="X204" s="90" t="e">
        <f aca="false">IF($C204="","",xEURO($L204,Put1,$G204,$G204,T204,$J204,0,0))</f>
        <v>#VALUE!</v>
      </c>
      <c r="Y204" s="90" t="e">
        <f aca="false">IF($C204="","",xEURO($L204,Call2,$G204,$G204,U204,$J204,1,0))</f>
        <v>#VALUE!</v>
      </c>
      <c r="Z204" s="90" t="e">
        <f aca="false">IF($C204="","",xEURO($L204,Put2,$G204,$G204,V204,$J204,0,0))</f>
        <v>#VALUE!</v>
      </c>
      <c r="AA204" s="90" t="e">
        <f aca="false">IF($C204="","",xEURO($L204,Call1,$G204,$G204,$S204,$J204,1,1))</f>
        <v>#VALUE!</v>
      </c>
      <c r="AB204" s="90" t="e">
        <f aca="false">IF($C204="","",xEURO($L204,Put1,$G204,$G204,$T204,$J204,0,1))</f>
        <v>#VALUE!</v>
      </c>
      <c r="AC204" s="90" t="e">
        <f aca="false">IF($C204="","",xEURO($L204,Call2,$G204,$G204,$U204,$J204,1,1))</f>
        <v>#VALUE!</v>
      </c>
      <c r="AD204" s="90" t="e">
        <f aca="false">IF($C204="","",xEURO($L204,Put2,$G204,$G204,$V204,$J204,0,1))</f>
        <v>#VALUE!</v>
      </c>
      <c r="AE204" s="90" t="e">
        <f aca="false">IF($C204="","",xEURO($L204,Call1,$G204,$G204,$S204,$J204,1,3))</f>
        <v>#VALUE!</v>
      </c>
      <c r="AF204" s="90" t="e">
        <f aca="false">IF($C204="","",xEURO($L204,Put1,$G204,$G204,$T204,$J204,0,3))</f>
        <v>#VALUE!</v>
      </c>
      <c r="AG204" s="90" t="e">
        <f aca="false">IF($C204="","",xEURO($L204,Call2,$G204,$G204,$U204,$J204,1,3))</f>
        <v>#VALUE!</v>
      </c>
      <c r="AH204" s="90" t="e">
        <f aca="false">IF($C204="","",xEURO($L204,Put2,$G204,$G204,$V204,$J204,0,3))</f>
        <v>#VALUE!</v>
      </c>
      <c r="AI204" s="8" t="e">
        <f aca="false">IF(E204=1,G204,0)</f>
        <v>#VALUE!</v>
      </c>
      <c r="AJ204" s="8" t="e">
        <f aca="false">IF(E204=1,H204,0)</f>
        <v>#VALUE!</v>
      </c>
      <c r="AK204" s="8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</row>
    <row r="205" customFormat="false" ht="12.75" hidden="false" customHeight="false" outlineLevel="0" collapsed="false">
      <c r="A205" s="95" t="n">
        <f aca="false">Swap!A205</f>
        <v>43070</v>
      </c>
      <c r="B205" s="96" t="n">
        <f aca="false">B204+1</f>
        <v>196</v>
      </c>
      <c r="C205" s="95" t="e">
        <f aca="false">IF(AND(A205&gt;=Front!$E$11,A205&lt;=Front!$E$12),A205,"")</f>
        <v>#VALUE!</v>
      </c>
      <c r="D205" s="87" t="e">
        <f aca="false">Swap!AB205</f>
        <v>#VALUE!</v>
      </c>
      <c r="E205" s="87" t="e">
        <f aca="false">IF($C205="","",1)</f>
        <v>#VALUE!</v>
      </c>
      <c r="F205" s="97" t="e">
        <f aca="false">IF($C205="","",E205*H205)</f>
        <v>#VALUE!</v>
      </c>
      <c r="G205" s="31" t="n">
        <f aca="false">Swap!AG205</f>
        <v>0.0607371948307747</v>
      </c>
      <c r="H205" s="31" t="n">
        <f aca="false">Swap!AH205</f>
        <v>1.59656404475461</v>
      </c>
      <c r="I205" s="92" t="n">
        <f aca="false">INDEX(expery,MATCH(A205,exprymonth,0),2)</f>
        <v>43066</v>
      </c>
      <c r="J205" s="98" t="n">
        <f aca="false">I205-Front!$C$2</f>
        <v>-2860</v>
      </c>
      <c r="K205" s="99" t="n">
        <f aca="false">Swap!E205</f>
        <v>4.853</v>
      </c>
      <c r="L205" s="99" t="e">
        <f aca="false">IF(C205="","",(PriceSwitch=0)*K205+(PriceSwitch=1)*(Front!$H$21+K205)+(PriceSwitch=2)*Front!$H$21)</f>
        <v>#VALUE!</v>
      </c>
      <c r="M205" s="93" t="n">
        <f aca="false">INDEX(vols,MATCH(A205,volsmonth,0),2)</f>
        <v>0.17</v>
      </c>
      <c r="N205" s="3" t="e">
        <f aca="false">IF(Skew_Switch=0,"",IF($C205="","",(Front!$E$20=0)*M205+(Front!$E$20=1)*(Front!$E$21+M205)+(Front!$E$20=2)*Front!$E$21))</f>
        <v>#VALUE!</v>
      </c>
      <c r="O205" s="94" t="e">
        <f aca="false">IF(Skew_Switch=0,"",IF(C205="","",((calcskew(Call1-$L205,$C205,a,b))/100)))</f>
        <v>#VALUE!</v>
      </c>
      <c r="P205" s="94" t="e">
        <f aca="false">IF(Skew_Switch=0,"",IF(C205="","",((calcskew(Put1-$L205,$C205,a,b))/100)))</f>
        <v>#VALUE!</v>
      </c>
      <c r="Q205" s="94" t="e">
        <f aca="false">IF(Skew_Switch=0,"",IF(C205="","",((calcskew(Call2-$L205,$C205,a,b))/100)))</f>
        <v>#VALUE!</v>
      </c>
      <c r="R205" s="94" t="e">
        <f aca="false">IF(Skew_Switch=0,"",IF(C205="","",((calcskew(Put2-$L205,$C205,a,b))/100)))</f>
        <v>#VALUE!</v>
      </c>
      <c r="S205" s="3" t="e">
        <f aca="false">IF($C205="","",(Front!$C$19=0)*$N205+(Front!$C$19=1)*($N205+O205))</f>
        <v>#VALUE!</v>
      </c>
      <c r="T205" s="3" t="e">
        <f aca="false">IF($C205="","",(Front!$C$19=0)*$N205+(Front!$C$19=1)*($N205+P205))</f>
        <v>#VALUE!</v>
      </c>
      <c r="U205" s="3" t="e">
        <f aca="false">IF($C205="","",(Front!$C$19=0)*$N205+(Front!$C$19=1)*($N205+Q205))</f>
        <v>#VALUE!</v>
      </c>
      <c r="V205" s="3" t="e">
        <f aca="false">IF($C205="","",(Front!$C$19=0)*$N205+(Front!$C$19=1)*($N205+R205))</f>
        <v>#VALUE!</v>
      </c>
      <c r="W205" s="90" t="e">
        <f aca="false">IF($C205="","",xEURO($L205,Call1,$G205,$G205,S205,$J205,1,0))</f>
        <v>#VALUE!</v>
      </c>
      <c r="X205" s="90" t="e">
        <f aca="false">IF($C205="","",xEURO($L205,Put1,$G205,$G205,T205,$J205,0,0))</f>
        <v>#VALUE!</v>
      </c>
      <c r="Y205" s="90" t="e">
        <f aca="false">IF($C205="","",xEURO($L205,Call2,$G205,$G205,U205,$J205,1,0))</f>
        <v>#VALUE!</v>
      </c>
      <c r="Z205" s="90" t="e">
        <f aca="false">IF($C205="","",xEURO($L205,Put2,$G205,$G205,V205,$J205,0,0))</f>
        <v>#VALUE!</v>
      </c>
      <c r="AA205" s="90" t="e">
        <f aca="false">IF($C205="","",xEURO($L205,Call1,$G205,$G205,$S205,$J205,1,1))</f>
        <v>#VALUE!</v>
      </c>
      <c r="AB205" s="90" t="e">
        <f aca="false">IF($C205="","",xEURO($L205,Put1,$G205,$G205,$T205,$J205,0,1))</f>
        <v>#VALUE!</v>
      </c>
      <c r="AC205" s="90" t="e">
        <f aca="false">IF($C205="","",xEURO($L205,Call2,$G205,$G205,$U205,$J205,1,1))</f>
        <v>#VALUE!</v>
      </c>
      <c r="AD205" s="90" t="e">
        <f aca="false">IF($C205="","",xEURO($L205,Put2,$G205,$G205,$V205,$J205,0,1))</f>
        <v>#VALUE!</v>
      </c>
      <c r="AE205" s="90" t="e">
        <f aca="false">IF($C205="","",xEURO($L205,Call1,$G205,$G205,$S205,$J205,1,3))</f>
        <v>#VALUE!</v>
      </c>
      <c r="AF205" s="90" t="e">
        <f aca="false">IF($C205="","",xEURO($L205,Put1,$G205,$G205,$T205,$J205,0,3))</f>
        <v>#VALUE!</v>
      </c>
      <c r="AG205" s="90" t="e">
        <f aca="false">IF($C205="","",xEURO($L205,Call2,$G205,$G205,$U205,$J205,1,3))</f>
        <v>#VALUE!</v>
      </c>
      <c r="AH205" s="90" t="e">
        <f aca="false">IF($C205="","",xEURO($L205,Put2,$G205,$G205,$V205,$J205,0,3))</f>
        <v>#VALUE!</v>
      </c>
      <c r="AI205" s="8" t="e">
        <f aca="false">IF(E205=1,G205,0)</f>
        <v>#VALUE!</v>
      </c>
      <c r="AJ205" s="8" t="e">
        <f aca="false">IF(E205=1,H205,0)</f>
        <v>#VALUE!</v>
      </c>
      <c r="AK205" s="8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</row>
    <row r="206" customFormat="false" ht="12.75" hidden="false" customHeight="false" outlineLevel="0" collapsed="false">
      <c r="A206" s="95" t="n">
        <f aca="false">Swap!A206</f>
        <v>43101</v>
      </c>
      <c r="B206" s="96" t="n">
        <f aca="false">B205+1</f>
        <v>197</v>
      </c>
      <c r="C206" s="95" t="e">
        <f aca="false">IF(AND(A206&gt;=Front!$E$11,A206&lt;=Front!$E$12),A206,"")</f>
        <v>#VALUE!</v>
      </c>
      <c r="D206" s="87" t="e">
        <f aca="false">Swap!AB206</f>
        <v>#VALUE!</v>
      </c>
      <c r="E206" s="87" t="e">
        <f aca="false">IF($C206="","",1)</f>
        <v>#VALUE!</v>
      </c>
      <c r="F206" s="97" t="e">
        <f aca="false">IF($C206="","",E206*H206)</f>
        <v>#VALUE!</v>
      </c>
      <c r="G206" s="31" t="n">
        <f aca="false">Swap!AG206</f>
        <v>0.0608044002912531</v>
      </c>
      <c r="H206" s="31" t="n">
        <f aca="false">Swap!AH206</f>
        <v>1.58927838917405</v>
      </c>
      <c r="I206" s="92" t="n">
        <f aca="false">INDEX(expery,MATCH(A206,exprymonth,0),2)</f>
        <v>43095</v>
      </c>
      <c r="J206" s="98" t="n">
        <f aca="false">I206-Front!$C$2</f>
        <v>-2831</v>
      </c>
      <c r="K206" s="99" t="n">
        <f aca="false">Swap!E206</f>
        <v>4.9105</v>
      </c>
      <c r="L206" s="99" t="e">
        <f aca="false">IF(C206="","",(PriceSwitch=0)*K206+(PriceSwitch=1)*(Front!$H$21+K206)+(PriceSwitch=2)*Front!$H$21)</f>
        <v>#VALUE!</v>
      </c>
      <c r="M206" s="93" t="n">
        <f aca="false">INDEX(vols,MATCH(A206,volsmonth,0),2)</f>
        <v>0.17</v>
      </c>
      <c r="N206" s="3" t="e">
        <f aca="false">IF(Skew_Switch=0,"",IF($C206="","",(Front!$E$20=0)*M206+(Front!$E$20=1)*(Front!$E$21+M206)+(Front!$E$20=2)*Front!$E$21))</f>
        <v>#VALUE!</v>
      </c>
      <c r="O206" s="94" t="e">
        <f aca="false">IF(Skew_Switch=0,"",IF(C206="","",((calcskew(Call1-$L206,$C206,a,b))/100)))</f>
        <v>#VALUE!</v>
      </c>
      <c r="P206" s="94" t="e">
        <f aca="false">IF(Skew_Switch=0,"",IF(C206="","",((calcskew(Put1-$L206,$C206,a,b))/100)))</f>
        <v>#VALUE!</v>
      </c>
      <c r="Q206" s="94" t="e">
        <f aca="false">IF(Skew_Switch=0,"",IF(C206="","",((calcskew(Call2-$L206,$C206,a,b))/100)))</f>
        <v>#VALUE!</v>
      </c>
      <c r="R206" s="94" t="e">
        <f aca="false">IF(Skew_Switch=0,"",IF(C206="","",((calcskew(Put2-$L206,$C206,a,b))/100)))</f>
        <v>#VALUE!</v>
      </c>
      <c r="S206" s="3" t="e">
        <f aca="false">IF($C206="","",(Front!$C$19=0)*$N206+(Front!$C$19=1)*($N206+O206))</f>
        <v>#VALUE!</v>
      </c>
      <c r="T206" s="3" t="e">
        <f aca="false">IF($C206="","",(Front!$C$19=0)*$N206+(Front!$C$19=1)*($N206+P206))</f>
        <v>#VALUE!</v>
      </c>
      <c r="U206" s="3" t="e">
        <f aca="false">IF($C206="","",(Front!$C$19=0)*$N206+(Front!$C$19=1)*($N206+Q206))</f>
        <v>#VALUE!</v>
      </c>
      <c r="V206" s="3" t="e">
        <f aca="false">IF($C206="","",(Front!$C$19=0)*$N206+(Front!$C$19=1)*($N206+R206))</f>
        <v>#VALUE!</v>
      </c>
      <c r="W206" s="90" t="e">
        <f aca="false">IF($C206="","",xEURO($L206,Call1,$G206,$G206,S206,$J206,1,0))</f>
        <v>#VALUE!</v>
      </c>
      <c r="X206" s="90" t="e">
        <f aca="false">IF($C206="","",xEURO($L206,Put1,$G206,$G206,T206,$J206,0,0))</f>
        <v>#VALUE!</v>
      </c>
      <c r="Y206" s="90" t="e">
        <f aca="false">IF($C206="","",xEURO($L206,Call2,$G206,$G206,U206,$J206,1,0))</f>
        <v>#VALUE!</v>
      </c>
      <c r="Z206" s="90" t="e">
        <f aca="false">IF($C206="","",xEURO($L206,Put2,$G206,$G206,V206,$J206,0,0))</f>
        <v>#VALUE!</v>
      </c>
      <c r="AA206" s="90" t="e">
        <f aca="false">IF($C206="","",xEURO($L206,Call1,$G206,$G206,$S206,$J206,1,1))</f>
        <v>#VALUE!</v>
      </c>
      <c r="AB206" s="90" t="e">
        <f aca="false">IF($C206="","",xEURO($L206,Put1,$G206,$G206,$T206,$J206,0,1))</f>
        <v>#VALUE!</v>
      </c>
      <c r="AC206" s="90" t="e">
        <f aca="false">IF($C206="","",xEURO($L206,Call2,$G206,$G206,$U206,$J206,1,1))</f>
        <v>#VALUE!</v>
      </c>
      <c r="AD206" s="90" t="e">
        <f aca="false">IF($C206="","",xEURO($L206,Put2,$G206,$G206,$V206,$J206,0,1))</f>
        <v>#VALUE!</v>
      </c>
      <c r="AE206" s="90" t="e">
        <f aca="false">IF($C206="","",xEURO($L206,Call1,$G206,$G206,$S206,$J206,1,3))</f>
        <v>#VALUE!</v>
      </c>
      <c r="AF206" s="90" t="e">
        <f aca="false">IF($C206="","",xEURO($L206,Put1,$G206,$G206,$T206,$J206,0,3))</f>
        <v>#VALUE!</v>
      </c>
      <c r="AG206" s="90" t="e">
        <f aca="false">IF($C206="","",xEURO($L206,Call2,$G206,$G206,$U206,$J206,1,3))</f>
        <v>#VALUE!</v>
      </c>
      <c r="AH206" s="90" t="e">
        <f aca="false">IF($C206="","",xEURO($L206,Put2,$G206,$G206,$V206,$J206,0,3))</f>
        <v>#VALUE!</v>
      </c>
      <c r="AI206" s="8" t="e">
        <f aca="false">IF(E206=1,G206,0)</f>
        <v>#VALUE!</v>
      </c>
      <c r="AJ206" s="8" t="e">
        <f aca="false">IF(E206=1,H206,0)</f>
        <v>#VALUE!</v>
      </c>
      <c r="AK206" s="8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</row>
    <row r="207" customFormat="false" ht="12.75" hidden="false" customHeight="false" outlineLevel="0" collapsed="false">
      <c r="A207" s="95" t="n">
        <f aca="false">Swap!A207</f>
        <v>43132</v>
      </c>
      <c r="B207" s="96" t="n">
        <f aca="false">B206+1</f>
        <v>198</v>
      </c>
      <c r="C207" s="95" t="e">
        <f aca="false">IF(AND(A207&gt;=Front!$E$11,A207&lt;=Front!$E$12),A207,"")</f>
        <v>#VALUE!</v>
      </c>
      <c r="D207" s="87" t="e">
        <f aca="false">Swap!AB207</f>
        <v>#VALUE!</v>
      </c>
      <c r="E207" s="87" t="e">
        <f aca="false">IF($C207="","",1)</f>
        <v>#VALUE!</v>
      </c>
      <c r="F207" s="97" t="e">
        <f aca="false">IF($C207="","",E207*H207)</f>
        <v>#VALUE!</v>
      </c>
      <c r="G207" s="31" t="n">
        <f aca="false">Swap!AG207</f>
        <v>0.0608716057532317</v>
      </c>
      <c r="H207" s="31" t="n">
        <f aca="false">Swap!AH207</f>
        <v>1.58200843945524</v>
      </c>
      <c r="I207" s="92" t="n">
        <f aca="false">INDEX(expery,MATCH(A207,exprymonth,0),2)</f>
        <v>43126</v>
      </c>
      <c r="J207" s="98" t="n">
        <f aca="false">I207-Front!$C$2</f>
        <v>-2800</v>
      </c>
      <c r="K207" s="99" t="n">
        <f aca="false">Swap!E207</f>
        <v>4.7965</v>
      </c>
      <c r="L207" s="99" t="e">
        <f aca="false">IF(C207="","",(PriceSwitch=0)*K207+(PriceSwitch=1)*(Front!$H$21+K207)+(PriceSwitch=2)*Front!$H$21)</f>
        <v>#VALUE!</v>
      </c>
      <c r="M207" s="93" t="n">
        <f aca="false">INDEX(vols,MATCH(A207,volsmonth,0),2)</f>
        <v>0.17</v>
      </c>
      <c r="N207" s="3" t="e">
        <f aca="false">IF(Skew_Switch=0,"",IF($C207="","",(Front!$E$20=0)*M207+(Front!$E$20=1)*(Front!$E$21+M207)+(Front!$E$20=2)*Front!$E$21))</f>
        <v>#VALUE!</v>
      </c>
      <c r="O207" s="94" t="e">
        <f aca="false">IF(Skew_Switch=0,"",IF(C207="","",((calcskew(Call1-$L207,$C207,a,b))/100)))</f>
        <v>#VALUE!</v>
      </c>
      <c r="P207" s="94" t="e">
        <f aca="false">IF(Skew_Switch=0,"",IF(C207="","",((calcskew(Put1-$L207,$C207,a,b))/100)))</f>
        <v>#VALUE!</v>
      </c>
      <c r="Q207" s="94" t="e">
        <f aca="false">IF(Skew_Switch=0,"",IF(C207="","",((calcskew(Call2-$L207,$C207,a,b))/100)))</f>
        <v>#VALUE!</v>
      </c>
      <c r="R207" s="94" t="e">
        <f aca="false">IF(Skew_Switch=0,"",IF(C207="","",((calcskew(Put2-$L207,$C207,a,b))/100)))</f>
        <v>#VALUE!</v>
      </c>
      <c r="S207" s="3" t="e">
        <f aca="false">IF($C207="","",(Front!$C$19=0)*$N207+(Front!$C$19=1)*($N207+O207))</f>
        <v>#VALUE!</v>
      </c>
      <c r="T207" s="3" t="e">
        <f aca="false">IF($C207="","",(Front!$C$19=0)*$N207+(Front!$C$19=1)*($N207+P207))</f>
        <v>#VALUE!</v>
      </c>
      <c r="U207" s="3" t="e">
        <f aca="false">IF($C207="","",(Front!$C$19=0)*$N207+(Front!$C$19=1)*($N207+Q207))</f>
        <v>#VALUE!</v>
      </c>
      <c r="V207" s="3" t="e">
        <f aca="false">IF($C207="","",(Front!$C$19=0)*$N207+(Front!$C$19=1)*($N207+R207))</f>
        <v>#VALUE!</v>
      </c>
      <c r="W207" s="90" t="e">
        <f aca="false">IF($C207="","",xEURO($L207,Call1,$G207,$G207,S207,$J207,1,0))</f>
        <v>#VALUE!</v>
      </c>
      <c r="X207" s="90" t="e">
        <f aca="false">IF($C207="","",xEURO($L207,Put1,$G207,$G207,T207,$J207,0,0))</f>
        <v>#VALUE!</v>
      </c>
      <c r="Y207" s="90" t="e">
        <f aca="false">IF($C207="","",xEURO($L207,Call2,$G207,$G207,U207,$J207,1,0))</f>
        <v>#VALUE!</v>
      </c>
      <c r="Z207" s="90" t="e">
        <f aca="false">IF($C207="","",xEURO($L207,Put2,$G207,$G207,V207,$J207,0,0))</f>
        <v>#VALUE!</v>
      </c>
      <c r="AA207" s="90" t="e">
        <f aca="false">IF($C207="","",xEURO($L207,Call1,$G207,$G207,$S207,$J207,1,1))</f>
        <v>#VALUE!</v>
      </c>
      <c r="AB207" s="90" t="e">
        <f aca="false">IF($C207="","",xEURO($L207,Put1,$G207,$G207,$T207,$J207,0,1))</f>
        <v>#VALUE!</v>
      </c>
      <c r="AC207" s="90" t="e">
        <f aca="false">IF($C207="","",xEURO($L207,Call2,$G207,$G207,$U207,$J207,1,1))</f>
        <v>#VALUE!</v>
      </c>
      <c r="AD207" s="90" t="e">
        <f aca="false">IF($C207="","",xEURO($L207,Put2,$G207,$G207,$V207,$J207,0,1))</f>
        <v>#VALUE!</v>
      </c>
      <c r="AE207" s="90" t="e">
        <f aca="false">IF($C207="","",xEURO($L207,Call1,$G207,$G207,$S207,$J207,1,3))</f>
        <v>#VALUE!</v>
      </c>
      <c r="AF207" s="90" t="e">
        <f aca="false">IF($C207="","",xEURO($L207,Put1,$G207,$G207,$T207,$J207,0,3))</f>
        <v>#VALUE!</v>
      </c>
      <c r="AG207" s="90" t="e">
        <f aca="false">IF($C207="","",xEURO($L207,Call2,$G207,$G207,$U207,$J207,1,3))</f>
        <v>#VALUE!</v>
      </c>
      <c r="AH207" s="90" t="e">
        <f aca="false">IF($C207="","",xEURO($L207,Put2,$G207,$G207,$V207,$J207,0,3))</f>
        <v>#VALUE!</v>
      </c>
      <c r="AI207" s="8" t="e">
        <f aca="false">IF(E207=1,G207,0)</f>
        <v>#VALUE!</v>
      </c>
      <c r="AJ207" s="8" t="e">
        <f aca="false">IF(E207=1,H207,0)</f>
        <v>#VALUE!</v>
      </c>
      <c r="AK207" s="8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  <c r="IW207" s="0"/>
    </row>
    <row r="208" customFormat="false" ht="12.75" hidden="false" customHeight="false" outlineLevel="0" collapsed="false">
      <c r="A208" s="95" t="n">
        <f aca="false">Swap!A208</f>
        <v>43160</v>
      </c>
      <c r="B208" s="96" t="n">
        <f aca="false">B207+1</f>
        <v>199</v>
      </c>
      <c r="C208" s="95" t="e">
        <f aca="false">IF(AND(A208&gt;=Front!$E$11,A208&lt;=Front!$E$12),A208,"")</f>
        <v>#VALUE!</v>
      </c>
      <c r="D208" s="87" t="e">
        <f aca="false">Swap!AB208</f>
        <v>#VALUE!</v>
      </c>
      <c r="E208" s="87" t="e">
        <f aca="false">IF($C208="","",1)</f>
        <v>#VALUE!</v>
      </c>
      <c r="F208" s="97" t="e">
        <f aca="false">IF($C208="","",E208*H208)</f>
        <v>#VALUE!</v>
      </c>
      <c r="G208" s="31" t="n">
        <f aca="false">Swap!AG208</f>
        <v>0.0609323074621146</v>
      </c>
      <c r="H208" s="31" t="n">
        <f aca="false">Swap!AH208</f>
        <v>1.57545560754056</v>
      </c>
      <c r="I208" s="92" t="n">
        <f aca="false">INDEX(expery,MATCH(A208,exprymonth,0),2)</f>
        <v>43154</v>
      </c>
      <c r="J208" s="98" t="n">
        <f aca="false">I208-Front!$C$2</f>
        <v>-2772</v>
      </c>
      <c r="K208" s="99" t="n">
        <f aca="false">Swap!E208</f>
        <v>4.6645</v>
      </c>
      <c r="L208" s="99" t="e">
        <f aca="false">IF(C208="","",(PriceSwitch=0)*K208+(PriceSwitch=1)*(Front!$H$21+K208)+(PriceSwitch=2)*Front!$H$21)</f>
        <v>#VALUE!</v>
      </c>
      <c r="M208" s="93" t="n">
        <f aca="false">INDEX(vols,MATCH(A208,volsmonth,0),2)</f>
        <v>0.17</v>
      </c>
      <c r="N208" s="3" t="e">
        <f aca="false">IF(Skew_Switch=0,"",IF($C208="","",(Front!$E$20=0)*M208+(Front!$E$20=1)*(Front!$E$21+M208)+(Front!$E$20=2)*Front!$E$21))</f>
        <v>#VALUE!</v>
      </c>
      <c r="O208" s="94" t="e">
        <f aca="false">IF(Skew_Switch=0,"",IF(C208="","",((calcskew(Call1-$L208,$C208,a,b))/100)))</f>
        <v>#VALUE!</v>
      </c>
      <c r="P208" s="94" t="e">
        <f aca="false">IF(Skew_Switch=0,"",IF(C208="","",((calcskew(Put1-$L208,$C208,a,b))/100)))</f>
        <v>#VALUE!</v>
      </c>
      <c r="Q208" s="94" t="e">
        <f aca="false">IF(Skew_Switch=0,"",IF(C208="","",((calcskew(Call2-$L208,$C208,a,b))/100)))</f>
        <v>#VALUE!</v>
      </c>
      <c r="R208" s="94" t="e">
        <f aca="false">IF(Skew_Switch=0,"",IF(C208="","",((calcskew(Put2-$L208,$C208,a,b))/100)))</f>
        <v>#VALUE!</v>
      </c>
      <c r="S208" s="3" t="e">
        <f aca="false">IF($C208="","",(Front!$C$19=0)*$N208+(Front!$C$19=1)*($N208+O208))</f>
        <v>#VALUE!</v>
      </c>
      <c r="T208" s="3" t="e">
        <f aca="false">IF($C208="","",(Front!$C$19=0)*$N208+(Front!$C$19=1)*($N208+P208))</f>
        <v>#VALUE!</v>
      </c>
      <c r="U208" s="3" t="e">
        <f aca="false">IF($C208="","",(Front!$C$19=0)*$N208+(Front!$C$19=1)*($N208+Q208))</f>
        <v>#VALUE!</v>
      </c>
      <c r="V208" s="3" t="e">
        <f aca="false">IF($C208="","",(Front!$C$19=0)*$N208+(Front!$C$19=1)*($N208+R208))</f>
        <v>#VALUE!</v>
      </c>
      <c r="W208" s="90" t="e">
        <f aca="false">IF($C208="","",xEURO($L208,Call1,$G208,$G208,S208,$J208,1,0))</f>
        <v>#VALUE!</v>
      </c>
      <c r="X208" s="90" t="e">
        <f aca="false">IF($C208="","",xEURO($L208,Put1,$G208,$G208,T208,$J208,0,0))</f>
        <v>#VALUE!</v>
      </c>
      <c r="Y208" s="90" t="e">
        <f aca="false">IF($C208="","",xEURO($L208,Call2,$G208,$G208,U208,$J208,1,0))</f>
        <v>#VALUE!</v>
      </c>
      <c r="Z208" s="90" t="e">
        <f aca="false">IF($C208="","",xEURO($L208,Put2,$G208,$G208,V208,$J208,0,0))</f>
        <v>#VALUE!</v>
      </c>
      <c r="AA208" s="90" t="e">
        <f aca="false">IF($C208="","",xEURO($L208,Call1,$G208,$G208,$S208,$J208,1,1))</f>
        <v>#VALUE!</v>
      </c>
      <c r="AB208" s="90" t="e">
        <f aca="false">IF($C208="","",xEURO($L208,Put1,$G208,$G208,$T208,$J208,0,1))</f>
        <v>#VALUE!</v>
      </c>
      <c r="AC208" s="90" t="e">
        <f aca="false">IF($C208="","",xEURO($L208,Call2,$G208,$G208,$U208,$J208,1,1))</f>
        <v>#VALUE!</v>
      </c>
      <c r="AD208" s="90" t="e">
        <f aca="false">IF($C208="","",xEURO($L208,Put2,$G208,$G208,$V208,$J208,0,1))</f>
        <v>#VALUE!</v>
      </c>
      <c r="AE208" s="90" t="e">
        <f aca="false">IF($C208="","",xEURO($L208,Call1,$G208,$G208,$S208,$J208,1,3))</f>
        <v>#VALUE!</v>
      </c>
      <c r="AF208" s="90" t="e">
        <f aca="false">IF($C208="","",xEURO($L208,Put1,$G208,$G208,$T208,$J208,0,3))</f>
        <v>#VALUE!</v>
      </c>
      <c r="AG208" s="90" t="e">
        <f aca="false">IF($C208="","",xEURO($L208,Call2,$G208,$G208,$U208,$J208,1,3))</f>
        <v>#VALUE!</v>
      </c>
      <c r="AH208" s="90" t="e">
        <f aca="false">IF($C208="","",xEURO($L208,Put2,$G208,$G208,$V208,$J208,0,3))</f>
        <v>#VALUE!</v>
      </c>
      <c r="AI208" s="8" t="e">
        <f aca="false">IF(E208=1,G208,0)</f>
        <v>#VALUE!</v>
      </c>
      <c r="AJ208" s="8" t="e">
        <f aca="false">IF(E208=1,H208,0)</f>
        <v>#VALUE!</v>
      </c>
      <c r="AK208" s="8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  <c r="IW208" s="0"/>
    </row>
    <row r="209" customFormat="false" ht="12.75" hidden="false" customHeight="false" outlineLevel="0" collapsed="false">
      <c r="A209" s="95" t="n">
        <f aca="false">Swap!A209</f>
        <v>43191</v>
      </c>
      <c r="B209" s="96" t="n">
        <f aca="false">B208+1</f>
        <v>200</v>
      </c>
      <c r="C209" s="95" t="e">
        <f aca="false">IF(AND(A209&gt;=Front!$E$11,A209&lt;=Front!$E$12),A209,"")</f>
        <v>#VALUE!</v>
      </c>
      <c r="D209" s="87" t="e">
        <f aca="false">Swap!AB209</f>
        <v>#VALUE!</v>
      </c>
      <c r="E209" s="87" t="e">
        <f aca="false">IF($C209="","",1)</f>
        <v>#VALUE!</v>
      </c>
      <c r="F209" s="97" t="e">
        <f aca="false">IF($C209="","",E209*H209)</f>
        <v>#VALUE!</v>
      </c>
      <c r="G209" s="31" t="n">
        <f aca="false">Swap!AG209</f>
        <v>0.0609995129269483</v>
      </c>
      <c r="H209" s="31" t="n">
        <f aca="false">Swap!AH209</f>
        <v>1.56821579708079</v>
      </c>
      <c r="I209" s="92" t="n">
        <f aca="false">INDEX(expery,MATCH(A209,exprymonth,0),2)</f>
        <v>43185</v>
      </c>
      <c r="J209" s="98" t="n">
        <f aca="false">I209-Front!$C$2</f>
        <v>-2741</v>
      </c>
      <c r="K209" s="99" t="n">
        <f aca="false">Swap!E209</f>
        <v>4.4945</v>
      </c>
      <c r="L209" s="99" t="e">
        <f aca="false">IF(C209="","",(PriceSwitch=0)*K209+(PriceSwitch=1)*(Front!$H$21+K209)+(PriceSwitch=2)*Front!$H$21)</f>
        <v>#VALUE!</v>
      </c>
      <c r="M209" s="93" t="n">
        <f aca="false">INDEX(vols,MATCH(A209,volsmonth,0),2)</f>
        <v>0.17</v>
      </c>
      <c r="N209" s="3" t="e">
        <f aca="false">IF(Skew_Switch=0,"",IF($C209="","",(Front!$E$20=0)*M209+(Front!$E$20=1)*(Front!$E$21+M209)+(Front!$E$20=2)*Front!$E$21))</f>
        <v>#VALUE!</v>
      </c>
      <c r="O209" s="94" t="e">
        <f aca="false">IF(Skew_Switch=0,"",IF(C209="","",((calcskew(Call1-$L209,$C209,a,b))/100)))</f>
        <v>#VALUE!</v>
      </c>
      <c r="P209" s="94" t="e">
        <f aca="false">IF(Skew_Switch=0,"",IF(C209="","",((calcskew(Put1-$L209,$C209,a,b))/100)))</f>
        <v>#VALUE!</v>
      </c>
      <c r="Q209" s="94" t="e">
        <f aca="false">IF(Skew_Switch=0,"",IF(C209="","",((calcskew(Call2-$L209,$C209,a,b))/100)))</f>
        <v>#VALUE!</v>
      </c>
      <c r="R209" s="94" t="e">
        <f aca="false">IF(Skew_Switch=0,"",IF(C209="","",((calcskew(Put2-$L209,$C209,a,b))/100)))</f>
        <v>#VALUE!</v>
      </c>
      <c r="S209" s="3" t="e">
        <f aca="false">IF($C209="","",(Front!$C$19=0)*$N209+(Front!$C$19=1)*($N209+O209))</f>
        <v>#VALUE!</v>
      </c>
      <c r="T209" s="3" t="e">
        <f aca="false">IF($C209="","",(Front!$C$19=0)*$N209+(Front!$C$19=1)*($N209+P209))</f>
        <v>#VALUE!</v>
      </c>
      <c r="U209" s="3" t="e">
        <f aca="false">IF($C209="","",(Front!$C$19=0)*$N209+(Front!$C$19=1)*($N209+Q209))</f>
        <v>#VALUE!</v>
      </c>
      <c r="V209" s="3" t="e">
        <f aca="false">IF($C209="","",(Front!$C$19=0)*$N209+(Front!$C$19=1)*($N209+R209))</f>
        <v>#VALUE!</v>
      </c>
      <c r="W209" s="90" t="e">
        <f aca="false">IF($C209="","",xEURO($L209,Call1,$G209,$G209,S209,$J209,1,0))</f>
        <v>#VALUE!</v>
      </c>
      <c r="X209" s="90" t="e">
        <f aca="false">IF($C209="","",xEURO($L209,Put1,$G209,$G209,T209,$J209,0,0))</f>
        <v>#VALUE!</v>
      </c>
      <c r="Y209" s="90" t="e">
        <f aca="false">IF($C209="","",xEURO($L209,Call2,$G209,$G209,U209,$J209,1,0))</f>
        <v>#VALUE!</v>
      </c>
      <c r="Z209" s="90" t="e">
        <f aca="false">IF($C209="","",xEURO($L209,Put2,$G209,$G209,V209,$J209,0,0))</f>
        <v>#VALUE!</v>
      </c>
      <c r="AA209" s="90" t="e">
        <f aca="false">IF($C209="","",xEURO($L209,Call1,$G209,$G209,$S209,$J209,1,1))</f>
        <v>#VALUE!</v>
      </c>
      <c r="AB209" s="90" t="e">
        <f aca="false">IF($C209="","",xEURO($L209,Put1,$G209,$G209,$T209,$J209,0,1))</f>
        <v>#VALUE!</v>
      </c>
      <c r="AC209" s="90" t="e">
        <f aca="false">IF($C209="","",xEURO($L209,Call2,$G209,$G209,$U209,$J209,1,1))</f>
        <v>#VALUE!</v>
      </c>
      <c r="AD209" s="90" t="e">
        <f aca="false">IF($C209="","",xEURO($L209,Put2,$G209,$G209,$V209,$J209,0,1))</f>
        <v>#VALUE!</v>
      </c>
      <c r="AE209" s="90" t="e">
        <f aca="false">IF($C209="","",xEURO($L209,Call1,$G209,$G209,$S209,$J209,1,3))</f>
        <v>#VALUE!</v>
      </c>
      <c r="AF209" s="90" t="e">
        <f aca="false">IF($C209="","",xEURO($L209,Put1,$G209,$G209,$T209,$J209,0,3))</f>
        <v>#VALUE!</v>
      </c>
      <c r="AG209" s="90" t="e">
        <f aca="false">IF($C209="","",xEURO($L209,Call2,$G209,$G209,$U209,$J209,1,3))</f>
        <v>#VALUE!</v>
      </c>
      <c r="AH209" s="90" t="e">
        <f aca="false">IF($C209="","",xEURO($L209,Put2,$G209,$G209,$V209,$J209,0,3))</f>
        <v>#VALUE!</v>
      </c>
      <c r="AI209" s="8" t="e">
        <f aca="false">IF(E209=1,G209,0)</f>
        <v>#VALUE!</v>
      </c>
      <c r="AJ209" s="8" t="e">
        <f aca="false">IF(E209=1,H209,0)</f>
        <v>#VALUE!</v>
      </c>
      <c r="AK209" s="8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  <c r="IW209" s="0"/>
    </row>
    <row r="210" customFormat="false" ht="12.75" hidden="false" customHeight="false" outlineLevel="0" collapsed="false">
      <c r="A210" s="95" t="n">
        <f aca="false">Swap!A210</f>
        <v>43221</v>
      </c>
      <c r="B210" s="96" t="n">
        <f aca="false">B209+1</f>
        <v>201</v>
      </c>
      <c r="C210" s="95" t="e">
        <f aca="false">IF(AND(A210&gt;=Front!$E$11,A210&lt;=Front!$E$12),A210,"")</f>
        <v>#VALUE!</v>
      </c>
      <c r="D210" s="87" t="e">
        <f aca="false">Swap!AB210</f>
        <v>#VALUE!</v>
      </c>
      <c r="E210" s="87" t="e">
        <f aca="false">IF($C210="","",1)</f>
        <v>#VALUE!</v>
      </c>
      <c r="F210" s="97" t="e">
        <f aca="false">IF($C210="","",E210*H210)</f>
        <v>#VALUE!</v>
      </c>
      <c r="G210" s="31" t="n">
        <f aca="false">Swap!AG210</f>
        <v>0.0610645504749896</v>
      </c>
      <c r="H210" s="31" t="n">
        <f aca="false">Swap!AH210</f>
        <v>1.56122472796129</v>
      </c>
      <c r="I210" s="92" t="n">
        <f aca="false">INDEX(expery,MATCH(A210,exprymonth,0),2)</f>
        <v>43215</v>
      </c>
      <c r="J210" s="98" t="n">
        <f aca="false">I210-Front!$C$2</f>
        <v>-2711</v>
      </c>
      <c r="K210" s="99" t="n">
        <f aca="false">Swap!E210</f>
        <v>4.4945</v>
      </c>
      <c r="L210" s="99" t="e">
        <f aca="false">IF(C210="","",(PriceSwitch=0)*K210+(PriceSwitch=1)*(Front!$H$21+K210)+(PriceSwitch=2)*Front!$H$21)</f>
        <v>#VALUE!</v>
      </c>
      <c r="M210" s="93" t="n">
        <f aca="false">INDEX(vols,MATCH(A210,volsmonth,0),2)</f>
        <v>0.17</v>
      </c>
      <c r="N210" s="3" t="e">
        <f aca="false">IF(Skew_Switch=0,"",IF($C210="","",(Front!$E$20=0)*M210+(Front!$E$20=1)*(Front!$E$21+M210)+(Front!$E$20=2)*Front!$E$21))</f>
        <v>#VALUE!</v>
      </c>
      <c r="O210" s="94" t="e">
        <f aca="false">IF(Skew_Switch=0,"",IF(C210="","",((calcskew(Call1-$L210,$C210,a,b))/100)))</f>
        <v>#VALUE!</v>
      </c>
      <c r="P210" s="94" t="e">
        <f aca="false">IF(Skew_Switch=0,"",IF(C210="","",((calcskew(Put1-$L210,$C210,a,b))/100)))</f>
        <v>#VALUE!</v>
      </c>
      <c r="Q210" s="94" t="e">
        <f aca="false">IF(Skew_Switch=0,"",IF(C210="","",((calcskew(Call2-$L210,$C210,a,b))/100)))</f>
        <v>#VALUE!</v>
      </c>
      <c r="R210" s="94" t="e">
        <f aca="false">IF(Skew_Switch=0,"",IF(C210="","",((calcskew(Put2-$L210,$C210,a,b))/100)))</f>
        <v>#VALUE!</v>
      </c>
      <c r="S210" s="3" t="e">
        <f aca="false">IF($C210="","",(Front!$C$19=0)*$N210+(Front!$C$19=1)*($N210+O210))</f>
        <v>#VALUE!</v>
      </c>
      <c r="T210" s="3" t="e">
        <f aca="false">IF($C210="","",(Front!$C$19=0)*$N210+(Front!$C$19=1)*($N210+P210))</f>
        <v>#VALUE!</v>
      </c>
      <c r="U210" s="3" t="e">
        <f aca="false">IF($C210="","",(Front!$C$19=0)*$N210+(Front!$C$19=1)*($N210+Q210))</f>
        <v>#VALUE!</v>
      </c>
      <c r="V210" s="3" t="e">
        <f aca="false">IF($C210="","",(Front!$C$19=0)*$N210+(Front!$C$19=1)*($N210+R210))</f>
        <v>#VALUE!</v>
      </c>
      <c r="W210" s="90" t="e">
        <f aca="false">IF($C210="","",xEURO($L210,Call1,$G210,$G210,S210,$J210,1,0))</f>
        <v>#VALUE!</v>
      </c>
      <c r="X210" s="90" t="e">
        <f aca="false">IF($C210="","",xEURO($L210,Put1,$G210,$G210,T210,$J210,0,0))</f>
        <v>#VALUE!</v>
      </c>
      <c r="Y210" s="90" t="e">
        <f aca="false">IF($C210="","",xEURO($L210,Call2,$G210,$G210,U210,$J210,1,0))</f>
        <v>#VALUE!</v>
      </c>
      <c r="Z210" s="90" t="e">
        <f aca="false">IF($C210="","",xEURO($L210,Put2,$G210,$G210,V210,$J210,0,0))</f>
        <v>#VALUE!</v>
      </c>
      <c r="AA210" s="90" t="e">
        <f aca="false">IF($C210="","",xEURO($L210,Call1,$G210,$G210,$S210,$J210,1,1))</f>
        <v>#VALUE!</v>
      </c>
      <c r="AB210" s="90" t="e">
        <f aca="false">IF($C210="","",xEURO($L210,Put1,$G210,$G210,$T210,$J210,0,1))</f>
        <v>#VALUE!</v>
      </c>
      <c r="AC210" s="90" t="e">
        <f aca="false">IF($C210="","",xEURO($L210,Call2,$G210,$G210,$U210,$J210,1,1))</f>
        <v>#VALUE!</v>
      </c>
      <c r="AD210" s="90" t="e">
        <f aca="false">IF($C210="","",xEURO($L210,Put2,$G210,$G210,$V210,$J210,0,1))</f>
        <v>#VALUE!</v>
      </c>
      <c r="AE210" s="90" t="e">
        <f aca="false">IF($C210="","",xEURO($L210,Call1,$G210,$G210,$S210,$J210,1,3))</f>
        <v>#VALUE!</v>
      </c>
      <c r="AF210" s="90" t="e">
        <f aca="false">IF($C210="","",xEURO($L210,Put1,$G210,$G210,$T210,$J210,0,3))</f>
        <v>#VALUE!</v>
      </c>
      <c r="AG210" s="90" t="e">
        <f aca="false">IF($C210="","",xEURO($L210,Call2,$G210,$G210,$U210,$J210,1,3))</f>
        <v>#VALUE!</v>
      </c>
      <c r="AH210" s="90" t="e">
        <f aca="false">IF($C210="","",xEURO($L210,Put2,$G210,$G210,$V210,$J210,0,3))</f>
        <v>#VALUE!</v>
      </c>
      <c r="AI210" s="8" t="e">
        <f aca="false">IF(E210=1,G210,0)</f>
        <v>#VALUE!</v>
      </c>
      <c r="AJ210" s="8" t="e">
        <f aca="false">IF(E210=1,H210,0)</f>
        <v>#VALUE!</v>
      </c>
      <c r="AK210" s="8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  <c r="IW210" s="0"/>
    </row>
    <row r="211" customFormat="false" ht="12.75" hidden="false" customHeight="false" outlineLevel="0" collapsed="false">
      <c r="A211" s="95" t="n">
        <f aca="false">Swap!A211</f>
        <v>43252</v>
      </c>
      <c r="B211" s="96" t="n">
        <f aca="false">B210+1</f>
        <v>202</v>
      </c>
      <c r="C211" s="95" t="e">
        <f aca="false">IF(AND(A211&gt;=Front!$E$11,A211&lt;=Front!$E$12),A211,"")</f>
        <v>#VALUE!</v>
      </c>
      <c r="D211" s="87" t="e">
        <f aca="false">Swap!AB211</f>
        <v>#VALUE!</v>
      </c>
      <c r="E211" s="87" t="e">
        <f aca="false">IF($C211="","",1)</f>
        <v>#VALUE!</v>
      </c>
      <c r="F211" s="97" t="e">
        <f aca="false">IF($C211="","",E211*H211)</f>
        <v>#VALUE!</v>
      </c>
      <c r="G211" s="31" t="n">
        <f aca="false">Swap!AG211</f>
        <v>0.0611317559427751</v>
      </c>
      <c r="H211" s="31" t="n">
        <f aca="false">Swap!AH211</f>
        <v>1.55401641370089</v>
      </c>
      <c r="I211" s="92" t="n">
        <f aca="false">INDEX(expery,MATCH(A211,exprymonth,0),2)</f>
        <v>43245</v>
      </c>
      <c r="J211" s="98" t="n">
        <f aca="false">I211-Front!$C$2</f>
        <v>-2681</v>
      </c>
      <c r="K211" s="99" t="n">
        <f aca="false">Swap!E211</f>
        <v>4.5265</v>
      </c>
      <c r="L211" s="99" t="e">
        <f aca="false">IF(C211="","",(PriceSwitch=0)*K211+(PriceSwitch=1)*(Front!$H$21+K211)+(PriceSwitch=2)*Front!$H$21)</f>
        <v>#VALUE!</v>
      </c>
      <c r="M211" s="93" t="n">
        <f aca="false">INDEX(vols,MATCH(A211,volsmonth,0),2)</f>
        <v>0.17</v>
      </c>
      <c r="N211" s="3" t="e">
        <f aca="false">IF(Skew_Switch=0,"",IF($C211="","",(Front!$E$20=0)*M211+(Front!$E$20=1)*(Front!$E$21+M211)+(Front!$E$20=2)*Front!$E$21))</f>
        <v>#VALUE!</v>
      </c>
      <c r="O211" s="94" t="e">
        <f aca="false">IF(Skew_Switch=0,"",IF(C211="","",((calcskew(Call1-$L211,$C211,a,b))/100)))</f>
        <v>#VALUE!</v>
      </c>
      <c r="P211" s="94" t="e">
        <f aca="false">IF(Skew_Switch=0,"",IF(C211="","",((calcskew(Put1-$L211,$C211,a,b))/100)))</f>
        <v>#VALUE!</v>
      </c>
      <c r="Q211" s="94" t="e">
        <f aca="false">IF(Skew_Switch=0,"",IF(C211="","",((calcskew(Call2-$L211,$C211,a,b))/100)))</f>
        <v>#VALUE!</v>
      </c>
      <c r="R211" s="94" t="e">
        <f aca="false">IF(Skew_Switch=0,"",IF(C211="","",((calcskew(Put2-$L211,$C211,a,b))/100)))</f>
        <v>#VALUE!</v>
      </c>
      <c r="S211" s="3" t="e">
        <f aca="false">IF($C211="","",(Front!$C$19=0)*$N211+(Front!$C$19=1)*($N211+O211))</f>
        <v>#VALUE!</v>
      </c>
      <c r="T211" s="3" t="e">
        <f aca="false">IF($C211="","",(Front!$C$19=0)*$N211+(Front!$C$19=1)*($N211+P211))</f>
        <v>#VALUE!</v>
      </c>
      <c r="U211" s="3" t="e">
        <f aca="false">IF($C211="","",(Front!$C$19=0)*$N211+(Front!$C$19=1)*($N211+Q211))</f>
        <v>#VALUE!</v>
      </c>
      <c r="V211" s="3" t="e">
        <f aca="false">IF($C211="","",(Front!$C$19=0)*$N211+(Front!$C$19=1)*($N211+R211))</f>
        <v>#VALUE!</v>
      </c>
      <c r="W211" s="90" t="e">
        <f aca="false">IF($C211="","",xEURO($L211,Call1,$G211,$G211,S211,$J211,1,0))</f>
        <v>#VALUE!</v>
      </c>
      <c r="X211" s="90" t="e">
        <f aca="false">IF($C211="","",xEURO($L211,Put1,$G211,$G211,T211,$J211,0,0))</f>
        <v>#VALUE!</v>
      </c>
      <c r="Y211" s="90" t="e">
        <f aca="false">IF($C211="","",xEURO($L211,Call2,$G211,$G211,U211,$J211,1,0))</f>
        <v>#VALUE!</v>
      </c>
      <c r="Z211" s="90" t="e">
        <f aca="false">IF($C211="","",xEURO($L211,Put2,$G211,$G211,V211,$J211,0,0))</f>
        <v>#VALUE!</v>
      </c>
      <c r="AA211" s="90" t="e">
        <f aca="false">IF($C211="","",xEURO($L211,Call1,$G211,$G211,$S211,$J211,1,1))</f>
        <v>#VALUE!</v>
      </c>
      <c r="AB211" s="90" t="e">
        <f aca="false">IF($C211="","",xEURO($L211,Put1,$G211,$G211,$T211,$J211,0,1))</f>
        <v>#VALUE!</v>
      </c>
      <c r="AC211" s="90" t="e">
        <f aca="false">IF($C211="","",xEURO($L211,Call2,$G211,$G211,$U211,$J211,1,1))</f>
        <v>#VALUE!</v>
      </c>
      <c r="AD211" s="90" t="e">
        <f aca="false">IF($C211="","",xEURO($L211,Put2,$G211,$G211,$V211,$J211,0,1))</f>
        <v>#VALUE!</v>
      </c>
      <c r="AE211" s="90" t="e">
        <f aca="false">IF($C211="","",xEURO($L211,Call1,$G211,$G211,$S211,$J211,1,3))</f>
        <v>#VALUE!</v>
      </c>
      <c r="AF211" s="90" t="e">
        <f aca="false">IF($C211="","",xEURO($L211,Put1,$G211,$G211,$T211,$J211,0,3))</f>
        <v>#VALUE!</v>
      </c>
      <c r="AG211" s="90" t="e">
        <f aca="false">IF($C211="","",xEURO($L211,Call2,$G211,$G211,$U211,$J211,1,3))</f>
        <v>#VALUE!</v>
      </c>
      <c r="AH211" s="90" t="e">
        <f aca="false">IF($C211="","",xEURO($L211,Put2,$G211,$G211,$V211,$J211,0,3))</f>
        <v>#VALUE!</v>
      </c>
      <c r="AI211" s="8" t="e">
        <f aca="false">IF(E211=1,G211,0)</f>
        <v>#VALUE!</v>
      </c>
      <c r="AJ211" s="8" t="e">
        <f aca="false">IF(E211=1,H211,0)</f>
        <v>#VALUE!</v>
      </c>
      <c r="AK211" s="8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  <c r="IW211" s="0"/>
    </row>
    <row r="212" customFormat="false" ht="12.75" hidden="false" customHeight="false" outlineLevel="0" collapsed="false">
      <c r="A212" s="95" t="n">
        <f aca="false">Swap!A212</f>
        <v>43282</v>
      </c>
      <c r="B212" s="96" t="n">
        <f aca="false">B211+1</f>
        <v>203</v>
      </c>
      <c r="C212" s="95" t="e">
        <f aca="false">IF(AND(A212&gt;=Front!$E$11,A212&lt;=Front!$E$12),A212,"")</f>
        <v>#VALUE!</v>
      </c>
      <c r="D212" s="87" t="e">
        <f aca="false">Swap!AB212</f>
        <v>#VALUE!</v>
      </c>
      <c r="E212" s="87" t="e">
        <f aca="false">IF($C212="","",1)</f>
        <v>#VALUE!</v>
      </c>
      <c r="F212" s="97" t="e">
        <f aca="false">IF($C212="","",E212*H212)</f>
        <v>#VALUE!</v>
      </c>
      <c r="G212" s="31" t="n">
        <f aca="false">Swap!AG212</f>
        <v>0.0611967934936724</v>
      </c>
      <c r="H212" s="31" t="n">
        <f aca="false">Swap!AH212</f>
        <v>1.54705598713155</v>
      </c>
      <c r="I212" s="92" t="n">
        <f aca="false">INDEX(expery,MATCH(A212,exprymonth,0),2)</f>
        <v>43277</v>
      </c>
      <c r="J212" s="98" t="n">
        <f aca="false">I212-Front!$C$2</f>
        <v>-2649</v>
      </c>
      <c r="K212" s="99" t="n">
        <f aca="false">Swap!E212</f>
        <v>4.5765</v>
      </c>
      <c r="L212" s="99" t="e">
        <f aca="false">IF(C212="","",(PriceSwitch=0)*K212+(PriceSwitch=1)*(Front!$H$21+K212)+(PriceSwitch=2)*Front!$H$21)</f>
        <v>#VALUE!</v>
      </c>
      <c r="M212" s="93" t="n">
        <f aca="false">INDEX(vols,MATCH(A212,volsmonth,0),2)</f>
        <v>0.17</v>
      </c>
      <c r="N212" s="3" t="e">
        <f aca="false">IF(Skew_Switch=0,"",IF($C212="","",(Front!$E$20=0)*M212+(Front!$E$20=1)*(Front!$E$21+M212)+(Front!$E$20=2)*Front!$E$21))</f>
        <v>#VALUE!</v>
      </c>
      <c r="O212" s="94" t="e">
        <f aca="false">IF(Skew_Switch=0,"",IF(C212="","",((calcskew(Call1-$L212,$C212,a,b))/100)))</f>
        <v>#VALUE!</v>
      </c>
      <c r="P212" s="94" t="e">
        <f aca="false">IF(Skew_Switch=0,"",IF(C212="","",((calcskew(Put1-$L212,$C212,a,b))/100)))</f>
        <v>#VALUE!</v>
      </c>
      <c r="Q212" s="94" t="e">
        <f aca="false">IF(Skew_Switch=0,"",IF(C212="","",((calcskew(Call2-$L212,$C212,a,b))/100)))</f>
        <v>#VALUE!</v>
      </c>
      <c r="R212" s="94" t="e">
        <f aca="false">IF(Skew_Switch=0,"",IF(C212="","",((calcskew(Put2-$L212,$C212,a,b))/100)))</f>
        <v>#VALUE!</v>
      </c>
      <c r="S212" s="3" t="e">
        <f aca="false">IF($C212="","",(Front!$C$19=0)*$N212+(Front!$C$19=1)*($N212+O212))</f>
        <v>#VALUE!</v>
      </c>
      <c r="T212" s="3" t="e">
        <f aca="false">IF($C212="","",(Front!$C$19=0)*$N212+(Front!$C$19=1)*($N212+P212))</f>
        <v>#VALUE!</v>
      </c>
      <c r="U212" s="3" t="e">
        <f aca="false">IF($C212="","",(Front!$C$19=0)*$N212+(Front!$C$19=1)*($N212+Q212))</f>
        <v>#VALUE!</v>
      </c>
      <c r="V212" s="3" t="e">
        <f aca="false">IF($C212="","",(Front!$C$19=0)*$N212+(Front!$C$19=1)*($N212+R212))</f>
        <v>#VALUE!</v>
      </c>
      <c r="W212" s="90" t="e">
        <f aca="false">IF($C212="","",xEURO($L212,Call1,$G212,$G212,S212,$J212,1,0))</f>
        <v>#VALUE!</v>
      </c>
      <c r="X212" s="90" t="e">
        <f aca="false">IF($C212="","",xEURO($L212,Put1,$G212,$G212,T212,$J212,0,0))</f>
        <v>#VALUE!</v>
      </c>
      <c r="Y212" s="90" t="e">
        <f aca="false">IF($C212="","",xEURO($L212,Call2,$G212,$G212,U212,$J212,1,0))</f>
        <v>#VALUE!</v>
      </c>
      <c r="Z212" s="90" t="e">
        <f aca="false">IF($C212="","",xEURO($L212,Put2,$G212,$G212,V212,$J212,0,0))</f>
        <v>#VALUE!</v>
      </c>
      <c r="AA212" s="90" t="e">
        <f aca="false">IF($C212="","",xEURO($L212,Call1,$G212,$G212,$S212,$J212,1,1))</f>
        <v>#VALUE!</v>
      </c>
      <c r="AB212" s="90" t="e">
        <f aca="false">IF($C212="","",xEURO($L212,Put1,$G212,$G212,$T212,$J212,0,1))</f>
        <v>#VALUE!</v>
      </c>
      <c r="AC212" s="90" t="e">
        <f aca="false">IF($C212="","",xEURO($L212,Call2,$G212,$G212,$U212,$J212,1,1))</f>
        <v>#VALUE!</v>
      </c>
      <c r="AD212" s="90" t="e">
        <f aca="false">IF($C212="","",xEURO($L212,Put2,$G212,$G212,$V212,$J212,0,1))</f>
        <v>#VALUE!</v>
      </c>
      <c r="AE212" s="90" t="e">
        <f aca="false">IF($C212="","",xEURO($L212,Call1,$G212,$G212,$S212,$J212,1,3))</f>
        <v>#VALUE!</v>
      </c>
      <c r="AF212" s="90" t="e">
        <f aca="false">IF($C212="","",xEURO($L212,Put1,$G212,$G212,$T212,$J212,0,3))</f>
        <v>#VALUE!</v>
      </c>
      <c r="AG212" s="90" t="e">
        <f aca="false">IF($C212="","",xEURO($L212,Call2,$G212,$G212,$U212,$J212,1,3))</f>
        <v>#VALUE!</v>
      </c>
      <c r="AH212" s="90" t="e">
        <f aca="false">IF($C212="","",xEURO($L212,Put2,$G212,$G212,$V212,$J212,0,3))</f>
        <v>#VALUE!</v>
      </c>
      <c r="AI212" s="8" t="e">
        <f aca="false">IF(E212=1,G212,0)</f>
        <v>#VALUE!</v>
      </c>
      <c r="AJ212" s="8" t="e">
        <f aca="false">IF(E212=1,H212,0)</f>
        <v>#VALUE!</v>
      </c>
      <c r="AK212" s="8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  <c r="IW212" s="0"/>
    </row>
    <row r="213" customFormat="false" ht="12.75" hidden="false" customHeight="false" outlineLevel="0" collapsed="false">
      <c r="A213" s="95" t="n">
        <f aca="false">Swap!A213</f>
        <v>43313</v>
      </c>
      <c r="B213" s="96" t="n">
        <f aca="false">B212+1</f>
        <v>204</v>
      </c>
      <c r="C213" s="95" t="e">
        <f aca="false">IF(AND(A213&gt;=Front!$E$11,A213&lt;=Front!$E$12),A213,"")</f>
        <v>#VALUE!</v>
      </c>
      <c r="D213" s="87" t="e">
        <f aca="false">Swap!AB213</f>
        <v>#VALUE!</v>
      </c>
      <c r="E213" s="87" t="e">
        <f aca="false">IF($C213="","",1)</f>
        <v>#VALUE!</v>
      </c>
      <c r="F213" s="97" t="e">
        <f aca="false">IF($C213="","",E213*H213)</f>
        <v>#VALUE!</v>
      </c>
      <c r="G213" s="31" t="n">
        <f aca="false">Swap!AG213</f>
        <v>0.0612639989644088</v>
      </c>
      <c r="H213" s="31" t="n">
        <f aca="false">Swap!AH213</f>
        <v>1.53987950279737</v>
      </c>
      <c r="I213" s="92" t="n">
        <f aca="false">INDEX(expery,MATCH(A213,exprymonth,0),2)</f>
        <v>43307</v>
      </c>
      <c r="J213" s="98" t="n">
        <f aca="false">I213-Front!$C$2</f>
        <v>-2619</v>
      </c>
      <c r="K213" s="99" t="n">
        <f aca="false">Swap!E213</f>
        <v>4.6105</v>
      </c>
      <c r="L213" s="99" t="e">
        <f aca="false">IF(C213="","",(PriceSwitch=0)*K213+(PriceSwitch=1)*(Front!$H$21+K213)+(PriceSwitch=2)*Front!$H$21)</f>
        <v>#VALUE!</v>
      </c>
      <c r="M213" s="93" t="n">
        <f aca="false">INDEX(vols,MATCH(A213,volsmonth,0),2)</f>
        <v>0.17</v>
      </c>
      <c r="N213" s="3" t="e">
        <f aca="false">IF(Skew_Switch=0,"",IF($C213="","",(Front!$E$20=0)*M213+(Front!$E$20=1)*(Front!$E$21+M213)+(Front!$E$20=2)*Front!$E$21))</f>
        <v>#VALUE!</v>
      </c>
      <c r="O213" s="94" t="e">
        <f aca="false">IF(Skew_Switch=0,"",IF(C213="","",((calcskew(Call1-$L213,$C213,a,b))/100)))</f>
        <v>#VALUE!</v>
      </c>
      <c r="P213" s="94" t="e">
        <f aca="false">IF(Skew_Switch=0,"",IF(C213="","",((calcskew(Put1-$L213,$C213,a,b))/100)))</f>
        <v>#VALUE!</v>
      </c>
      <c r="Q213" s="94" t="e">
        <f aca="false">IF(Skew_Switch=0,"",IF(C213="","",((calcskew(Call2-$L213,$C213,a,b))/100)))</f>
        <v>#VALUE!</v>
      </c>
      <c r="R213" s="94" t="e">
        <f aca="false">IF(Skew_Switch=0,"",IF(C213="","",((calcskew(Put2-$L213,$C213,a,b))/100)))</f>
        <v>#VALUE!</v>
      </c>
      <c r="S213" s="3" t="e">
        <f aca="false">IF($C213="","",(Front!$C$19=0)*$N213+(Front!$C$19=1)*($N213+O213))</f>
        <v>#VALUE!</v>
      </c>
      <c r="T213" s="3" t="e">
        <f aca="false">IF($C213="","",(Front!$C$19=0)*$N213+(Front!$C$19=1)*($N213+P213))</f>
        <v>#VALUE!</v>
      </c>
      <c r="U213" s="3" t="e">
        <f aca="false">IF($C213="","",(Front!$C$19=0)*$N213+(Front!$C$19=1)*($N213+Q213))</f>
        <v>#VALUE!</v>
      </c>
      <c r="V213" s="3" t="e">
        <f aca="false">IF($C213="","",(Front!$C$19=0)*$N213+(Front!$C$19=1)*($N213+R213))</f>
        <v>#VALUE!</v>
      </c>
      <c r="W213" s="90" t="e">
        <f aca="false">IF($C213="","",xEURO($L213,Call1,$G213,$G213,S213,$J213,1,0))</f>
        <v>#VALUE!</v>
      </c>
      <c r="X213" s="90" t="e">
        <f aca="false">IF($C213="","",xEURO($L213,Put1,$G213,$G213,T213,$J213,0,0))</f>
        <v>#VALUE!</v>
      </c>
      <c r="Y213" s="90" t="e">
        <f aca="false">IF($C213="","",xEURO($L213,Call2,$G213,$G213,U213,$J213,1,0))</f>
        <v>#VALUE!</v>
      </c>
      <c r="Z213" s="90" t="e">
        <f aca="false">IF($C213="","",xEURO($L213,Put2,$G213,$G213,V213,$J213,0,0))</f>
        <v>#VALUE!</v>
      </c>
      <c r="AA213" s="90" t="e">
        <f aca="false">IF($C213="","",xEURO($L213,Call1,$G213,$G213,$S213,$J213,1,1))</f>
        <v>#VALUE!</v>
      </c>
      <c r="AB213" s="90" t="e">
        <f aca="false">IF($C213="","",xEURO($L213,Put1,$G213,$G213,$T213,$J213,0,1))</f>
        <v>#VALUE!</v>
      </c>
      <c r="AC213" s="90" t="e">
        <f aca="false">IF($C213="","",xEURO($L213,Call2,$G213,$G213,$U213,$J213,1,1))</f>
        <v>#VALUE!</v>
      </c>
      <c r="AD213" s="90" t="e">
        <f aca="false">IF($C213="","",xEURO($L213,Put2,$G213,$G213,$V213,$J213,0,1))</f>
        <v>#VALUE!</v>
      </c>
      <c r="AE213" s="90" t="e">
        <f aca="false">IF($C213="","",xEURO($L213,Call1,$G213,$G213,$S213,$J213,1,3))</f>
        <v>#VALUE!</v>
      </c>
      <c r="AF213" s="90" t="e">
        <f aca="false">IF($C213="","",xEURO($L213,Put1,$G213,$G213,$T213,$J213,0,3))</f>
        <v>#VALUE!</v>
      </c>
      <c r="AG213" s="90" t="e">
        <f aca="false">IF($C213="","",xEURO($L213,Call2,$G213,$G213,$U213,$J213,1,3))</f>
        <v>#VALUE!</v>
      </c>
      <c r="AH213" s="90" t="e">
        <f aca="false">IF($C213="","",xEURO($L213,Put2,$G213,$G213,$V213,$J213,0,3))</f>
        <v>#VALUE!</v>
      </c>
      <c r="AI213" s="8" t="e">
        <f aca="false">IF(E213=1,G213,0)</f>
        <v>#VALUE!</v>
      </c>
      <c r="AJ213" s="8" t="e">
        <f aca="false">IF(E213=1,H213,0)</f>
        <v>#VALUE!</v>
      </c>
      <c r="AK213" s="8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  <c r="IW213" s="0"/>
    </row>
    <row r="214" customFormat="false" ht="12.75" hidden="false" customHeight="false" outlineLevel="0" collapsed="false">
      <c r="A214" s="95" t="n">
        <f aca="false">Swap!A214</f>
        <v>43344</v>
      </c>
      <c r="B214" s="96" t="n">
        <f aca="false">B213+1</f>
        <v>205</v>
      </c>
      <c r="C214" s="95" t="e">
        <f aca="false">IF(AND(A214&gt;=Front!$E$11,A214&lt;=Front!$E$12),A214,"")</f>
        <v>#VALUE!</v>
      </c>
      <c r="D214" s="87" t="e">
        <f aca="false">Swap!AB214</f>
        <v>#VALUE!</v>
      </c>
      <c r="E214" s="87" t="e">
        <f aca="false">IF($C214="","",1)</f>
        <v>#VALUE!</v>
      </c>
      <c r="F214" s="97" t="e">
        <f aca="false">IF($C214="","",E214*H214)</f>
        <v>#VALUE!</v>
      </c>
      <c r="G214" s="31" t="n">
        <f aca="false">Swap!AG214</f>
        <v>0.061331204436645</v>
      </c>
      <c r="H214" s="31" t="n">
        <f aca="false">Swap!AH214</f>
        <v>1.53271931991386</v>
      </c>
      <c r="I214" s="92" t="n">
        <f aca="false">INDEX(expery,MATCH(A214,exprymonth,0),2)</f>
        <v>43340</v>
      </c>
      <c r="J214" s="98" t="n">
        <f aca="false">I214-Front!$C$2</f>
        <v>-2586</v>
      </c>
      <c r="K214" s="99" t="n">
        <f aca="false">Swap!E214</f>
        <v>4.6235</v>
      </c>
      <c r="L214" s="99" t="e">
        <f aca="false">IF(C214="","",(PriceSwitch=0)*K214+(PriceSwitch=1)*(Front!$H$21+K214)+(PriceSwitch=2)*Front!$H$21)</f>
        <v>#VALUE!</v>
      </c>
      <c r="M214" s="93" t="n">
        <f aca="false">INDEX(vols,MATCH(A214,volsmonth,0),2)</f>
        <v>0.17</v>
      </c>
      <c r="N214" s="3" t="e">
        <f aca="false">IF(Skew_Switch=0,"",IF($C214="","",(Front!$E$20=0)*M214+(Front!$E$20=1)*(Front!$E$21+M214)+(Front!$E$20=2)*Front!$E$21))</f>
        <v>#VALUE!</v>
      </c>
      <c r="O214" s="94" t="e">
        <f aca="false">IF(Skew_Switch=0,"",IF(C214="","",((calcskew(Call1-$L214,$C214,a,b))/100)))</f>
        <v>#VALUE!</v>
      </c>
      <c r="P214" s="94" t="e">
        <f aca="false">IF(Skew_Switch=0,"",IF(C214="","",((calcskew(Put1-$L214,$C214,a,b))/100)))</f>
        <v>#VALUE!</v>
      </c>
      <c r="Q214" s="94" t="e">
        <f aca="false">IF(Skew_Switch=0,"",IF(C214="","",((calcskew(Call2-$L214,$C214,a,b))/100)))</f>
        <v>#VALUE!</v>
      </c>
      <c r="R214" s="94" t="e">
        <f aca="false">IF(Skew_Switch=0,"",IF(C214="","",((calcskew(Put2-$L214,$C214,a,b))/100)))</f>
        <v>#VALUE!</v>
      </c>
      <c r="S214" s="3" t="e">
        <f aca="false">IF($C214="","",(Front!$C$19=0)*$N214+(Front!$C$19=1)*($N214+O214))</f>
        <v>#VALUE!</v>
      </c>
      <c r="T214" s="3" t="e">
        <f aca="false">IF($C214="","",(Front!$C$19=0)*$N214+(Front!$C$19=1)*($N214+P214))</f>
        <v>#VALUE!</v>
      </c>
      <c r="U214" s="3" t="e">
        <f aca="false">IF($C214="","",(Front!$C$19=0)*$N214+(Front!$C$19=1)*($N214+Q214))</f>
        <v>#VALUE!</v>
      </c>
      <c r="V214" s="3" t="e">
        <f aca="false">IF($C214="","",(Front!$C$19=0)*$N214+(Front!$C$19=1)*($N214+R214))</f>
        <v>#VALUE!</v>
      </c>
      <c r="W214" s="90" t="e">
        <f aca="false">IF($C214="","",xEURO($L214,Call1,$G214,$G214,S214,$J214,1,0))</f>
        <v>#VALUE!</v>
      </c>
      <c r="X214" s="90" t="e">
        <f aca="false">IF($C214="","",xEURO($L214,Put1,$G214,$G214,T214,$J214,0,0))</f>
        <v>#VALUE!</v>
      </c>
      <c r="Y214" s="90" t="e">
        <f aca="false">IF($C214="","",xEURO($L214,Call2,$G214,$G214,U214,$J214,1,0))</f>
        <v>#VALUE!</v>
      </c>
      <c r="Z214" s="90" t="e">
        <f aca="false">IF($C214="","",xEURO($L214,Put2,$G214,$G214,V214,$J214,0,0))</f>
        <v>#VALUE!</v>
      </c>
      <c r="AA214" s="90" t="e">
        <f aca="false">IF($C214="","",xEURO($L214,Call1,$G214,$G214,$S214,$J214,1,1))</f>
        <v>#VALUE!</v>
      </c>
      <c r="AB214" s="90" t="e">
        <f aca="false">IF($C214="","",xEURO($L214,Put1,$G214,$G214,$T214,$J214,0,1))</f>
        <v>#VALUE!</v>
      </c>
      <c r="AC214" s="90" t="e">
        <f aca="false">IF($C214="","",xEURO($L214,Call2,$G214,$G214,$U214,$J214,1,1))</f>
        <v>#VALUE!</v>
      </c>
      <c r="AD214" s="90" t="e">
        <f aca="false">IF($C214="","",xEURO($L214,Put2,$G214,$G214,$V214,$J214,0,1))</f>
        <v>#VALUE!</v>
      </c>
      <c r="AE214" s="90" t="e">
        <f aca="false">IF($C214="","",xEURO($L214,Call1,$G214,$G214,$S214,$J214,1,3))</f>
        <v>#VALUE!</v>
      </c>
      <c r="AF214" s="90" t="e">
        <f aca="false">IF($C214="","",xEURO($L214,Put1,$G214,$G214,$T214,$J214,0,3))</f>
        <v>#VALUE!</v>
      </c>
      <c r="AG214" s="90" t="e">
        <f aca="false">IF($C214="","",xEURO($L214,Call2,$G214,$G214,$U214,$J214,1,3))</f>
        <v>#VALUE!</v>
      </c>
      <c r="AH214" s="90" t="e">
        <f aca="false">IF($C214="","",xEURO($L214,Put2,$G214,$G214,$V214,$J214,0,3))</f>
        <v>#VALUE!</v>
      </c>
      <c r="AI214" s="8" t="e">
        <f aca="false">IF(E214=1,G214,0)</f>
        <v>#VALUE!</v>
      </c>
      <c r="AJ214" s="8" t="e">
        <f aca="false">IF(E214=1,H214,0)</f>
        <v>#VALUE!</v>
      </c>
      <c r="AK214" s="8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  <c r="IW214" s="0"/>
    </row>
    <row r="215" customFormat="false" ht="12.75" hidden="false" customHeight="false" outlineLevel="0" collapsed="false">
      <c r="A215" s="95" t="n">
        <f aca="false">Swap!A215</f>
        <v>43374</v>
      </c>
      <c r="B215" s="96" t="n">
        <f aca="false">B214+1</f>
        <v>206</v>
      </c>
      <c r="C215" s="95" t="e">
        <f aca="false">IF(AND(A215&gt;=Front!$E$11,A215&lt;=Front!$E$12),A215,"")</f>
        <v>#VALUE!</v>
      </c>
      <c r="D215" s="87" t="e">
        <f aca="false">Swap!AB215</f>
        <v>#VALUE!</v>
      </c>
      <c r="E215" s="87" t="e">
        <f aca="false">IF($C215="","",1)</f>
        <v>#VALUE!</v>
      </c>
      <c r="F215" s="97" t="e">
        <f aca="false">IF($C215="","",E215*H215)</f>
        <v>#VALUE!</v>
      </c>
      <c r="G215" s="31" t="n">
        <f aca="false">Swap!AG215</f>
        <v>0.0613962419918499</v>
      </c>
      <c r="H215" s="31" t="n">
        <f aca="false">Swap!AH215</f>
        <v>1.52580571037158</v>
      </c>
      <c r="I215" s="92" t="n">
        <f aca="false">INDEX(expery,MATCH(A215,exprymonth,0),2)</f>
        <v>43368</v>
      </c>
      <c r="J215" s="98" t="n">
        <f aca="false">I215-Front!$C$2</f>
        <v>-2558</v>
      </c>
      <c r="K215" s="99" t="n">
        <f aca="false">Swap!E215</f>
        <v>4.6155</v>
      </c>
      <c r="L215" s="99" t="e">
        <f aca="false">IF(C215="","",(PriceSwitch=0)*K215+(PriceSwitch=1)*(Front!$H$21+K215)+(PriceSwitch=2)*Front!$H$21)</f>
        <v>#VALUE!</v>
      </c>
      <c r="M215" s="93" t="n">
        <f aca="false">INDEX(vols,MATCH(A215,volsmonth,0),2)</f>
        <v>0.17</v>
      </c>
      <c r="N215" s="3" t="e">
        <f aca="false">IF(Skew_Switch=0,"",IF($C215="","",(Front!$E$20=0)*M215+(Front!$E$20=1)*(Front!$E$21+M215)+(Front!$E$20=2)*Front!$E$21))</f>
        <v>#VALUE!</v>
      </c>
      <c r="O215" s="94" t="e">
        <f aca="false">IF(Skew_Switch=0,"",IF(C215="","",((calcskew(Call1-$L215,$C215,a,b))/100)))</f>
        <v>#VALUE!</v>
      </c>
      <c r="P215" s="94" t="e">
        <f aca="false">IF(Skew_Switch=0,"",IF(C215="","",((calcskew(Put1-$L215,$C215,a,b))/100)))</f>
        <v>#VALUE!</v>
      </c>
      <c r="Q215" s="94" t="e">
        <f aca="false">IF(Skew_Switch=0,"",IF(C215="","",((calcskew(Call2-$L215,$C215,a,b))/100)))</f>
        <v>#VALUE!</v>
      </c>
      <c r="R215" s="94" t="e">
        <f aca="false">IF(Skew_Switch=0,"",IF(C215="","",((calcskew(Put2-$L215,$C215,a,b))/100)))</f>
        <v>#VALUE!</v>
      </c>
      <c r="S215" s="3" t="e">
        <f aca="false">IF($C215="","",(Front!$C$19=0)*$N215+(Front!$C$19=1)*($N215+O215))</f>
        <v>#VALUE!</v>
      </c>
      <c r="T215" s="3" t="e">
        <f aca="false">IF($C215="","",(Front!$C$19=0)*$N215+(Front!$C$19=1)*($N215+P215))</f>
        <v>#VALUE!</v>
      </c>
      <c r="U215" s="3" t="e">
        <f aca="false">IF($C215="","",(Front!$C$19=0)*$N215+(Front!$C$19=1)*($N215+Q215))</f>
        <v>#VALUE!</v>
      </c>
      <c r="V215" s="3" t="e">
        <f aca="false">IF($C215="","",(Front!$C$19=0)*$N215+(Front!$C$19=1)*($N215+R215))</f>
        <v>#VALUE!</v>
      </c>
      <c r="W215" s="90" t="e">
        <f aca="false">IF($C215="","",xEURO($L215,Call1,$G215,$G215,S215,$J215,1,0))</f>
        <v>#VALUE!</v>
      </c>
      <c r="X215" s="90" t="e">
        <f aca="false">IF($C215="","",xEURO($L215,Put1,$G215,$G215,T215,$J215,0,0))</f>
        <v>#VALUE!</v>
      </c>
      <c r="Y215" s="90" t="e">
        <f aca="false">IF($C215="","",xEURO($L215,Call2,$G215,$G215,U215,$J215,1,0))</f>
        <v>#VALUE!</v>
      </c>
      <c r="Z215" s="90" t="e">
        <f aca="false">IF($C215="","",xEURO($L215,Put2,$G215,$G215,V215,$J215,0,0))</f>
        <v>#VALUE!</v>
      </c>
      <c r="AA215" s="90" t="e">
        <f aca="false">IF($C215="","",xEURO($L215,Call1,$G215,$G215,$S215,$J215,1,1))</f>
        <v>#VALUE!</v>
      </c>
      <c r="AB215" s="90" t="e">
        <f aca="false">IF($C215="","",xEURO($L215,Put1,$G215,$G215,$T215,$J215,0,1))</f>
        <v>#VALUE!</v>
      </c>
      <c r="AC215" s="90" t="e">
        <f aca="false">IF($C215="","",xEURO($L215,Call2,$G215,$G215,$U215,$J215,1,1))</f>
        <v>#VALUE!</v>
      </c>
      <c r="AD215" s="90" t="e">
        <f aca="false">IF($C215="","",xEURO($L215,Put2,$G215,$G215,$V215,$J215,0,1))</f>
        <v>#VALUE!</v>
      </c>
      <c r="AE215" s="90" t="e">
        <f aca="false">IF($C215="","",xEURO($L215,Call1,$G215,$G215,$S215,$J215,1,3))</f>
        <v>#VALUE!</v>
      </c>
      <c r="AF215" s="90" t="e">
        <f aca="false">IF($C215="","",xEURO($L215,Put1,$G215,$G215,$T215,$J215,0,3))</f>
        <v>#VALUE!</v>
      </c>
      <c r="AG215" s="90" t="e">
        <f aca="false">IF($C215="","",xEURO($L215,Call2,$G215,$G215,$U215,$J215,1,3))</f>
        <v>#VALUE!</v>
      </c>
      <c r="AH215" s="90" t="e">
        <f aca="false">IF($C215="","",xEURO($L215,Put2,$G215,$G215,$V215,$J215,0,3))</f>
        <v>#VALUE!</v>
      </c>
      <c r="AI215" s="8" t="e">
        <f aca="false">IF(E215=1,G215,0)</f>
        <v>#VALUE!</v>
      </c>
      <c r="AJ215" s="8" t="e">
        <f aca="false">IF(E215=1,H215,0)</f>
        <v>#VALUE!</v>
      </c>
      <c r="AK215" s="8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  <c r="IW215" s="0"/>
    </row>
    <row r="216" customFormat="false" ht="12.75" hidden="false" customHeight="false" outlineLevel="0" collapsed="false">
      <c r="A216" s="95" t="n">
        <f aca="false">Swap!A216</f>
        <v>43405</v>
      </c>
      <c r="B216" s="96" t="n">
        <f aca="false">B215+1</f>
        <v>207</v>
      </c>
      <c r="C216" s="95" t="e">
        <f aca="false">IF(AND(A216&gt;=Front!$E$11,A216&lt;=Front!$E$12),A216,"")</f>
        <v>#VALUE!</v>
      </c>
      <c r="D216" s="87" t="e">
        <f aca="false">Swap!AB216</f>
        <v>#VALUE!</v>
      </c>
      <c r="E216" s="87" t="e">
        <f aca="false">IF($C216="","",1)</f>
        <v>#VALUE!</v>
      </c>
      <c r="F216" s="97" t="e">
        <f aca="false">IF($C216="","",E216*H216)</f>
        <v>#VALUE!</v>
      </c>
      <c r="G216" s="31" t="n">
        <f aca="false">Swap!AG216</f>
        <v>0.0614634474670375</v>
      </c>
      <c r="H216" s="31" t="n">
        <f aca="false">Swap!AH216</f>
        <v>1.51867784712267</v>
      </c>
      <c r="I216" s="92" t="n">
        <f aca="false">INDEX(expery,MATCH(A216,exprymonth,0),2)</f>
        <v>43399</v>
      </c>
      <c r="J216" s="98" t="n">
        <f aca="false">I216-Front!$C$2</f>
        <v>-2527</v>
      </c>
      <c r="K216" s="99" t="n">
        <f aca="false">Swap!E216</f>
        <v>4.7855</v>
      </c>
      <c r="L216" s="99" t="e">
        <f aca="false">IF(C216="","",(PriceSwitch=0)*K216+(PriceSwitch=1)*(Front!$H$21+K216)+(PriceSwitch=2)*Front!$H$21)</f>
        <v>#VALUE!</v>
      </c>
      <c r="M216" s="93" t="n">
        <f aca="false">INDEX(vols,MATCH(A216,volsmonth,0),2)</f>
        <v>0.17</v>
      </c>
      <c r="N216" s="3" t="e">
        <f aca="false">IF(Skew_Switch=0,"",IF($C216="","",(Front!$E$20=0)*M216+(Front!$E$20=1)*(Front!$E$21+M216)+(Front!$E$20=2)*Front!$E$21))</f>
        <v>#VALUE!</v>
      </c>
      <c r="O216" s="94" t="e">
        <f aca="false">IF(Skew_Switch=0,"",IF(C216="","",((calcskew(Call1-$L216,$C216,a,b))/100)))</f>
        <v>#VALUE!</v>
      </c>
      <c r="P216" s="94" t="e">
        <f aca="false">IF(Skew_Switch=0,"",IF(C216="","",((calcskew(Put1-$L216,$C216,a,b))/100)))</f>
        <v>#VALUE!</v>
      </c>
      <c r="Q216" s="94" t="e">
        <f aca="false">IF(Skew_Switch=0,"",IF(C216="","",((calcskew(Call2-$L216,$C216,a,b))/100)))</f>
        <v>#VALUE!</v>
      </c>
      <c r="R216" s="94" t="e">
        <f aca="false">IF(Skew_Switch=0,"",IF(C216="","",((calcskew(Put2-$L216,$C216,a,b))/100)))</f>
        <v>#VALUE!</v>
      </c>
      <c r="S216" s="3" t="e">
        <f aca="false">IF($C216="","",(Front!$C$19=0)*$N216+(Front!$C$19=1)*($N216+O216))</f>
        <v>#VALUE!</v>
      </c>
      <c r="T216" s="3" t="e">
        <f aca="false">IF($C216="","",(Front!$C$19=0)*$N216+(Front!$C$19=1)*($N216+P216))</f>
        <v>#VALUE!</v>
      </c>
      <c r="U216" s="3" t="e">
        <f aca="false">IF($C216="","",(Front!$C$19=0)*$N216+(Front!$C$19=1)*($N216+Q216))</f>
        <v>#VALUE!</v>
      </c>
      <c r="V216" s="3" t="e">
        <f aca="false">IF($C216="","",(Front!$C$19=0)*$N216+(Front!$C$19=1)*($N216+R216))</f>
        <v>#VALUE!</v>
      </c>
      <c r="W216" s="90" t="e">
        <f aca="false">IF($C216="","",xEURO($L216,Call1,$G216,$G216,S216,$J216,1,0))</f>
        <v>#VALUE!</v>
      </c>
      <c r="X216" s="90" t="e">
        <f aca="false">IF($C216="","",xEURO($L216,Put1,$G216,$G216,T216,$J216,0,0))</f>
        <v>#VALUE!</v>
      </c>
      <c r="Y216" s="90" t="e">
        <f aca="false">IF($C216="","",xEURO($L216,Call2,$G216,$G216,U216,$J216,1,0))</f>
        <v>#VALUE!</v>
      </c>
      <c r="Z216" s="90" t="e">
        <f aca="false">IF($C216="","",xEURO($L216,Put2,$G216,$G216,V216,$J216,0,0))</f>
        <v>#VALUE!</v>
      </c>
      <c r="AA216" s="90" t="e">
        <f aca="false">IF($C216="","",xEURO($L216,Call1,$G216,$G216,$S216,$J216,1,1))</f>
        <v>#VALUE!</v>
      </c>
      <c r="AB216" s="90" t="e">
        <f aca="false">IF($C216="","",xEURO($L216,Put1,$G216,$G216,$T216,$J216,0,1))</f>
        <v>#VALUE!</v>
      </c>
      <c r="AC216" s="90" t="e">
        <f aca="false">IF($C216="","",xEURO($L216,Call2,$G216,$G216,$U216,$J216,1,1))</f>
        <v>#VALUE!</v>
      </c>
      <c r="AD216" s="90" t="e">
        <f aca="false">IF($C216="","",xEURO($L216,Put2,$G216,$G216,$V216,$J216,0,1))</f>
        <v>#VALUE!</v>
      </c>
      <c r="AE216" s="90" t="e">
        <f aca="false">IF($C216="","",xEURO($L216,Call1,$G216,$G216,$S216,$J216,1,3))</f>
        <v>#VALUE!</v>
      </c>
      <c r="AF216" s="90" t="e">
        <f aca="false">IF($C216="","",xEURO($L216,Put1,$G216,$G216,$T216,$J216,0,3))</f>
        <v>#VALUE!</v>
      </c>
      <c r="AG216" s="90" t="e">
        <f aca="false">IF($C216="","",xEURO($L216,Call2,$G216,$G216,$U216,$J216,1,3))</f>
        <v>#VALUE!</v>
      </c>
      <c r="AH216" s="90" t="e">
        <f aca="false">IF($C216="","",xEURO($L216,Put2,$G216,$G216,$V216,$J216,0,3))</f>
        <v>#VALUE!</v>
      </c>
      <c r="AI216" s="8" t="e">
        <f aca="false">IF(E216=1,G216,0)</f>
        <v>#VALUE!</v>
      </c>
      <c r="AJ216" s="8" t="e">
        <f aca="false">IF(E216=1,H216,0)</f>
        <v>#VALUE!</v>
      </c>
      <c r="AK216" s="8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  <c r="IW216" s="0"/>
    </row>
    <row r="217" customFormat="false" ht="12.75" hidden="false" customHeight="false" outlineLevel="0" collapsed="false">
      <c r="A217" s="95" t="n">
        <f aca="false">Swap!A217</f>
        <v>43435</v>
      </c>
      <c r="B217" s="96" t="n">
        <f aca="false">B216+1</f>
        <v>208</v>
      </c>
      <c r="C217" s="95" t="e">
        <f aca="false">IF(AND(A217&gt;=Front!$E$11,A217&lt;=Front!$E$12),A217,"")</f>
        <v>#VALUE!</v>
      </c>
      <c r="D217" s="87" t="e">
        <f aca="false">Swap!AB217</f>
        <v>#VALUE!</v>
      </c>
      <c r="E217" s="87" t="e">
        <f aca="false">IF($C217="","",1)</f>
        <v>#VALUE!</v>
      </c>
      <c r="F217" s="97" t="e">
        <f aca="false">IF($C217="","",E217*H217)</f>
        <v>#VALUE!</v>
      </c>
      <c r="G217" s="31" t="n">
        <f aca="false">Swap!AG217</f>
        <v>0.0615284850250979</v>
      </c>
      <c r="H217" s="31" t="n">
        <f aca="false">Swap!AH217</f>
        <v>1.51179566827011</v>
      </c>
      <c r="I217" s="92" t="n">
        <f aca="false">INDEX(expery,MATCH(A217,exprymonth,0),2)</f>
        <v>43431</v>
      </c>
      <c r="J217" s="98" t="n">
        <f aca="false">I217-Front!$C$2</f>
        <v>-2495</v>
      </c>
      <c r="K217" s="99" t="n">
        <f aca="false">Swap!E217</f>
        <v>4.9605</v>
      </c>
      <c r="L217" s="99" t="e">
        <f aca="false">IF(C217="","",(PriceSwitch=0)*K217+(PriceSwitch=1)*(Front!$H$21+K217)+(PriceSwitch=2)*Front!$H$21)</f>
        <v>#VALUE!</v>
      </c>
      <c r="M217" s="93" t="n">
        <f aca="false">INDEX(vols,MATCH(A217,volsmonth,0),2)</f>
        <v>0.17</v>
      </c>
      <c r="N217" s="3" t="e">
        <f aca="false">IF(Skew_Switch=0,"",IF($C217="","",(Front!$E$20=0)*M217+(Front!$E$20=1)*(Front!$E$21+M217)+(Front!$E$20=2)*Front!$E$21))</f>
        <v>#VALUE!</v>
      </c>
      <c r="O217" s="94" t="e">
        <f aca="false">IF(Skew_Switch=0,"",IF(C217="","",((calcskew(Call1-$L217,$C217,a,b))/100)))</f>
        <v>#VALUE!</v>
      </c>
      <c r="P217" s="94" t="e">
        <f aca="false">IF(Skew_Switch=0,"",IF(C217="","",((calcskew(Put1-$L217,$C217,a,b))/100)))</f>
        <v>#VALUE!</v>
      </c>
      <c r="Q217" s="94" t="e">
        <f aca="false">IF(Skew_Switch=0,"",IF(C217="","",((calcskew(Call2-$L217,$C217,a,b))/100)))</f>
        <v>#VALUE!</v>
      </c>
      <c r="R217" s="94" t="e">
        <f aca="false">IF(Skew_Switch=0,"",IF(C217="","",((calcskew(Put2-$L217,$C217,a,b))/100)))</f>
        <v>#VALUE!</v>
      </c>
      <c r="S217" s="3" t="e">
        <f aca="false">IF($C217="","",(Front!$C$19=0)*$N217+(Front!$C$19=1)*($N217+O217))</f>
        <v>#VALUE!</v>
      </c>
      <c r="T217" s="3" t="e">
        <f aca="false">IF($C217="","",(Front!$C$19=0)*$N217+(Front!$C$19=1)*($N217+P217))</f>
        <v>#VALUE!</v>
      </c>
      <c r="U217" s="3" t="e">
        <f aca="false">IF($C217="","",(Front!$C$19=0)*$N217+(Front!$C$19=1)*($N217+Q217))</f>
        <v>#VALUE!</v>
      </c>
      <c r="V217" s="3" t="e">
        <f aca="false">IF($C217="","",(Front!$C$19=0)*$N217+(Front!$C$19=1)*($N217+R217))</f>
        <v>#VALUE!</v>
      </c>
      <c r="W217" s="90" t="e">
        <f aca="false">IF($C217="","",xEURO($L217,Call1,$G217,$G217,S217,$J217,1,0))</f>
        <v>#VALUE!</v>
      </c>
      <c r="X217" s="90" t="e">
        <f aca="false">IF($C217="","",xEURO($L217,Put1,$G217,$G217,T217,$J217,0,0))</f>
        <v>#VALUE!</v>
      </c>
      <c r="Y217" s="90" t="e">
        <f aca="false">IF($C217="","",xEURO($L217,Call2,$G217,$G217,U217,$J217,1,0))</f>
        <v>#VALUE!</v>
      </c>
      <c r="Z217" s="90" t="e">
        <f aca="false">IF($C217="","",xEURO($L217,Put2,$G217,$G217,V217,$J217,0,0))</f>
        <v>#VALUE!</v>
      </c>
      <c r="AA217" s="90" t="e">
        <f aca="false">IF($C217="","",xEURO($L217,Call1,$G217,$G217,$S217,$J217,1,1))</f>
        <v>#VALUE!</v>
      </c>
      <c r="AB217" s="90" t="e">
        <f aca="false">IF($C217="","",xEURO($L217,Put1,$G217,$G217,$T217,$J217,0,1))</f>
        <v>#VALUE!</v>
      </c>
      <c r="AC217" s="90" t="e">
        <f aca="false">IF($C217="","",xEURO($L217,Call2,$G217,$G217,$U217,$J217,1,1))</f>
        <v>#VALUE!</v>
      </c>
      <c r="AD217" s="90" t="e">
        <f aca="false">IF($C217="","",xEURO($L217,Put2,$G217,$G217,$V217,$J217,0,1))</f>
        <v>#VALUE!</v>
      </c>
      <c r="AE217" s="90" t="e">
        <f aca="false">IF($C217="","",xEURO($L217,Call1,$G217,$G217,$S217,$J217,1,3))</f>
        <v>#VALUE!</v>
      </c>
      <c r="AF217" s="90" t="e">
        <f aca="false">IF($C217="","",xEURO($L217,Put1,$G217,$G217,$T217,$J217,0,3))</f>
        <v>#VALUE!</v>
      </c>
      <c r="AG217" s="90" t="e">
        <f aca="false">IF($C217="","",xEURO($L217,Call2,$G217,$G217,$U217,$J217,1,3))</f>
        <v>#VALUE!</v>
      </c>
      <c r="AH217" s="90" t="e">
        <f aca="false">IF($C217="","",xEURO($L217,Put2,$G217,$G217,$V217,$J217,0,3))</f>
        <v>#VALUE!</v>
      </c>
      <c r="AI217" s="8" t="e">
        <f aca="false">IF(E217=1,G217,0)</f>
        <v>#VALUE!</v>
      </c>
      <c r="AJ217" s="8" t="e">
        <f aca="false">IF(E217=1,H217,0)</f>
        <v>#VALUE!</v>
      </c>
      <c r="AK217" s="8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  <c r="IW217" s="0"/>
    </row>
    <row r="218" customFormat="false" ht="12.75" hidden="false" customHeight="false" outlineLevel="0" collapsed="false">
      <c r="A218" s="95" t="n">
        <f aca="false">Swap!A218</f>
        <v>43466</v>
      </c>
      <c r="B218" s="96" t="n">
        <f aca="false">B217+1</f>
        <v>209</v>
      </c>
      <c r="C218" s="95" t="e">
        <f aca="false">IF(AND(A218&gt;=Front!$E$11,A218&lt;=Front!$E$12),A218,"")</f>
        <v>#VALUE!</v>
      </c>
      <c r="D218" s="87" t="e">
        <f aca="false">Swap!AB218</f>
        <v>#VALUE!</v>
      </c>
      <c r="E218" s="87" t="e">
        <f aca="false">IF($C218="","",1)</f>
        <v>#VALUE!</v>
      </c>
      <c r="F218" s="97" t="e">
        <f aca="false">IF($C218="","",E218*H218)</f>
        <v>#VALUE!</v>
      </c>
      <c r="G218" s="31" t="n">
        <f aca="false">Swap!AG218</f>
        <v>0.061595690503236</v>
      </c>
      <c r="H218" s="31" t="n">
        <f aca="false">Swap!AH218</f>
        <v>1.50470044034092</v>
      </c>
      <c r="I218" s="92" t="n">
        <f aca="false">INDEX(expery,MATCH(A218,exprymonth,0),2)</f>
        <v>43460</v>
      </c>
      <c r="J218" s="98" t="n">
        <f aca="false">I218-Front!$C$2</f>
        <v>-2466</v>
      </c>
      <c r="K218" s="99" t="n">
        <f aca="false">Swap!E218</f>
        <v>5.018</v>
      </c>
      <c r="L218" s="99" t="e">
        <f aca="false">IF(C218="","",(PriceSwitch=0)*K218+(PriceSwitch=1)*(Front!$H$21+K218)+(PriceSwitch=2)*Front!$H$21)</f>
        <v>#VALUE!</v>
      </c>
      <c r="M218" s="93" t="n">
        <f aca="false">INDEX(vols,MATCH(A218,volsmonth,0),2)</f>
        <v>0.17</v>
      </c>
      <c r="N218" s="3" t="e">
        <f aca="false">IF(Skew_Switch=0,"",IF($C218="","",(Front!$E$20=0)*M218+(Front!$E$20=1)*(Front!$E$21+M218)+(Front!$E$20=2)*Front!$E$21))</f>
        <v>#VALUE!</v>
      </c>
      <c r="O218" s="94" t="e">
        <f aca="false">IF(Skew_Switch=0,"",IF(C218="","",((calcskew(Call1-$L218,$C218,a,b))/100)))</f>
        <v>#VALUE!</v>
      </c>
      <c r="P218" s="94" t="e">
        <f aca="false">IF(Skew_Switch=0,"",IF(C218="","",((calcskew(Put1-$L218,$C218,a,b))/100)))</f>
        <v>#VALUE!</v>
      </c>
      <c r="Q218" s="94" t="e">
        <f aca="false">IF(Skew_Switch=0,"",IF(C218="","",((calcskew(Call2-$L218,$C218,a,b))/100)))</f>
        <v>#VALUE!</v>
      </c>
      <c r="R218" s="94" t="e">
        <f aca="false">IF(Skew_Switch=0,"",IF(C218="","",((calcskew(Put2-$L218,$C218,a,b))/100)))</f>
        <v>#VALUE!</v>
      </c>
      <c r="S218" s="3" t="e">
        <f aca="false">IF($C218="","",(Front!$C$19=0)*$N218+(Front!$C$19=1)*($N218+O218))</f>
        <v>#VALUE!</v>
      </c>
      <c r="T218" s="3" t="e">
        <f aca="false">IF($C218="","",(Front!$C$19=0)*$N218+(Front!$C$19=1)*($N218+P218))</f>
        <v>#VALUE!</v>
      </c>
      <c r="U218" s="3" t="e">
        <f aca="false">IF($C218="","",(Front!$C$19=0)*$N218+(Front!$C$19=1)*($N218+Q218))</f>
        <v>#VALUE!</v>
      </c>
      <c r="V218" s="3" t="e">
        <f aca="false">IF($C218="","",(Front!$C$19=0)*$N218+(Front!$C$19=1)*($N218+R218))</f>
        <v>#VALUE!</v>
      </c>
      <c r="W218" s="90" t="e">
        <f aca="false">IF($C218="","",xEURO($L218,Call1,$G218,$G218,S218,$J218,1,0))</f>
        <v>#VALUE!</v>
      </c>
      <c r="X218" s="90" t="e">
        <f aca="false">IF($C218="","",xEURO($L218,Put1,$G218,$G218,T218,$J218,0,0))</f>
        <v>#VALUE!</v>
      </c>
      <c r="Y218" s="90" t="e">
        <f aca="false">IF($C218="","",xEURO($L218,Call2,$G218,$G218,U218,$J218,1,0))</f>
        <v>#VALUE!</v>
      </c>
      <c r="Z218" s="90" t="e">
        <f aca="false">IF($C218="","",xEURO($L218,Put2,$G218,$G218,V218,$J218,0,0))</f>
        <v>#VALUE!</v>
      </c>
      <c r="AA218" s="90" t="e">
        <f aca="false">IF($C218="","",xEURO($L218,Call1,$G218,$G218,$S218,$J218,1,1))</f>
        <v>#VALUE!</v>
      </c>
      <c r="AB218" s="90" t="e">
        <f aca="false">IF($C218="","",xEURO($L218,Put1,$G218,$G218,$T218,$J218,0,1))</f>
        <v>#VALUE!</v>
      </c>
      <c r="AC218" s="90" t="e">
        <f aca="false">IF($C218="","",xEURO($L218,Call2,$G218,$G218,$U218,$J218,1,1))</f>
        <v>#VALUE!</v>
      </c>
      <c r="AD218" s="90" t="e">
        <f aca="false">IF($C218="","",xEURO($L218,Put2,$G218,$G218,$V218,$J218,0,1))</f>
        <v>#VALUE!</v>
      </c>
      <c r="AE218" s="90" t="e">
        <f aca="false">IF($C218="","",xEURO($L218,Call1,$G218,$G218,$S218,$J218,1,3))</f>
        <v>#VALUE!</v>
      </c>
      <c r="AF218" s="90" t="e">
        <f aca="false">IF($C218="","",xEURO($L218,Put1,$G218,$G218,$T218,$J218,0,3))</f>
        <v>#VALUE!</v>
      </c>
      <c r="AG218" s="90" t="e">
        <f aca="false">IF($C218="","",xEURO($L218,Call2,$G218,$G218,$U218,$J218,1,3))</f>
        <v>#VALUE!</v>
      </c>
      <c r="AH218" s="90" t="e">
        <f aca="false">IF($C218="","",xEURO($L218,Put2,$G218,$G218,$V218,$J218,0,3))</f>
        <v>#VALUE!</v>
      </c>
      <c r="AI218" s="8" t="e">
        <f aca="false">IF(E218=1,G218,0)</f>
        <v>#VALUE!</v>
      </c>
      <c r="AJ218" s="8" t="e">
        <f aca="false">IF(E218=1,H218,0)</f>
        <v>#VALUE!</v>
      </c>
      <c r="AK218" s="8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  <c r="IW218" s="0"/>
    </row>
    <row r="219" customFormat="false" ht="12.75" hidden="false" customHeight="false" outlineLevel="0" collapsed="false">
      <c r="A219" s="95" t="n">
        <f aca="false">Swap!A219</f>
        <v>43497</v>
      </c>
      <c r="B219" s="96" t="n">
        <f aca="false">B218+1</f>
        <v>210</v>
      </c>
      <c r="C219" s="95" t="e">
        <f aca="false">IF(AND(A219&gt;=Front!$E$11,A219&lt;=Front!$E$12),A219,"")</f>
        <v>#VALUE!</v>
      </c>
      <c r="D219" s="87" t="e">
        <f aca="false">Swap!AB219</f>
        <v>#VALUE!</v>
      </c>
      <c r="E219" s="87" t="e">
        <f aca="false">IF($C219="","",1)</f>
        <v>#VALUE!</v>
      </c>
      <c r="F219" s="97" t="e">
        <f aca="false">IF($C219="","",E219*H219)</f>
        <v>#VALUE!</v>
      </c>
      <c r="G219" s="31" t="n">
        <f aca="false">Swap!AG219</f>
        <v>0.0616628959828738</v>
      </c>
      <c r="H219" s="31" t="n">
        <f aca="false">Swap!AH219</f>
        <v>1.49762191625583</v>
      </c>
      <c r="I219" s="92" t="n">
        <f aca="false">INDEX(expery,MATCH(A219,exprymonth,0),2)</f>
        <v>43493</v>
      </c>
      <c r="J219" s="98" t="n">
        <f aca="false">I219-Front!$C$2</f>
        <v>-2433</v>
      </c>
      <c r="K219" s="99" t="n">
        <f aca="false">Swap!E219</f>
        <v>4.904</v>
      </c>
      <c r="L219" s="99" t="e">
        <f aca="false">IF(C219="","",(PriceSwitch=0)*K219+(PriceSwitch=1)*(Front!$H$21+K219)+(PriceSwitch=2)*Front!$H$21)</f>
        <v>#VALUE!</v>
      </c>
      <c r="M219" s="93" t="n">
        <f aca="false">INDEX(vols,MATCH(A219,volsmonth,0),2)</f>
        <v>0.17</v>
      </c>
      <c r="N219" s="3" t="e">
        <f aca="false">IF(Skew_Switch=0,"",IF($C219="","",(Front!$E$20=0)*M219+(Front!$E$20=1)*(Front!$E$21+M219)+(Front!$E$20=2)*Front!$E$21))</f>
        <v>#VALUE!</v>
      </c>
      <c r="O219" s="94" t="e">
        <f aca="false">IF(Skew_Switch=0,"",IF(C219="","",((calcskew(Call1-$L219,$C219,a,b))/100)))</f>
        <v>#VALUE!</v>
      </c>
      <c r="P219" s="94" t="e">
        <f aca="false">IF(Skew_Switch=0,"",IF(C219="","",((calcskew(Put1-$L219,$C219,a,b))/100)))</f>
        <v>#VALUE!</v>
      </c>
      <c r="Q219" s="94" t="e">
        <f aca="false">IF(Skew_Switch=0,"",IF(C219="","",((calcskew(Call2-$L219,$C219,a,b))/100)))</f>
        <v>#VALUE!</v>
      </c>
      <c r="R219" s="94" t="e">
        <f aca="false">IF(Skew_Switch=0,"",IF(C219="","",((calcskew(Put2-$L219,$C219,a,b))/100)))</f>
        <v>#VALUE!</v>
      </c>
      <c r="S219" s="3" t="e">
        <f aca="false">IF($C219="","",(Front!$C$19=0)*$N219+(Front!$C$19=1)*($N219+O219))</f>
        <v>#VALUE!</v>
      </c>
      <c r="T219" s="3" t="e">
        <f aca="false">IF($C219="","",(Front!$C$19=0)*$N219+(Front!$C$19=1)*($N219+P219))</f>
        <v>#VALUE!</v>
      </c>
      <c r="U219" s="3" t="e">
        <f aca="false">IF($C219="","",(Front!$C$19=0)*$N219+(Front!$C$19=1)*($N219+Q219))</f>
        <v>#VALUE!</v>
      </c>
      <c r="V219" s="3" t="e">
        <f aca="false">IF($C219="","",(Front!$C$19=0)*$N219+(Front!$C$19=1)*($N219+R219))</f>
        <v>#VALUE!</v>
      </c>
      <c r="W219" s="90" t="e">
        <f aca="false">IF($C219="","",xEURO($L219,Call1,$G219,$G219,S219,$J219,1,0))</f>
        <v>#VALUE!</v>
      </c>
      <c r="X219" s="90" t="e">
        <f aca="false">IF($C219="","",xEURO($L219,Put1,$G219,$G219,T219,$J219,0,0))</f>
        <v>#VALUE!</v>
      </c>
      <c r="Y219" s="90" t="e">
        <f aca="false">IF($C219="","",xEURO($L219,Call2,$G219,$G219,U219,$J219,1,0))</f>
        <v>#VALUE!</v>
      </c>
      <c r="Z219" s="90" t="e">
        <f aca="false">IF($C219="","",xEURO($L219,Put2,$G219,$G219,V219,$J219,0,0))</f>
        <v>#VALUE!</v>
      </c>
      <c r="AA219" s="90" t="e">
        <f aca="false">IF($C219="","",xEURO($L219,Call1,$G219,$G219,$S219,$J219,1,1))</f>
        <v>#VALUE!</v>
      </c>
      <c r="AB219" s="90" t="e">
        <f aca="false">IF($C219="","",xEURO($L219,Put1,$G219,$G219,$T219,$J219,0,1))</f>
        <v>#VALUE!</v>
      </c>
      <c r="AC219" s="90" t="e">
        <f aca="false">IF($C219="","",xEURO($L219,Call2,$G219,$G219,$U219,$J219,1,1))</f>
        <v>#VALUE!</v>
      </c>
      <c r="AD219" s="90" t="e">
        <f aca="false">IF($C219="","",xEURO($L219,Put2,$G219,$G219,$V219,$J219,0,1))</f>
        <v>#VALUE!</v>
      </c>
      <c r="AE219" s="90" t="e">
        <f aca="false">IF($C219="","",xEURO($L219,Call1,$G219,$G219,$S219,$J219,1,3))</f>
        <v>#VALUE!</v>
      </c>
      <c r="AF219" s="90" t="e">
        <f aca="false">IF($C219="","",xEURO($L219,Put1,$G219,$G219,$T219,$J219,0,3))</f>
        <v>#VALUE!</v>
      </c>
      <c r="AG219" s="90" t="e">
        <f aca="false">IF($C219="","",xEURO($L219,Call2,$G219,$G219,$U219,$J219,1,3))</f>
        <v>#VALUE!</v>
      </c>
      <c r="AH219" s="90" t="e">
        <f aca="false">IF($C219="","",xEURO($L219,Put2,$G219,$G219,$V219,$J219,0,3))</f>
        <v>#VALUE!</v>
      </c>
      <c r="AI219" s="8" t="e">
        <f aca="false">IF(E219=1,G219,0)</f>
        <v>#VALUE!</v>
      </c>
      <c r="AJ219" s="8" t="e">
        <f aca="false">IF(E219=1,H219,0)</f>
        <v>#VALUE!</v>
      </c>
      <c r="AK219" s="8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</row>
    <row r="220" customFormat="false" ht="12.75" hidden="false" customHeight="false" outlineLevel="0" collapsed="false">
      <c r="A220" s="95" t="n">
        <f aca="false">Swap!A220</f>
        <v>43525</v>
      </c>
      <c r="B220" s="96" t="n">
        <f aca="false">B219+1</f>
        <v>211</v>
      </c>
      <c r="C220" s="95" t="e">
        <f aca="false">IF(AND(A220&gt;=Front!$E$11,A220&lt;=Front!$E$12),A220,"")</f>
        <v>#VALUE!</v>
      </c>
      <c r="D220" s="87" t="e">
        <f aca="false">Swap!AB220</f>
        <v>#VALUE!</v>
      </c>
      <c r="E220" s="87" t="e">
        <f aca="false">IF($C220="","",1)</f>
        <v>#VALUE!</v>
      </c>
      <c r="F220" s="97" t="e">
        <f aca="false">IF($C220="","",E220*H220)</f>
        <v>#VALUE!</v>
      </c>
      <c r="G220" s="31" t="n">
        <f aca="false">Swap!AG220</f>
        <v>0.0617235977077062</v>
      </c>
      <c r="H220" s="31" t="n">
        <f aca="false">Swap!AH220</f>
        <v>1.49124283345339</v>
      </c>
      <c r="I220" s="92" t="n">
        <f aca="false">INDEX(expery,MATCH(A220,exprymonth,0),2)</f>
        <v>43521</v>
      </c>
      <c r="J220" s="98" t="n">
        <f aca="false">I220-Front!$C$2</f>
        <v>-2405</v>
      </c>
      <c r="K220" s="99" t="n">
        <f aca="false">Swap!E220</f>
        <v>4.772</v>
      </c>
      <c r="L220" s="99" t="e">
        <f aca="false">IF(C220="","",(PriceSwitch=0)*K220+(PriceSwitch=1)*(Front!$H$21+K220)+(PriceSwitch=2)*Front!$H$21)</f>
        <v>#VALUE!</v>
      </c>
      <c r="M220" s="93" t="n">
        <f aca="false">INDEX(vols,MATCH(A220,volsmonth,0),2)</f>
        <v>0.17</v>
      </c>
      <c r="N220" s="3" t="e">
        <f aca="false">IF(Skew_Switch=0,"",IF($C220="","",(Front!$E$20=0)*M220+(Front!$E$20=1)*(Front!$E$21+M220)+(Front!$E$20=2)*Front!$E$21))</f>
        <v>#VALUE!</v>
      </c>
      <c r="O220" s="94" t="e">
        <f aca="false">IF(Skew_Switch=0,"",IF(C220="","",((calcskew(Call1-$L220,$C220,a,b))/100)))</f>
        <v>#VALUE!</v>
      </c>
      <c r="P220" s="94" t="e">
        <f aca="false">IF(Skew_Switch=0,"",IF(C220="","",((calcskew(Put1-$L220,$C220,a,b))/100)))</f>
        <v>#VALUE!</v>
      </c>
      <c r="Q220" s="94" t="e">
        <f aca="false">IF(Skew_Switch=0,"",IF(C220="","",((calcskew(Call2-$L220,$C220,a,b))/100)))</f>
        <v>#VALUE!</v>
      </c>
      <c r="R220" s="94" t="e">
        <f aca="false">IF(Skew_Switch=0,"",IF(C220="","",((calcskew(Put2-$L220,$C220,a,b))/100)))</f>
        <v>#VALUE!</v>
      </c>
      <c r="S220" s="3" t="e">
        <f aca="false">IF($C220="","",(Front!$C$19=0)*$N220+(Front!$C$19=1)*($N220+O220))</f>
        <v>#VALUE!</v>
      </c>
      <c r="T220" s="3" t="e">
        <f aca="false">IF($C220="","",(Front!$C$19=0)*$N220+(Front!$C$19=1)*($N220+P220))</f>
        <v>#VALUE!</v>
      </c>
      <c r="U220" s="3" t="e">
        <f aca="false">IF($C220="","",(Front!$C$19=0)*$N220+(Front!$C$19=1)*($N220+Q220))</f>
        <v>#VALUE!</v>
      </c>
      <c r="V220" s="3" t="e">
        <f aca="false">IF($C220="","",(Front!$C$19=0)*$N220+(Front!$C$19=1)*($N220+R220))</f>
        <v>#VALUE!</v>
      </c>
      <c r="W220" s="90" t="e">
        <f aca="false">IF($C220="","",xEURO($L220,Call1,$G220,$G220,S220,$J220,1,0))</f>
        <v>#VALUE!</v>
      </c>
      <c r="X220" s="90" t="e">
        <f aca="false">IF($C220="","",xEURO($L220,Put1,$G220,$G220,T220,$J220,0,0))</f>
        <v>#VALUE!</v>
      </c>
      <c r="Y220" s="90" t="e">
        <f aca="false">IF($C220="","",xEURO($L220,Call2,$G220,$G220,U220,$J220,1,0))</f>
        <v>#VALUE!</v>
      </c>
      <c r="Z220" s="90" t="e">
        <f aca="false">IF($C220="","",xEURO($L220,Put2,$G220,$G220,V220,$J220,0,0))</f>
        <v>#VALUE!</v>
      </c>
      <c r="AA220" s="90" t="e">
        <f aca="false">IF($C220="","",xEURO($L220,Call1,$G220,$G220,$S220,$J220,1,1))</f>
        <v>#VALUE!</v>
      </c>
      <c r="AB220" s="90" t="e">
        <f aca="false">IF($C220="","",xEURO($L220,Put1,$G220,$G220,$T220,$J220,0,1))</f>
        <v>#VALUE!</v>
      </c>
      <c r="AC220" s="90" t="e">
        <f aca="false">IF($C220="","",xEURO($L220,Call2,$G220,$G220,$U220,$J220,1,1))</f>
        <v>#VALUE!</v>
      </c>
      <c r="AD220" s="90" t="e">
        <f aca="false">IF($C220="","",xEURO($L220,Put2,$G220,$G220,$V220,$J220,0,1))</f>
        <v>#VALUE!</v>
      </c>
      <c r="AE220" s="90" t="e">
        <f aca="false">IF($C220="","",xEURO($L220,Call1,$G220,$G220,$S220,$J220,1,3))</f>
        <v>#VALUE!</v>
      </c>
      <c r="AF220" s="90" t="e">
        <f aca="false">IF($C220="","",xEURO($L220,Put1,$G220,$G220,$T220,$J220,0,3))</f>
        <v>#VALUE!</v>
      </c>
      <c r="AG220" s="90" t="e">
        <f aca="false">IF($C220="","",xEURO($L220,Call2,$G220,$G220,$U220,$J220,1,3))</f>
        <v>#VALUE!</v>
      </c>
      <c r="AH220" s="90" t="e">
        <f aca="false">IF($C220="","",xEURO($L220,Put2,$G220,$G220,$V220,$J220,0,3))</f>
        <v>#VALUE!</v>
      </c>
      <c r="AI220" s="8" t="e">
        <f aca="false">IF(E220=1,G220,0)</f>
        <v>#VALUE!</v>
      </c>
      <c r="AJ220" s="8" t="e">
        <f aca="false">IF(E220=1,H220,0)</f>
        <v>#VALUE!</v>
      </c>
      <c r="AK220" s="8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  <c r="IW220" s="0"/>
    </row>
    <row r="221" customFormat="false" ht="12.75" hidden="false" customHeight="false" outlineLevel="0" collapsed="false">
      <c r="A221" s="95" t="n">
        <f aca="false">Swap!A221</f>
        <v>43556</v>
      </c>
      <c r="B221" s="96" t="n">
        <f aca="false">B220+1</f>
        <v>212</v>
      </c>
      <c r="C221" s="95" t="e">
        <f aca="false">IF(AND(A221&gt;=Front!$E$11,A221&lt;=Front!$E$12),A221,"")</f>
        <v>#VALUE!</v>
      </c>
      <c r="D221" s="87" t="e">
        <f aca="false">Swap!AB221</f>
        <v>#VALUE!</v>
      </c>
      <c r="E221" s="87" t="e">
        <f aca="false">IF($C221="","",1)</f>
        <v>#VALUE!</v>
      </c>
      <c r="F221" s="97" t="e">
        <f aca="false">IF($C221="","",E221*H221)</f>
        <v>#VALUE!</v>
      </c>
      <c r="G221" s="31" t="n">
        <f aca="false">Swap!AG221</f>
        <v>0.0617908031901977</v>
      </c>
      <c r="H221" s="31" t="n">
        <f aca="false">Swap!AH221</f>
        <v>1.48419631730664</v>
      </c>
      <c r="I221" s="92" t="n">
        <f aca="false">INDEX(expery,MATCH(A221,exprymonth,0),2)</f>
        <v>43550</v>
      </c>
      <c r="J221" s="98" t="n">
        <f aca="false">I221-Front!$C$2</f>
        <v>-2376</v>
      </c>
      <c r="K221" s="99" t="n">
        <f aca="false">Swap!E221</f>
        <v>4.602</v>
      </c>
      <c r="L221" s="99" t="e">
        <f aca="false">IF(C221="","",(PriceSwitch=0)*K221+(PriceSwitch=1)*(Front!$H$21+K221)+(PriceSwitch=2)*Front!$H$21)</f>
        <v>#VALUE!</v>
      </c>
      <c r="M221" s="93" t="n">
        <f aca="false">INDEX(vols,MATCH(A221,volsmonth,0),2)</f>
        <v>0.17</v>
      </c>
      <c r="N221" s="3" t="e">
        <f aca="false">IF(Skew_Switch=0,"",IF($C221="","",(Front!$E$20=0)*M221+(Front!$E$20=1)*(Front!$E$21+M221)+(Front!$E$20=2)*Front!$E$21))</f>
        <v>#VALUE!</v>
      </c>
      <c r="O221" s="94" t="e">
        <f aca="false">IF(Skew_Switch=0,"",IF(C221="","",((calcskew(Call1-$L221,$C221,a,b))/100)))</f>
        <v>#VALUE!</v>
      </c>
      <c r="P221" s="94" t="e">
        <f aca="false">IF(Skew_Switch=0,"",IF(C221="","",((calcskew(Put1-$L221,$C221,a,b))/100)))</f>
        <v>#VALUE!</v>
      </c>
      <c r="Q221" s="94" t="e">
        <f aca="false">IF(Skew_Switch=0,"",IF(C221="","",((calcskew(Call2-$L221,$C221,a,b))/100)))</f>
        <v>#VALUE!</v>
      </c>
      <c r="R221" s="94" t="e">
        <f aca="false">IF(Skew_Switch=0,"",IF(C221="","",((calcskew(Put2-$L221,$C221,a,b))/100)))</f>
        <v>#VALUE!</v>
      </c>
      <c r="S221" s="3" t="e">
        <f aca="false">IF($C221="","",(Front!$C$19=0)*$N221+(Front!$C$19=1)*($N221+O221))</f>
        <v>#VALUE!</v>
      </c>
      <c r="T221" s="3" t="e">
        <f aca="false">IF($C221="","",(Front!$C$19=0)*$N221+(Front!$C$19=1)*($N221+P221))</f>
        <v>#VALUE!</v>
      </c>
      <c r="U221" s="3" t="e">
        <f aca="false">IF($C221="","",(Front!$C$19=0)*$N221+(Front!$C$19=1)*($N221+Q221))</f>
        <v>#VALUE!</v>
      </c>
      <c r="V221" s="3" t="e">
        <f aca="false">IF($C221="","",(Front!$C$19=0)*$N221+(Front!$C$19=1)*($N221+R221))</f>
        <v>#VALUE!</v>
      </c>
      <c r="W221" s="90" t="e">
        <f aca="false">IF($C221="","",xEURO($L221,Call1,$G221,$G221,S221,$J221,1,0))</f>
        <v>#VALUE!</v>
      </c>
      <c r="X221" s="90" t="e">
        <f aca="false">IF($C221="","",xEURO($L221,Put1,$G221,$G221,T221,$J221,0,0))</f>
        <v>#VALUE!</v>
      </c>
      <c r="Y221" s="90" t="e">
        <f aca="false">IF($C221="","",xEURO($L221,Call2,$G221,$G221,U221,$J221,1,0))</f>
        <v>#VALUE!</v>
      </c>
      <c r="Z221" s="90" t="e">
        <f aca="false">IF($C221="","",xEURO($L221,Put2,$G221,$G221,V221,$J221,0,0))</f>
        <v>#VALUE!</v>
      </c>
      <c r="AA221" s="90" t="e">
        <f aca="false">IF($C221="","",xEURO($L221,Call1,$G221,$G221,$S221,$J221,1,1))</f>
        <v>#VALUE!</v>
      </c>
      <c r="AB221" s="90" t="e">
        <f aca="false">IF($C221="","",xEURO($L221,Put1,$G221,$G221,$T221,$J221,0,1))</f>
        <v>#VALUE!</v>
      </c>
      <c r="AC221" s="90" t="e">
        <f aca="false">IF($C221="","",xEURO($L221,Call2,$G221,$G221,$U221,$J221,1,1))</f>
        <v>#VALUE!</v>
      </c>
      <c r="AD221" s="90" t="e">
        <f aca="false">IF($C221="","",xEURO($L221,Put2,$G221,$G221,$V221,$J221,0,1))</f>
        <v>#VALUE!</v>
      </c>
      <c r="AE221" s="90" t="e">
        <f aca="false">IF($C221="","",xEURO($L221,Call1,$G221,$G221,$S221,$J221,1,3))</f>
        <v>#VALUE!</v>
      </c>
      <c r="AF221" s="90" t="e">
        <f aca="false">IF($C221="","",xEURO($L221,Put1,$G221,$G221,$T221,$J221,0,3))</f>
        <v>#VALUE!</v>
      </c>
      <c r="AG221" s="90" t="e">
        <f aca="false">IF($C221="","",xEURO($L221,Call2,$G221,$G221,$U221,$J221,1,3))</f>
        <v>#VALUE!</v>
      </c>
      <c r="AH221" s="90" t="e">
        <f aca="false">IF($C221="","",xEURO($L221,Put2,$G221,$G221,$V221,$J221,0,3))</f>
        <v>#VALUE!</v>
      </c>
      <c r="AI221" s="8" t="e">
        <f aca="false">IF(E221=1,G221,0)</f>
        <v>#VALUE!</v>
      </c>
      <c r="AJ221" s="8" t="e">
        <f aca="false">IF(E221=1,H221,0)</f>
        <v>#VALUE!</v>
      </c>
      <c r="AK221" s="8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  <c r="IW221" s="0"/>
    </row>
    <row r="222" customFormat="false" ht="12.75" hidden="false" customHeight="false" outlineLevel="0" collapsed="false">
      <c r="A222" s="95" t="n">
        <f aca="false">Swap!A222</f>
        <v>43586</v>
      </c>
      <c r="B222" s="96" t="n">
        <f aca="false">B221+1</f>
        <v>213</v>
      </c>
      <c r="C222" s="95" t="e">
        <f aca="false">IF(AND(A222&gt;=Front!$E$11,A222&lt;=Front!$E$12),A222,"")</f>
        <v>#VALUE!</v>
      </c>
      <c r="D222" s="87" t="e">
        <f aca="false">Swap!AB222</f>
        <v>#VALUE!</v>
      </c>
      <c r="E222" s="87" t="e">
        <f aca="false">IF($C222="","",1)</f>
        <v>#VALUE!</v>
      </c>
      <c r="F222" s="97" t="e">
        <f aca="false">IF($C222="","",E222*H222)</f>
        <v>#VALUE!</v>
      </c>
      <c r="G222" s="31" t="n">
        <f aca="false">Swap!AG222</f>
        <v>0.0618558407553267</v>
      </c>
      <c r="H222" s="31" t="n">
        <f aca="false">Swap!AH222</f>
        <v>1.47739322681817</v>
      </c>
      <c r="I222" s="92" t="n">
        <f aca="false">INDEX(expery,MATCH(A222,exprymonth,0),2)</f>
        <v>43580</v>
      </c>
      <c r="J222" s="98" t="n">
        <f aca="false">I222-Front!$C$2</f>
        <v>-2346</v>
      </c>
      <c r="K222" s="99" t="n">
        <f aca="false">Swap!E222</f>
        <v>4.602</v>
      </c>
      <c r="L222" s="99" t="e">
        <f aca="false">IF(C222="","",(PriceSwitch=0)*K222+(PriceSwitch=1)*(Front!$H$21+K222)+(PriceSwitch=2)*Front!$H$21)</f>
        <v>#VALUE!</v>
      </c>
      <c r="M222" s="93" t="n">
        <f aca="false">INDEX(vols,MATCH(A222,volsmonth,0),2)</f>
        <v>0.17</v>
      </c>
      <c r="N222" s="3" t="e">
        <f aca="false">IF(Skew_Switch=0,"",IF($C222="","",(Front!$E$20=0)*M222+(Front!$E$20=1)*(Front!$E$21+M222)+(Front!$E$20=2)*Front!$E$21))</f>
        <v>#VALUE!</v>
      </c>
      <c r="O222" s="94" t="e">
        <f aca="false">IF(Skew_Switch=0,"",IF(C222="","",((calcskew(Call1-$L222,$C222,a,b))/100)))</f>
        <v>#VALUE!</v>
      </c>
      <c r="P222" s="94" t="e">
        <f aca="false">IF(Skew_Switch=0,"",IF(C222="","",((calcskew(Put1-$L222,$C222,a,b))/100)))</f>
        <v>#VALUE!</v>
      </c>
      <c r="Q222" s="94" t="e">
        <f aca="false">IF(Skew_Switch=0,"",IF(C222="","",((calcskew(Call2-$L222,$C222,a,b))/100)))</f>
        <v>#VALUE!</v>
      </c>
      <c r="R222" s="94" t="e">
        <f aca="false">IF(Skew_Switch=0,"",IF(C222="","",((calcskew(Put2-$L222,$C222,a,b))/100)))</f>
        <v>#VALUE!</v>
      </c>
      <c r="S222" s="3" t="e">
        <f aca="false">IF($C222="","",(Front!$C$19=0)*$N222+(Front!$C$19=1)*($N222+O222))</f>
        <v>#VALUE!</v>
      </c>
      <c r="T222" s="3" t="e">
        <f aca="false">IF($C222="","",(Front!$C$19=0)*$N222+(Front!$C$19=1)*($N222+P222))</f>
        <v>#VALUE!</v>
      </c>
      <c r="U222" s="3" t="e">
        <f aca="false">IF($C222="","",(Front!$C$19=0)*$N222+(Front!$C$19=1)*($N222+Q222))</f>
        <v>#VALUE!</v>
      </c>
      <c r="V222" s="3" t="e">
        <f aca="false">IF($C222="","",(Front!$C$19=0)*$N222+(Front!$C$19=1)*($N222+R222))</f>
        <v>#VALUE!</v>
      </c>
      <c r="W222" s="90" t="e">
        <f aca="false">IF($C222="","",xEURO($L222,Call1,$G222,$G222,S222,$J222,1,0))</f>
        <v>#VALUE!</v>
      </c>
      <c r="X222" s="90" t="e">
        <f aca="false">IF($C222="","",xEURO($L222,Put1,$G222,$G222,T222,$J222,0,0))</f>
        <v>#VALUE!</v>
      </c>
      <c r="Y222" s="90" t="e">
        <f aca="false">IF($C222="","",xEURO($L222,Call2,$G222,$G222,U222,$J222,1,0))</f>
        <v>#VALUE!</v>
      </c>
      <c r="Z222" s="90" t="e">
        <f aca="false">IF($C222="","",xEURO($L222,Put2,$G222,$G222,V222,$J222,0,0))</f>
        <v>#VALUE!</v>
      </c>
      <c r="AA222" s="90" t="e">
        <f aca="false">IF($C222="","",xEURO($L222,Call1,$G222,$G222,$S222,$J222,1,1))</f>
        <v>#VALUE!</v>
      </c>
      <c r="AB222" s="90" t="e">
        <f aca="false">IF($C222="","",xEURO($L222,Put1,$G222,$G222,$T222,$J222,0,1))</f>
        <v>#VALUE!</v>
      </c>
      <c r="AC222" s="90" t="e">
        <f aca="false">IF($C222="","",xEURO($L222,Call2,$G222,$G222,$U222,$J222,1,1))</f>
        <v>#VALUE!</v>
      </c>
      <c r="AD222" s="90" t="e">
        <f aca="false">IF($C222="","",xEURO($L222,Put2,$G222,$G222,$V222,$J222,0,1))</f>
        <v>#VALUE!</v>
      </c>
      <c r="AE222" s="90" t="e">
        <f aca="false">IF($C222="","",xEURO($L222,Call1,$G222,$G222,$S222,$J222,1,3))</f>
        <v>#VALUE!</v>
      </c>
      <c r="AF222" s="90" t="e">
        <f aca="false">IF($C222="","",xEURO($L222,Put1,$G222,$G222,$T222,$J222,0,3))</f>
        <v>#VALUE!</v>
      </c>
      <c r="AG222" s="90" t="e">
        <f aca="false">IF($C222="","",xEURO($L222,Call2,$G222,$G222,$U222,$J222,1,3))</f>
        <v>#VALUE!</v>
      </c>
      <c r="AH222" s="90" t="e">
        <f aca="false">IF($C222="","",xEURO($L222,Put2,$G222,$G222,$V222,$J222,0,3))</f>
        <v>#VALUE!</v>
      </c>
      <c r="AI222" s="8" t="e">
        <f aca="false">IF(E222=1,G222,0)</f>
        <v>#VALUE!</v>
      </c>
      <c r="AJ222" s="8" t="e">
        <f aca="false">IF(E222=1,H222,0)</f>
        <v>#VALUE!</v>
      </c>
      <c r="AK222" s="8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</row>
    <row r="223" customFormat="false" ht="12.75" hidden="false" customHeight="false" outlineLevel="0" collapsed="false">
      <c r="A223" s="95" t="n">
        <f aca="false">Swap!A223</f>
        <v>43617</v>
      </c>
      <c r="B223" s="96" t="n">
        <f aca="false">B222+1</f>
        <v>214</v>
      </c>
      <c r="C223" s="95" t="e">
        <f aca="false">IF(AND(A223&gt;=Front!$E$11,A223&lt;=Front!$E$12),A223,"")</f>
        <v>#VALUE!</v>
      </c>
      <c r="D223" s="87" t="e">
        <f aca="false">Swap!AB223</f>
        <v>#VALUE!</v>
      </c>
      <c r="E223" s="87" t="e">
        <f aca="false">IF($C223="","",1)</f>
        <v>#VALUE!</v>
      </c>
      <c r="F223" s="97" t="e">
        <f aca="false">IF($C223="","",E223*H223)</f>
        <v>#VALUE!</v>
      </c>
      <c r="G223" s="31" t="n">
        <f aca="false">Swap!AG223</f>
        <v>0.0619230462407683</v>
      </c>
      <c r="H223" s="31" t="n">
        <f aca="false">Swap!AH223</f>
        <v>1.47038009662115</v>
      </c>
      <c r="I223" s="92" t="n">
        <f aca="false">INDEX(expery,MATCH(A223,exprymonth,0),2)</f>
        <v>43613</v>
      </c>
      <c r="J223" s="98" t="n">
        <f aca="false">I223-Front!$C$2</f>
        <v>-2313</v>
      </c>
      <c r="K223" s="99" t="n">
        <f aca="false">Swap!E223</f>
        <v>4.634</v>
      </c>
      <c r="L223" s="99" t="e">
        <f aca="false">IF(C223="","",(PriceSwitch=0)*K223+(PriceSwitch=1)*(Front!$H$21+K223)+(PriceSwitch=2)*Front!$H$21)</f>
        <v>#VALUE!</v>
      </c>
      <c r="M223" s="93" t="n">
        <f aca="false">INDEX(vols,MATCH(A223,volsmonth,0),2)</f>
        <v>0.17</v>
      </c>
      <c r="N223" s="3" t="e">
        <f aca="false">IF(Skew_Switch=0,"",IF($C223="","",(Front!$E$20=0)*M223+(Front!$E$20=1)*(Front!$E$21+M223)+(Front!$E$20=2)*Front!$E$21))</f>
        <v>#VALUE!</v>
      </c>
      <c r="O223" s="94" t="e">
        <f aca="false">IF(Skew_Switch=0,"",IF(C223="","",((calcskew(Call1-$L223,$C223,a,b))/100)))</f>
        <v>#VALUE!</v>
      </c>
      <c r="P223" s="94" t="e">
        <f aca="false">IF(Skew_Switch=0,"",IF(C223="","",((calcskew(Put1-$L223,$C223,a,b))/100)))</f>
        <v>#VALUE!</v>
      </c>
      <c r="Q223" s="94" t="e">
        <f aca="false">IF(Skew_Switch=0,"",IF(C223="","",((calcskew(Call2-$L223,$C223,a,b))/100)))</f>
        <v>#VALUE!</v>
      </c>
      <c r="R223" s="94" t="e">
        <f aca="false">IF(Skew_Switch=0,"",IF(C223="","",((calcskew(Put2-$L223,$C223,a,b))/100)))</f>
        <v>#VALUE!</v>
      </c>
      <c r="S223" s="3" t="e">
        <f aca="false">IF($C223="","",(Front!$C$19=0)*$N223+(Front!$C$19=1)*($N223+O223))</f>
        <v>#VALUE!</v>
      </c>
      <c r="T223" s="3" t="e">
        <f aca="false">IF($C223="","",(Front!$C$19=0)*$N223+(Front!$C$19=1)*($N223+P223))</f>
        <v>#VALUE!</v>
      </c>
      <c r="U223" s="3" t="e">
        <f aca="false">IF($C223="","",(Front!$C$19=0)*$N223+(Front!$C$19=1)*($N223+Q223))</f>
        <v>#VALUE!</v>
      </c>
      <c r="V223" s="3" t="e">
        <f aca="false">IF($C223="","",(Front!$C$19=0)*$N223+(Front!$C$19=1)*($N223+R223))</f>
        <v>#VALUE!</v>
      </c>
      <c r="W223" s="90" t="e">
        <f aca="false">IF($C223="","",xEURO($L223,Call1,$G223,$G223,S223,$J223,1,0))</f>
        <v>#VALUE!</v>
      </c>
      <c r="X223" s="90" t="e">
        <f aca="false">IF($C223="","",xEURO($L223,Put1,$G223,$G223,T223,$J223,0,0))</f>
        <v>#VALUE!</v>
      </c>
      <c r="Y223" s="90" t="e">
        <f aca="false">IF($C223="","",xEURO($L223,Call2,$G223,$G223,U223,$J223,1,0))</f>
        <v>#VALUE!</v>
      </c>
      <c r="Z223" s="90" t="e">
        <f aca="false">IF($C223="","",xEURO($L223,Put2,$G223,$G223,V223,$J223,0,0))</f>
        <v>#VALUE!</v>
      </c>
      <c r="AA223" s="90" t="e">
        <f aca="false">IF($C223="","",xEURO($L223,Call1,$G223,$G223,$S223,$J223,1,1))</f>
        <v>#VALUE!</v>
      </c>
      <c r="AB223" s="90" t="e">
        <f aca="false">IF($C223="","",xEURO($L223,Put1,$G223,$G223,$T223,$J223,0,1))</f>
        <v>#VALUE!</v>
      </c>
      <c r="AC223" s="90" t="e">
        <f aca="false">IF($C223="","",xEURO($L223,Call2,$G223,$G223,$U223,$J223,1,1))</f>
        <v>#VALUE!</v>
      </c>
      <c r="AD223" s="90" t="e">
        <f aca="false">IF($C223="","",xEURO($L223,Put2,$G223,$G223,$V223,$J223,0,1))</f>
        <v>#VALUE!</v>
      </c>
      <c r="AE223" s="90" t="e">
        <f aca="false">IF($C223="","",xEURO($L223,Call1,$G223,$G223,$S223,$J223,1,3))</f>
        <v>#VALUE!</v>
      </c>
      <c r="AF223" s="90" t="e">
        <f aca="false">IF($C223="","",xEURO($L223,Put1,$G223,$G223,$T223,$J223,0,3))</f>
        <v>#VALUE!</v>
      </c>
      <c r="AG223" s="90" t="e">
        <f aca="false">IF($C223="","",xEURO($L223,Call2,$G223,$G223,$U223,$J223,1,3))</f>
        <v>#VALUE!</v>
      </c>
      <c r="AH223" s="90" t="e">
        <f aca="false">IF($C223="","",xEURO($L223,Put2,$G223,$G223,$V223,$J223,0,3))</f>
        <v>#VALUE!</v>
      </c>
      <c r="AI223" s="8" t="e">
        <f aca="false">IF(E223=1,G223,0)</f>
        <v>#VALUE!</v>
      </c>
      <c r="AJ223" s="8" t="e">
        <f aca="false">IF(E223=1,H223,0)</f>
        <v>#VALUE!</v>
      </c>
      <c r="AK223" s="8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  <c r="IW223" s="0"/>
    </row>
    <row r="224" customFormat="false" ht="12.75" hidden="false" customHeight="false" outlineLevel="0" collapsed="false">
      <c r="A224" s="95" t="n">
        <f aca="false">Swap!A224</f>
        <v>43647</v>
      </c>
      <c r="B224" s="96" t="n">
        <f aca="false">B223+1</f>
        <v>215</v>
      </c>
      <c r="C224" s="95" t="e">
        <f aca="false">IF(AND(A224&gt;=Front!$E$11,A224&lt;=Front!$E$12),A224,"")</f>
        <v>#VALUE!</v>
      </c>
      <c r="D224" s="87" t="e">
        <f aca="false">Swap!AB224</f>
        <v>#VALUE!</v>
      </c>
      <c r="E224" s="87" t="e">
        <f aca="false">IF($C224="","",1)</f>
        <v>#VALUE!</v>
      </c>
      <c r="F224" s="97" t="e">
        <f aca="false">IF($C224="","",E224*H224)</f>
        <v>#VALUE!</v>
      </c>
      <c r="G224" s="31" t="n">
        <f aca="false">Swap!AG224</f>
        <v>0.0619880838087523</v>
      </c>
      <c r="H224" s="31" t="n">
        <f aca="false">Swap!AH224</f>
        <v>1.4636094567041</v>
      </c>
      <c r="I224" s="92" t="n">
        <f aca="false">INDEX(expery,MATCH(A224,exprymonth,0),2)</f>
        <v>43641</v>
      </c>
      <c r="J224" s="98" t="n">
        <f aca="false">I224-Front!$C$2</f>
        <v>-2285</v>
      </c>
      <c r="K224" s="99" t="n">
        <f aca="false">Swap!E224</f>
        <v>4.684</v>
      </c>
      <c r="L224" s="99" t="e">
        <f aca="false">IF(C224="","",(PriceSwitch=0)*K224+(PriceSwitch=1)*(Front!$H$21+K224)+(PriceSwitch=2)*Front!$H$21)</f>
        <v>#VALUE!</v>
      </c>
      <c r="M224" s="93" t="n">
        <f aca="false">INDEX(vols,MATCH(A224,volsmonth,0),2)</f>
        <v>0.17</v>
      </c>
      <c r="N224" s="3" t="e">
        <f aca="false">IF(Skew_Switch=0,"",IF($C224="","",(Front!$E$20=0)*M224+(Front!$E$20=1)*(Front!$E$21+M224)+(Front!$E$20=2)*Front!$E$21))</f>
        <v>#VALUE!</v>
      </c>
      <c r="O224" s="94" t="e">
        <f aca="false">IF(Skew_Switch=0,"",IF(C224="","",((calcskew(Call1-$L224,$C224,a,b))/100)))</f>
        <v>#VALUE!</v>
      </c>
      <c r="P224" s="94" t="e">
        <f aca="false">IF(Skew_Switch=0,"",IF(C224="","",((calcskew(Put1-$L224,$C224,a,b))/100)))</f>
        <v>#VALUE!</v>
      </c>
      <c r="Q224" s="94" t="e">
        <f aca="false">IF(Skew_Switch=0,"",IF(C224="","",((calcskew(Call2-$L224,$C224,a,b))/100)))</f>
        <v>#VALUE!</v>
      </c>
      <c r="R224" s="94" t="e">
        <f aca="false">IF(Skew_Switch=0,"",IF(C224="","",((calcskew(Put2-$L224,$C224,a,b))/100)))</f>
        <v>#VALUE!</v>
      </c>
      <c r="S224" s="3" t="e">
        <f aca="false">IF($C224="","",(Front!$C$19=0)*$N224+(Front!$C$19=1)*($N224+O224))</f>
        <v>#VALUE!</v>
      </c>
      <c r="T224" s="3" t="e">
        <f aca="false">IF($C224="","",(Front!$C$19=0)*$N224+(Front!$C$19=1)*($N224+P224))</f>
        <v>#VALUE!</v>
      </c>
      <c r="U224" s="3" t="e">
        <f aca="false">IF($C224="","",(Front!$C$19=0)*$N224+(Front!$C$19=1)*($N224+Q224))</f>
        <v>#VALUE!</v>
      </c>
      <c r="V224" s="3" t="e">
        <f aca="false">IF($C224="","",(Front!$C$19=0)*$N224+(Front!$C$19=1)*($N224+R224))</f>
        <v>#VALUE!</v>
      </c>
      <c r="W224" s="90" t="e">
        <f aca="false">IF($C224="","",xEURO($L224,Call1,$G224,$G224,S224,$J224,1,0))</f>
        <v>#VALUE!</v>
      </c>
      <c r="X224" s="90" t="e">
        <f aca="false">IF($C224="","",xEURO($L224,Put1,$G224,$G224,T224,$J224,0,0))</f>
        <v>#VALUE!</v>
      </c>
      <c r="Y224" s="90" t="e">
        <f aca="false">IF($C224="","",xEURO($L224,Call2,$G224,$G224,U224,$J224,1,0))</f>
        <v>#VALUE!</v>
      </c>
      <c r="Z224" s="90" t="e">
        <f aca="false">IF($C224="","",xEURO($L224,Put2,$G224,$G224,V224,$J224,0,0))</f>
        <v>#VALUE!</v>
      </c>
      <c r="AA224" s="90" t="e">
        <f aca="false">IF($C224="","",xEURO($L224,Call1,$G224,$G224,$S224,$J224,1,1))</f>
        <v>#VALUE!</v>
      </c>
      <c r="AB224" s="90" t="e">
        <f aca="false">IF($C224="","",xEURO($L224,Put1,$G224,$G224,$T224,$J224,0,1))</f>
        <v>#VALUE!</v>
      </c>
      <c r="AC224" s="90" t="e">
        <f aca="false">IF($C224="","",xEURO($L224,Call2,$G224,$G224,$U224,$J224,1,1))</f>
        <v>#VALUE!</v>
      </c>
      <c r="AD224" s="90" t="e">
        <f aca="false">IF($C224="","",xEURO($L224,Put2,$G224,$G224,$V224,$J224,0,1))</f>
        <v>#VALUE!</v>
      </c>
      <c r="AE224" s="90" t="e">
        <f aca="false">IF($C224="","",xEURO($L224,Call1,$G224,$G224,$S224,$J224,1,3))</f>
        <v>#VALUE!</v>
      </c>
      <c r="AF224" s="90" t="e">
        <f aca="false">IF($C224="","",xEURO($L224,Put1,$G224,$G224,$T224,$J224,0,3))</f>
        <v>#VALUE!</v>
      </c>
      <c r="AG224" s="90" t="e">
        <f aca="false">IF($C224="","",xEURO($L224,Call2,$G224,$G224,$U224,$J224,1,3))</f>
        <v>#VALUE!</v>
      </c>
      <c r="AH224" s="90" t="e">
        <f aca="false">IF($C224="","",xEURO($L224,Put2,$G224,$G224,$V224,$J224,0,3))</f>
        <v>#VALUE!</v>
      </c>
      <c r="AI224" s="8" t="e">
        <f aca="false">IF(E224=1,G224,0)</f>
        <v>#VALUE!</v>
      </c>
      <c r="AJ224" s="8" t="e">
        <f aca="false">IF(E224=1,H224,0)</f>
        <v>#VALUE!</v>
      </c>
      <c r="AK224" s="8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  <c r="IW224" s="0"/>
    </row>
    <row r="225" customFormat="false" ht="12.75" hidden="false" customHeight="false" outlineLevel="0" collapsed="false">
      <c r="A225" s="95" t="n">
        <f aca="false">Swap!A225</f>
        <v>43678</v>
      </c>
      <c r="B225" s="96" t="n">
        <f aca="false">B224+1</f>
        <v>216</v>
      </c>
      <c r="C225" s="95" t="e">
        <f aca="false">IF(AND(A225&gt;=Front!$E$11,A225&lt;=Front!$E$12),A225,"")</f>
        <v>#VALUE!</v>
      </c>
      <c r="D225" s="87" t="e">
        <f aca="false">Swap!AB225</f>
        <v>#VALUE!</v>
      </c>
      <c r="E225" s="87" t="e">
        <f aca="false">IF($C225="","",1)</f>
        <v>#VALUE!</v>
      </c>
      <c r="F225" s="97" t="e">
        <f aca="false">IF($C225="","",E225*H225)</f>
        <v>#VALUE!</v>
      </c>
      <c r="G225" s="31" t="n">
        <f aca="false">Swap!AG225</f>
        <v>0.0620552892971444</v>
      </c>
      <c r="H225" s="31" t="n">
        <f aca="false">Swap!AH225</f>
        <v>1.45663000328049</v>
      </c>
      <c r="I225" s="92" t="n">
        <f aca="false">INDEX(expery,MATCH(A225,exprymonth,0),2)</f>
        <v>43672</v>
      </c>
      <c r="J225" s="98" t="n">
        <f aca="false">I225-Front!$C$2</f>
        <v>-2254</v>
      </c>
      <c r="K225" s="99" t="n">
        <f aca="false">Swap!E225</f>
        <v>4.718</v>
      </c>
      <c r="L225" s="99" t="e">
        <f aca="false">IF(C225="","",(PriceSwitch=0)*K225+(PriceSwitch=1)*(Front!$H$21+K225)+(PriceSwitch=2)*Front!$H$21)</f>
        <v>#VALUE!</v>
      </c>
      <c r="M225" s="93" t="n">
        <f aca="false">INDEX(vols,MATCH(A225,volsmonth,0),2)</f>
        <v>0.17</v>
      </c>
      <c r="N225" s="3" t="e">
        <f aca="false">IF(Skew_Switch=0,"",IF($C225="","",(Front!$E$20=0)*M225+(Front!$E$20=1)*(Front!$E$21+M225)+(Front!$E$20=2)*Front!$E$21))</f>
        <v>#VALUE!</v>
      </c>
      <c r="O225" s="94" t="e">
        <f aca="false">IF(Skew_Switch=0,"",IF(C225="","",((calcskew(Call1-$L225,$C225,a,b))/100)))</f>
        <v>#VALUE!</v>
      </c>
      <c r="P225" s="94" t="e">
        <f aca="false">IF(Skew_Switch=0,"",IF(C225="","",((calcskew(Put1-$L225,$C225,a,b))/100)))</f>
        <v>#VALUE!</v>
      </c>
      <c r="Q225" s="94" t="e">
        <f aca="false">IF(Skew_Switch=0,"",IF(C225="","",((calcskew(Call2-$L225,$C225,a,b))/100)))</f>
        <v>#VALUE!</v>
      </c>
      <c r="R225" s="94" t="e">
        <f aca="false">IF(Skew_Switch=0,"",IF(C225="","",((calcskew(Put2-$L225,$C225,a,b))/100)))</f>
        <v>#VALUE!</v>
      </c>
      <c r="S225" s="3" t="e">
        <f aca="false">IF($C225="","",(Front!$C$19=0)*$N225+(Front!$C$19=1)*($N225+O225))</f>
        <v>#VALUE!</v>
      </c>
      <c r="T225" s="3" t="e">
        <f aca="false">IF($C225="","",(Front!$C$19=0)*$N225+(Front!$C$19=1)*($N225+P225))</f>
        <v>#VALUE!</v>
      </c>
      <c r="U225" s="3" t="e">
        <f aca="false">IF($C225="","",(Front!$C$19=0)*$N225+(Front!$C$19=1)*($N225+Q225))</f>
        <v>#VALUE!</v>
      </c>
      <c r="V225" s="3" t="e">
        <f aca="false">IF($C225="","",(Front!$C$19=0)*$N225+(Front!$C$19=1)*($N225+R225))</f>
        <v>#VALUE!</v>
      </c>
      <c r="W225" s="90" t="e">
        <f aca="false">IF($C225="","",xEURO($L225,Call1,$G225,$G225,S225,$J225,1,0))</f>
        <v>#VALUE!</v>
      </c>
      <c r="X225" s="90" t="e">
        <f aca="false">IF($C225="","",xEURO($L225,Put1,$G225,$G225,T225,$J225,0,0))</f>
        <v>#VALUE!</v>
      </c>
      <c r="Y225" s="90" t="e">
        <f aca="false">IF($C225="","",xEURO($L225,Call2,$G225,$G225,U225,$J225,1,0))</f>
        <v>#VALUE!</v>
      </c>
      <c r="Z225" s="90" t="e">
        <f aca="false">IF($C225="","",xEURO($L225,Put2,$G225,$G225,V225,$J225,0,0))</f>
        <v>#VALUE!</v>
      </c>
      <c r="AA225" s="90" t="e">
        <f aca="false">IF($C225="","",xEURO($L225,Call1,$G225,$G225,$S225,$J225,1,1))</f>
        <v>#VALUE!</v>
      </c>
      <c r="AB225" s="90" t="e">
        <f aca="false">IF($C225="","",xEURO($L225,Put1,$G225,$G225,$T225,$J225,0,1))</f>
        <v>#VALUE!</v>
      </c>
      <c r="AC225" s="90" t="e">
        <f aca="false">IF($C225="","",xEURO($L225,Call2,$G225,$G225,$U225,$J225,1,1))</f>
        <v>#VALUE!</v>
      </c>
      <c r="AD225" s="90" t="e">
        <f aca="false">IF($C225="","",xEURO($L225,Put2,$G225,$G225,$V225,$J225,0,1))</f>
        <v>#VALUE!</v>
      </c>
      <c r="AE225" s="90" t="e">
        <f aca="false">IF($C225="","",xEURO($L225,Call1,$G225,$G225,$S225,$J225,1,3))</f>
        <v>#VALUE!</v>
      </c>
      <c r="AF225" s="90" t="e">
        <f aca="false">IF($C225="","",xEURO($L225,Put1,$G225,$G225,$T225,$J225,0,3))</f>
        <v>#VALUE!</v>
      </c>
      <c r="AG225" s="90" t="e">
        <f aca="false">IF($C225="","",xEURO($L225,Call2,$G225,$G225,$U225,$J225,1,3))</f>
        <v>#VALUE!</v>
      </c>
      <c r="AH225" s="90" t="e">
        <f aca="false">IF($C225="","",xEURO($L225,Put2,$G225,$G225,$V225,$J225,0,3))</f>
        <v>#VALUE!</v>
      </c>
      <c r="AI225" s="8" t="e">
        <f aca="false">IF(E225=1,G225,0)</f>
        <v>#VALUE!</v>
      </c>
      <c r="AJ225" s="8" t="e">
        <f aca="false">IF(E225=1,H225,0)</f>
        <v>#VALUE!</v>
      </c>
      <c r="AK225" s="8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  <c r="IW225" s="0"/>
    </row>
    <row r="226" customFormat="false" ht="12.75" hidden="false" customHeight="false" outlineLevel="0" collapsed="false">
      <c r="A226" s="95" t="n">
        <f aca="false">Swap!A226</f>
        <v>43709</v>
      </c>
      <c r="B226" s="96" t="n">
        <f aca="false">B225+1</f>
        <v>217</v>
      </c>
      <c r="C226" s="95" t="e">
        <f aca="false">IF(AND(A226&gt;=Front!$E$11,A226&lt;=Front!$E$12),A226,"")</f>
        <v>#VALUE!</v>
      </c>
      <c r="D226" s="87" t="e">
        <f aca="false">Swap!AB226</f>
        <v>#VALUE!</v>
      </c>
      <c r="E226" s="87" t="e">
        <f aca="false">IF($C226="","",1)</f>
        <v>#VALUE!</v>
      </c>
      <c r="F226" s="97" t="e">
        <f aca="false">IF($C226="","",E226*H226)</f>
        <v>#VALUE!</v>
      </c>
      <c r="G226" s="31" t="n">
        <f aca="false">Swap!AG226</f>
        <v>0.0621224947870358</v>
      </c>
      <c r="H226" s="31" t="n">
        <f aca="false">Swap!AH226</f>
        <v>1.44966777345423</v>
      </c>
      <c r="I226" s="92" t="n">
        <f aca="false">INDEX(expery,MATCH(A226,exprymonth,0),2)</f>
        <v>43704</v>
      </c>
      <c r="J226" s="98" t="n">
        <f aca="false">I226-Front!$C$2</f>
        <v>-2222</v>
      </c>
      <c r="K226" s="99" t="n">
        <f aca="false">Swap!E226</f>
        <v>4.731</v>
      </c>
      <c r="L226" s="99" t="e">
        <f aca="false">IF(C226="","",(PriceSwitch=0)*K226+(PriceSwitch=1)*(Front!$H$21+K226)+(PriceSwitch=2)*Front!$H$21)</f>
        <v>#VALUE!</v>
      </c>
      <c r="M226" s="93" t="n">
        <f aca="false">INDEX(vols,MATCH(A226,volsmonth,0),2)</f>
        <v>0.17</v>
      </c>
      <c r="N226" s="3" t="e">
        <f aca="false">IF(Skew_Switch=0,"",IF($C226="","",(Front!$E$20=0)*M226+(Front!$E$20=1)*(Front!$E$21+M226)+(Front!$E$20=2)*Front!$E$21))</f>
        <v>#VALUE!</v>
      </c>
      <c r="O226" s="94" t="e">
        <f aca="false">IF(Skew_Switch=0,"",IF(C226="","",((calcskew(Call1-$L226,$C226,a,b))/100)))</f>
        <v>#VALUE!</v>
      </c>
      <c r="P226" s="94" t="e">
        <f aca="false">IF(Skew_Switch=0,"",IF(C226="","",((calcskew(Put1-$L226,$C226,a,b))/100)))</f>
        <v>#VALUE!</v>
      </c>
      <c r="Q226" s="94" t="e">
        <f aca="false">IF(Skew_Switch=0,"",IF(C226="","",((calcskew(Call2-$L226,$C226,a,b))/100)))</f>
        <v>#VALUE!</v>
      </c>
      <c r="R226" s="94" t="e">
        <f aca="false">IF(Skew_Switch=0,"",IF(C226="","",((calcskew(Put2-$L226,$C226,a,b))/100)))</f>
        <v>#VALUE!</v>
      </c>
      <c r="S226" s="3" t="e">
        <f aca="false">IF($C226="","",(Front!$C$19=0)*$N226+(Front!$C$19=1)*($N226+O226))</f>
        <v>#VALUE!</v>
      </c>
      <c r="T226" s="3" t="e">
        <f aca="false">IF($C226="","",(Front!$C$19=0)*$N226+(Front!$C$19=1)*($N226+P226))</f>
        <v>#VALUE!</v>
      </c>
      <c r="U226" s="3" t="e">
        <f aca="false">IF($C226="","",(Front!$C$19=0)*$N226+(Front!$C$19=1)*($N226+Q226))</f>
        <v>#VALUE!</v>
      </c>
      <c r="V226" s="3" t="e">
        <f aca="false">IF($C226="","",(Front!$C$19=0)*$N226+(Front!$C$19=1)*($N226+R226))</f>
        <v>#VALUE!</v>
      </c>
      <c r="W226" s="90" t="e">
        <f aca="false">IF($C226="","",xEURO($L226,Call1,$G226,$G226,S226,$J226,1,0))</f>
        <v>#VALUE!</v>
      </c>
      <c r="X226" s="90" t="e">
        <f aca="false">IF($C226="","",xEURO($L226,Put1,$G226,$G226,T226,$J226,0,0))</f>
        <v>#VALUE!</v>
      </c>
      <c r="Y226" s="90" t="e">
        <f aca="false">IF($C226="","",xEURO($L226,Call2,$G226,$G226,U226,$J226,1,0))</f>
        <v>#VALUE!</v>
      </c>
      <c r="Z226" s="90" t="e">
        <f aca="false">IF($C226="","",xEURO($L226,Put2,$G226,$G226,V226,$J226,0,0))</f>
        <v>#VALUE!</v>
      </c>
      <c r="AA226" s="90" t="e">
        <f aca="false">IF($C226="","",xEURO($L226,Call1,$G226,$G226,$S226,$J226,1,1))</f>
        <v>#VALUE!</v>
      </c>
      <c r="AB226" s="90" t="e">
        <f aca="false">IF($C226="","",xEURO($L226,Put1,$G226,$G226,$T226,$J226,0,1))</f>
        <v>#VALUE!</v>
      </c>
      <c r="AC226" s="90" t="e">
        <f aca="false">IF($C226="","",xEURO($L226,Call2,$G226,$G226,$U226,$J226,1,1))</f>
        <v>#VALUE!</v>
      </c>
      <c r="AD226" s="90" t="e">
        <f aca="false">IF($C226="","",xEURO($L226,Put2,$G226,$G226,$V226,$J226,0,1))</f>
        <v>#VALUE!</v>
      </c>
      <c r="AE226" s="90" t="e">
        <f aca="false">IF($C226="","",xEURO($L226,Call1,$G226,$G226,$S226,$J226,1,3))</f>
        <v>#VALUE!</v>
      </c>
      <c r="AF226" s="90" t="e">
        <f aca="false">IF($C226="","",xEURO($L226,Put1,$G226,$G226,$T226,$J226,0,3))</f>
        <v>#VALUE!</v>
      </c>
      <c r="AG226" s="90" t="e">
        <f aca="false">IF($C226="","",xEURO($L226,Call2,$G226,$G226,$U226,$J226,1,3))</f>
        <v>#VALUE!</v>
      </c>
      <c r="AH226" s="90" t="e">
        <f aca="false">IF($C226="","",xEURO($L226,Put2,$G226,$G226,$V226,$J226,0,3))</f>
        <v>#VALUE!</v>
      </c>
      <c r="AI226" s="8" t="e">
        <f aca="false">IF(E226=1,G226,0)</f>
        <v>#VALUE!</v>
      </c>
      <c r="AJ226" s="8" t="e">
        <f aca="false">IF(E226=1,H226,0)</f>
        <v>#VALUE!</v>
      </c>
      <c r="AK226" s="8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  <c r="IW226" s="0"/>
    </row>
    <row r="227" customFormat="false" ht="12.75" hidden="false" customHeight="false" outlineLevel="0" collapsed="false">
      <c r="A227" s="95" t="n">
        <f aca="false">Swap!A227</f>
        <v>43739</v>
      </c>
      <c r="B227" s="96" t="n">
        <f aca="false">B226+1</f>
        <v>218</v>
      </c>
      <c r="C227" s="95" t="e">
        <f aca="false">IF(AND(A227&gt;=Front!$E$11,A227&lt;=Front!$E$12),A227,"")</f>
        <v>#VALUE!</v>
      </c>
      <c r="D227" s="87" t="e">
        <f aca="false">Swap!AB227</f>
        <v>#VALUE!</v>
      </c>
      <c r="E227" s="87" t="e">
        <f aca="false">IF($C227="","",1)</f>
        <v>#VALUE!</v>
      </c>
      <c r="F227" s="97" t="e">
        <f aca="false">IF($C227="","",E227*H227)</f>
        <v>#VALUE!</v>
      </c>
      <c r="G227" s="31" t="n">
        <f aca="false">Swap!AG227</f>
        <v>0.0621875323593253</v>
      </c>
      <c r="H227" s="31" t="n">
        <f aca="false">Swap!AH227</f>
        <v>1.44294659898831</v>
      </c>
      <c r="I227" s="92" t="n">
        <f aca="false">INDEX(expery,MATCH(A227,exprymonth,0),2)</f>
        <v>43733</v>
      </c>
      <c r="J227" s="98" t="n">
        <f aca="false">I227-Front!$C$2</f>
        <v>-2193</v>
      </c>
      <c r="K227" s="99" t="n">
        <f aca="false">Swap!E227</f>
        <v>4.723</v>
      </c>
      <c r="L227" s="99" t="e">
        <f aca="false">IF(C227="","",(PriceSwitch=0)*K227+(PriceSwitch=1)*(Front!$H$21+K227)+(PriceSwitch=2)*Front!$H$21)</f>
        <v>#VALUE!</v>
      </c>
      <c r="M227" s="93" t="n">
        <f aca="false">INDEX(vols,MATCH(A227,volsmonth,0),2)</f>
        <v>0.17</v>
      </c>
      <c r="N227" s="3" t="e">
        <f aca="false">IF(Skew_Switch=0,"",IF($C227="","",(Front!$E$20=0)*M227+(Front!$E$20=1)*(Front!$E$21+M227)+(Front!$E$20=2)*Front!$E$21))</f>
        <v>#VALUE!</v>
      </c>
      <c r="O227" s="94" t="e">
        <f aca="false">IF(Skew_Switch=0,"",IF(C227="","",((calcskew(Call1-$L227,$C227,a,b))/100)))</f>
        <v>#VALUE!</v>
      </c>
      <c r="P227" s="94" t="e">
        <f aca="false">IF(Skew_Switch=0,"",IF(C227="","",((calcskew(Put1-$L227,$C227,a,b))/100)))</f>
        <v>#VALUE!</v>
      </c>
      <c r="Q227" s="94" t="e">
        <f aca="false">IF(Skew_Switch=0,"",IF(C227="","",((calcskew(Call2-$L227,$C227,a,b))/100)))</f>
        <v>#VALUE!</v>
      </c>
      <c r="R227" s="94" t="e">
        <f aca="false">IF(Skew_Switch=0,"",IF(C227="","",((calcskew(Put2-$L227,$C227,a,b))/100)))</f>
        <v>#VALUE!</v>
      </c>
      <c r="S227" s="3" t="e">
        <f aca="false">IF($C227="","",(Front!$C$19=0)*$N227+(Front!$C$19=1)*($N227+O227))</f>
        <v>#VALUE!</v>
      </c>
      <c r="T227" s="3" t="e">
        <f aca="false">IF($C227="","",(Front!$C$19=0)*$N227+(Front!$C$19=1)*($N227+P227))</f>
        <v>#VALUE!</v>
      </c>
      <c r="U227" s="3" t="e">
        <f aca="false">IF($C227="","",(Front!$C$19=0)*$N227+(Front!$C$19=1)*($N227+Q227))</f>
        <v>#VALUE!</v>
      </c>
      <c r="V227" s="3" t="e">
        <f aca="false">IF($C227="","",(Front!$C$19=0)*$N227+(Front!$C$19=1)*($N227+R227))</f>
        <v>#VALUE!</v>
      </c>
      <c r="W227" s="90" t="e">
        <f aca="false">IF($C227="","",xEURO($L227,Call1,$G227,$G227,S227,$J227,1,0))</f>
        <v>#VALUE!</v>
      </c>
      <c r="X227" s="90" t="e">
        <f aca="false">IF($C227="","",xEURO($L227,Put1,$G227,$G227,T227,$J227,0,0))</f>
        <v>#VALUE!</v>
      </c>
      <c r="Y227" s="90" t="e">
        <f aca="false">IF($C227="","",xEURO($L227,Call2,$G227,$G227,U227,$J227,1,0))</f>
        <v>#VALUE!</v>
      </c>
      <c r="Z227" s="90" t="e">
        <f aca="false">IF($C227="","",xEURO($L227,Put2,$G227,$G227,V227,$J227,0,0))</f>
        <v>#VALUE!</v>
      </c>
      <c r="AA227" s="90" t="e">
        <f aca="false">IF($C227="","",xEURO($L227,Call1,$G227,$G227,$S227,$J227,1,1))</f>
        <v>#VALUE!</v>
      </c>
      <c r="AB227" s="90" t="e">
        <f aca="false">IF($C227="","",xEURO($L227,Put1,$G227,$G227,$T227,$J227,0,1))</f>
        <v>#VALUE!</v>
      </c>
      <c r="AC227" s="90" t="e">
        <f aca="false">IF($C227="","",xEURO($L227,Call2,$G227,$G227,$U227,$J227,1,1))</f>
        <v>#VALUE!</v>
      </c>
      <c r="AD227" s="90" t="e">
        <f aca="false">IF($C227="","",xEURO($L227,Put2,$G227,$G227,$V227,$J227,0,1))</f>
        <v>#VALUE!</v>
      </c>
      <c r="AE227" s="90" t="e">
        <f aca="false">IF($C227="","",xEURO($L227,Call1,$G227,$G227,$S227,$J227,1,3))</f>
        <v>#VALUE!</v>
      </c>
      <c r="AF227" s="90" t="e">
        <f aca="false">IF($C227="","",xEURO($L227,Put1,$G227,$G227,$T227,$J227,0,3))</f>
        <v>#VALUE!</v>
      </c>
      <c r="AG227" s="90" t="e">
        <f aca="false">IF($C227="","",xEURO($L227,Call2,$G227,$G227,$U227,$J227,1,3))</f>
        <v>#VALUE!</v>
      </c>
      <c r="AH227" s="90" t="e">
        <f aca="false">IF($C227="","",xEURO($L227,Put2,$G227,$G227,$V227,$J227,0,3))</f>
        <v>#VALUE!</v>
      </c>
      <c r="AI227" s="8" t="e">
        <f aca="false">IF(E227=1,G227,0)</f>
        <v>#VALUE!</v>
      </c>
      <c r="AJ227" s="8" t="e">
        <f aca="false">IF(E227=1,H227,0)</f>
        <v>#VALUE!</v>
      </c>
      <c r="AK227" s="8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  <c r="IW227" s="0"/>
    </row>
    <row r="228" customFormat="false" ht="12.75" hidden="false" customHeight="false" outlineLevel="0" collapsed="false">
      <c r="A228" s="95" t="n">
        <f aca="false">Swap!A228</f>
        <v>43770</v>
      </c>
      <c r="B228" s="96" t="n">
        <f aca="false">B227+1</f>
        <v>219</v>
      </c>
      <c r="C228" s="95" t="e">
        <f aca="false">IF(AND(A228&gt;=Front!$E$11,A228&lt;=Front!$E$12),A228,"")</f>
        <v>#VALUE!</v>
      </c>
      <c r="D228" s="87" t="e">
        <f aca="false">Swap!AB228</f>
        <v>#VALUE!</v>
      </c>
      <c r="E228" s="87" t="e">
        <f aca="false">IF($C228="","",1)</f>
        <v>#VALUE!</v>
      </c>
      <c r="F228" s="97" t="e">
        <f aca="false">IF($C228="","",E228*H228)</f>
        <v>#VALUE!</v>
      </c>
      <c r="G228" s="31" t="n">
        <f aca="false">Swap!AG228</f>
        <v>0.0622547378521663</v>
      </c>
      <c r="H228" s="31" t="n">
        <f aca="false">Swap!AH228</f>
        <v>1.43601847110034</v>
      </c>
      <c r="I228" s="92" t="n">
        <f aca="false">INDEX(expery,MATCH(A228,exprymonth,0),2)</f>
        <v>43766</v>
      </c>
      <c r="J228" s="98" t="n">
        <f aca="false">I228-Front!$C$2</f>
        <v>-2160</v>
      </c>
      <c r="K228" s="99" t="n">
        <f aca="false">Swap!E228</f>
        <v>4.893</v>
      </c>
      <c r="L228" s="99" t="e">
        <f aca="false">IF(C228="","",(PriceSwitch=0)*K228+(PriceSwitch=1)*(Front!$H$21+K228)+(PriceSwitch=2)*Front!$H$21)</f>
        <v>#VALUE!</v>
      </c>
      <c r="M228" s="93" t="n">
        <f aca="false">INDEX(vols,MATCH(A228,volsmonth,0),2)</f>
        <v>0.17</v>
      </c>
      <c r="N228" s="3" t="e">
        <f aca="false">IF(Skew_Switch=0,"",IF($C228="","",(Front!$E$20=0)*M228+(Front!$E$20=1)*(Front!$E$21+M228)+(Front!$E$20=2)*Front!$E$21))</f>
        <v>#VALUE!</v>
      </c>
      <c r="O228" s="94" t="e">
        <f aca="false">IF(Skew_Switch=0,"",IF(C228="","",((calcskew(Call1-$L228,$C228,a,b))/100)))</f>
        <v>#VALUE!</v>
      </c>
      <c r="P228" s="94" t="e">
        <f aca="false">IF(Skew_Switch=0,"",IF(C228="","",((calcskew(Put1-$L228,$C228,a,b))/100)))</f>
        <v>#VALUE!</v>
      </c>
      <c r="Q228" s="94" t="e">
        <f aca="false">IF(Skew_Switch=0,"",IF(C228="","",((calcskew(Call2-$L228,$C228,a,b))/100)))</f>
        <v>#VALUE!</v>
      </c>
      <c r="R228" s="94" t="e">
        <f aca="false">IF(Skew_Switch=0,"",IF(C228="","",((calcskew(Put2-$L228,$C228,a,b))/100)))</f>
        <v>#VALUE!</v>
      </c>
      <c r="S228" s="3" t="e">
        <f aca="false">IF($C228="","",(Front!$C$19=0)*$N228+(Front!$C$19=1)*($N228+O228))</f>
        <v>#VALUE!</v>
      </c>
      <c r="T228" s="3" t="e">
        <f aca="false">IF($C228="","",(Front!$C$19=0)*$N228+(Front!$C$19=1)*($N228+P228))</f>
        <v>#VALUE!</v>
      </c>
      <c r="U228" s="3" t="e">
        <f aca="false">IF($C228="","",(Front!$C$19=0)*$N228+(Front!$C$19=1)*($N228+Q228))</f>
        <v>#VALUE!</v>
      </c>
      <c r="V228" s="3" t="e">
        <f aca="false">IF($C228="","",(Front!$C$19=0)*$N228+(Front!$C$19=1)*($N228+R228))</f>
        <v>#VALUE!</v>
      </c>
      <c r="W228" s="90" t="e">
        <f aca="false">IF($C228="","",xEURO($L228,Call1,$G228,$G228,S228,$J228,1,0))</f>
        <v>#VALUE!</v>
      </c>
      <c r="X228" s="90" t="e">
        <f aca="false">IF($C228="","",xEURO($L228,Put1,$G228,$G228,T228,$J228,0,0))</f>
        <v>#VALUE!</v>
      </c>
      <c r="Y228" s="90" t="e">
        <f aca="false">IF($C228="","",xEURO($L228,Call2,$G228,$G228,U228,$J228,1,0))</f>
        <v>#VALUE!</v>
      </c>
      <c r="Z228" s="90" t="e">
        <f aca="false">IF($C228="","",xEURO($L228,Put2,$G228,$G228,V228,$J228,0,0))</f>
        <v>#VALUE!</v>
      </c>
      <c r="AA228" s="90" t="e">
        <f aca="false">IF($C228="","",xEURO($L228,Call1,$G228,$G228,$S228,$J228,1,1))</f>
        <v>#VALUE!</v>
      </c>
      <c r="AB228" s="90" t="e">
        <f aca="false">IF($C228="","",xEURO($L228,Put1,$G228,$G228,$T228,$J228,0,1))</f>
        <v>#VALUE!</v>
      </c>
      <c r="AC228" s="90" t="e">
        <f aca="false">IF($C228="","",xEURO($L228,Call2,$G228,$G228,$U228,$J228,1,1))</f>
        <v>#VALUE!</v>
      </c>
      <c r="AD228" s="90" t="e">
        <f aca="false">IF($C228="","",xEURO($L228,Put2,$G228,$G228,$V228,$J228,0,1))</f>
        <v>#VALUE!</v>
      </c>
      <c r="AE228" s="90" t="e">
        <f aca="false">IF($C228="","",xEURO($L228,Call1,$G228,$G228,$S228,$J228,1,3))</f>
        <v>#VALUE!</v>
      </c>
      <c r="AF228" s="90" t="e">
        <f aca="false">IF($C228="","",xEURO($L228,Put1,$G228,$G228,$T228,$J228,0,3))</f>
        <v>#VALUE!</v>
      </c>
      <c r="AG228" s="90" t="e">
        <f aca="false">IF($C228="","",xEURO($L228,Call2,$G228,$G228,$U228,$J228,1,3))</f>
        <v>#VALUE!</v>
      </c>
      <c r="AH228" s="90" t="e">
        <f aca="false">IF($C228="","",xEURO($L228,Put2,$G228,$G228,$V228,$J228,0,3))</f>
        <v>#VALUE!</v>
      </c>
      <c r="AI228" s="8" t="e">
        <f aca="false">IF(E228=1,G228,0)</f>
        <v>#VALUE!</v>
      </c>
      <c r="AJ228" s="8" t="e">
        <f aca="false">IF(E228=1,H228,0)</f>
        <v>#VALUE!</v>
      </c>
      <c r="AK228" s="8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  <c r="IW228" s="0"/>
    </row>
    <row r="229" customFormat="false" ht="12.75" hidden="false" customHeight="false" outlineLevel="0" collapsed="false">
      <c r="A229" s="95" t="n">
        <f aca="false">Swap!A229</f>
        <v>43800</v>
      </c>
      <c r="B229" s="96" t="n">
        <f aca="false">B228+1</f>
        <v>220</v>
      </c>
      <c r="C229" s="95" t="e">
        <f aca="false">IF(AND(A229&gt;=Front!$E$11,A229&lt;=Front!$E$12),A229,"")</f>
        <v>#VALUE!</v>
      </c>
      <c r="D229" s="87" t="e">
        <f aca="false">Swap!AB229</f>
        <v>#VALUE!</v>
      </c>
      <c r="E229" s="87" t="e">
        <f aca="false">IF($C229="","",1)</f>
        <v>#VALUE!</v>
      </c>
      <c r="F229" s="97" t="e">
        <f aca="false">IF($C229="","",E229*H229)</f>
        <v>#VALUE!</v>
      </c>
      <c r="G229" s="31" t="n">
        <f aca="false">Swap!AG229</f>
        <v>0.0623197754273108</v>
      </c>
      <c r="H229" s="31" t="n">
        <f aca="false">Swap!AH229</f>
        <v>1.42933043147274</v>
      </c>
      <c r="I229" s="92" t="n">
        <f aca="false">INDEX(expery,MATCH(A229,exprymonth,0),2)</f>
        <v>43794</v>
      </c>
      <c r="J229" s="98" t="n">
        <f aca="false">I229-Front!$C$2</f>
        <v>-2132</v>
      </c>
      <c r="K229" s="99" t="n">
        <f aca="false">Swap!E229</f>
        <v>5.068</v>
      </c>
      <c r="L229" s="99" t="e">
        <f aca="false">IF(C229="","",(PriceSwitch=0)*K229+(PriceSwitch=1)*(Front!$H$21+K229)+(PriceSwitch=2)*Front!$H$21)</f>
        <v>#VALUE!</v>
      </c>
      <c r="M229" s="93" t="n">
        <f aca="false">INDEX(vols,MATCH(A229,volsmonth,0),2)</f>
        <v>0.17</v>
      </c>
      <c r="N229" s="3" t="e">
        <f aca="false">IF(Skew_Switch=0,"",IF($C229="","",(Front!$E$20=0)*M229+(Front!$E$20=1)*(Front!$E$21+M229)+(Front!$E$20=2)*Front!$E$21))</f>
        <v>#VALUE!</v>
      </c>
      <c r="O229" s="94" t="e">
        <f aca="false">IF(Skew_Switch=0,"",IF(C229="","",((calcskew(Call1-$L229,$C229,a,b))/100)))</f>
        <v>#VALUE!</v>
      </c>
      <c r="P229" s="94" t="e">
        <f aca="false">IF(Skew_Switch=0,"",IF(C229="","",((calcskew(Put1-$L229,$C229,a,b))/100)))</f>
        <v>#VALUE!</v>
      </c>
      <c r="Q229" s="94" t="e">
        <f aca="false">IF(Skew_Switch=0,"",IF(C229="","",((calcskew(Call2-$L229,$C229,a,b))/100)))</f>
        <v>#VALUE!</v>
      </c>
      <c r="R229" s="94" t="e">
        <f aca="false">IF(Skew_Switch=0,"",IF(C229="","",((calcskew(Put2-$L229,$C229,a,b))/100)))</f>
        <v>#VALUE!</v>
      </c>
      <c r="S229" s="3" t="e">
        <f aca="false">IF($C229="","",(Front!$C$19=0)*$N229+(Front!$C$19=1)*($N229+O229))</f>
        <v>#VALUE!</v>
      </c>
      <c r="T229" s="3" t="e">
        <f aca="false">IF($C229="","",(Front!$C$19=0)*$N229+(Front!$C$19=1)*($N229+P229))</f>
        <v>#VALUE!</v>
      </c>
      <c r="U229" s="3" t="e">
        <f aca="false">IF($C229="","",(Front!$C$19=0)*$N229+(Front!$C$19=1)*($N229+Q229))</f>
        <v>#VALUE!</v>
      </c>
      <c r="V229" s="3" t="e">
        <f aca="false">IF($C229="","",(Front!$C$19=0)*$N229+(Front!$C$19=1)*($N229+R229))</f>
        <v>#VALUE!</v>
      </c>
      <c r="W229" s="90" t="e">
        <f aca="false">IF($C229="","",xEURO($L229,Call1,$G229,$G229,S229,$J229,1,0))</f>
        <v>#VALUE!</v>
      </c>
      <c r="X229" s="90" t="e">
        <f aca="false">IF($C229="","",xEURO($L229,Put1,$G229,$G229,T229,$J229,0,0))</f>
        <v>#VALUE!</v>
      </c>
      <c r="Y229" s="90" t="e">
        <f aca="false">IF($C229="","",xEURO($L229,Call2,$G229,$G229,U229,$J229,1,0))</f>
        <v>#VALUE!</v>
      </c>
      <c r="Z229" s="90" t="e">
        <f aca="false">IF($C229="","",xEURO($L229,Put2,$G229,$G229,V229,$J229,0,0))</f>
        <v>#VALUE!</v>
      </c>
      <c r="AA229" s="90" t="e">
        <f aca="false">IF($C229="","",xEURO($L229,Call1,$G229,$G229,$S229,$J229,1,1))</f>
        <v>#VALUE!</v>
      </c>
      <c r="AB229" s="90" t="e">
        <f aca="false">IF($C229="","",xEURO($L229,Put1,$G229,$G229,$T229,$J229,0,1))</f>
        <v>#VALUE!</v>
      </c>
      <c r="AC229" s="90" t="e">
        <f aca="false">IF($C229="","",xEURO($L229,Call2,$G229,$G229,$U229,$J229,1,1))</f>
        <v>#VALUE!</v>
      </c>
      <c r="AD229" s="90" t="e">
        <f aca="false">IF($C229="","",xEURO($L229,Put2,$G229,$G229,$V229,$J229,0,1))</f>
        <v>#VALUE!</v>
      </c>
      <c r="AE229" s="90" t="e">
        <f aca="false">IF($C229="","",xEURO($L229,Call1,$G229,$G229,$S229,$J229,1,3))</f>
        <v>#VALUE!</v>
      </c>
      <c r="AF229" s="90" t="e">
        <f aca="false">IF($C229="","",xEURO($L229,Put1,$G229,$G229,$T229,$J229,0,3))</f>
        <v>#VALUE!</v>
      </c>
      <c r="AG229" s="90" t="e">
        <f aca="false">IF($C229="","",xEURO($L229,Call2,$G229,$G229,$U229,$J229,1,3))</f>
        <v>#VALUE!</v>
      </c>
      <c r="AH229" s="90" t="e">
        <f aca="false">IF($C229="","",xEURO($L229,Put2,$G229,$G229,$V229,$J229,0,3))</f>
        <v>#VALUE!</v>
      </c>
      <c r="AI229" s="8" t="e">
        <f aca="false">IF(E229=1,G229,0)</f>
        <v>#VALUE!</v>
      </c>
      <c r="AJ229" s="8" t="e">
        <f aca="false">IF(E229=1,H229,0)</f>
        <v>#VALUE!</v>
      </c>
      <c r="AK229" s="8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  <c r="IW229" s="0"/>
    </row>
    <row r="230" customFormat="false" ht="12.75" hidden="false" customHeight="false" outlineLevel="0" collapsed="false">
      <c r="A230" s="95" t="n">
        <f aca="false">Swap!A230</f>
        <v>43831</v>
      </c>
      <c r="B230" s="96" t="n">
        <f aca="false">B229+1</f>
        <v>221</v>
      </c>
      <c r="C230" s="95" t="e">
        <f aca="false">IF(AND(A230&gt;=Front!$E$11,A230&lt;=Front!$E$12),A230,"")</f>
        <v>#VALUE!</v>
      </c>
      <c r="D230" s="87" t="e">
        <f aca="false">Swap!AB230</f>
        <v>#VALUE!</v>
      </c>
      <c r="E230" s="87" t="e">
        <f aca="false">IF($C230="","",1)</f>
        <v>#VALUE!</v>
      </c>
      <c r="F230" s="97" t="e">
        <f aca="false">IF($C230="","",E230*H230)</f>
        <v>#VALUE!</v>
      </c>
      <c r="G230" s="31" t="n">
        <f aca="false">Swap!AG230</f>
        <v>0.0623869809231015</v>
      </c>
      <c r="H230" s="31" t="n">
        <f aca="false">Swap!AH230</f>
        <v>1.42243667853341</v>
      </c>
      <c r="I230" s="92" t="n">
        <f aca="false">INDEX(expery,MATCH(A230,exprymonth,0),2)</f>
        <v>43825</v>
      </c>
      <c r="J230" s="98" t="n">
        <f aca="false">I230-Front!$C$2</f>
        <v>-2101</v>
      </c>
      <c r="K230" s="99" t="n">
        <f aca="false">Swap!E230</f>
        <v>5.1255</v>
      </c>
      <c r="L230" s="99" t="e">
        <f aca="false">IF(C230="","",(PriceSwitch=0)*K230+(PriceSwitch=1)*(Front!$H$21+K230)+(PriceSwitch=2)*Front!$H$21)</f>
        <v>#VALUE!</v>
      </c>
      <c r="M230" s="93" t="n">
        <f aca="false">INDEX(vols,MATCH(A230,volsmonth,0),2)</f>
        <v>0.17</v>
      </c>
      <c r="N230" s="3" t="e">
        <f aca="false">IF(Skew_Switch=0,"",IF($C230="","",(Front!$E$20=0)*M230+(Front!$E$20=1)*(Front!$E$21+M230)+(Front!$E$20=2)*Front!$E$21))</f>
        <v>#VALUE!</v>
      </c>
      <c r="O230" s="94" t="e">
        <f aca="false">IF(Skew_Switch=0,"",IF(C230="","",((calcskew(Call1-$L230,$C230,a,b))/100)))</f>
        <v>#VALUE!</v>
      </c>
      <c r="P230" s="94" t="e">
        <f aca="false">IF(Skew_Switch=0,"",IF(C230="","",((calcskew(Put1-$L230,$C230,a,b))/100)))</f>
        <v>#VALUE!</v>
      </c>
      <c r="Q230" s="94" t="e">
        <f aca="false">IF(Skew_Switch=0,"",IF(C230="","",((calcskew(Call2-$L230,$C230,a,b))/100)))</f>
        <v>#VALUE!</v>
      </c>
      <c r="R230" s="94" t="e">
        <f aca="false">IF(Skew_Switch=0,"",IF(C230="","",((calcskew(Put2-$L230,$C230,a,b))/100)))</f>
        <v>#VALUE!</v>
      </c>
      <c r="S230" s="3" t="e">
        <f aca="false">IF($C230="","",(Front!$C$19=0)*$N230+(Front!$C$19=1)*($N230+O230))</f>
        <v>#VALUE!</v>
      </c>
      <c r="T230" s="3" t="e">
        <f aca="false">IF($C230="","",(Front!$C$19=0)*$N230+(Front!$C$19=1)*($N230+P230))</f>
        <v>#VALUE!</v>
      </c>
      <c r="U230" s="3" t="e">
        <f aca="false">IF($C230="","",(Front!$C$19=0)*$N230+(Front!$C$19=1)*($N230+Q230))</f>
        <v>#VALUE!</v>
      </c>
      <c r="V230" s="3" t="e">
        <f aca="false">IF($C230="","",(Front!$C$19=0)*$N230+(Front!$C$19=1)*($N230+R230))</f>
        <v>#VALUE!</v>
      </c>
      <c r="W230" s="90" t="e">
        <f aca="false">IF($C230="","",xEURO($L230,Call1,$G230,$G230,S230,$J230,1,0))</f>
        <v>#VALUE!</v>
      </c>
      <c r="X230" s="90" t="e">
        <f aca="false">IF($C230="","",xEURO($L230,Put1,$G230,$G230,T230,$J230,0,0))</f>
        <v>#VALUE!</v>
      </c>
      <c r="Y230" s="90" t="e">
        <f aca="false">IF($C230="","",xEURO($L230,Call2,$G230,$G230,U230,$J230,1,0))</f>
        <v>#VALUE!</v>
      </c>
      <c r="Z230" s="90" t="e">
        <f aca="false">IF($C230="","",xEURO($L230,Put2,$G230,$G230,V230,$J230,0,0))</f>
        <v>#VALUE!</v>
      </c>
      <c r="AA230" s="90" t="e">
        <f aca="false">IF($C230="","",xEURO($L230,Call1,$G230,$G230,$S230,$J230,1,1))</f>
        <v>#VALUE!</v>
      </c>
      <c r="AB230" s="90" t="e">
        <f aca="false">IF($C230="","",xEURO($L230,Put1,$G230,$G230,$T230,$J230,0,1))</f>
        <v>#VALUE!</v>
      </c>
      <c r="AC230" s="90" t="e">
        <f aca="false">IF($C230="","",xEURO($L230,Call2,$G230,$G230,$U230,$J230,1,1))</f>
        <v>#VALUE!</v>
      </c>
      <c r="AD230" s="90" t="e">
        <f aca="false">IF($C230="","",xEURO($L230,Put2,$G230,$G230,$V230,$J230,0,1))</f>
        <v>#VALUE!</v>
      </c>
      <c r="AE230" s="90" t="e">
        <f aca="false">IF($C230="","",xEURO($L230,Call1,$G230,$G230,$S230,$J230,1,3))</f>
        <v>#VALUE!</v>
      </c>
      <c r="AF230" s="90" t="e">
        <f aca="false">IF($C230="","",xEURO($L230,Put1,$G230,$G230,$T230,$J230,0,3))</f>
        <v>#VALUE!</v>
      </c>
      <c r="AG230" s="90" t="e">
        <f aca="false">IF($C230="","",xEURO($L230,Call2,$G230,$G230,$U230,$J230,1,3))</f>
        <v>#VALUE!</v>
      </c>
      <c r="AH230" s="90" t="e">
        <f aca="false">IF($C230="","",xEURO($L230,Put2,$G230,$G230,$V230,$J230,0,3))</f>
        <v>#VALUE!</v>
      </c>
      <c r="AI230" s="8" t="e">
        <f aca="false">IF(E230=1,G230,0)</f>
        <v>#VALUE!</v>
      </c>
      <c r="AJ230" s="8" t="e">
        <f aca="false">IF(E230=1,H230,0)</f>
        <v>#VALUE!</v>
      </c>
      <c r="AK230" s="8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  <c r="IW230" s="0"/>
    </row>
    <row r="231" customFormat="false" ht="12.75" hidden="false" customHeight="false" outlineLevel="0" collapsed="false">
      <c r="A231" s="95" t="n">
        <f aca="false">Swap!A231</f>
        <v>43862</v>
      </c>
      <c r="B231" s="96" t="n">
        <f aca="false">B230+1</f>
        <v>222</v>
      </c>
      <c r="C231" s="95" t="e">
        <f aca="false">IF(AND(A231&gt;=Front!$E$11,A231&lt;=Front!$E$12),A231,"")</f>
        <v>#VALUE!</v>
      </c>
      <c r="D231" s="87" t="e">
        <f aca="false">Swap!AB231</f>
        <v>#VALUE!</v>
      </c>
      <c r="E231" s="87" t="e">
        <f aca="false">IF($C231="","",1)</f>
        <v>#VALUE!</v>
      </c>
      <c r="F231" s="97" t="e">
        <f aca="false">IF($C231="","",E231*H231)</f>
        <v>#VALUE!</v>
      </c>
      <c r="G231" s="31" t="n">
        <f aca="false">Swap!AG231</f>
        <v>0.0624541864203914</v>
      </c>
      <c r="H231" s="31" t="n">
        <f aca="false">Swap!AH231</f>
        <v>1.41556049719117</v>
      </c>
      <c r="I231" s="92" t="n">
        <f aca="false">INDEX(expery,MATCH(A231,exprymonth,0),2)</f>
        <v>43858</v>
      </c>
      <c r="J231" s="98" t="n">
        <f aca="false">I231-Front!$C$2</f>
        <v>-2068</v>
      </c>
      <c r="K231" s="99" t="n">
        <f aca="false">Swap!E231</f>
        <v>5.0115</v>
      </c>
      <c r="L231" s="99" t="e">
        <f aca="false">IF(C231="","",(PriceSwitch=0)*K231+(PriceSwitch=1)*(Front!$H$21+K231)+(PriceSwitch=2)*Front!$H$21)</f>
        <v>#VALUE!</v>
      </c>
      <c r="M231" s="93" t="n">
        <f aca="false">INDEX(vols,MATCH(A231,volsmonth,0),2)</f>
        <v>0.17</v>
      </c>
      <c r="N231" s="3" t="e">
        <f aca="false">IF(Skew_Switch=0,"",IF($C231="","",(Front!$E$20=0)*M231+(Front!$E$20=1)*(Front!$E$21+M231)+(Front!$E$20=2)*Front!$E$21))</f>
        <v>#VALUE!</v>
      </c>
      <c r="O231" s="94" t="e">
        <f aca="false">IF(Skew_Switch=0,"",IF(C231="","",((calcskew(Call1-$L231,$C231,a,b))/100)))</f>
        <v>#VALUE!</v>
      </c>
      <c r="P231" s="94" t="e">
        <f aca="false">IF(Skew_Switch=0,"",IF(C231="","",((calcskew(Put1-$L231,$C231,a,b))/100)))</f>
        <v>#VALUE!</v>
      </c>
      <c r="Q231" s="94" t="e">
        <f aca="false">IF(Skew_Switch=0,"",IF(C231="","",((calcskew(Call2-$L231,$C231,a,b))/100)))</f>
        <v>#VALUE!</v>
      </c>
      <c r="R231" s="94" t="e">
        <f aca="false">IF(Skew_Switch=0,"",IF(C231="","",((calcskew(Put2-$L231,$C231,a,b))/100)))</f>
        <v>#VALUE!</v>
      </c>
      <c r="S231" s="3" t="e">
        <f aca="false">IF($C231="","",(Front!$C$19=0)*$N231+(Front!$C$19=1)*($N231+O231))</f>
        <v>#VALUE!</v>
      </c>
      <c r="T231" s="3" t="e">
        <f aca="false">IF($C231="","",(Front!$C$19=0)*$N231+(Front!$C$19=1)*($N231+P231))</f>
        <v>#VALUE!</v>
      </c>
      <c r="U231" s="3" t="e">
        <f aca="false">IF($C231="","",(Front!$C$19=0)*$N231+(Front!$C$19=1)*($N231+Q231))</f>
        <v>#VALUE!</v>
      </c>
      <c r="V231" s="3" t="e">
        <f aca="false">IF($C231="","",(Front!$C$19=0)*$N231+(Front!$C$19=1)*($N231+R231))</f>
        <v>#VALUE!</v>
      </c>
      <c r="W231" s="90" t="e">
        <f aca="false">IF($C231="","",xEURO($L231,Call1,$G231,$G231,S231,$J231,1,0))</f>
        <v>#VALUE!</v>
      </c>
      <c r="X231" s="90" t="e">
        <f aca="false">IF($C231="","",xEURO($L231,Put1,$G231,$G231,T231,$J231,0,0))</f>
        <v>#VALUE!</v>
      </c>
      <c r="Y231" s="90" t="e">
        <f aca="false">IF($C231="","",xEURO($L231,Call2,$G231,$G231,U231,$J231,1,0))</f>
        <v>#VALUE!</v>
      </c>
      <c r="Z231" s="90" t="e">
        <f aca="false">IF($C231="","",xEURO($L231,Put2,$G231,$G231,V231,$J231,0,0))</f>
        <v>#VALUE!</v>
      </c>
      <c r="AA231" s="90" t="e">
        <f aca="false">IF($C231="","",xEURO($L231,Call1,$G231,$G231,$S231,$J231,1,1))</f>
        <v>#VALUE!</v>
      </c>
      <c r="AB231" s="90" t="e">
        <f aca="false">IF($C231="","",xEURO($L231,Put1,$G231,$G231,$T231,$J231,0,1))</f>
        <v>#VALUE!</v>
      </c>
      <c r="AC231" s="90" t="e">
        <f aca="false">IF($C231="","",xEURO($L231,Call2,$G231,$G231,$U231,$J231,1,1))</f>
        <v>#VALUE!</v>
      </c>
      <c r="AD231" s="90" t="e">
        <f aca="false">IF($C231="","",xEURO($L231,Put2,$G231,$G231,$V231,$J231,0,1))</f>
        <v>#VALUE!</v>
      </c>
      <c r="AE231" s="90" t="e">
        <f aca="false">IF($C231="","",xEURO($L231,Call1,$G231,$G231,$S231,$J231,1,3))</f>
        <v>#VALUE!</v>
      </c>
      <c r="AF231" s="90" t="e">
        <f aca="false">IF($C231="","",xEURO($L231,Put1,$G231,$G231,$T231,$J231,0,3))</f>
        <v>#VALUE!</v>
      </c>
      <c r="AG231" s="90" t="e">
        <f aca="false">IF($C231="","",xEURO($L231,Call2,$G231,$G231,$U231,$J231,1,3))</f>
        <v>#VALUE!</v>
      </c>
      <c r="AH231" s="90" t="e">
        <f aca="false">IF($C231="","",xEURO($L231,Put2,$G231,$G231,$V231,$J231,0,3))</f>
        <v>#VALUE!</v>
      </c>
      <c r="AI231" s="8" t="e">
        <f aca="false">IF(E231=1,G231,0)</f>
        <v>#VALUE!</v>
      </c>
      <c r="AJ231" s="8" t="e">
        <f aca="false">IF(E231=1,H231,0)</f>
        <v>#VALUE!</v>
      </c>
      <c r="AK231" s="8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  <c r="IW231" s="0"/>
    </row>
    <row r="232" customFormat="false" ht="12.75" hidden="false" customHeight="false" outlineLevel="0" collapsed="false">
      <c r="A232" s="95" t="n">
        <f aca="false">Swap!A232</f>
        <v>43891</v>
      </c>
      <c r="B232" s="96" t="n">
        <f aca="false">B231+1</f>
        <v>223</v>
      </c>
      <c r="C232" s="95" t="e">
        <f aca="false">IF(AND(A232&gt;=Front!$E$11,A232&lt;=Front!$E$12),A232,"")</f>
        <v>#VALUE!</v>
      </c>
      <c r="D232" s="87" t="e">
        <f aca="false">Swap!AB232</f>
        <v>#VALUE!</v>
      </c>
      <c r="E232" s="87" t="e">
        <f aca="false">IF($C232="","",1)</f>
        <v>#VALUE!</v>
      </c>
      <c r="F232" s="97" t="e">
        <f aca="false">IF($C232="","",E232*H232)</f>
        <v>#VALUE!</v>
      </c>
      <c r="G232" s="31" t="n">
        <f aca="false">Swap!AG232</f>
        <v>0.0625170560805031</v>
      </c>
      <c r="H232" s="31" t="n">
        <f aca="false">Swap!AH232</f>
        <v>1.40914390817692</v>
      </c>
      <c r="I232" s="92" t="n">
        <f aca="false">INDEX(expery,MATCH(A232,exprymonth,0),2)</f>
        <v>43886</v>
      </c>
      <c r="J232" s="98" t="n">
        <f aca="false">I232-Front!$C$2</f>
        <v>-2040</v>
      </c>
      <c r="K232" s="99" t="n">
        <f aca="false">Swap!E232</f>
        <v>4.8795</v>
      </c>
      <c r="L232" s="99" t="e">
        <f aca="false">IF(C232="","",(PriceSwitch=0)*K232+(PriceSwitch=1)*(Front!$H$21+K232)+(PriceSwitch=2)*Front!$H$21)</f>
        <v>#VALUE!</v>
      </c>
      <c r="M232" s="93" t="n">
        <f aca="false">INDEX(vols,MATCH(A232,volsmonth,0),2)</f>
        <v>0.17</v>
      </c>
      <c r="N232" s="3" t="e">
        <f aca="false">IF(Skew_Switch=0,"",IF($C232="","",(Front!$E$20=0)*M232+(Front!$E$20=1)*(Front!$E$21+M232)+(Front!$E$20=2)*Front!$E$21))</f>
        <v>#VALUE!</v>
      </c>
      <c r="O232" s="94" t="e">
        <f aca="false">IF(Skew_Switch=0,"",IF(C232="","",((calcskew(Call1-$L232,$C232,a,b))/100)))</f>
        <v>#VALUE!</v>
      </c>
      <c r="P232" s="94" t="e">
        <f aca="false">IF(Skew_Switch=0,"",IF(C232="","",((calcskew(Put1-$L232,$C232,a,b))/100)))</f>
        <v>#VALUE!</v>
      </c>
      <c r="Q232" s="94" t="e">
        <f aca="false">IF(Skew_Switch=0,"",IF(C232="","",((calcskew(Call2-$L232,$C232,a,b))/100)))</f>
        <v>#VALUE!</v>
      </c>
      <c r="R232" s="94" t="e">
        <f aca="false">IF(Skew_Switch=0,"",IF(C232="","",((calcskew(Put2-$L232,$C232,a,b))/100)))</f>
        <v>#VALUE!</v>
      </c>
      <c r="S232" s="3" t="e">
        <f aca="false">IF($C232="","",(Front!$C$19=0)*$N232+(Front!$C$19=1)*($N232+O232))</f>
        <v>#VALUE!</v>
      </c>
      <c r="T232" s="3" t="e">
        <f aca="false">IF($C232="","",(Front!$C$19=0)*$N232+(Front!$C$19=1)*($N232+P232))</f>
        <v>#VALUE!</v>
      </c>
      <c r="U232" s="3" t="e">
        <f aca="false">IF($C232="","",(Front!$C$19=0)*$N232+(Front!$C$19=1)*($N232+Q232))</f>
        <v>#VALUE!</v>
      </c>
      <c r="V232" s="3" t="e">
        <f aca="false">IF($C232="","",(Front!$C$19=0)*$N232+(Front!$C$19=1)*($N232+R232))</f>
        <v>#VALUE!</v>
      </c>
      <c r="W232" s="90" t="e">
        <f aca="false">IF($C232="","",xEURO($L232,Call1,$G232,$G232,S232,$J232,1,0))</f>
        <v>#VALUE!</v>
      </c>
      <c r="X232" s="90" t="e">
        <f aca="false">IF($C232="","",xEURO($L232,Put1,$G232,$G232,T232,$J232,0,0))</f>
        <v>#VALUE!</v>
      </c>
      <c r="Y232" s="90" t="e">
        <f aca="false">IF($C232="","",xEURO($L232,Call2,$G232,$G232,U232,$J232,1,0))</f>
        <v>#VALUE!</v>
      </c>
      <c r="Z232" s="90" t="e">
        <f aca="false">IF($C232="","",xEURO($L232,Put2,$G232,$G232,V232,$J232,0,0))</f>
        <v>#VALUE!</v>
      </c>
      <c r="AA232" s="90" t="e">
        <f aca="false">IF($C232="","",xEURO($L232,Call1,$G232,$G232,$S232,$J232,1,1))</f>
        <v>#VALUE!</v>
      </c>
      <c r="AB232" s="90" t="e">
        <f aca="false">IF($C232="","",xEURO($L232,Put1,$G232,$G232,$T232,$J232,0,1))</f>
        <v>#VALUE!</v>
      </c>
      <c r="AC232" s="90" t="e">
        <f aca="false">IF($C232="","",xEURO($L232,Call2,$G232,$G232,$U232,$J232,1,1))</f>
        <v>#VALUE!</v>
      </c>
      <c r="AD232" s="90" t="e">
        <f aca="false">IF($C232="","",xEURO($L232,Put2,$G232,$G232,$V232,$J232,0,1))</f>
        <v>#VALUE!</v>
      </c>
      <c r="AE232" s="90" t="e">
        <f aca="false">IF($C232="","",xEURO($L232,Call1,$G232,$G232,$S232,$J232,1,3))</f>
        <v>#VALUE!</v>
      </c>
      <c r="AF232" s="90" t="e">
        <f aca="false">IF($C232="","",xEURO($L232,Put1,$G232,$G232,$T232,$J232,0,3))</f>
        <v>#VALUE!</v>
      </c>
      <c r="AG232" s="90" t="e">
        <f aca="false">IF($C232="","",xEURO($L232,Call2,$G232,$G232,$U232,$J232,1,3))</f>
        <v>#VALUE!</v>
      </c>
      <c r="AH232" s="90" t="e">
        <f aca="false">IF($C232="","",xEURO($L232,Put2,$G232,$G232,$V232,$J232,0,3))</f>
        <v>#VALUE!</v>
      </c>
      <c r="AI232" s="8" t="e">
        <f aca="false">IF(E232=1,G232,0)</f>
        <v>#VALUE!</v>
      </c>
      <c r="AJ232" s="8" t="e">
        <f aca="false">IF(E232=1,H232,0)</f>
        <v>#VALUE!</v>
      </c>
      <c r="AK232" s="8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</row>
    <row r="233" customFormat="false" ht="12.75" hidden="false" customHeight="false" outlineLevel="0" collapsed="false">
      <c r="A233" s="95" t="n">
        <f aca="false">Swap!A233</f>
        <v>43922</v>
      </c>
      <c r="B233" s="96" t="n">
        <f aca="false">B232+1</f>
        <v>224</v>
      </c>
      <c r="C233" s="95" t="e">
        <f aca="false">IF(AND(A233&gt;=Front!$E$11,A233&lt;=Front!$E$12),A233,"")</f>
        <v>#VALUE!</v>
      </c>
      <c r="D233" s="87" t="e">
        <f aca="false">Swap!AB233</f>
        <v>#VALUE!</v>
      </c>
      <c r="E233" s="87" t="e">
        <f aca="false">IF($C233="","",1)</f>
        <v>#VALUE!</v>
      </c>
      <c r="F233" s="97" t="e">
        <f aca="false">IF($C233="","",E233*H233)</f>
        <v>#VALUE!</v>
      </c>
      <c r="G233" s="31" t="n">
        <f aca="false">Swap!AG233</f>
        <v>0.0625842615806938</v>
      </c>
      <c r="H233" s="31" t="n">
        <f aca="false">Swap!AH233</f>
        <v>1.4023019280458</v>
      </c>
      <c r="I233" s="92" t="n">
        <f aca="false">INDEX(expery,MATCH(A233,exprymonth,0),2)</f>
        <v>43916</v>
      </c>
      <c r="J233" s="98" t="n">
        <f aca="false">I233-Front!$C$2</f>
        <v>-2010</v>
      </c>
      <c r="K233" s="99" t="n">
        <f aca="false">Swap!E233</f>
        <v>4.7095</v>
      </c>
      <c r="L233" s="99" t="e">
        <f aca="false">IF(C233="","",(PriceSwitch=0)*K233+(PriceSwitch=1)*(Front!$H$21+K233)+(PriceSwitch=2)*Front!$H$21)</f>
        <v>#VALUE!</v>
      </c>
      <c r="M233" s="93" t="n">
        <f aca="false">INDEX(vols,MATCH(A233,volsmonth,0),2)</f>
        <v>0.17</v>
      </c>
      <c r="N233" s="3" t="e">
        <f aca="false">IF(Skew_Switch=0,"",IF($C233="","",(Front!$E$20=0)*M233+(Front!$E$20=1)*(Front!$E$21+M233)+(Front!$E$20=2)*Front!$E$21))</f>
        <v>#VALUE!</v>
      </c>
      <c r="O233" s="94" t="e">
        <f aca="false">IF(Skew_Switch=0,"",IF(C233="","",((calcskew(Call1-$L233,$C233,a,b))/100)))</f>
        <v>#VALUE!</v>
      </c>
      <c r="P233" s="94" t="e">
        <f aca="false">IF(Skew_Switch=0,"",IF(C233="","",((calcskew(Put1-$L233,$C233,a,b))/100)))</f>
        <v>#VALUE!</v>
      </c>
      <c r="Q233" s="94" t="e">
        <f aca="false">IF(Skew_Switch=0,"",IF(C233="","",((calcskew(Call2-$L233,$C233,a,b))/100)))</f>
        <v>#VALUE!</v>
      </c>
      <c r="R233" s="94" t="e">
        <f aca="false">IF(Skew_Switch=0,"",IF(C233="","",((calcskew(Put2-$L233,$C233,a,b))/100)))</f>
        <v>#VALUE!</v>
      </c>
      <c r="S233" s="3" t="e">
        <f aca="false">IF($C233="","",(Front!$C$19=0)*$N233+(Front!$C$19=1)*($N233+O233))</f>
        <v>#VALUE!</v>
      </c>
      <c r="T233" s="3" t="e">
        <f aca="false">IF($C233="","",(Front!$C$19=0)*$N233+(Front!$C$19=1)*($N233+P233))</f>
        <v>#VALUE!</v>
      </c>
      <c r="U233" s="3" t="e">
        <f aca="false">IF($C233="","",(Front!$C$19=0)*$N233+(Front!$C$19=1)*($N233+Q233))</f>
        <v>#VALUE!</v>
      </c>
      <c r="V233" s="3" t="e">
        <f aca="false">IF($C233="","",(Front!$C$19=0)*$N233+(Front!$C$19=1)*($N233+R233))</f>
        <v>#VALUE!</v>
      </c>
      <c r="W233" s="90" t="e">
        <f aca="false">IF($C233="","",xEURO($L233,Call1,$G233,$G233,S233,$J233,1,0))</f>
        <v>#VALUE!</v>
      </c>
      <c r="X233" s="90" t="e">
        <f aca="false">IF($C233="","",xEURO($L233,Put1,$G233,$G233,T233,$J233,0,0))</f>
        <v>#VALUE!</v>
      </c>
      <c r="Y233" s="90" t="e">
        <f aca="false">IF($C233="","",xEURO($L233,Call2,$G233,$G233,U233,$J233,1,0))</f>
        <v>#VALUE!</v>
      </c>
      <c r="Z233" s="90" t="e">
        <f aca="false">IF($C233="","",xEURO($L233,Put2,$G233,$G233,V233,$J233,0,0))</f>
        <v>#VALUE!</v>
      </c>
      <c r="AA233" s="90" t="e">
        <f aca="false">IF($C233="","",xEURO($L233,Call1,$G233,$G233,$S233,$J233,1,1))</f>
        <v>#VALUE!</v>
      </c>
      <c r="AB233" s="90" t="e">
        <f aca="false">IF($C233="","",xEURO($L233,Put1,$G233,$G233,$T233,$J233,0,1))</f>
        <v>#VALUE!</v>
      </c>
      <c r="AC233" s="90" t="e">
        <f aca="false">IF($C233="","",xEURO($L233,Call2,$G233,$G233,$U233,$J233,1,1))</f>
        <v>#VALUE!</v>
      </c>
      <c r="AD233" s="90" t="e">
        <f aca="false">IF($C233="","",xEURO($L233,Put2,$G233,$G233,$V233,$J233,0,1))</f>
        <v>#VALUE!</v>
      </c>
      <c r="AE233" s="90" t="e">
        <f aca="false">IF($C233="","",xEURO($L233,Call1,$G233,$G233,$S233,$J233,1,3))</f>
        <v>#VALUE!</v>
      </c>
      <c r="AF233" s="90" t="e">
        <f aca="false">IF($C233="","",xEURO($L233,Put1,$G233,$G233,$T233,$J233,0,3))</f>
        <v>#VALUE!</v>
      </c>
      <c r="AG233" s="90" t="e">
        <f aca="false">IF($C233="","",xEURO($L233,Call2,$G233,$G233,$U233,$J233,1,3))</f>
        <v>#VALUE!</v>
      </c>
      <c r="AH233" s="90" t="e">
        <f aca="false">IF($C233="","",xEURO($L233,Put2,$G233,$G233,$V233,$J233,0,3))</f>
        <v>#VALUE!</v>
      </c>
      <c r="AI233" s="8" t="e">
        <f aca="false">IF(E233=1,G233,0)</f>
        <v>#VALUE!</v>
      </c>
      <c r="AJ233" s="8" t="e">
        <f aca="false">IF(E233=1,H233,0)</f>
        <v>#VALUE!</v>
      </c>
      <c r="AK233" s="8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</row>
    <row r="234" customFormat="false" ht="12.75" hidden="false" customHeight="false" outlineLevel="0" collapsed="false">
      <c r="A234" s="95" t="n">
        <f aca="false">Swap!A234</f>
        <v>43952</v>
      </c>
      <c r="B234" s="96" t="n">
        <f aca="false">B233+1</f>
        <v>225</v>
      </c>
      <c r="C234" s="95" t="e">
        <f aca="false">IF(AND(A234&gt;=Front!$E$11,A234&lt;=Front!$E$12),A234,"")</f>
        <v>#VALUE!</v>
      </c>
      <c r="D234" s="87" t="e">
        <f aca="false">Swap!AB234</f>
        <v>#VALUE!</v>
      </c>
      <c r="E234" s="87" t="e">
        <f aca="false">IF($C234="","",1)</f>
        <v>#VALUE!</v>
      </c>
      <c r="F234" s="97" t="e">
        <f aca="false">IF($C234="","",E234*H234)</f>
        <v>#VALUE!</v>
      </c>
      <c r="G234" s="31" t="n">
        <f aca="false">Swap!AG234</f>
        <v>0.0626492991629508</v>
      </c>
      <c r="H234" s="31" t="n">
        <f aca="false">Swap!AH234</f>
        <v>1.3956975736685</v>
      </c>
      <c r="I234" s="92" t="n">
        <f aca="false">INDEX(expery,MATCH(A234,exprymonth,0),2)</f>
        <v>43948</v>
      </c>
      <c r="J234" s="98" t="n">
        <f aca="false">I234-Front!$C$2</f>
        <v>-1978</v>
      </c>
      <c r="K234" s="99" t="n">
        <f aca="false">Swap!E234</f>
        <v>4.7095</v>
      </c>
      <c r="L234" s="99" t="e">
        <f aca="false">IF(C234="","",(PriceSwitch=0)*K234+(PriceSwitch=1)*(Front!$H$21+K234)+(PriceSwitch=2)*Front!$H$21)</f>
        <v>#VALUE!</v>
      </c>
      <c r="M234" s="93" t="n">
        <f aca="false">INDEX(vols,MATCH(A234,volsmonth,0),2)</f>
        <v>0.17</v>
      </c>
      <c r="N234" s="3" t="e">
        <f aca="false">IF(Skew_Switch=0,"",IF($C234="","",(Front!$E$20=0)*M234+(Front!$E$20=1)*(Front!$E$21+M234)+(Front!$E$20=2)*Front!$E$21))</f>
        <v>#VALUE!</v>
      </c>
      <c r="O234" s="94" t="e">
        <f aca="false">IF(Skew_Switch=0,"",IF(C234="","",((calcskew(Call1-$L234,$C234,a,b))/100)))</f>
        <v>#VALUE!</v>
      </c>
      <c r="P234" s="94" t="e">
        <f aca="false">IF(Skew_Switch=0,"",IF(C234="","",((calcskew(Put1-$L234,$C234,a,b))/100)))</f>
        <v>#VALUE!</v>
      </c>
      <c r="Q234" s="94" t="e">
        <f aca="false">IF(Skew_Switch=0,"",IF(C234="","",((calcskew(Call2-$L234,$C234,a,b))/100)))</f>
        <v>#VALUE!</v>
      </c>
      <c r="R234" s="94" t="e">
        <f aca="false">IF(Skew_Switch=0,"",IF(C234="","",((calcskew(Put2-$L234,$C234,a,b))/100)))</f>
        <v>#VALUE!</v>
      </c>
      <c r="S234" s="3" t="e">
        <f aca="false">IF($C234="","",(Front!$C$19=0)*$N234+(Front!$C$19=1)*($N234+O234))</f>
        <v>#VALUE!</v>
      </c>
      <c r="T234" s="3" t="e">
        <f aca="false">IF($C234="","",(Front!$C$19=0)*$N234+(Front!$C$19=1)*($N234+P234))</f>
        <v>#VALUE!</v>
      </c>
      <c r="U234" s="3" t="e">
        <f aca="false">IF($C234="","",(Front!$C$19=0)*$N234+(Front!$C$19=1)*($N234+Q234))</f>
        <v>#VALUE!</v>
      </c>
      <c r="V234" s="3" t="e">
        <f aca="false">IF($C234="","",(Front!$C$19=0)*$N234+(Front!$C$19=1)*($N234+R234))</f>
        <v>#VALUE!</v>
      </c>
      <c r="W234" s="90" t="e">
        <f aca="false">IF($C234="","",xEURO($L234,Call1,$G234,$G234,S234,$J234,1,0))</f>
        <v>#VALUE!</v>
      </c>
      <c r="X234" s="90" t="e">
        <f aca="false">IF($C234="","",xEURO($L234,Put1,$G234,$G234,T234,$J234,0,0))</f>
        <v>#VALUE!</v>
      </c>
      <c r="Y234" s="90" t="e">
        <f aca="false">IF($C234="","",xEURO($L234,Call2,$G234,$G234,U234,$J234,1,0))</f>
        <v>#VALUE!</v>
      </c>
      <c r="Z234" s="90" t="e">
        <f aca="false">IF($C234="","",xEURO($L234,Put2,$G234,$G234,V234,$J234,0,0))</f>
        <v>#VALUE!</v>
      </c>
      <c r="AA234" s="90" t="e">
        <f aca="false">IF($C234="","",xEURO($L234,Call1,$G234,$G234,$S234,$J234,1,1))</f>
        <v>#VALUE!</v>
      </c>
      <c r="AB234" s="90" t="e">
        <f aca="false">IF($C234="","",xEURO($L234,Put1,$G234,$G234,$T234,$J234,0,1))</f>
        <v>#VALUE!</v>
      </c>
      <c r="AC234" s="90" t="e">
        <f aca="false">IF($C234="","",xEURO($L234,Call2,$G234,$G234,$U234,$J234,1,1))</f>
        <v>#VALUE!</v>
      </c>
      <c r="AD234" s="90" t="e">
        <f aca="false">IF($C234="","",xEURO($L234,Put2,$G234,$G234,$V234,$J234,0,1))</f>
        <v>#VALUE!</v>
      </c>
      <c r="AE234" s="90" t="e">
        <f aca="false">IF($C234="","",xEURO($L234,Call1,$G234,$G234,$S234,$J234,1,3))</f>
        <v>#VALUE!</v>
      </c>
      <c r="AF234" s="90" t="e">
        <f aca="false">IF($C234="","",xEURO($L234,Put1,$G234,$G234,$T234,$J234,0,3))</f>
        <v>#VALUE!</v>
      </c>
      <c r="AG234" s="90" t="e">
        <f aca="false">IF($C234="","",xEURO($L234,Call2,$G234,$G234,$U234,$J234,1,3))</f>
        <v>#VALUE!</v>
      </c>
      <c r="AH234" s="90" t="e">
        <f aca="false">IF($C234="","",xEURO($L234,Put2,$G234,$G234,$V234,$J234,0,3))</f>
        <v>#VALUE!</v>
      </c>
      <c r="AI234" s="8" t="e">
        <f aca="false">IF(E234=1,G234,0)</f>
        <v>#VALUE!</v>
      </c>
      <c r="AJ234" s="8" t="e">
        <f aca="false">IF(E234=1,H234,0)</f>
        <v>#VALUE!</v>
      </c>
      <c r="AK234" s="8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</row>
    <row r="235" customFormat="false" ht="12.75" hidden="false" customHeight="false" outlineLevel="0" collapsed="false">
      <c r="A235" s="95" t="n">
        <f aca="false">Swap!A235</f>
        <v>43983</v>
      </c>
      <c r="B235" s="96" t="n">
        <f aca="false">B234+1</f>
        <v>226</v>
      </c>
      <c r="C235" s="95" t="e">
        <f aca="false">IF(AND(A235&gt;=Front!$E$11,A235&lt;=Front!$E$12),A235,"")</f>
        <v>#VALUE!</v>
      </c>
      <c r="D235" s="87" t="e">
        <f aca="false">Swap!AB235</f>
        <v>#VALUE!</v>
      </c>
      <c r="E235" s="87" t="e">
        <f aca="false">IF($C235="","",1)</f>
        <v>#VALUE!</v>
      </c>
      <c r="F235" s="97" t="e">
        <f aca="false">IF($C235="","",E235*H235)</f>
        <v>#VALUE!</v>
      </c>
      <c r="G235" s="31" t="n">
        <f aca="false">Swap!AG235</f>
        <v>0.0627165046660907</v>
      </c>
      <c r="H235" s="31" t="n">
        <f aca="false">Swap!AH235</f>
        <v>1.3888906180813</v>
      </c>
      <c r="I235" s="92" t="n">
        <f aca="false">INDEX(expery,MATCH(A235,exprymonth,0),2)</f>
        <v>43977</v>
      </c>
      <c r="J235" s="98" t="n">
        <f aca="false">I235-Front!$C$2</f>
        <v>-1949</v>
      </c>
      <c r="K235" s="99" t="n">
        <f aca="false">Swap!E235</f>
        <v>4.7415</v>
      </c>
      <c r="L235" s="99" t="e">
        <f aca="false">IF(C235="","",(PriceSwitch=0)*K235+(PriceSwitch=1)*(Front!$H$21+K235)+(PriceSwitch=2)*Front!$H$21)</f>
        <v>#VALUE!</v>
      </c>
      <c r="M235" s="93" t="n">
        <f aca="false">INDEX(vols,MATCH(A235,volsmonth,0),2)</f>
        <v>0.17</v>
      </c>
      <c r="N235" s="3" t="e">
        <f aca="false">IF(Skew_Switch=0,"",IF($C235="","",(Front!$E$20=0)*M235+(Front!$E$20=1)*(Front!$E$21+M235)+(Front!$E$20=2)*Front!$E$21))</f>
        <v>#VALUE!</v>
      </c>
      <c r="O235" s="94" t="e">
        <f aca="false">IF(Skew_Switch=0,"",IF(C235="","",((calcskew(Call1-$L235,$C235,a,b))/100)))</f>
        <v>#VALUE!</v>
      </c>
      <c r="P235" s="94" t="e">
        <f aca="false">IF(Skew_Switch=0,"",IF(C235="","",((calcskew(Put1-$L235,$C235,a,b))/100)))</f>
        <v>#VALUE!</v>
      </c>
      <c r="Q235" s="94" t="e">
        <f aca="false">IF(Skew_Switch=0,"",IF(C235="","",((calcskew(Call2-$L235,$C235,a,b))/100)))</f>
        <v>#VALUE!</v>
      </c>
      <c r="R235" s="94" t="e">
        <f aca="false">IF(Skew_Switch=0,"",IF(C235="","",((calcskew(Put2-$L235,$C235,a,b))/100)))</f>
        <v>#VALUE!</v>
      </c>
      <c r="S235" s="3" t="e">
        <f aca="false">IF($C235="","",(Front!$C$19=0)*$N235+(Front!$C$19=1)*($N235+O235))</f>
        <v>#VALUE!</v>
      </c>
      <c r="T235" s="3" t="e">
        <f aca="false">IF($C235="","",(Front!$C$19=0)*$N235+(Front!$C$19=1)*($N235+P235))</f>
        <v>#VALUE!</v>
      </c>
      <c r="U235" s="3" t="e">
        <f aca="false">IF($C235="","",(Front!$C$19=0)*$N235+(Front!$C$19=1)*($N235+Q235))</f>
        <v>#VALUE!</v>
      </c>
      <c r="V235" s="3" t="e">
        <f aca="false">IF($C235="","",(Front!$C$19=0)*$N235+(Front!$C$19=1)*($N235+R235))</f>
        <v>#VALUE!</v>
      </c>
      <c r="W235" s="90" t="e">
        <f aca="false">IF($C235="","",xEURO($L235,Call1,$G235,$G235,S235,$J235,1,0))</f>
        <v>#VALUE!</v>
      </c>
      <c r="X235" s="90" t="e">
        <f aca="false">IF($C235="","",xEURO($L235,Put1,$G235,$G235,T235,$J235,0,0))</f>
        <v>#VALUE!</v>
      </c>
      <c r="Y235" s="90" t="e">
        <f aca="false">IF($C235="","",xEURO($L235,Call2,$G235,$G235,U235,$J235,1,0))</f>
        <v>#VALUE!</v>
      </c>
      <c r="Z235" s="90" t="e">
        <f aca="false">IF($C235="","",xEURO($L235,Put2,$G235,$G235,V235,$J235,0,0))</f>
        <v>#VALUE!</v>
      </c>
      <c r="AA235" s="90" t="e">
        <f aca="false">IF($C235="","",xEURO($L235,Call1,$G235,$G235,$S235,$J235,1,1))</f>
        <v>#VALUE!</v>
      </c>
      <c r="AB235" s="90" t="e">
        <f aca="false">IF($C235="","",xEURO($L235,Put1,$G235,$G235,$T235,$J235,0,1))</f>
        <v>#VALUE!</v>
      </c>
      <c r="AC235" s="90" t="e">
        <f aca="false">IF($C235="","",xEURO($L235,Call2,$G235,$G235,$U235,$J235,1,1))</f>
        <v>#VALUE!</v>
      </c>
      <c r="AD235" s="90" t="e">
        <f aca="false">IF($C235="","",xEURO($L235,Put2,$G235,$G235,$V235,$J235,0,1))</f>
        <v>#VALUE!</v>
      </c>
      <c r="AE235" s="90" t="e">
        <f aca="false">IF($C235="","",xEURO($L235,Call1,$G235,$G235,$S235,$J235,1,3))</f>
        <v>#VALUE!</v>
      </c>
      <c r="AF235" s="90" t="e">
        <f aca="false">IF($C235="","",xEURO($L235,Put1,$G235,$G235,$T235,$J235,0,3))</f>
        <v>#VALUE!</v>
      </c>
      <c r="AG235" s="90" t="e">
        <f aca="false">IF($C235="","",xEURO($L235,Call2,$G235,$G235,$U235,$J235,1,3))</f>
        <v>#VALUE!</v>
      </c>
      <c r="AH235" s="90" t="e">
        <f aca="false">IF($C235="","",xEURO($L235,Put2,$G235,$G235,$V235,$J235,0,3))</f>
        <v>#VALUE!</v>
      </c>
      <c r="AI235" s="8" t="e">
        <f aca="false">IF(E235=1,G235,0)</f>
        <v>#VALUE!</v>
      </c>
      <c r="AJ235" s="8" t="e">
        <f aca="false">IF(E235=1,H235,0)</f>
        <v>#VALUE!</v>
      </c>
      <c r="AK235" s="8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</row>
    <row r="236" customFormat="false" ht="12.75" hidden="false" customHeight="false" outlineLevel="0" collapsed="false">
      <c r="A236" s="95" t="n">
        <f aca="false">Swap!A236</f>
        <v>44013</v>
      </c>
      <c r="B236" s="96" t="n">
        <f aca="false">B235+1</f>
        <v>227</v>
      </c>
      <c r="C236" s="95" t="e">
        <f aca="false">IF(AND(A236&gt;=Front!$E$11,A236&lt;=Front!$E$12),A236,"")</f>
        <v>#VALUE!</v>
      </c>
      <c r="D236" s="87" t="e">
        <f aca="false">Swap!AB236</f>
        <v>#VALUE!</v>
      </c>
      <c r="E236" s="87" t="e">
        <f aca="false">IF($C236="","",1)</f>
        <v>#VALUE!</v>
      </c>
      <c r="F236" s="97" t="e">
        <f aca="false">IF($C236="","",E236*H236)</f>
        <v>#VALUE!</v>
      </c>
      <c r="G236" s="31" t="n">
        <f aca="false">Swap!AG236</f>
        <v>0.0627815422512015</v>
      </c>
      <c r="H236" s="31" t="n">
        <f aca="false">Swap!AH236</f>
        <v>1.38232027948592</v>
      </c>
      <c r="I236" s="92" t="n">
        <f aca="false">INDEX(expery,MATCH(A236,exprymonth,0),2)</f>
        <v>44007</v>
      </c>
      <c r="J236" s="98" t="n">
        <f aca="false">I236-Front!$C$2</f>
        <v>-1919</v>
      </c>
      <c r="K236" s="99" t="n">
        <f aca="false">Swap!E236</f>
        <v>4.7915</v>
      </c>
      <c r="L236" s="99" t="e">
        <f aca="false">IF(C236="","",(PriceSwitch=0)*K236+(PriceSwitch=1)*(Front!$H$21+K236)+(PriceSwitch=2)*Front!$H$21)</f>
        <v>#VALUE!</v>
      </c>
      <c r="M236" s="93" t="n">
        <f aca="false">INDEX(vols,MATCH(A236,volsmonth,0),2)</f>
        <v>0.17</v>
      </c>
      <c r="N236" s="3" t="e">
        <f aca="false">IF(Skew_Switch=0,"",IF($C236="","",(Front!$E$20=0)*M236+(Front!$E$20=1)*(Front!$E$21+M236)+(Front!$E$20=2)*Front!$E$21))</f>
        <v>#VALUE!</v>
      </c>
      <c r="O236" s="94" t="e">
        <f aca="false">IF(Skew_Switch=0,"",IF(C236="","",((calcskew(Call1-$L236,$C236,a,b))/100)))</f>
        <v>#VALUE!</v>
      </c>
      <c r="P236" s="94" t="e">
        <f aca="false">IF(Skew_Switch=0,"",IF(C236="","",((calcskew(Put1-$L236,$C236,a,b))/100)))</f>
        <v>#VALUE!</v>
      </c>
      <c r="Q236" s="94" t="e">
        <f aca="false">IF(Skew_Switch=0,"",IF(C236="","",((calcskew(Call2-$L236,$C236,a,b))/100)))</f>
        <v>#VALUE!</v>
      </c>
      <c r="R236" s="94" t="e">
        <f aca="false">IF(Skew_Switch=0,"",IF(C236="","",((calcskew(Put2-$L236,$C236,a,b))/100)))</f>
        <v>#VALUE!</v>
      </c>
      <c r="S236" s="3" t="e">
        <f aca="false">IF($C236="","",(Front!$C$19=0)*$N236+(Front!$C$19=1)*($N236+O236))</f>
        <v>#VALUE!</v>
      </c>
      <c r="T236" s="3" t="e">
        <f aca="false">IF($C236="","",(Front!$C$19=0)*$N236+(Front!$C$19=1)*($N236+P236))</f>
        <v>#VALUE!</v>
      </c>
      <c r="U236" s="3" t="e">
        <f aca="false">IF($C236="","",(Front!$C$19=0)*$N236+(Front!$C$19=1)*($N236+Q236))</f>
        <v>#VALUE!</v>
      </c>
      <c r="V236" s="3" t="e">
        <f aca="false">IF($C236="","",(Front!$C$19=0)*$N236+(Front!$C$19=1)*($N236+R236))</f>
        <v>#VALUE!</v>
      </c>
      <c r="W236" s="90" t="e">
        <f aca="false">IF($C236="","",xEURO($L236,Call1,$G236,$G236,S236,$J236,1,0))</f>
        <v>#VALUE!</v>
      </c>
      <c r="X236" s="90" t="e">
        <f aca="false">IF($C236="","",xEURO($L236,Put1,$G236,$G236,T236,$J236,0,0))</f>
        <v>#VALUE!</v>
      </c>
      <c r="Y236" s="90" t="e">
        <f aca="false">IF($C236="","",xEURO($L236,Call2,$G236,$G236,U236,$J236,1,0))</f>
        <v>#VALUE!</v>
      </c>
      <c r="Z236" s="90" t="e">
        <f aca="false">IF($C236="","",xEURO($L236,Put2,$G236,$G236,V236,$J236,0,0))</f>
        <v>#VALUE!</v>
      </c>
      <c r="AA236" s="90" t="e">
        <f aca="false">IF($C236="","",xEURO($L236,Call1,$G236,$G236,$S236,$J236,1,1))</f>
        <v>#VALUE!</v>
      </c>
      <c r="AB236" s="90" t="e">
        <f aca="false">IF($C236="","",xEURO($L236,Put1,$G236,$G236,$T236,$J236,0,1))</f>
        <v>#VALUE!</v>
      </c>
      <c r="AC236" s="90" t="e">
        <f aca="false">IF($C236="","",xEURO($L236,Call2,$G236,$G236,$U236,$J236,1,1))</f>
        <v>#VALUE!</v>
      </c>
      <c r="AD236" s="90" t="e">
        <f aca="false">IF($C236="","",xEURO($L236,Put2,$G236,$G236,$V236,$J236,0,1))</f>
        <v>#VALUE!</v>
      </c>
      <c r="AE236" s="90" t="e">
        <f aca="false">IF($C236="","",xEURO($L236,Call1,$G236,$G236,$S236,$J236,1,3))</f>
        <v>#VALUE!</v>
      </c>
      <c r="AF236" s="90" t="e">
        <f aca="false">IF($C236="","",xEURO($L236,Put1,$G236,$G236,$T236,$J236,0,3))</f>
        <v>#VALUE!</v>
      </c>
      <c r="AG236" s="90" t="e">
        <f aca="false">IF($C236="","",xEURO($L236,Call2,$G236,$G236,$U236,$J236,1,3))</f>
        <v>#VALUE!</v>
      </c>
      <c r="AH236" s="90" t="e">
        <f aca="false">IF($C236="","",xEURO($L236,Put2,$G236,$G236,$V236,$J236,0,3))</f>
        <v>#VALUE!</v>
      </c>
      <c r="AI236" s="8" t="e">
        <f aca="false">IF(E236=1,G236,0)</f>
        <v>#VALUE!</v>
      </c>
      <c r="AJ236" s="8" t="e">
        <f aca="false">IF(E236=1,H236,0)</f>
        <v>#VALUE!</v>
      </c>
      <c r="AK236" s="8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</row>
    <row r="237" customFormat="false" ht="12.75" hidden="false" customHeight="false" outlineLevel="0" collapsed="false">
      <c r="A237" s="95" t="n">
        <f aca="false">Swap!A237</f>
        <v>44044</v>
      </c>
      <c r="B237" s="96" t="n">
        <f aca="false">B236+1</f>
        <v>228</v>
      </c>
      <c r="C237" s="95" t="e">
        <f aca="false">IF(AND(A237&gt;=Front!$E$11,A237&lt;=Front!$E$12),A237,"")</f>
        <v>#VALUE!</v>
      </c>
      <c r="D237" s="87" t="e">
        <f aca="false">Swap!AB237</f>
        <v>#VALUE!</v>
      </c>
      <c r="E237" s="87" t="e">
        <f aca="false">IF($C237="","",1)</f>
        <v>#VALUE!</v>
      </c>
      <c r="F237" s="97" t="e">
        <f aca="false">IF($C237="","",E237*H237)</f>
        <v>#VALUE!</v>
      </c>
      <c r="G237" s="31" t="n">
        <f aca="false">Swap!AG237</f>
        <v>0.062848747757291</v>
      </c>
      <c r="H237" s="31" t="n">
        <f aca="false">Swap!AH237</f>
        <v>1.375548596879</v>
      </c>
      <c r="I237" s="92" t="n">
        <f aca="false">INDEX(expery,MATCH(A237,exprymonth,0),2)</f>
        <v>44040</v>
      </c>
      <c r="J237" s="98" t="n">
        <f aca="false">I237-Front!$C$2</f>
        <v>-1886</v>
      </c>
      <c r="K237" s="99" t="n">
        <f aca="false">Swap!E237</f>
        <v>4.8255</v>
      </c>
      <c r="L237" s="99" t="e">
        <f aca="false">IF(C237="","",(PriceSwitch=0)*K237+(PriceSwitch=1)*(Front!$H$21+K237)+(PriceSwitch=2)*Front!$H$21)</f>
        <v>#VALUE!</v>
      </c>
      <c r="M237" s="93" t="n">
        <f aca="false">INDEX(vols,MATCH(A237,volsmonth,0),2)</f>
        <v>0.17</v>
      </c>
      <c r="N237" s="3" t="e">
        <f aca="false">IF(Skew_Switch=0,"",IF($C237="","",(Front!$E$20=0)*M237+(Front!$E$20=1)*(Front!$E$21+M237)+(Front!$E$20=2)*Front!$E$21))</f>
        <v>#VALUE!</v>
      </c>
      <c r="O237" s="94" t="e">
        <f aca="false">IF(Skew_Switch=0,"",IF(C237="","",((calcskew(Call1-$L237,$C237,a,b))/100)))</f>
        <v>#VALUE!</v>
      </c>
      <c r="P237" s="94" t="e">
        <f aca="false">IF(Skew_Switch=0,"",IF(C237="","",((calcskew(Put1-$L237,$C237,a,b))/100)))</f>
        <v>#VALUE!</v>
      </c>
      <c r="Q237" s="94" t="e">
        <f aca="false">IF(Skew_Switch=0,"",IF(C237="","",((calcskew(Call2-$L237,$C237,a,b))/100)))</f>
        <v>#VALUE!</v>
      </c>
      <c r="R237" s="94" t="e">
        <f aca="false">IF(Skew_Switch=0,"",IF(C237="","",((calcskew(Put2-$L237,$C237,a,b))/100)))</f>
        <v>#VALUE!</v>
      </c>
      <c r="S237" s="3" t="e">
        <f aca="false">IF($C237="","",(Front!$C$19=0)*$N237+(Front!$C$19=1)*($N237+O237))</f>
        <v>#VALUE!</v>
      </c>
      <c r="T237" s="3" t="e">
        <f aca="false">IF($C237="","",(Front!$C$19=0)*$N237+(Front!$C$19=1)*($N237+P237))</f>
        <v>#VALUE!</v>
      </c>
      <c r="U237" s="3" t="e">
        <f aca="false">IF($C237="","",(Front!$C$19=0)*$N237+(Front!$C$19=1)*($N237+Q237))</f>
        <v>#VALUE!</v>
      </c>
      <c r="V237" s="3" t="e">
        <f aca="false">IF($C237="","",(Front!$C$19=0)*$N237+(Front!$C$19=1)*($N237+R237))</f>
        <v>#VALUE!</v>
      </c>
      <c r="W237" s="90" t="e">
        <f aca="false">IF($C237="","",xEURO($L237,Call1,$G237,$G237,S237,$J237,1,0))</f>
        <v>#VALUE!</v>
      </c>
      <c r="X237" s="90" t="e">
        <f aca="false">IF($C237="","",xEURO($L237,Put1,$G237,$G237,T237,$J237,0,0))</f>
        <v>#VALUE!</v>
      </c>
      <c r="Y237" s="90" t="e">
        <f aca="false">IF($C237="","",xEURO($L237,Call2,$G237,$G237,U237,$J237,1,0))</f>
        <v>#VALUE!</v>
      </c>
      <c r="Z237" s="90" t="e">
        <f aca="false">IF($C237="","",xEURO($L237,Put2,$G237,$G237,V237,$J237,0,0))</f>
        <v>#VALUE!</v>
      </c>
      <c r="AA237" s="90" t="e">
        <f aca="false">IF($C237="","",xEURO($L237,Call1,$G237,$G237,$S237,$J237,1,1))</f>
        <v>#VALUE!</v>
      </c>
      <c r="AB237" s="90" t="e">
        <f aca="false">IF($C237="","",xEURO($L237,Put1,$G237,$G237,$T237,$J237,0,1))</f>
        <v>#VALUE!</v>
      </c>
      <c r="AC237" s="90" t="e">
        <f aca="false">IF($C237="","",xEURO($L237,Call2,$G237,$G237,$U237,$J237,1,1))</f>
        <v>#VALUE!</v>
      </c>
      <c r="AD237" s="90" t="e">
        <f aca="false">IF($C237="","",xEURO($L237,Put2,$G237,$G237,$V237,$J237,0,1))</f>
        <v>#VALUE!</v>
      </c>
      <c r="AE237" s="90" t="e">
        <f aca="false">IF($C237="","",xEURO($L237,Call1,$G237,$G237,$S237,$J237,1,3))</f>
        <v>#VALUE!</v>
      </c>
      <c r="AF237" s="90" t="e">
        <f aca="false">IF($C237="","",xEURO($L237,Put1,$G237,$G237,$T237,$J237,0,3))</f>
        <v>#VALUE!</v>
      </c>
      <c r="AG237" s="90" t="e">
        <f aca="false">IF($C237="","",xEURO($L237,Call2,$G237,$G237,$U237,$J237,1,3))</f>
        <v>#VALUE!</v>
      </c>
      <c r="AH237" s="90" t="e">
        <f aca="false">IF($C237="","",xEURO($L237,Put2,$G237,$G237,$V237,$J237,0,3))</f>
        <v>#VALUE!</v>
      </c>
      <c r="AI237" s="8" t="e">
        <f aca="false">IF(E237=1,G237,0)</f>
        <v>#VALUE!</v>
      </c>
      <c r="AJ237" s="8" t="e">
        <f aca="false">IF(E237=1,H237,0)</f>
        <v>#VALUE!</v>
      </c>
      <c r="AK237" s="8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</row>
    <row r="238" customFormat="false" ht="12.75" hidden="false" customHeight="false" outlineLevel="0" collapsed="false">
      <c r="A238" s="95" t="n">
        <f aca="false">Swap!A238</f>
        <v>44075</v>
      </c>
      <c r="B238" s="96" t="n">
        <f aca="false">B237+1</f>
        <v>229</v>
      </c>
      <c r="C238" s="95" t="e">
        <f aca="false">IF(AND(A238&gt;=Front!$E$11,A238&lt;=Front!$E$12),A238,"")</f>
        <v>#VALUE!</v>
      </c>
      <c r="D238" s="87" t="e">
        <f aca="false">Swap!AB238</f>
        <v>#VALUE!</v>
      </c>
      <c r="E238" s="87" t="e">
        <f aca="false">IF($C238="","",1)</f>
        <v>#VALUE!</v>
      </c>
      <c r="F238" s="97" t="e">
        <f aca="false">IF($C238="","",E238*H238)</f>
        <v>#VALUE!</v>
      </c>
      <c r="G238" s="31" t="n">
        <f aca="false">Swap!AG238</f>
        <v>0.0629159532648784</v>
      </c>
      <c r="H238" s="31" t="n">
        <f aca="false">Swap!AH238</f>
        <v>1.36879493285507</v>
      </c>
      <c r="I238" s="92" t="n">
        <f aca="false">INDEX(expery,MATCH(A238,exprymonth,0),2)</f>
        <v>44069</v>
      </c>
      <c r="J238" s="98" t="n">
        <f aca="false">I238-Front!$C$2</f>
        <v>-1857</v>
      </c>
      <c r="K238" s="99" t="n">
        <f aca="false">Swap!E238</f>
        <v>4.8385</v>
      </c>
      <c r="L238" s="99" t="e">
        <f aca="false">IF(C238="","",(PriceSwitch=0)*K238+(PriceSwitch=1)*(Front!$H$21+K238)+(PriceSwitch=2)*Front!$H$21)</f>
        <v>#VALUE!</v>
      </c>
      <c r="M238" s="93" t="n">
        <f aca="false">INDEX(vols,MATCH(A238,volsmonth,0),2)</f>
        <v>0.17</v>
      </c>
      <c r="N238" s="3" t="e">
        <f aca="false">IF(Skew_Switch=0,"",IF($C238="","",(Front!$E$20=0)*M238+(Front!$E$20=1)*(Front!$E$21+M238)+(Front!$E$20=2)*Front!$E$21))</f>
        <v>#VALUE!</v>
      </c>
      <c r="O238" s="94" t="e">
        <f aca="false">IF(Skew_Switch=0,"",IF(C238="","",((calcskew(Call1-$L238,$C238,a,b))/100)))</f>
        <v>#VALUE!</v>
      </c>
      <c r="P238" s="94" t="e">
        <f aca="false">IF(Skew_Switch=0,"",IF(C238="","",((calcskew(Put1-$L238,$C238,a,b))/100)))</f>
        <v>#VALUE!</v>
      </c>
      <c r="Q238" s="94" t="e">
        <f aca="false">IF(Skew_Switch=0,"",IF(C238="","",((calcskew(Call2-$L238,$C238,a,b))/100)))</f>
        <v>#VALUE!</v>
      </c>
      <c r="R238" s="94" t="e">
        <f aca="false">IF(Skew_Switch=0,"",IF(C238="","",((calcskew(Put2-$L238,$C238,a,b))/100)))</f>
        <v>#VALUE!</v>
      </c>
      <c r="S238" s="3" t="e">
        <f aca="false">IF($C238="","",(Front!$C$19=0)*$N238+(Front!$C$19=1)*($N238+O238))</f>
        <v>#VALUE!</v>
      </c>
      <c r="T238" s="3" t="e">
        <f aca="false">IF($C238="","",(Front!$C$19=0)*$N238+(Front!$C$19=1)*($N238+P238))</f>
        <v>#VALUE!</v>
      </c>
      <c r="U238" s="3" t="e">
        <f aca="false">IF($C238="","",(Front!$C$19=0)*$N238+(Front!$C$19=1)*($N238+Q238))</f>
        <v>#VALUE!</v>
      </c>
      <c r="V238" s="3" t="e">
        <f aca="false">IF($C238="","",(Front!$C$19=0)*$N238+(Front!$C$19=1)*($N238+R238))</f>
        <v>#VALUE!</v>
      </c>
      <c r="W238" s="90" t="e">
        <f aca="false">IF($C238="","",xEURO($L238,Call1,$G238,$G238,S238,$J238,1,0))</f>
        <v>#VALUE!</v>
      </c>
      <c r="X238" s="90" t="e">
        <f aca="false">IF($C238="","",xEURO($L238,Put1,$G238,$G238,T238,$J238,0,0))</f>
        <v>#VALUE!</v>
      </c>
      <c r="Y238" s="90" t="e">
        <f aca="false">IF($C238="","",xEURO($L238,Call2,$G238,$G238,U238,$J238,1,0))</f>
        <v>#VALUE!</v>
      </c>
      <c r="Z238" s="90" t="e">
        <f aca="false">IF($C238="","",xEURO($L238,Put2,$G238,$G238,V238,$J238,0,0))</f>
        <v>#VALUE!</v>
      </c>
      <c r="AA238" s="90" t="e">
        <f aca="false">IF($C238="","",xEURO($L238,Call1,$G238,$G238,$S238,$J238,1,1))</f>
        <v>#VALUE!</v>
      </c>
      <c r="AB238" s="90" t="e">
        <f aca="false">IF($C238="","",xEURO($L238,Put1,$G238,$G238,$T238,$J238,0,1))</f>
        <v>#VALUE!</v>
      </c>
      <c r="AC238" s="90" t="e">
        <f aca="false">IF($C238="","",xEURO($L238,Call2,$G238,$G238,$U238,$J238,1,1))</f>
        <v>#VALUE!</v>
      </c>
      <c r="AD238" s="90" t="e">
        <f aca="false">IF($C238="","",xEURO($L238,Put2,$G238,$G238,$V238,$J238,0,1))</f>
        <v>#VALUE!</v>
      </c>
      <c r="AE238" s="90" t="e">
        <f aca="false">IF($C238="","",xEURO($L238,Call1,$G238,$G238,$S238,$J238,1,3))</f>
        <v>#VALUE!</v>
      </c>
      <c r="AF238" s="90" t="e">
        <f aca="false">IF($C238="","",xEURO($L238,Put1,$G238,$G238,$T238,$J238,0,3))</f>
        <v>#VALUE!</v>
      </c>
      <c r="AG238" s="90" t="e">
        <f aca="false">IF($C238="","",xEURO($L238,Call2,$G238,$G238,$U238,$J238,1,3))</f>
        <v>#VALUE!</v>
      </c>
      <c r="AH238" s="90" t="e">
        <f aca="false">IF($C238="","",xEURO($L238,Put2,$G238,$G238,$V238,$J238,0,3))</f>
        <v>#VALUE!</v>
      </c>
      <c r="AI238" s="8" t="e">
        <f aca="false">IF(E238=1,G238,0)</f>
        <v>#VALUE!</v>
      </c>
      <c r="AJ238" s="8" t="e">
        <f aca="false">IF(E238=1,H238,0)</f>
        <v>#VALUE!</v>
      </c>
      <c r="AK238" s="8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</row>
    <row r="239" customFormat="false" ht="12.75" hidden="false" customHeight="false" outlineLevel="0" collapsed="false">
      <c r="A239" s="95" t="n">
        <f aca="false">Swap!A239</f>
        <v>44105</v>
      </c>
      <c r="B239" s="96" t="n">
        <f aca="false">B238+1</f>
        <v>230</v>
      </c>
      <c r="C239" s="95" t="e">
        <f aca="false">IF(AND(A239&gt;=Front!$E$11,A239&lt;=Front!$E$12),A239,"")</f>
        <v>#VALUE!</v>
      </c>
      <c r="D239" s="87" t="e">
        <f aca="false">Swap!AB239</f>
        <v>#VALUE!</v>
      </c>
      <c r="E239" s="87" t="e">
        <f aca="false">IF($C239="","",1)</f>
        <v>#VALUE!</v>
      </c>
      <c r="F239" s="97" t="e">
        <f aca="false">IF($C239="","",E239*H239)</f>
        <v>#VALUE!</v>
      </c>
      <c r="G239" s="31" t="n">
        <f aca="false">Swap!AG239</f>
        <v>0.0629809908542938</v>
      </c>
      <c r="H239" s="31" t="n">
        <f aca="false">Swap!AH239</f>
        <v>1.36227634293317</v>
      </c>
      <c r="I239" s="92" t="n">
        <f aca="false">INDEX(expery,MATCH(A239,exprymonth,0),2)</f>
        <v>44099</v>
      </c>
      <c r="J239" s="98" t="n">
        <f aca="false">I239-Front!$C$2</f>
        <v>-1827</v>
      </c>
      <c r="K239" s="99" t="n">
        <f aca="false">Swap!E239</f>
        <v>4.8305</v>
      </c>
      <c r="L239" s="99" t="e">
        <f aca="false">IF(C239="","",(PriceSwitch=0)*K239+(PriceSwitch=1)*(Front!$H$21+K239)+(PriceSwitch=2)*Front!$H$21)</f>
        <v>#VALUE!</v>
      </c>
      <c r="M239" s="93" t="n">
        <f aca="false">INDEX(vols,MATCH(A239,volsmonth,0),2)</f>
        <v>0.17</v>
      </c>
      <c r="N239" s="3" t="e">
        <f aca="false">IF(Skew_Switch=0,"",IF($C239="","",(Front!$E$20=0)*M239+(Front!$E$20=1)*(Front!$E$21+M239)+(Front!$E$20=2)*Front!$E$21))</f>
        <v>#VALUE!</v>
      </c>
      <c r="O239" s="94" t="e">
        <f aca="false">IF(Skew_Switch=0,"",IF(C239="","",((calcskew(Call1-$L239,$C239,a,b))/100)))</f>
        <v>#VALUE!</v>
      </c>
      <c r="P239" s="94" t="e">
        <f aca="false">IF(Skew_Switch=0,"",IF(C239="","",((calcskew(Put1-$L239,$C239,a,b))/100)))</f>
        <v>#VALUE!</v>
      </c>
      <c r="Q239" s="94" t="e">
        <f aca="false">IF(Skew_Switch=0,"",IF(C239="","",((calcskew(Call2-$L239,$C239,a,b))/100)))</f>
        <v>#VALUE!</v>
      </c>
      <c r="R239" s="94" t="e">
        <f aca="false">IF(Skew_Switch=0,"",IF(C239="","",((calcskew(Put2-$L239,$C239,a,b))/100)))</f>
        <v>#VALUE!</v>
      </c>
      <c r="S239" s="3" t="e">
        <f aca="false">IF($C239="","",(Front!$C$19=0)*$N239+(Front!$C$19=1)*($N239+O239))</f>
        <v>#VALUE!</v>
      </c>
      <c r="T239" s="3" t="e">
        <f aca="false">IF($C239="","",(Front!$C$19=0)*$N239+(Front!$C$19=1)*($N239+P239))</f>
        <v>#VALUE!</v>
      </c>
      <c r="U239" s="3" t="e">
        <f aca="false">IF($C239="","",(Front!$C$19=0)*$N239+(Front!$C$19=1)*($N239+Q239))</f>
        <v>#VALUE!</v>
      </c>
      <c r="V239" s="3" t="e">
        <f aca="false">IF($C239="","",(Front!$C$19=0)*$N239+(Front!$C$19=1)*($N239+R239))</f>
        <v>#VALUE!</v>
      </c>
      <c r="W239" s="90" t="e">
        <f aca="false">IF($C239="","",xEURO($L239,Call1,$G239,$G239,S239,$J239,1,0))</f>
        <v>#VALUE!</v>
      </c>
      <c r="X239" s="90" t="e">
        <f aca="false">IF($C239="","",xEURO($L239,Put1,$G239,$G239,T239,$J239,0,0))</f>
        <v>#VALUE!</v>
      </c>
      <c r="Y239" s="90" t="e">
        <f aca="false">IF($C239="","",xEURO($L239,Call2,$G239,$G239,U239,$J239,1,0))</f>
        <v>#VALUE!</v>
      </c>
      <c r="Z239" s="90" t="e">
        <f aca="false">IF($C239="","",xEURO($L239,Put2,$G239,$G239,V239,$J239,0,0))</f>
        <v>#VALUE!</v>
      </c>
      <c r="AA239" s="90" t="e">
        <f aca="false">IF($C239="","",xEURO($L239,Call1,$G239,$G239,$S239,$J239,1,1))</f>
        <v>#VALUE!</v>
      </c>
      <c r="AB239" s="90" t="e">
        <f aca="false">IF($C239="","",xEURO($L239,Put1,$G239,$G239,$T239,$J239,0,1))</f>
        <v>#VALUE!</v>
      </c>
      <c r="AC239" s="90" t="e">
        <f aca="false">IF($C239="","",xEURO($L239,Call2,$G239,$G239,$U239,$J239,1,1))</f>
        <v>#VALUE!</v>
      </c>
      <c r="AD239" s="90" t="e">
        <f aca="false">IF($C239="","",xEURO($L239,Put2,$G239,$G239,$V239,$J239,0,1))</f>
        <v>#VALUE!</v>
      </c>
      <c r="AE239" s="90" t="e">
        <f aca="false">IF($C239="","",xEURO($L239,Call1,$G239,$G239,$S239,$J239,1,3))</f>
        <v>#VALUE!</v>
      </c>
      <c r="AF239" s="90" t="e">
        <f aca="false">IF($C239="","",xEURO($L239,Put1,$G239,$G239,$T239,$J239,0,3))</f>
        <v>#VALUE!</v>
      </c>
      <c r="AG239" s="90" t="e">
        <f aca="false">IF($C239="","",xEURO($L239,Call2,$G239,$G239,$U239,$J239,1,3))</f>
        <v>#VALUE!</v>
      </c>
      <c r="AH239" s="90" t="e">
        <f aca="false">IF($C239="","",xEURO($L239,Put2,$G239,$G239,$V239,$J239,0,3))</f>
        <v>#VALUE!</v>
      </c>
      <c r="AI239" s="8" t="e">
        <f aca="false">IF(E239=1,G239,0)</f>
        <v>#VALUE!</v>
      </c>
      <c r="AJ239" s="8" t="e">
        <f aca="false">IF(E239=1,H239,0)</f>
        <v>#VALUE!</v>
      </c>
      <c r="AK239" s="8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</row>
    <row r="240" customFormat="false" ht="12.75" hidden="false" customHeight="false" outlineLevel="0" collapsed="false">
      <c r="A240" s="95" t="n">
        <f aca="false">Swap!A240</f>
        <v>44136</v>
      </c>
      <c r="B240" s="96" t="n">
        <f aca="false">B239+1</f>
        <v>231</v>
      </c>
      <c r="C240" s="95" t="e">
        <f aca="false">IF(AND(A240&gt;=Front!$E$11,A240&lt;=Front!$E$12),A240,"")</f>
        <v>#VALUE!</v>
      </c>
      <c r="D240" s="87" t="e">
        <f aca="false">Swap!AB240</f>
        <v>#VALUE!</v>
      </c>
      <c r="E240" s="87" t="e">
        <f aca="false">IF($C240="","",1)</f>
        <v>#VALUE!</v>
      </c>
      <c r="F240" s="97" t="e">
        <f aca="false">IF($C240="","",E240*H240)</f>
        <v>#VALUE!</v>
      </c>
      <c r="G240" s="31" t="n">
        <f aca="false">Swap!AG240</f>
        <v>0.0630481963648299</v>
      </c>
      <c r="H240" s="31" t="n">
        <f aca="false">Swap!AH240</f>
        <v>1.35555831338198</v>
      </c>
      <c r="I240" s="92" t="n">
        <f aca="false">INDEX(expery,MATCH(A240,exprymonth,0),2)</f>
        <v>44131</v>
      </c>
      <c r="J240" s="98" t="n">
        <f aca="false">I240-Front!$C$2</f>
        <v>-1795</v>
      </c>
      <c r="K240" s="99" t="n">
        <f aca="false">Swap!E240</f>
        <v>5.0005</v>
      </c>
      <c r="L240" s="99" t="e">
        <f aca="false">IF(C240="","",(PriceSwitch=0)*K240+(PriceSwitch=1)*(Front!$H$21+K240)+(PriceSwitch=2)*Front!$H$21)</f>
        <v>#VALUE!</v>
      </c>
      <c r="M240" s="93" t="n">
        <f aca="false">INDEX(vols,MATCH(A240,volsmonth,0),2)</f>
        <v>0.17</v>
      </c>
      <c r="N240" s="3" t="e">
        <f aca="false">IF(Skew_Switch=0,"",IF($C240="","",(Front!$E$20=0)*M240+(Front!$E$20=1)*(Front!$E$21+M240)+(Front!$E$20=2)*Front!$E$21))</f>
        <v>#VALUE!</v>
      </c>
      <c r="O240" s="94" t="e">
        <f aca="false">IF(Skew_Switch=0,"",IF(C240="","",((calcskew(Call1-$L240,$C240,a,b))/100)))</f>
        <v>#VALUE!</v>
      </c>
      <c r="P240" s="94" t="e">
        <f aca="false">IF(Skew_Switch=0,"",IF(C240="","",((calcskew(Put1-$L240,$C240,a,b))/100)))</f>
        <v>#VALUE!</v>
      </c>
      <c r="Q240" s="94" t="e">
        <f aca="false">IF(Skew_Switch=0,"",IF(C240="","",((calcskew(Call2-$L240,$C240,a,b))/100)))</f>
        <v>#VALUE!</v>
      </c>
      <c r="R240" s="94" t="e">
        <f aca="false">IF(Skew_Switch=0,"",IF(C240="","",((calcskew(Put2-$L240,$C240,a,b))/100)))</f>
        <v>#VALUE!</v>
      </c>
      <c r="S240" s="3" t="e">
        <f aca="false">IF($C240="","",(Front!$C$19=0)*$N240+(Front!$C$19=1)*($N240+O240))</f>
        <v>#VALUE!</v>
      </c>
      <c r="T240" s="3" t="e">
        <f aca="false">IF($C240="","",(Front!$C$19=0)*$N240+(Front!$C$19=1)*($N240+P240))</f>
        <v>#VALUE!</v>
      </c>
      <c r="U240" s="3" t="e">
        <f aca="false">IF($C240="","",(Front!$C$19=0)*$N240+(Front!$C$19=1)*($N240+Q240))</f>
        <v>#VALUE!</v>
      </c>
      <c r="V240" s="3" t="e">
        <f aca="false">IF($C240="","",(Front!$C$19=0)*$N240+(Front!$C$19=1)*($N240+R240))</f>
        <v>#VALUE!</v>
      </c>
      <c r="W240" s="90" t="e">
        <f aca="false">IF($C240="","",xEURO($L240,Call1,$G240,$G240,S240,$J240,1,0))</f>
        <v>#VALUE!</v>
      </c>
      <c r="X240" s="90" t="e">
        <f aca="false">IF($C240="","",xEURO($L240,Put1,$G240,$G240,T240,$J240,0,0))</f>
        <v>#VALUE!</v>
      </c>
      <c r="Y240" s="90" t="e">
        <f aca="false">IF($C240="","",xEURO($L240,Call2,$G240,$G240,U240,$J240,1,0))</f>
        <v>#VALUE!</v>
      </c>
      <c r="Z240" s="90" t="e">
        <f aca="false">IF($C240="","",xEURO($L240,Put2,$G240,$G240,V240,$J240,0,0))</f>
        <v>#VALUE!</v>
      </c>
      <c r="AA240" s="90" t="e">
        <f aca="false">IF($C240="","",xEURO($L240,Call1,$G240,$G240,$S240,$J240,1,1))</f>
        <v>#VALUE!</v>
      </c>
      <c r="AB240" s="90" t="e">
        <f aca="false">IF($C240="","",xEURO($L240,Put1,$G240,$G240,$T240,$J240,0,1))</f>
        <v>#VALUE!</v>
      </c>
      <c r="AC240" s="90" t="e">
        <f aca="false">IF($C240="","",xEURO($L240,Call2,$G240,$G240,$U240,$J240,1,1))</f>
        <v>#VALUE!</v>
      </c>
      <c r="AD240" s="90" t="e">
        <f aca="false">IF($C240="","",xEURO($L240,Put2,$G240,$G240,$V240,$J240,0,1))</f>
        <v>#VALUE!</v>
      </c>
      <c r="AE240" s="90" t="e">
        <f aca="false">IF($C240="","",xEURO($L240,Call1,$G240,$G240,$S240,$J240,1,3))</f>
        <v>#VALUE!</v>
      </c>
      <c r="AF240" s="90" t="e">
        <f aca="false">IF($C240="","",xEURO($L240,Put1,$G240,$G240,$T240,$J240,0,3))</f>
        <v>#VALUE!</v>
      </c>
      <c r="AG240" s="90" t="e">
        <f aca="false">IF($C240="","",xEURO($L240,Call2,$G240,$G240,$U240,$J240,1,3))</f>
        <v>#VALUE!</v>
      </c>
      <c r="AH240" s="90" t="e">
        <f aca="false">IF($C240="","",xEURO($L240,Put2,$G240,$G240,$V240,$J240,0,3))</f>
        <v>#VALUE!</v>
      </c>
      <c r="AI240" s="8" t="e">
        <f aca="false">IF(E240=1,G240,0)</f>
        <v>#VALUE!</v>
      </c>
      <c r="AJ240" s="8" t="e">
        <f aca="false">IF(E240=1,H240,0)</f>
        <v>#VALUE!</v>
      </c>
      <c r="AK240" s="8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</row>
    <row r="241" customFormat="false" ht="12.75" hidden="false" customHeight="false" outlineLevel="0" collapsed="false">
      <c r="A241" s="95" t="n">
        <f aca="false">Swap!A241</f>
        <v>44166</v>
      </c>
      <c r="B241" s="96" t="n">
        <f aca="false">B240+1</f>
        <v>232</v>
      </c>
      <c r="C241" s="95" t="e">
        <f aca="false">IF(AND(A241&gt;=Front!$E$11,A241&lt;=Front!$E$12),A241,"")</f>
        <v>#VALUE!</v>
      </c>
      <c r="D241" s="87" t="e">
        <f aca="false">Swap!AB241</f>
        <v>#VALUE!</v>
      </c>
      <c r="E241" s="87" t="e">
        <f aca="false">IF($C241="","",1)</f>
        <v>#VALUE!</v>
      </c>
      <c r="F241" s="97" t="e">
        <f aca="false">IF($C241="","",E241*H241)</f>
        <v>#VALUE!</v>
      </c>
      <c r="G241" s="31" t="n">
        <f aca="false">Swap!AG241</f>
        <v>0.0631132339570981</v>
      </c>
      <c r="H241" s="31" t="n">
        <f aca="false">Swap!AH241</f>
        <v>1.34907432103786</v>
      </c>
      <c r="I241" s="92" t="n">
        <f aca="false">INDEX(expery,MATCH(A241,exprymonth,0),2)</f>
        <v>44159</v>
      </c>
      <c r="J241" s="98" t="n">
        <f aca="false">I241-Front!$C$2</f>
        <v>-1767</v>
      </c>
      <c r="K241" s="99" t="n">
        <f aca="false">Swap!E241</f>
        <v>5.1755</v>
      </c>
      <c r="L241" s="99" t="e">
        <f aca="false">IF(C241="","",(PriceSwitch=0)*K241+(PriceSwitch=1)*(Front!$H$21+K241)+(PriceSwitch=2)*Front!$H$21)</f>
        <v>#VALUE!</v>
      </c>
      <c r="M241" s="93" t="n">
        <f aca="false">INDEX(vols,MATCH(A241,volsmonth,0),2)</f>
        <v>0.17</v>
      </c>
      <c r="N241" s="3" t="e">
        <f aca="false">IF(Skew_Switch=0,"",IF($C241="","",(Front!$E$20=0)*M241+(Front!$E$20=1)*(Front!$E$21+M241)+(Front!$E$20=2)*Front!$E$21))</f>
        <v>#VALUE!</v>
      </c>
      <c r="O241" s="94" t="e">
        <f aca="false">IF(Skew_Switch=0,"",IF(C241="","",((calcskew(Call1-$L241,$C241,a,b))/100)))</f>
        <v>#VALUE!</v>
      </c>
      <c r="P241" s="94" t="e">
        <f aca="false">IF(Skew_Switch=0,"",IF(C241="","",((calcskew(Put1-$L241,$C241,a,b))/100)))</f>
        <v>#VALUE!</v>
      </c>
      <c r="Q241" s="94" t="e">
        <f aca="false">IF(Skew_Switch=0,"",IF(C241="","",((calcskew(Call2-$L241,$C241,a,b))/100)))</f>
        <v>#VALUE!</v>
      </c>
      <c r="R241" s="94" t="e">
        <f aca="false">IF(Skew_Switch=0,"",IF(C241="","",((calcskew(Put2-$L241,$C241,a,b))/100)))</f>
        <v>#VALUE!</v>
      </c>
      <c r="S241" s="3" t="e">
        <f aca="false">IF($C241="","",(Front!$C$19=0)*$N241+(Front!$C$19=1)*($N241+O241))</f>
        <v>#VALUE!</v>
      </c>
      <c r="T241" s="3" t="e">
        <f aca="false">IF($C241="","",(Front!$C$19=0)*$N241+(Front!$C$19=1)*($N241+P241))</f>
        <v>#VALUE!</v>
      </c>
      <c r="U241" s="3" t="e">
        <f aca="false">IF($C241="","",(Front!$C$19=0)*$N241+(Front!$C$19=1)*($N241+Q241))</f>
        <v>#VALUE!</v>
      </c>
      <c r="V241" s="3" t="e">
        <f aca="false">IF($C241="","",(Front!$C$19=0)*$N241+(Front!$C$19=1)*($N241+R241))</f>
        <v>#VALUE!</v>
      </c>
      <c r="W241" s="90" t="e">
        <f aca="false">IF($C241="","",xEURO($L241,Call1,$G241,$G241,S241,$J241,1,0))</f>
        <v>#VALUE!</v>
      </c>
      <c r="X241" s="90" t="e">
        <f aca="false">IF($C241="","",xEURO($L241,Put1,$G241,$G241,T241,$J241,0,0))</f>
        <v>#VALUE!</v>
      </c>
      <c r="Y241" s="90" t="e">
        <f aca="false">IF($C241="","",xEURO($L241,Call2,$G241,$G241,U241,$J241,1,0))</f>
        <v>#VALUE!</v>
      </c>
      <c r="Z241" s="90" t="e">
        <f aca="false">IF($C241="","",xEURO($L241,Put2,$G241,$G241,V241,$J241,0,0))</f>
        <v>#VALUE!</v>
      </c>
      <c r="AA241" s="90" t="e">
        <f aca="false">IF($C241="","",xEURO($L241,Call1,$G241,$G241,$S241,$J241,1,1))</f>
        <v>#VALUE!</v>
      </c>
      <c r="AB241" s="90" t="e">
        <f aca="false">IF($C241="","",xEURO($L241,Put1,$G241,$G241,$T241,$J241,0,1))</f>
        <v>#VALUE!</v>
      </c>
      <c r="AC241" s="90" t="e">
        <f aca="false">IF($C241="","",xEURO($L241,Call2,$G241,$G241,$U241,$J241,1,1))</f>
        <v>#VALUE!</v>
      </c>
      <c r="AD241" s="90" t="e">
        <f aca="false">IF($C241="","",xEURO($L241,Put2,$G241,$G241,$V241,$J241,0,1))</f>
        <v>#VALUE!</v>
      </c>
      <c r="AE241" s="90" t="e">
        <f aca="false">IF($C241="","",xEURO($L241,Call1,$G241,$G241,$S241,$J241,1,3))</f>
        <v>#VALUE!</v>
      </c>
      <c r="AF241" s="90" t="e">
        <f aca="false">IF($C241="","",xEURO($L241,Put1,$G241,$G241,$T241,$J241,0,3))</f>
        <v>#VALUE!</v>
      </c>
      <c r="AG241" s="90" t="e">
        <f aca="false">IF($C241="","",xEURO($L241,Call2,$G241,$G241,$U241,$J241,1,3))</f>
        <v>#VALUE!</v>
      </c>
      <c r="AH241" s="90" t="e">
        <f aca="false">IF($C241="","",xEURO($L241,Put2,$G241,$G241,$V241,$J241,0,3))</f>
        <v>#VALUE!</v>
      </c>
      <c r="AI241" s="8" t="e">
        <f aca="false">IF(E241=1,G241,0)</f>
        <v>#VALUE!</v>
      </c>
      <c r="AJ241" s="8" t="e">
        <f aca="false">IF(E241=1,H241,0)</f>
        <v>#VALUE!</v>
      </c>
      <c r="AK241" s="8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  <c r="IM241" s="0"/>
      <c r="IN241" s="0"/>
      <c r="IO241" s="0"/>
      <c r="IP241" s="0"/>
      <c r="IQ241" s="0"/>
      <c r="IR241" s="0"/>
      <c r="IS241" s="0"/>
      <c r="IT241" s="0"/>
      <c r="IU241" s="0"/>
      <c r="IV241" s="0"/>
      <c r="IW241" s="0"/>
    </row>
    <row r="242" customFormat="false" ht="12.75" hidden="false" customHeight="false" outlineLevel="0" collapsed="false">
      <c r="A242" s="95" t="n">
        <f aca="false">Swap!A242</f>
        <v>44197</v>
      </c>
      <c r="B242" s="96" t="n">
        <f aca="false">B241+1</f>
        <v>233</v>
      </c>
      <c r="C242" s="95" t="e">
        <f aca="false">IF(AND(A242&gt;=Front!$E$11,A242&lt;=Front!$E$12),A242,"")</f>
        <v>#VALUE!</v>
      </c>
      <c r="D242" s="87" t="e">
        <f aca="false">Swap!AB242</f>
        <v>#VALUE!</v>
      </c>
      <c r="E242" s="87" t="e">
        <f aca="false">IF($C242="","",1)</f>
        <v>#VALUE!</v>
      </c>
      <c r="F242" s="97" t="e">
        <f aca="false">IF($C242="","",E242*H242)</f>
        <v>#VALUE!</v>
      </c>
      <c r="G242" s="31" t="n">
        <f aca="false">Swap!AG242</f>
        <v>0.0631804394705835</v>
      </c>
      <c r="H242" s="31" t="n">
        <f aca="false">Swap!AH242</f>
        <v>1.34239215693332</v>
      </c>
      <c r="I242" s="92" t="n">
        <f aca="false">INDEX(expery,MATCH(A242,exprymonth,0),2)</f>
        <v>44193</v>
      </c>
      <c r="J242" s="98" t="n">
        <f aca="false">I242-Front!$C$2</f>
        <v>-1733</v>
      </c>
      <c r="K242" s="99" t="n">
        <f aca="false">Swap!E242</f>
        <v>5.233</v>
      </c>
      <c r="L242" s="99" t="e">
        <f aca="false">IF(C242="","",(PriceSwitch=0)*K242+(PriceSwitch=1)*(Front!$H$21+K242)+(PriceSwitch=2)*Front!$H$21)</f>
        <v>#VALUE!</v>
      </c>
      <c r="M242" s="93" t="n">
        <f aca="false">INDEX(vols,MATCH(A242,volsmonth,0),2)</f>
        <v>0.17</v>
      </c>
      <c r="N242" s="3" t="e">
        <f aca="false">IF(Skew_Switch=0,"",IF($C242="","",(Front!$E$20=0)*M242+(Front!$E$20=1)*(Front!$E$21+M242)+(Front!$E$20=2)*Front!$E$21))</f>
        <v>#VALUE!</v>
      </c>
      <c r="O242" s="94" t="e">
        <f aca="false">IF(Skew_Switch=0,"",IF(C242="","",((calcskew(Call1-$L242,$C242,a,b))/100)))</f>
        <v>#VALUE!</v>
      </c>
      <c r="P242" s="94" t="e">
        <f aca="false">IF(Skew_Switch=0,"",IF(C242="","",((calcskew(Put1-$L242,$C242,a,b))/100)))</f>
        <v>#VALUE!</v>
      </c>
      <c r="Q242" s="94" t="e">
        <f aca="false">IF(Skew_Switch=0,"",IF(C242="","",((calcskew(Call2-$L242,$C242,a,b))/100)))</f>
        <v>#VALUE!</v>
      </c>
      <c r="R242" s="94" t="e">
        <f aca="false">IF(Skew_Switch=0,"",IF(C242="","",((calcskew(Put2-$L242,$C242,a,b))/100)))</f>
        <v>#VALUE!</v>
      </c>
      <c r="S242" s="3" t="e">
        <f aca="false">IF($C242="","",(Front!$C$19=0)*$N242+(Front!$C$19=1)*($N242+O242))</f>
        <v>#VALUE!</v>
      </c>
      <c r="T242" s="3" t="e">
        <f aca="false">IF($C242="","",(Front!$C$19=0)*$N242+(Front!$C$19=1)*($N242+P242))</f>
        <v>#VALUE!</v>
      </c>
      <c r="U242" s="3" t="e">
        <f aca="false">IF($C242="","",(Front!$C$19=0)*$N242+(Front!$C$19=1)*($N242+Q242))</f>
        <v>#VALUE!</v>
      </c>
      <c r="V242" s="3" t="e">
        <f aca="false">IF($C242="","",(Front!$C$19=0)*$N242+(Front!$C$19=1)*($N242+R242))</f>
        <v>#VALUE!</v>
      </c>
      <c r="W242" s="90" t="e">
        <f aca="false">IF($C242="","",xEURO($L242,Call1,$G242,$G242,S242,$J242,1,0))</f>
        <v>#VALUE!</v>
      </c>
      <c r="X242" s="90" t="e">
        <f aca="false">IF($C242="","",xEURO($L242,Put1,$G242,$G242,T242,$J242,0,0))</f>
        <v>#VALUE!</v>
      </c>
      <c r="Y242" s="90" t="e">
        <f aca="false">IF($C242="","",xEURO($L242,Call2,$G242,$G242,U242,$J242,1,0))</f>
        <v>#VALUE!</v>
      </c>
      <c r="Z242" s="90" t="e">
        <f aca="false">IF($C242="","",xEURO($L242,Put2,$G242,$G242,V242,$J242,0,0))</f>
        <v>#VALUE!</v>
      </c>
      <c r="AA242" s="90" t="e">
        <f aca="false">IF($C242="","",xEURO($L242,Call1,$G242,$G242,$S242,$J242,1,1))</f>
        <v>#VALUE!</v>
      </c>
      <c r="AB242" s="90" t="e">
        <f aca="false">IF($C242="","",xEURO($L242,Put1,$G242,$G242,$T242,$J242,0,1))</f>
        <v>#VALUE!</v>
      </c>
      <c r="AC242" s="90" t="e">
        <f aca="false">IF($C242="","",xEURO($L242,Call2,$G242,$G242,$U242,$J242,1,1))</f>
        <v>#VALUE!</v>
      </c>
      <c r="AD242" s="90" t="e">
        <f aca="false">IF($C242="","",xEURO($L242,Put2,$G242,$G242,$V242,$J242,0,1))</f>
        <v>#VALUE!</v>
      </c>
      <c r="AE242" s="90" t="e">
        <f aca="false">IF($C242="","",xEURO($L242,Call1,$G242,$G242,$S242,$J242,1,3))</f>
        <v>#VALUE!</v>
      </c>
      <c r="AF242" s="90" t="e">
        <f aca="false">IF($C242="","",xEURO($L242,Put1,$G242,$G242,$T242,$J242,0,3))</f>
        <v>#VALUE!</v>
      </c>
      <c r="AG242" s="90" t="e">
        <f aca="false">IF($C242="","",xEURO($L242,Call2,$G242,$G242,$U242,$J242,1,3))</f>
        <v>#VALUE!</v>
      </c>
      <c r="AH242" s="90" t="e">
        <f aca="false">IF($C242="","",xEURO($L242,Put2,$G242,$G242,$V242,$J242,0,3))</f>
        <v>#VALUE!</v>
      </c>
      <c r="AI242" s="8" t="e">
        <f aca="false">IF(E242=1,G242,0)</f>
        <v>#VALUE!</v>
      </c>
      <c r="AJ242" s="8" t="e">
        <f aca="false">IF(E242=1,H242,0)</f>
        <v>#VALUE!</v>
      </c>
      <c r="AK242" s="8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</row>
    <row r="243" customFormat="false" ht="12.75" hidden="false" customHeight="false" outlineLevel="0" collapsed="false">
      <c r="A243" s="95" t="n">
        <f aca="false">Swap!A243</f>
        <v>44228</v>
      </c>
      <c r="B243" s="96" t="n">
        <f aca="false">B242+1</f>
        <v>234</v>
      </c>
      <c r="C243" s="95" t="e">
        <f aca="false">IF(AND(A243&gt;=Front!$E$11,A243&lt;=Front!$E$12),A243,"")</f>
        <v>#VALUE!</v>
      </c>
      <c r="D243" s="87" t="e">
        <f aca="false">Swap!AB243</f>
        <v>#VALUE!</v>
      </c>
      <c r="E243" s="87" t="e">
        <f aca="false">IF($C243="","",1)</f>
        <v>#VALUE!</v>
      </c>
      <c r="F243" s="97" t="e">
        <f aca="false">IF($C243="","",E243*H243)</f>
        <v>#VALUE!</v>
      </c>
      <c r="G243" s="31" t="n">
        <f aca="false">Swap!AG243</f>
        <v>0.0632476449855668</v>
      </c>
      <c r="H243" s="31" t="n">
        <f aca="false">Swap!AH243</f>
        <v>1.33572830583126</v>
      </c>
      <c r="I243" s="92" t="n">
        <f aca="false">INDEX(expery,MATCH(A243,exprymonth,0),2)</f>
        <v>44222</v>
      </c>
      <c r="J243" s="98" t="n">
        <f aca="false">I243-Front!$C$2</f>
        <v>-1704</v>
      </c>
      <c r="K243" s="99" t="n">
        <f aca="false">Swap!E243</f>
        <v>5.119</v>
      </c>
      <c r="L243" s="99" t="e">
        <f aca="false">IF(C243="","",(PriceSwitch=0)*K243+(PriceSwitch=1)*(Front!$H$21+K243)+(PriceSwitch=2)*Front!$H$21)</f>
        <v>#VALUE!</v>
      </c>
      <c r="M243" s="93" t="n">
        <f aca="false">INDEX(vols,MATCH(A243,volsmonth,0),2)</f>
        <v>0.17</v>
      </c>
      <c r="N243" s="3" t="e">
        <f aca="false">IF(Skew_Switch=0,"",IF($C243="","",(Front!$E$20=0)*M243+(Front!$E$20=1)*(Front!$E$21+M243)+(Front!$E$20=2)*Front!$E$21))</f>
        <v>#VALUE!</v>
      </c>
      <c r="O243" s="94" t="e">
        <f aca="false">IF(Skew_Switch=0,"",IF(C243="","",((calcskew(Call1-$L243,$C243,a,b))/100)))</f>
        <v>#VALUE!</v>
      </c>
      <c r="P243" s="94" t="e">
        <f aca="false">IF(Skew_Switch=0,"",IF(C243="","",((calcskew(Put1-$L243,$C243,a,b))/100)))</f>
        <v>#VALUE!</v>
      </c>
      <c r="Q243" s="94" t="e">
        <f aca="false">IF(Skew_Switch=0,"",IF(C243="","",((calcskew(Call2-$L243,$C243,a,b))/100)))</f>
        <v>#VALUE!</v>
      </c>
      <c r="R243" s="94" t="e">
        <f aca="false">IF(Skew_Switch=0,"",IF(C243="","",((calcskew(Put2-$L243,$C243,a,b))/100)))</f>
        <v>#VALUE!</v>
      </c>
      <c r="S243" s="3" t="e">
        <f aca="false">IF($C243="","",(Front!$C$19=0)*$N243+(Front!$C$19=1)*($N243+O243))</f>
        <v>#VALUE!</v>
      </c>
      <c r="T243" s="3" t="e">
        <f aca="false">IF($C243="","",(Front!$C$19=0)*$N243+(Front!$C$19=1)*($N243+P243))</f>
        <v>#VALUE!</v>
      </c>
      <c r="U243" s="3" t="e">
        <f aca="false">IF($C243="","",(Front!$C$19=0)*$N243+(Front!$C$19=1)*($N243+Q243))</f>
        <v>#VALUE!</v>
      </c>
      <c r="V243" s="3" t="e">
        <f aca="false">IF($C243="","",(Front!$C$19=0)*$N243+(Front!$C$19=1)*($N243+R243))</f>
        <v>#VALUE!</v>
      </c>
      <c r="W243" s="90" t="e">
        <f aca="false">IF($C243="","",xEURO($L243,Call1,$G243,$G243,S243,$J243,1,0))</f>
        <v>#VALUE!</v>
      </c>
      <c r="X243" s="90" t="e">
        <f aca="false">IF($C243="","",xEURO($L243,Put1,$G243,$G243,T243,$J243,0,0))</f>
        <v>#VALUE!</v>
      </c>
      <c r="Y243" s="90" t="e">
        <f aca="false">IF($C243="","",xEURO($L243,Call2,$G243,$G243,U243,$J243,1,0))</f>
        <v>#VALUE!</v>
      </c>
      <c r="Z243" s="90" t="e">
        <f aca="false">IF($C243="","",xEURO($L243,Put2,$G243,$G243,V243,$J243,0,0))</f>
        <v>#VALUE!</v>
      </c>
      <c r="AA243" s="90" t="e">
        <f aca="false">IF($C243="","",xEURO($L243,Call1,$G243,$G243,$S243,$J243,1,1))</f>
        <v>#VALUE!</v>
      </c>
      <c r="AB243" s="90" t="e">
        <f aca="false">IF($C243="","",xEURO($L243,Put1,$G243,$G243,$T243,$J243,0,1))</f>
        <v>#VALUE!</v>
      </c>
      <c r="AC243" s="90" t="e">
        <f aca="false">IF($C243="","",xEURO($L243,Call2,$G243,$G243,$U243,$J243,1,1))</f>
        <v>#VALUE!</v>
      </c>
      <c r="AD243" s="90" t="e">
        <f aca="false">IF($C243="","",xEURO($L243,Put2,$G243,$G243,$V243,$J243,0,1))</f>
        <v>#VALUE!</v>
      </c>
      <c r="AE243" s="90" t="e">
        <f aca="false">IF($C243="","",xEURO($L243,Call1,$G243,$G243,$S243,$J243,1,3))</f>
        <v>#VALUE!</v>
      </c>
      <c r="AF243" s="90" t="e">
        <f aca="false">IF($C243="","",xEURO($L243,Put1,$G243,$G243,$T243,$J243,0,3))</f>
        <v>#VALUE!</v>
      </c>
      <c r="AG243" s="90" t="e">
        <f aca="false">IF($C243="","",xEURO($L243,Call2,$G243,$G243,$U243,$J243,1,3))</f>
        <v>#VALUE!</v>
      </c>
      <c r="AH243" s="90" t="e">
        <f aca="false">IF($C243="","",xEURO($L243,Put2,$G243,$G243,$V243,$J243,0,3))</f>
        <v>#VALUE!</v>
      </c>
      <c r="AI243" s="8" t="e">
        <f aca="false">IF(E243=1,G243,0)</f>
        <v>#VALUE!</v>
      </c>
      <c r="AJ243" s="8" t="e">
        <f aca="false">IF(E243=1,H243,0)</f>
        <v>#VALUE!</v>
      </c>
      <c r="AK243" s="8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</row>
    <row r="244" customFormat="false" ht="12.75" hidden="false" customHeight="false" outlineLevel="0" collapsed="false">
      <c r="A244" s="95" t="n">
        <f aca="false">Swap!A244</f>
        <v>44256</v>
      </c>
      <c r="B244" s="96" t="n">
        <f aca="false">B243+1</f>
        <v>235</v>
      </c>
      <c r="C244" s="95" t="e">
        <f aca="false">IF(AND(A244&gt;=Front!$E$11,A244&lt;=Front!$E$12),A244,"")</f>
        <v>#VALUE!</v>
      </c>
      <c r="D244" s="87" t="e">
        <f aca="false">Swap!AB244</f>
        <v>#VALUE!</v>
      </c>
      <c r="E244" s="87" t="e">
        <f aca="false">IF($C244="","",1)</f>
        <v>#VALUE!</v>
      </c>
      <c r="F244" s="97" t="e">
        <f aca="false">IF($C244="","",E244*H244)</f>
        <v>#VALUE!</v>
      </c>
      <c r="G244" s="31" t="n">
        <f aca="false">Swap!AG244</f>
        <v>0.0633083467423234</v>
      </c>
      <c r="H244" s="31" t="n">
        <f aca="false">Swap!AH244</f>
        <v>1.3297251313607</v>
      </c>
      <c r="I244" s="92" t="n">
        <f aca="false">INDEX(expery,MATCH(A244,exprymonth,0),2)</f>
        <v>44250</v>
      </c>
      <c r="J244" s="98" t="n">
        <f aca="false">I244-Front!$C$2</f>
        <v>-1676</v>
      </c>
      <c r="K244" s="99" t="n">
        <f aca="false">Swap!E244</f>
        <v>4.987</v>
      </c>
      <c r="L244" s="99" t="e">
        <f aca="false">IF(C244="","",(PriceSwitch=0)*K244+(PriceSwitch=1)*(Front!$H$21+K244)+(PriceSwitch=2)*Front!$H$21)</f>
        <v>#VALUE!</v>
      </c>
      <c r="M244" s="93" t="n">
        <f aca="false">INDEX(vols,MATCH(A244,volsmonth,0),2)</f>
        <v>0.17</v>
      </c>
      <c r="N244" s="3" t="e">
        <f aca="false">IF(Skew_Switch=0,"",IF($C244="","",(Front!$E$20=0)*M244+(Front!$E$20=1)*(Front!$E$21+M244)+(Front!$E$20=2)*Front!$E$21))</f>
        <v>#VALUE!</v>
      </c>
      <c r="O244" s="94" t="e">
        <f aca="false">IF(Skew_Switch=0,"",IF(C244="","",((calcskew(Call1-$L244,$C244,a,b))/100)))</f>
        <v>#VALUE!</v>
      </c>
      <c r="P244" s="94" t="e">
        <f aca="false">IF(Skew_Switch=0,"",IF(C244="","",((calcskew(Put1-$L244,$C244,a,b))/100)))</f>
        <v>#VALUE!</v>
      </c>
      <c r="Q244" s="94" t="e">
        <f aca="false">IF(Skew_Switch=0,"",IF(C244="","",((calcskew(Call2-$L244,$C244,a,b))/100)))</f>
        <v>#VALUE!</v>
      </c>
      <c r="R244" s="94" t="e">
        <f aca="false">IF(Skew_Switch=0,"",IF(C244="","",((calcskew(Put2-$L244,$C244,a,b))/100)))</f>
        <v>#VALUE!</v>
      </c>
      <c r="S244" s="3" t="e">
        <f aca="false">IF($C244="","",(Front!$C$19=0)*$N244+(Front!$C$19=1)*($N244+O244))</f>
        <v>#VALUE!</v>
      </c>
      <c r="T244" s="3" t="e">
        <f aca="false">IF($C244="","",(Front!$C$19=0)*$N244+(Front!$C$19=1)*($N244+P244))</f>
        <v>#VALUE!</v>
      </c>
      <c r="U244" s="3" t="e">
        <f aca="false">IF($C244="","",(Front!$C$19=0)*$N244+(Front!$C$19=1)*($N244+Q244))</f>
        <v>#VALUE!</v>
      </c>
      <c r="V244" s="3" t="e">
        <f aca="false">IF($C244="","",(Front!$C$19=0)*$N244+(Front!$C$19=1)*($N244+R244))</f>
        <v>#VALUE!</v>
      </c>
      <c r="W244" s="90" t="e">
        <f aca="false">IF($C244="","",xEURO($L244,Call1,$G244,$G244,S244,$J244,1,0))</f>
        <v>#VALUE!</v>
      </c>
      <c r="X244" s="90" t="e">
        <f aca="false">IF($C244="","",xEURO($L244,Put1,$G244,$G244,T244,$J244,0,0))</f>
        <v>#VALUE!</v>
      </c>
      <c r="Y244" s="90" t="e">
        <f aca="false">IF($C244="","",xEURO($L244,Call2,$G244,$G244,U244,$J244,1,0))</f>
        <v>#VALUE!</v>
      </c>
      <c r="Z244" s="90" t="e">
        <f aca="false">IF($C244="","",xEURO($L244,Put2,$G244,$G244,V244,$J244,0,0))</f>
        <v>#VALUE!</v>
      </c>
      <c r="AA244" s="90" t="e">
        <f aca="false">IF($C244="","",xEURO($L244,Call1,$G244,$G244,$S244,$J244,1,1))</f>
        <v>#VALUE!</v>
      </c>
      <c r="AB244" s="90" t="e">
        <f aca="false">IF($C244="","",xEURO($L244,Put1,$G244,$G244,$T244,$J244,0,1))</f>
        <v>#VALUE!</v>
      </c>
      <c r="AC244" s="90" t="e">
        <f aca="false">IF($C244="","",xEURO($L244,Call2,$G244,$G244,$U244,$J244,1,1))</f>
        <v>#VALUE!</v>
      </c>
      <c r="AD244" s="90" t="e">
        <f aca="false">IF($C244="","",xEURO($L244,Put2,$G244,$G244,$V244,$J244,0,1))</f>
        <v>#VALUE!</v>
      </c>
      <c r="AE244" s="90" t="e">
        <f aca="false">IF($C244="","",xEURO($L244,Call1,$G244,$G244,$S244,$J244,1,3))</f>
        <v>#VALUE!</v>
      </c>
      <c r="AF244" s="90" t="e">
        <f aca="false">IF($C244="","",xEURO($L244,Put1,$G244,$G244,$T244,$J244,0,3))</f>
        <v>#VALUE!</v>
      </c>
      <c r="AG244" s="90" t="e">
        <f aca="false">IF($C244="","",xEURO($L244,Call2,$G244,$G244,$U244,$J244,1,3))</f>
        <v>#VALUE!</v>
      </c>
      <c r="AH244" s="90" t="e">
        <f aca="false">IF($C244="","",xEURO($L244,Put2,$G244,$G244,$V244,$J244,0,3))</f>
        <v>#VALUE!</v>
      </c>
      <c r="AI244" s="8" t="e">
        <f aca="false">IF(E244=1,G244,0)</f>
        <v>#VALUE!</v>
      </c>
      <c r="AJ244" s="8" t="e">
        <f aca="false">IF(E244=1,H244,0)</f>
        <v>#VALUE!</v>
      </c>
      <c r="AK244" s="8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</row>
    <row r="245" customFormat="false" ht="12.75" hidden="false" customHeight="false" outlineLevel="0" collapsed="false">
      <c r="A245" s="95" t="n">
        <f aca="false">Swap!A245</f>
        <v>44287</v>
      </c>
      <c r="B245" s="96" t="n">
        <f aca="false">B244+1</f>
        <v>236</v>
      </c>
      <c r="C245" s="95" t="e">
        <f aca="false">IF(AND(A245&gt;=Front!$E$11,A245&lt;=Front!$E$12),A245,"")</f>
        <v>#VALUE!</v>
      </c>
      <c r="D245" s="87" t="e">
        <f aca="false">Swap!AB245</f>
        <v>#VALUE!</v>
      </c>
      <c r="E245" s="87" t="e">
        <f aca="false">IF($C245="","",1)</f>
        <v>#VALUE!</v>
      </c>
      <c r="F245" s="97" t="e">
        <f aca="false">IF($C245="","",E245*H245)</f>
        <v>#VALUE!</v>
      </c>
      <c r="G245" s="31" t="n">
        <f aca="false">Swap!AG245</f>
        <v>0.0633755522601587</v>
      </c>
      <c r="H245" s="31" t="n">
        <f aca="false">Swap!AH245</f>
        <v>1.32309629065859</v>
      </c>
      <c r="I245" s="92" t="n">
        <f aca="false">INDEX(expery,MATCH(A245,exprymonth,0),2)</f>
        <v>44281</v>
      </c>
      <c r="J245" s="98" t="n">
        <f aca="false">I245-Front!$C$2</f>
        <v>-1645</v>
      </c>
      <c r="K245" s="99" t="n">
        <f aca="false">Swap!E245</f>
        <v>4.817</v>
      </c>
      <c r="L245" s="99" t="e">
        <f aca="false">IF(C245="","",(PriceSwitch=0)*K245+(PriceSwitch=1)*(Front!$H$21+K245)+(PriceSwitch=2)*Front!$H$21)</f>
        <v>#VALUE!</v>
      </c>
      <c r="M245" s="93" t="n">
        <f aca="false">INDEX(vols,MATCH(A245,volsmonth,0),2)</f>
        <v>0.17</v>
      </c>
      <c r="N245" s="3" t="e">
        <f aca="false">IF(Skew_Switch=0,"",IF($C245="","",(Front!$E$20=0)*M245+(Front!$E$20=1)*(Front!$E$21+M245)+(Front!$E$20=2)*Front!$E$21))</f>
        <v>#VALUE!</v>
      </c>
      <c r="O245" s="94" t="e">
        <f aca="false">IF(Skew_Switch=0,"",IF(C245="","",((calcskew(Call1-$L245,$C245,a,b))/100)))</f>
        <v>#VALUE!</v>
      </c>
      <c r="P245" s="94" t="e">
        <f aca="false">IF(Skew_Switch=0,"",IF(C245="","",((calcskew(Put1-$L245,$C245,a,b))/100)))</f>
        <v>#VALUE!</v>
      </c>
      <c r="Q245" s="94" t="e">
        <f aca="false">IF(Skew_Switch=0,"",IF(C245="","",((calcskew(Call2-$L245,$C245,a,b))/100)))</f>
        <v>#VALUE!</v>
      </c>
      <c r="R245" s="94" t="e">
        <f aca="false">IF(Skew_Switch=0,"",IF(C245="","",((calcskew(Put2-$L245,$C245,a,b))/100)))</f>
        <v>#VALUE!</v>
      </c>
      <c r="S245" s="3" t="e">
        <f aca="false">IF($C245="","",(Front!$C$19=0)*$N245+(Front!$C$19=1)*($N245+O245))</f>
        <v>#VALUE!</v>
      </c>
      <c r="T245" s="3" t="e">
        <f aca="false">IF($C245="","",(Front!$C$19=0)*$N245+(Front!$C$19=1)*($N245+P245))</f>
        <v>#VALUE!</v>
      </c>
      <c r="U245" s="3" t="e">
        <f aca="false">IF($C245="","",(Front!$C$19=0)*$N245+(Front!$C$19=1)*($N245+Q245))</f>
        <v>#VALUE!</v>
      </c>
      <c r="V245" s="3" t="e">
        <f aca="false">IF($C245="","",(Front!$C$19=0)*$N245+(Front!$C$19=1)*($N245+R245))</f>
        <v>#VALUE!</v>
      </c>
      <c r="W245" s="90" t="e">
        <f aca="false">IF($C245="","",xEURO($L245,Call1,$G245,$G245,S245,$J245,1,0))</f>
        <v>#VALUE!</v>
      </c>
      <c r="X245" s="90" t="e">
        <f aca="false">IF($C245="","",xEURO($L245,Put1,$G245,$G245,T245,$J245,0,0))</f>
        <v>#VALUE!</v>
      </c>
      <c r="Y245" s="90" t="e">
        <f aca="false">IF($C245="","",xEURO($L245,Call2,$G245,$G245,U245,$J245,1,0))</f>
        <v>#VALUE!</v>
      </c>
      <c r="Z245" s="90" t="e">
        <f aca="false">IF($C245="","",xEURO($L245,Put2,$G245,$G245,V245,$J245,0,0))</f>
        <v>#VALUE!</v>
      </c>
      <c r="AA245" s="90" t="e">
        <f aca="false">IF($C245="","",xEURO($L245,Call1,$G245,$G245,$S245,$J245,1,1))</f>
        <v>#VALUE!</v>
      </c>
      <c r="AB245" s="90" t="e">
        <f aca="false">IF($C245="","",xEURO($L245,Put1,$G245,$G245,$T245,$J245,0,1))</f>
        <v>#VALUE!</v>
      </c>
      <c r="AC245" s="90" t="e">
        <f aca="false">IF($C245="","",xEURO($L245,Call2,$G245,$G245,$U245,$J245,1,1))</f>
        <v>#VALUE!</v>
      </c>
      <c r="AD245" s="90" t="e">
        <f aca="false">IF($C245="","",xEURO($L245,Put2,$G245,$G245,$V245,$J245,0,1))</f>
        <v>#VALUE!</v>
      </c>
      <c r="AE245" s="90" t="e">
        <f aca="false">IF($C245="","",xEURO($L245,Call1,$G245,$G245,$S245,$J245,1,3))</f>
        <v>#VALUE!</v>
      </c>
      <c r="AF245" s="90" t="e">
        <f aca="false">IF($C245="","",xEURO($L245,Put1,$G245,$G245,$T245,$J245,0,3))</f>
        <v>#VALUE!</v>
      </c>
      <c r="AG245" s="90" t="e">
        <f aca="false">IF($C245="","",xEURO($L245,Call2,$G245,$G245,$U245,$J245,1,3))</f>
        <v>#VALUE!</v>
      </c>
      <c r="AH245" s="90" t="e">
        <f aca="false">IF($C245="","",xEURO($L245,Put2,$G245,$G245,$V245,$J245,0,3))</f>
        <v>#VALUE!</v>
      </c>
      <c r="AI245" s="8" t="e">
        <f aca="false">IF(E245=1,G245,0)</f>
        <v>#VALUE!</v>
      </c>
      <c r="AJ245" s="8" t="e">
        <f aca="false">IF(E245=1,H245,0)</f>
        <v>#VALUE!</v>
      </c>
      <c r="AK245" s="8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</row>
    <row r="246" customFormat="false" ht="12.75" hidden="false" customHeight="false" outlineLevel="0" collapsed="false">
      <c r="A246" s="95" t="n">
        <f aca="false">Swap!A246</f>
        <v>44317</v>
      </c>
      <c r="B246" s="96" t="n">
        <f aca="false">B245+1</f>
        <v>237</v>
      </c>
      <c r="C246" s="95" t="e">
        <f aca="false">IF(AND(A246&gt;=Front!$E$11,A246&lt;=Front!$E$12),A246,"")</f>
        <v>#VALUE!</v>
      </c>
      <c r="D246" s="87" t="e">
        <f aca="false">Swap!AB246</f>
        <v>#VALUE!</v>
      </c>
      <c r="E246" s="87" t="e">
        <f aca="false">IF($C246="","",1)</f>
        <v>#VALUE!</v>
      </c>
      <c r="F246" s="97" t="e">
        <f aca="false">IF($C246="","",E246*H246)</f>
        <v>#VALUE!</v>
      </c>
      <c r="G246" s="31" t="n">
        <f aca="false">Swap!AG246</f>
        <v>0.0634405898594896</v>
      </c>
      <c r="H246" s="31" t="n">
        <f aca="false">Swap!AH246</f>
        <v>1.31669887447195</v>
      </c>
      <c r="I246" s="92" t="n">
        <f aca="false">INDEX(expery,MATCH(A246,exprymonth,0),2)</f>
        <v>44313</v>
      </c>
      <c r="J246" s="98" t="n">
        <f aca="false">I246-Front!$C$2</f>
        <v>-1613</v>
      </c>
      <c r="K246" s="99" t="n">
        <f aca="false">Swap!E246</f>
        <v>4.817</v>
      </c>
      <c r="L246" s="99" t="e">
        <f aca="false">IF(C246="","",(PriceSwitch=0)*K246+(PriceSwitch=1)*(Front!$H$21+K246)+(PriceSwitch=2)*Front!$H$21)</f>
        <v>#VALUE!</v>
      </c>
      <c r="M246" s="93" t="n">
        <f aca="false">INDEX(vols,MATCH(A246,volsmonth,0),2)</f>
        <v>0.17</v>
      </c>
      <c r="N246" s="3" t="e">
        <f aca="false">IF(Skew_Switch=0,"",IF($C246="","",(Front!$E$20=0)*M246+(Front!$E$20=1)*(Front!$E$21+M246)+(Front!$E$20=2)*Front!$E$21))</f>
        <v>#VALUE!</v>
      </c>
      <c r="O246" s="94" t="e">
        <f aca="false">IF(Skew_Switch=0,"",IF(C246="","",((calcskew(Call1-$L246,$C246,a,b))/100)))</f>
        <v>#VALUE!</v>
      </c>
      <c r="P246" s="94" t="e">
        <f aca="false">IF(Skew_Switch=0,"",IF(C246="","",((calcskew(Put1-$L246,$C246,a,b))/100)))</f>
        <v>#VALUE!</v>
      </c>
      <c r="Q246" s="94" t="e">
        <f aca="false">IF(Skew_Switch=0,"",IF(C246="","",((calcskew(Call2-$L246,$C246,a,b))/100)))</f>
        <v>#VALUE!</v>
      </c>
      <c r="R246" s="94" t="e">
        <f aca="false">IF(Skew_Switch=0,"",IF(C246="","",((calcskew(Put2-$L246,$C246,a,b))/100)))</f>
        <v>#VALUE!</v>
      </c>
      <c r="S246" s="3" t="e">
        <f aca="false">IF($C246="","",(Front!$C$19=0)*$N246+(Front!$C$19=1)*($N246+O246))</f>
        <v>#VALUE!</v>
      </c>
      <c r="T246" s="3" t="e">
        <f aca="false">IF($C246="","",(Front!$C$19=0)*$N246+(Front!$C$19=1)*($N246+P246))</f>
        <v>#VALUE!</v>
      </c>
      <c r="U246" s="3" t="e">
        <f aca="false">IF($C246="","",(Front!$C$19=0)*$N246+(Front!$C$19=1)*($N246+Q246))</f>
        <v>#VALUE!</v>
      </c>
      <c r="V246" s="3" t="e">
        <f aca="false">IF($C246="","",(Front!$C$19=0)*$N246+(Front!$C$19=1)*($N246+R246))</f>
        <v>#VALUE!</v>
      </c>
      <c r="W246" s="90" t="e">
        <f aca="false">IF($C246="","",xEURO($L246,Call1,$G246,$G246,S246,$J246,1,0))</f>
        <v>#VALUE!</v>
      </c>
      <c r="X246" s="90" t="e">
        <f aca="false">IF($C246="","",xEURO($L246,Put1,$G246,$G246,T246,$J246,0,0))</f>
        <v>#VALUE!</v>
      </c>
      <c r="Y246" s="90" t="e">
        <f aca="false">IF($C246="","",xEURO($L246,Call2,$G246,$G246,U246,$J246,1,0))</f>
        <v>#VALUE!</v>
      </c>
      <c r="Z246" s="90" t="e">
        <f aca="false">IF($C246="","",xEURO($L246,Put2,$G246,$G246,V246,$J246,0,0))</f>
        <v>#VALUE!</v>
      </c>
      <c r="AA246" s="90" t="e">
        <f aca="false">IF($C246="","",xEURO($L246,Call1,$G246,$G246,$S246,$J246,1,1))</f>
        <v>#VALUE!</v>
      </c>
      <c r="AB246" s="90" t="e">
        <f aca="false">IF($C246="","",xEURO($L246,Put1,$G246,$G246,$T246,$J246,0,1))</f>
        <v>#VALUE!</v>
      </c>
      <c r="AC246" s="90" t="e">
        <f aca="false">IF($C246="","",xEURO($L246,Call2,$G246,$G246,$U246,$J246,1,1))</f>
        <v>#VALUE!</v>
      </c>
      <c r="AD246" s="90" t="e">
        <f aca="false">IF($C246="","",xEURO($L246,Put2,$G246,$G246,$V246,$J246,0,1))</f>
        <v>#VALUE!</v>
      </c>
      <c r="AE246" s="90" t="e">
        <f aca="false">IF($C246="","",xEURO($L246,Call1,$G246,$G246,$S246,$J246,1,3))</f>
        <v>#VALUE!</v>
      </c>
      <c r="AF246" s="90" t="e">
        <f aca="false">IF($C246="","",xEURO($L246,Put1,$G246,$G246,$T246,$J246,0,3))</f>
        <v>#VALUE!</v>
      </c>
      <c r="AG246" s="90" t="e">
        <f aca="false">IF($C246="","",xEURO($L246,Call2,$G246,$G246,$U246,$J246,1,3))</f>
        <v>#VALUE!</v>
      </c>
      <c r="AH246" s="90" t="e">
        <f aca="false">IF($C246="","",xEURO($L246,Put2,$G246,$G246,$V246,$J246,0,3))</f>
        <v>#VALUE!</v>
      </c>
      <c r="AI246" s="8" t="e">
        <f aca="false">IF(E246=1,G246,0)</f>
        <v>#VALUE!</v>
      </c>
      <c r="AJ246" s="8" t="e">
        <f aca="false">IF(E246=1,H246,0)</f>
        <v>#VALUE!</v>
      </c>
      <c r="AK246" s="8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</row>
    <row r="247" customFormat="false" ht="12.75" hidden="false" customHeight="false" outlineLevel="0" collapsed="false">
      <c r="A247" s="95" t="n">
        <f aca="false">Swap!A247</f>
        <v>44348</v>
      </c>
      <c r="B247" s="96" t="n">
        <f aca="false">B246+1</f>
        <v>238</v>
      </c>
      <c r="C247" s="95" t="e">
        <f aca="false">IF(AND(A247&gt;=Front!$E$11,A247&lt;=Front!$E$12),A247,"")</f>
        <v>#VALUE!</v>
      </c>
      <c r="D247" s="87" t="e">
        <f aca="false">Swap!AB247</f>
        <v>#VALUE!</v>
      </c>
      <c r="E247" s="87" t="e">
        <f aca="false">IF($C247="","",1)</f>
        <v>#VALUE!</v>
      </c>
      <c r="F247" s="97" t="e">
        <f aca="false">IF($C247="","",E247*H247)</f>
        <v>#VALUE!</v>
      </c>
      <c r="G247" s="31" t="n">
        <f aca="false">Swap!AG247</f>
        <v>0.0635077953802732</v>
      </c>
      <c r="H247" s="31" t="n">
        <f aca="false">Swap!AH247</f>
        <v>1.31010644129895</v>
      </c>
      <c r="I247" s="92" t="n">
        <f aca="false">INDEX(expery,MATCH(A247,exprymonth,0),2)</f>
        <v>44341</v>
      </c>
      <c r="J247" s="98" t="n">
        <f aca="false">I247-Front!$C$2</f>
        <v>-1585</v>
      </c>
      <c r="K247" s="99" t="n">
        <f aca="false">Swap!E247</f>
        <v>4.849</v>
      </c>
      <c r="L247" s="99" t="e">
        <f aca="false">IF(C247="","",(PriceSwitch=0)*K247+(PriceSwitch=1)*(Front!$H$21+K247)+(PriceSwitch=2)*Front!$H$21)</f>
        <v>#VALUE!</v>
      </c>
      <c r="M247" s="93" t="n">
        <f aca="false">INDEX(vols,MATCH(A247,volsmonth,0),2)</f>
        <v>0.17</v>
      </c>
      <c r="N247" s="3" t="e">
        <f aca="false">IF(Skew_Switch=0,"",IF($C247="","",(Front!$E$20=0)*M247+(Front!$E$20=1)*(Front!$E$21+M247)+(Front!$E$20=2)*Front!$E$21))</f>
        <v>#VALUE!</v>
      </c>
      <c r="O247" s="94" t="e">
        <f aca="false">IF(Skew_Switch=0,"",IF(C247="","",((calcskew(Call1-$L247,$C247,a,b))/100)))</f>
        <v>#VALUE!</v>
      </c>
      <c r="P247" s="94" t="e">
        <f aca="false">IF(Skew_Switch=0,"",IF(C247="","",((calcskew(Put1-$L247,$C247,a,b))/100)))</f>
        <v>#VALUE!</v>
      </c>
      <c r="Q247" s="94" t="e">
        <f aca="false">IF(Skew_Switch=0,"",IF(C247="","",((calcskew(Call2-$L247,$C247,a,b))/100)))</f>
        <v>#VALUE!</v>
      </c>
      <c r="R247" s="94" t="e">
        <f aca="false">IF(Skew_Switch=0,"",IF(C247="","",((calcskew(Put2-$L247,$C247,a,b))/100)))</f>
        <v>#VALUE!</v>
      </c>
      <c r="S247" s="3" t="e">
        <f aca="false">IF($C247="","",(Front!$C$19=0)*$N247+(Front!$C$19=1)*($N247+O247))</f>
        <v>#VALUE!</v>
      </c>
      <c r="T247" s="3" t="e">
        <f aca="false">IF($C247="","",(Front!$C$19=0)*$N247+(Front!$C$19=1)*($N247+P247))</f>
        <v>#VALUE!</v>
      </c>
      <c r="U247" s="3" t="e">
        <f aca="false">IF($C247="","",(Front!$C$19=0)*$N247+(Front!$C$19=1)*($N247+Q247))</f>
        <v>#VALUE!</v>
      </c>
      <c r="V247" s="3" t="e">
        <f aca="false">IF($C247="","",(Front!$C$19=0)*$N247+(Front!$C$19=1)*($N247+R247))</f>
        <v>#VALUE!</v>
      </c>
      <c r="W247" s="90" t="e">
        <f aca="false">IF($C247="","",xEURO($L247,Call1,$G247,$G247,S247,$J247,1,0))</f>
        <v>#VALUE!</v>
      </c>
      <c r="X247" s="90" t="e">
        <f aca="false">IF($C247="","",xEURO($L247,Put1,$G247,$G247,T247,$J247,0,0))</f>
        <v>#VALUE!</v>
      </c>
      <c r="Y247" s="90" t="e">
        <f aca="false">IF($C247="","",xEURO($L247,Call2,$G247,$G247,U247,$J247,1,0))</f>
        <v>#VALUE!</v>
      </c>
      <c r="Z247" s="90" t="e">
        <f aca="false">IF($C247="","",xEURO($L247,Put2,$G247,$G247,V247,$J247,0,0))</f>
        <v>#VALUE!</v>
      </c>
      <c r="AA247" s="90" t="e">
        <f aca="false">IF($C247="","",xEURO($L247,Call1,$G247,$G247,$S247,$J247,1,1))</f>
        <v>#VALUE!</v>
      </c>
      <c r="AB247" s="90" t="e">
        <f aca="false">IF($C247="","",xEURO($L247,Put1,$G247,$G247,$T247,$J247,0,1))</f>
        <v>#VALUE!</v>
      </c>
      <c r="AC247" s="90" t="e">
        <f aca="false">IF($C247="","",xEURO($L247,Call2,$G247,$G247,$U247,$J247,1,1))</f>
        <v>#VALUE!</v>
      </c>
      <c r="AD247" s="90" t="e">
        <f aca="false">IF($C247="","",xEURO($L247,Put2,$G247,$G247,$V247,$J247,0,1))</f>
        <v>#VALUE!</v>
      </c>
      <c r="AE247" s="90" t="e">
        <f aca="false">IF($C247="","",xEURO($L247,Call1,$G247,$G247,$S247,$J247,1,3))</f>
        <v>#VALUE!</v>
      </c>
      <c r="AF247" s="90" t="e">
        <f aca="false">IF($C247="","",xEURO($L247,Put1,$G247,$G247,$T247,$J247,0,3))</f>
        <v>#VALUE!</v>
      </c>
      <c r="AG247" s="90" t="e">
        <f aca="false">IF($C247="","",xEURO($L247,Call2,$G247,$G247,$U247,$J247,1,3))</f>
        <v>#VALUE!</v>
      </c>
      <c r="AH247" s="90" t="e">
        <f aca="false">IF($C247="","",xEURO($L247,Put2,$G247,$G247,$V247,$J247,0,3))</f>
        <v>#VALUE!</v>
      </c>
      <c r="AI247" s="8" t="e">
        <f aca="false">IF(E247=1,G247,0)</f>
        <v>#VALUE!</v>
      </c>
      <c r="AJ247" s="8" t="e">
        <f aca="false">IF(E247=1,H247,0)</f>
        <v>#VALUE!</v>
      </c>
      <c r="AK247" s="8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</row>
    <row r="248" customFormat="false" ht="12.75" hidden="false" customHeight="false" outlineLevel="0" collapsed="false">
      <c r="A248" s="95" t="n">
        <f aca="false">Swap!A248</f>
        <v>44378</v>
      </c>
      <c r="B248" s="96" t="n">
        <f aca="false">B247+1</f>
        <v>239</v>
      </c>
      <c r="C248" s="95" t="e">
        <f aca="false">IF(AND(A248&gt;=Front!$E$11,A248&lt;=Front!$E$12),A248,"")</f>
        <v>#VALUE!</v>
      </c>
      <c r="D248" s="87" t="e">
        <f aca="false">Swap!AB248</f>
        <v>#VALUE!</v>
      </c>
      <c r="E248" s="87" t="e">
        <f aca="false">IF($C248="","",1)</f>
        <v>#VALUE!</v>
      </c>
      <c r="F248" s="97" t="e">
        <f aca="false">IF($C248="","",E248*H248)</f>
        <v>#VALUE!</v>
      </c>
      <c r="G248" s="31" t="n">
        <f aca="false">Swap!AG248</f>
        <v>0.0635728329824574</v>
      </c>
      <c r="H248" s="31" t="n">
        <f aca="false">Swap!AH248</f>
        <v>1.30374435923447</v>
      </c>
      <c r="I248" s="92" t="n">
        <f aca="false">INDEX(expery,MATCH(A248,exprymonth,0),2)</f>
        <v>44372</v>
      </c>
      <c r="J248" s="98" t="n">
        <f aca="false">I248-Front!$C$2</f>
        <v>-1554</v>
      </c>
      <c r="K248" s="99" t="n">
        <f aca="false">Swap!E248</f>
        <v>4.899</v>
      </c>
      <c r="L248" s="99" t="e">
        <f aca="false">IF(C248="","",(PriceSwitch=0)*K248+(PriceSwitch=1)*(Front!$H$21+K248)+(PriceSwitch=2)*Front!$H$21)</f>
        <v>#VALUE!</v>
      </c>
      <c r="M248" s="93" t="n">
        <f aca="false">INDEX(vols,MATCH(A248,volsmonth,0),2)</f>
        <v>0.17</v>
      </c>
      <c r="N248" s="3" t="e">
        <f aca="false">IF(Skew_Switch=0,"",IF($C248="","",(Front!$E$20=0)*M248+(Front!$E$20=1)*(Front!$E$21+M248)+(Front!$E$20=2)*Front!$E$21))</f>
        <v>#VALUE!</v>
      </c>
      <c r="O248" s="94" t="e">
        <f aca="false">IF(Skew_Switch=0,"",IF(C248="","",((calcskew(Call1-$L248,$C248,a,b))/100)))</f>
        <v>#VALUE!</v>
      </c>
      <c r="P248" s="94" t="e">
        <f aca="false">IF(Skew_Switch=0,"",IF(C248="","",((calcskew(Put1-$L248,$C248,a,b))/100)))</f>
        <v>#VALUE!</v>
      </c>
      <c r="Q248" s="94" t="e">
        <f aca="false">IF(Skew_Switch=0,"",IF(C248="","",((calcskew(Call2-$L248,$C248,a,b))/100)))</f>
        <v>#VALUE!</v>
      </c>
      <c r="R248" s="94" t="e">
        <f aca="false">IF(Skew_Switch=0,"",IF(C248="","",((calcskew(Put2-$L248,$C248,a,b))/100)))</f>
        <v>#VALUE!</v>
      </c>
      <c r="S248" s="3" t="e">
        <f aca="false">IF($C248="","",(Front!$C$19=0)*$N248+(Front!$C$19=1)*($N248+O248))</f>
        <v>#VALUE!</v>
      </c>
      <c r="T248" s="3" t="e">
        <f aca="false">IF($C248="","",(Front!$C$19=0)*$N248+(Front!$C$19=1)*($N248+P248))</f>
        <v>#VALUE!</v>
      </c>
      <c r="U248" s="3" t="e">
        <f aca="false">IF($C248="","",(Front!$C$19=0)*$N248+(Front!$C$19=1)*($N248+Q248))</f>
        <v>#VALUE!</v>
      </c>
      <c r="V248" s="3" t="e">
        <f aca="false">IF($C248="","",(Front!$C$19=0)*$N248+(Front!$C$19=1)*($N248+R248))</f>
        <v>#VALUE!</v>
      </c>
      <c r="W248" s="90" t="e">
        <f aca="false">IF($C248="","",xEURO($L248,Call1,$G248,$G248,S248,$J248,1,0))</f>
        <v>#VALUE!</v>
      </c>
      <c r="X248" s="90" t="e">
        <f aca="false">IF($C248="","",xEURO($L248,Put1,$G248,$G248,T248,$J248,0,0))</f>
        <v>#VALUE!</v>
      </c>
      <c r="Y248" s="90" t="e">
        <f aca="false">IF($C248="","",xEURO($L248,Call2,$G248,$G248,U248,$J248,1,0))</f>
        <v>#VALUE!</v>
      </c>
      <c r="Z248" s="90" t="e">
        <f aca="false">IF($C248="","",xEURO($L248,Put2,$G248,$G248,V248,$J248,0,0))</f>
        <v>#VALUE!</v>
      </c>
      <c r="AA248" s="90" t="e">
        <f aca="false">IF($C248="","",xEURO($L248,Call1,$G248,$G248,$S248,$J248,1,1))</f>
        <v>#VALUE!</v>
      </c>
      <c r="AB248" s="90" t="e">
        <f aca="false">IF($C248="","",xEURO($L248,Put1,$G248,$G248,$T248,$J248,0,1))</f>
        <v>#VALUE!</v>
      </c>
      <c r="AC248" s="90" t="e">
        <f aca="false">IF($C248="","",xEURO($L248,Call2,$G248,$G248,$U248,$J248,1,1))</f>
        <v>#VALUE!</v>
      </c>
      <c r="AD248" s="90" t="e">
        <f aca="false">IF($C248="","",xEURO($L248,Put2,$G248,$G248,$V248,$J248,0,1))</f>
        <v>#VALUE!</v>
      </c>
      <c r="AE248" s="90" t="e">
        <f aca="false">IF($C248="","",xEURO($L248,Call1,$G248,$G248,$S248,$J248,1,3))</f>
        <v>#VALUE!</v>
      </c>
      <c r="AF248" s="90" t="e">
        <f aca="false">IF($C248="","",xEURO($L248,Put1,$G248,$G248,$T248,$J248,0,3))</f>
        <v>#VALUE!</v>
      </c>
      <c r="AG248" s="90" t="e">
        <f aca="false">IF($C248="","",xEURO($L248,Call2,$G248,$G248,$U248,$J248,1,3))</f>
        <v>#VALUE!</v>
      </c>
      <c r="AH248" s="90" t="e">
        <f aca="false">IF($C248="","",xEURO($L248,Put2,$G248,$G248,$V248,$J248,0,3))</f>
        <v>#VALUE!</v>
      </c>
      <c r="AI248" s="8" t="e">
        <f aca="false">IF(E248=1,G248,0)</f>
        <v>#VALUE!</v>
      </c>
      <c r="AJ248" s="8" t="e">
        <f aca="false">IF(E248=1,H248,0)</f>
        <v>#VALUE!</v>
      </c>
      <c r="AK248" s="8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</row>
    <row r="249" customFormat="false" ht="12.75" hidden="false" customHeight="false" outlineLevel="0" collapsed="false">
      <c r="A249" s="95" t="n">
        <f aca="false">Swap!A249</f>
        <v>44409</v>
      </c>
      <c r="B249" s="96" t="n">
        <f aca="false">B248+1</f>
        <v>240</v>
      </c>
      <c r="C249" s="95" t="e">
        <f aca="false">IF(AND(A249&gt;=Front!$E$11,A249&lt;=Front!$E$12),A249,"")</f>
        <v>#VALUE!</v>
      </c>
      <c r="D249" s="87" t="e">
        <f aca="false">Swap!AB249</f>
        <v>#VALUE!</v>
      </c>
      <c r="E249" s="87" t="e">
        <f aca="false">IF($C249="","",1)</f>
        <v>#VALUE!</v>
      </c>
      <c r="F249" s="97" t="e">
        <f aca="false">IF($C249="","",E249*H249)</f>
        <v>#VALUE!</v>
      </c>
      <c r="G249" s="31" t="n">
        <f aca="false">Swap!AG249</f>
        <v>0.0636400385061879</v>
      </c>
      <c r="H249" s="31" t="n">
        <f aca="false">Swap!AH249</f>
        <v>1.29718854067033</v>
      </c>
      <c r="I249" s="92" t="n">
        <f aca="false">INDEX(expery,MATCH(A249,exprymonth,0),2)</f>
        <v>44404</v>
      </c>
      <c r="J249" s="98" t="n">
        <f aca="false">I249-Front!$C$2</f>
        <v>-1522</v>
      </c>
      <c r="K249" s="99" t="n">
        <f aca="false">Swap!E249</f>
        <v>4.933</v>
      </c>
      <c r="L249" s="99" t="e">
        <f aca="false">IF(C249="","",(PriceSwitch=0)*K249+(PriceSwitch=1)*(Front!$H$21+K249)+(PriceSwitch=2)*Front!$H$21)</f>
        <v>#VALUE!</v>
      </c>
      <c r="M249" s="93" t="n">
        <f aca="false">INDEX(vols,MATCH(A249,volsmonth,0),2)</f>
        <v>0.17</v>
      </c>
      <c r="N249" s="3" t="e">
        <f aca="false">IF(Skew_Switch=0,"",IF($C249="","",(Front!$E$20=0)*M249+(Front!$E$20=1)*(Front!$E$21+M249)+(Front!$E$20=2)*Front!$E$21))</f>
        <v>#VALUE!</v>
      </c>
      <c r="O249" s="94" t="e">
        <f aca="false">IF(Skew_Switch=0,"",IF(C249="","",((calcskew(Call1-$L249,$C249,a,b))/100)))</f>
        <v>#VALUE!</v>
      </c>
      <c r="P249" s="94" t="e">
        <f aca="false">IF(Skew_Switch=0,"",IF(C249="","",((calcskew(Put1-$L249,$C249,a,b))/100)))</f>
        <v>#VALUE!</v>
      </c>
      <c r="Q249" s="94" t="e">
        <f aca="false">IF(Skew_Switch=0,"",IF(C249="","",((calcskew(Call2-$L249,$C249,a,b))/100)))</f>
        <v>#VALUE!</v>
      </c>
      <c r="R249" s="94" t="e">
        <f aca="false">IF(Skew_Switch=0,"",IF(C249="","",((calcskew(Put2-$L249,$C249,a,b))/100)))</f>
        <v>#VALUE!</v>
      </c>
      <c r="S249" s="3" t="e">
        <f aca="false">IF($C249="","",(Front!$C$19=0)*$N249+(Front!$C$19=1)*($N249+O249))</f>
        <v>#VALUE!</v>
      </c>
      <c r="T249" s="3" t="e">
        <f aca="false">IF($C249="","",(Front!$C$19=0)*$N249+(Front!$C$19=1)*($N249+P249))</f>
        <v>#VALUE!</v>
      </c>
      <c r="U249" s="3" t="e">
        <f aca="false">IF($C249="","",(Front!$C$19=0)*$N249+(Front!$C$19=1)*($N249+Q249))</f>
        <v>#VALUE!</v>
      </c>
      <c r="V249" s="3" t="e">
        <f aca="false">IF($C249="","",(Front!$C$19=0)*$N249+(Front!$C$19=1)*($N249+R249))</f>
        <v>#VALUE!</v>
      </c>
      <c r="W249" s="90" t="e">
        <f aca="false">IF($C249="","",xEURO($L249,Call1,$G249,$G249,S249,$J249,1,0))</f>
        <v>#VALUE!</v>
      </c>
      <c r="X249" s="90" t="e">
        <f aca="false">IF($C249="","",xEURO($L249,Put1,$G249,$G249,T249,$J249,0,0))</f>
        <v>#VALUE!</v>
      </c>
      <c r="Y249" s="90" t="e">
        <f aca="false">IF($C249="","",xEURO($L249,Call2,$G249,$G249,U249,$J249,1,0))</f>
        <v>#VALUE!</v>
      </c>
      <c r="Z249" s="90" t="e">
        <f aca="false">IF($C249="","",xEURO($L249,Put2,$G249,$G249,V249,$J249,0,0))</f>
        <v>#VALUE!</v>
      </c>
      <c r="AA249" s="90" t="e">
        <f aca="false">IF($C249="","",xEURO($L249,Call1,$G249,$G249,$S249,$J249,1,1))</f>
        <v>#VALUE!</v>
      </c>
      <c r="AB249" s="90" t="e">
        <f aca="false">IF($C249="","",xEURO($L249,Put1,$G249,$G249,$T249,$J249,0,1))</f>
        <v>#VALUE!</v>
      </c>
      <c r="AC249" s="90" t="e">
        <f aca="false">IF($C249="","",xEURO($L249,Call2,$G249,$G249,$U249,$J249,1,1))</f>
        <v>#VALUE!</v>
      </c>
      <c r="AD249" s="90" t="e">
        <f aca="false">IF($C249="","",xEURO($L249,Put2,$G249,$G249,$V249,$J249,0,1))</f>
        <v>#VALUE!</v>
      </c>
      <c r="AE249" s="90" t="e">
        <f aca="false">IF($C249="","",xEURO($L249,Call1,$G249,$G249,$S249,$J249,1,3))</f>
        <v>#VALUE!</v>
      </c>
      <c r="AF249" s="90" t="e">
        <f aca="false">IF($C249="","",xEURO($L249,Put1,$G249,$G249,$T249,$J249,0,3))</f>
        <v>#VALUE!</v>
      </c>
      <c r="AG249" s="90" t="e">
        <f aca="false">IF($C249="","",xEURO($L249,Call2,$G249,$G249,$U249,$J249,1,3))</f>
        <v>#VALUE!</v>
      </c>
      <c r="AH249" s="90" t="e">
        <f aca="false">IF($C249="","",xEURO($L249,Put2,$G249,$G249,$V249,$J249,0,3))</f>
        <v>#VALUE!</v>
      </c>
      <c r="AI249" s="8" t="e">
        <f aca="false">IF(E249=1,G249,0)</f>
        <v>#VALUE!</v>
      </c>
      <c r="AJ249" s="8" t="e">
        <f aca="false">IF(E249=1,H249,0)</f>
        <v>#VALUE!</v>
      </c>
      <c r="AK249" s="8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</row>
    <row r="250" customFormat="false" ht="12.75" hidden="false" customHeight="false" outlineLevel="0" collapsed="false">
      <c r="A250" s="95" t="n">
        <f aca="false">Swap!A250</f>
        <v>44440</v>
      </c>
      <c r="B250" s="96" t="n">
        <f aca="false">B249+1</f>
        <v>241</v>
      </c>
      <c r="C250" s="95" t="e">
        <f aca="false">IF(AND(A250&gt;=Front!$E$11,A250&lt;=Front!$E$12),A250,"")</f>
        <v>#VALUE!</v>
      </c>
      <c r="D250" s="87" t="e">
        <f aca="false">Swap!AB250</f>
        <v>#VALUE!</v>
      </c>
      <c r="E250" s="87" t="e">
        <f aca="false">IF($C250="","",1)</f>
        <v>#VALUE!</v>
      </c>
      <c r="F250" s="97" t="e">
        <f aca="false">IF($C250="","",E250*H250)</f>
        <v>#VALUE!</v>
      </c>
      <c r="G250" s="31" t="n">
        <f aca="false">Swap!AG250</f>
        <v>0.0637072440314172</v>
      </c>
      <c r="H250" s="31" t="n">
        <f aca="false">Swap!AH250</f>
        <v>1.29065140670828</v>
      </c>
      <c r="I250" s="92" t="n">
        <f aca="false">INDEX(expery,MATCH(A250,exprymonth,0),2)</f>
        <v>44434</v>
      </c>
      <c r="J250" s="98" t="n">
        <f aca="false">I250-Front!$C$2</f>
        <v>-1492</v>
      </c>
      <c r="K250" s="99" t="n">
        <f aca="false">Swap!E250</f>
        <v>4.946</v>
      </c>
      <c r="L250" s="99" t="e">
        <f aca="false">IF(C250="","",(PriceSwitch=0)*K250+(PriceSwitch=1)*(Front!$H$21+K250)+(PriceSwitch=2)*Front!$H$21)</f>
        <v>#VALUE!</v>
      </c>
      <c r="M250" s="93" t="n">
        <f aca="false">INDEX(vols,MATCH(A250,volsmonth,0),2)</f>
        <v>0.17</v>
      </c>
      <c r="N250" s="3" t="e">
        <f aca="false">IF(Skew_Switch=0,"",IF($C250="","",(Front!$E$20=0)*M250+(Front!$E$20=1)*(Front!$E$21+M250)+(Front!$E$20=2)*Front!$E$21))</f>
        <v>#VALUE!</v>
      </c>
      <c r="O250" s="94" t="e">
        <f aca="false">IF(Skew_Switch=0,"",IF(C250="","",((calcskew(Call1-$L250,$C250,a,b))/100)))</f>
        <v>#VALUE!</v>
      </c>
      <c r="P250" s="94" t="e">
        <f aca="false">IF(Skew_Switch=0,"",IF(C250="","",((calcskew(Put1-$L250,$C250,a,b))/100)))</f>
        <v>#VALUE!</v>
      </c>
      <c r="Q250" s="94" t="e">
        <f aca="false">IF(Skew_Switch=0,"",IF(C250="","",((calcskew(Call2-$L250,$C250,a,b))/100)))</f>
        <v>#VALUE!</v>
      </c>
      <c r="R250" s="94" t="e">
        <f aca="false">IF(Skew_Switch=0,"",IF(C250="","",((calcskew(Put2-$L250,$C250,a,b))/100)))</f>
        <v>#VALUE!</v>
      </c>
      <c r="S250" s="3" t="e">
        <f aca="false">IF($C250="","",(Front!$C$19=0)*$N250+(Front!$C$19=1)*($N250+O250))</f>
        <v>#VALUE!</v>
      </c>
      <c r="T250" s="3" t="e">
        <f aca="false">IF($C250="","",(Front!$C$19=0)*$N250+(Front!$C$19=1)*($N250+P250))</f>
        <v>#VALUE!</v>
      </c>
      <c r="U250" s="3" t="e">
        <f aca="false">IF($C250="","",(Front!$C$19=0)*$N250+(Front!$C$19=1)*($N250+Q250))</f>
        <v>#VALUE!</v>
      </c>
      <c r="V250" s="3" t="e">
        <f aca="false">IF($C250="","",(Front!$C$19=0)*$N250+(Front!$C$19=1)*($N250+R250))</f>
        <v>#VALUE!</v>
      </c>
      <c r="W250" s="90" t="e">
        <f aca="false">IF($C250="","",xEURO($L250,Call1,$G250,$G250,S250,$J250,1,0))</f>
        <v>#VALUE!</v>
      </c>
      <c r="X250" s="90" t="e">
        <f aca="false">IF($C250="","",xEURO($L250,Put1,$G250,$G250,T250,$J250,0,0))</f>
        <v>#VALUE!</v>
      </c>
      <c r="Y250" s="90" t="e">
        <f aca="false">IF($C250="","",xEURO($L250,Call2,$G250,$G250,U250,$J250,1,0))</f>
        <v>#VALUE!</v>
      </c>
      <c r="Z250" s="90" t="e">
        <f aca="false">IF($C250="","",xEURO($L250,Put2,$G250,$G250,V250,$J250,0,0))</f>
        <v>#VALUE!</v>
      </c>
      <c r="AA250" s="90" t="e">
        <f aca="false">IF($C250="","",xEURO($L250,Call1,$G250,$G250,$S250,$J250,1,1))</f>
        <v>#VALUE!</v>
      </c>
      <c r="AB250" s="90" t="e">
        <f aca="false">IF($C250="","",xEURO($L250,Put1,$G250,$G250,$T250,$J250,0,1))</f>
        <v>#VALUE!</v>
      </c>
      <c r="AC250" s="90" t="e">
        <f aca="false">IF($C250="","",xEURO($L250,Call2,$G250,$G250,$U250,$J250,1,1))</f>
        <v>#VALUE!</v>
      </c>
      <c r="AD250" s="90" t="e">
        <f aca="false">IF($C250="","",xEURO($L250,Put2,$G250,$G250,$V250,$J250,0,1))</f>
        <v>#VALUE!</v>
      </c>
      <c r="AE250" s="90" t="e">
        <f aca="false">IF($C250="","",xEURO($L250,Call1,$G250,$G250,$S250,$J250,1,3))</f>
        <v>#VALUE!</v>
      </c>
      <c r="AF250" s="90" t="e">
        <f aca="false">IF($C250="","",xEURO($L250,Put1,$G250,$G250,$T250,$J250,0,3))</f>
        <v>#VALUE!</v>
      </c>
      <c r="AG250" s="90" t="e">
        <f aca="false">IF($C250="","",xEURO($L250,Call2,$G250,$G250,$U250,$J250,1,3))</f>
        <v>#VALUE!</v>
      </c>
      <c r="AH250" s="90" t="e">
        <f aca="false">IF($C250="","",xEURO($L250,Put2,$G250,$G250,$V250,$J250,0,3))</f>
        <v>#VALUE!</v>
      </c>
      <c r="AI250" s="8" t="e">
        <f aca="false">IF(E250=1,G250,0)</f>
        <v>#VALUE!</v>
      </c>
      <c r="AJ250" s="8" t="e">
        <f aca="false">IF(E250=1,H250,0)</f>
        <v>#VALUE!</v>
      </c>
      <c r="AK250" s="8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</row>
    <row r="251" customFormat="false" ht="12.75" hidden="false" customHeight="false" outlineLevel="0" collapsed="false">
      <c r="A251" s="95" t="n">
        <f aca="false">Swap!A251</f>
        <v>44470</v>
      </c>
      <c r="B251" s="96" t="n">
        <f aca="false">B250+1</f>
        <v>242</v>
      </c>
      <c r="C251" s="95" t="e">
        <f aca="false">IF(AND(A251&gt;=Front!$E$11,A251&lt;=Front!$E$12),A251,"")</f>
        <v>#VALUE!</v>
      </c>
      <c r="D251" s="87" t="e">
        <f aca="false">Swap!AB251</f>
        <v>#VALUE!</v>
      </c>
      <c r="E251" s="87" t="e">
        <f aca="false">IF($C251="","",1)</f>
        <v>#VALUE!</v>
      </c>
      <c r="F251" s="97" t="e">
        <f aca="false">IF($C251="","",E251*H251)</f>
        <v>#VALUE!</v>
      </c>
      <c r="G251" s="31" t="n">
        <f aca="false">Swap!AG251</f>
        <v>0.0637642726278753</v>
      </c>
      <c r="H251" s="31" t="n">
        <f aca="false">Swap!AH251</f>
        <v>1.28430324930991</v>
      </c>
      <c r="I251" s="92" t="n">
        <f aca="false">INDEX(expery,MATCH(A251,exprymonth,0),2)</f>
        <v>44466</v>
      </c>
      <c r="J251" s="98" t="n">
        <f aca="false">I251-Front!$C$2</f>
        <v>-1460</v>
      </c>
      <c r="K251" s="99" t="n">
        <f aca="false">Swap!E251</f>
        <v>4.938</v>
      </c>
      <c r="L251" s="99" t="e">
        <f aca="false">IF(C251="","",(PriceSwitch=0)*K251+(PriceSwitch=1)*(Front!$H$21+K251)+(PriceSwitch=2)*Front!$H$21)</f>
        <v>#VALUE!</v>
      </c>
      <c r="M251" s="93" t="n">
        <f aca="false">INDEX(vols,MATCH(A251,volsmonth,0),2)</f>
        <v>0.17</v>
      </c>
      <c r="N251" s="3" t="e">
        <f aca="false">IF(Skew_Switch=0,"",IF($C251="","",(Front!$E$20=0)*M251+(Front!$E$20=1)*(Front!$E$21+M251)+(Front!$E$20=2)*Front!$E$21))</f>
        <v>#VALUE!</v>
      </c>
      <c r="O251" s="94" t="e">
        <f aca="false">IF(Skew_Switch=0,"",IF(C251="","",((calcskew(Call1-$L251,$C251,a,b))/100)))</f>
        <v>#VALUE!</v>
      </c>
      <c r="P251" s="94" t="e">
        <f aca="false">IF(Skew_Switch=0,"",IF(C251="","",((calcskew(Put1-$L251,$C251,a,b))/100)))</f>
        <v>#VALUE!</v>
      </c>
      <c r="Q251" s="94" t="e">
        <f aca="false">IF(Skew_Switch=0,"",IF(C251="","",((calcskew(Call2-$L251,$C251,a,b))/100)))</f>
        <v>#VALUE!</v>
      </c>
      <c r="R251" s="94" t="e">
        <f aca="false">IF(Skew_Switch=0,"",IF(C251="","",((calcskew(Put2-$L251,$C251,a,b))/100)))</f>
        <v>#VALUE!</v>
      </c>
      <c r="S251" s="3" t="e">
        <f aca="false">IF($C251="","",(Front!$C$19=0)*$N251+(Front!$C$19=1)*($N251+O251))</f>
        <v>#VALUE!</v>
      </c>
      <c r="T251" s="3" t="e">
        <f aca="false">IF($C251="","",(Front!$C$19=0)*$N251+(Front!$C$19=1)*($N251+P251))</f>
        <v>#VALUE!</v>
      </c>
      <c r="U251" s="3" t="e">
        <f aca="false">IF($C251="","",(Front!$C$19=0)*$N251+(Front!$C$19=1)*($N251+Q251))</f>
        <v>#VALUE!</v>
      </c>
      <c r="V251" s="3" t="e">
        <f aca="false">IF($C251="","",(Front!$C$19=0)*$N251+(Front!$C$19=1)*($N251+R251))</f>
        <v>#VALUE!</v>
      </c>
      <c r="W251" s="90" t="e">
        <f aca="false">IF($C251="","",xEURO($L251,Call1,$G251,$G251,S251,$J251,1,0))</f>
        <v>#VALUE!</v>
      </c>
      <c r="X251" s="90" t="e">
        <f aca="false">IF($C251="","",xEURO($L251,Put1,$G251,$G251,T251,$J251,0,0))</f>
        <v>#VALUE!</v>
      </c>
      <c r="Y251" s="90" t="e">
        <f aca="false">IF($C251="","",xEURO($L251,Call2,$G251,$G251,U251,$J251,1,0))</f>
        <v>#VALUE!</v>
      </c>
      <c r="Z251" s="90" t="e">
        <f aca="false">IF($C251="","",xEURO($L251,Put2,$G251,$G251,V251,$J251,0,0))</f>
        <v>#VALUE!</v>
      </c>
      <c r="AA251" s="90" t="e">
        <f aca="false">IF($C251="","",xEURO($L251,Call1,$G251,$G251,$S251,$J251,1,1))</f>
        <v>#VALUE!</v>
      </c>
      <c r="AB251" s="90" t="e">
        <f aca="false">IF($C251="","",xEURO($L251,Put1,$G251,$G251,$T251,$J251,0,1))</f>
        <v>#VALUE!</v>
      </c>
      <c r="AC251" s="90" t="e">
        <f aca="false">IF($C251="","",xEURO($L251,Call2,$G251,$G251,$U251,$J251,1,1))</f>
        <v>#VALUE!</v>
      </c>
      <c r="AD251" s="90" t="e">
        <f aca="false">IF($C251="","",xEURO($L251,Put2,$G251,$G251,$V251,$J251,0,1))</f>
        <v>#VALUE!</v>
      </c>
      <c r="AE251" s="90" t="e">
        <f aca="false">IF($C251="","",xEURO($L251,Call1,$G251,$G251,$S251,$J251,1,3))</f>
        <v>#VALUE!</v>
      </c>
      <c r="AF251" s="90" t="e">
        <f aca="false">IF($C251="","",xEURO($L251,Put1,$G251,$G251,$T251,$J251,0,3))</f>
        <v>#VALUE!</v>
      </c>
      <c r="AG251" s="90" t="e">
        <f aca="false">IF($C251="","",xEURO($L251,Call2,$G251,$G251,$U251,$J251,1,3))</f>
        <v>#VALUE!</v>
      </c>
      <c r="AH251" s="90" t="e">
        <f aca="false">IF($C251="","",xEURO($L251,Put2,$G251,$G251,$V251,$J251,0,3))</f>
        <v>#VALUE!</v>
      </c>
      <c r="AI251" s="8" t="e">
        <f aca="false">IF(E251=1,G251,0)</f>
        <v>#VALUE!</v>
      </c>
      <c r="AJ251" s="8" t="e">
        <f aca="false">IF(E251=1,H251,0)</f>
        <v>#VALUE!</v>
      </c>
      <c r="AK251" s="8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</row>
    <row r="252" customFormat="false" ht="12.75" hidden="false" customHeight="false" outlineLevel="0" collapsed="false">
      <c r="A252" s="95" t="n">
        <f aca="false">Swap!A252</f>
        <v>44501</v>
      </c>
      <c r="B252" s="96" t="n">
        <f aca="false">B251+1</f>
        <v>243</v>
      </c>
      <c r="C252" s="95" t="e">
        <f aca="false">IF(AND(A252&gt;=Front!$E$11,A252&lt;=Front!$E$12),A252,"")</f>
        <v>#VALUE!</v>
      </c>
      <c r="D252" s="87" t="e">
        <f aca="false">Swap!AB252</f>
        <v>#VALUE!</v>
      </c>
      <c r="E252" s="87" t="e">
        <f aca="false">IF($C252="","",1)</f>
        <v>#VALUE!</v>
      </c>
      <c r="F252" s="97" t="e">
        <f aca="false">IF($C252="","",E252*H252)</f>
        <v>#VALUE!</v>
      </c>
      <c r="G252" s="31" t="n">
        <f aca="false">Swap!AG252</f>
        <v>0.0637694083274889</v>
      </c>
      <c r="H252" s="31" t="n">
        <f aca="false">Swap!AH252</f>
        <v>1.2775042396003</v>
      </c>
      <c r="I252" s="92" t="n">
        <f aca="false">INDEX(expery,MATCH(A252,exprymonth,0),2)</f>
        <v>44495</v>
      </c>
      <c r="J252" s="98" t="n">
        <f aca="false">I252-Front!$C$2</f>
        <v>-1431</v>
      </c>
      <c r="K252" s="99" t="n">
        <f aca="false">Swap!E252</f>
        <v>5.108</v>
      </c>
      <c r="L252" s="99" t="e">
        <f aca="false">IF(C252="","",(PriceSwitch=0)*K252+(PriceSwitch=1)*(Front!$H$21+K252)+(PriceSwitch=2)*Front!$H$21)</f>
        <v>#VALUE!</v>
      </c>
      <c r="M252" s="93" t="n">
        <f aca="false">INDEX(vols,MATCH(A252,volsmonth,0),2)</f>
        <v>0.17</v>
      </c>
      <c r="N252" s="3" t="e">
        <f aca="false">IF(Skew_Switch=0,"",IF($C252="","",(Front!$E$20=0)*M252+(Front!$E$20=1)*(Front!$E$21+M252)+(Front!$E$20=2)*Front!$E$21))</f>
        <v>#VALUE!</v>
      </c>
      <c r="O252" s="94" t="e">
        <f aca="false">IF(Skew_Switch=0,"",IF(C252="","",((calcskew(Call1-$L252,$C252,a,b))/100)))</f>
        <v>#VALUE!</v>
      </c>
      <c r="P252" s="94" t="e">
        <f aca="false">IF(Skew_Switch=0,"",IF(C252="","",((calcskew(Put1-$L252,$C252,a,b))/100)))</f>
        <v>#VALUE!</v>
      </c>
      <c r="Q252" s="94" t="e">
        <f aca="false">IF(Skew_Switch=0,"",IF(C252="","",((calcskew(Call2-$L252,$C252,a,b))/100)))</f>
        <v>#VALUE!</v>
      </c>
      <c r="R252" s="94" t="e">
        <f aca="false">IF(Skew_Switch=0,"",IF(C252="","",((calcskew(Put2-$L252,$C252,a,b))/100)))</f>
        <v>#VALUE!</v>
      </c>
      <c r="S252" s="3" t="e">
        <f aca="false">IF($C252="","",(Front!$C$19=0)*$N252+(Front!$C$19=1)*($N252+O252))</f>
        <v>#VALUE!</v>
      </c>
      <c r="T252" s="3" t="e">
        <f aca="false">IF($C252="","",(Front!$C$19=0)*$N252+(Front!$C$19=1)*($N252+P252))</f>
        <v>#VALUE!</v>
      </c>
      <c r="U252" s="3" t="e">
        <f aca="false">IF($C252="","",(Front!$C$19=0)*$N252+(Front!$C$19=1)*($N252+Q252))</f>
        <v>#VALUE!</v>
      </c>
      <c r="V252" s="3" t="e">
        <f aca="false">IF($C252="","",(Front!$C$19=0)*$N252+(Front!$C$19=1)*($N252+R252))</f>
        <v>#VALUE!</v>
      </c>
      <c r="W252" s="90" t="e">
        <f aca="false">IF($C252="","",xEURO($L252,Call1,$G252,$G252,S252,$J252,1,0))</f>
        <v>#VALUE!</v>
      </c>
      <c r="X252" s="90" t="e">
        <f aca="false">IF($C252="","",xEURO($L252,Put1,$G252,$G252,T252,$J252,0,0))</f>
        <v>#VALUE!</v>
      </c>
      <c r="Y252" s="90" t="e">
        <f aca="false">IF($C252="","",xEURO($L252,Call2,$G252,$G252,U252,$J252,1,0))</f>
        <v>#VALUE!</v>
      </c>
      <c r="Z252" s="90" t="e">
        <f aca="false">IF($C252="","",xEURO($L252,Put2,$G252,$G252,V252,$J252,0,0))</f>
        <v>#VALUE!</v>
      </c>
      <c r="AA252" s="90" t="e">
        <f aca="false">IF($C252="","",xEURO($L252,Call1,$G252,$G252,$S252,$J252,1,1))</f>
        <v>#VALUE!</v>
      </c>
      <c r="AB252" s="90" t="e">
        <f aca="false">IF($C252="","",xEURO($L252,Put1,$G252,$G252,$T252,$J252,0,1))</f>
        <v>#VALUE!</v>
      </c>
      <c r="AC252" s="90" t="e">
        <f aca="false">IF($C252="","",xEURO($L252,Call2,$G252,$G252,$U252,$J252,1,1))</f>
        <v>#VALUE!</v>
      </c>
      <c r="AD252" s="90" t="e">
        <f aca="false">IF($C252="","",xEURO($L252,Put2,$G252,$G252,$V252,$J252,0,1))</f>
        <v>#VALUE!</v>
      </c>
      <c r="AE252" s="90" t="e">
        <f aca="false">IF($C252="","",xEURO($L252,Call1,$G252,$G252,$S252,$J252,1,3))</f>
        <v>#VALUE!</v>
      </c>
      <c r="AF252" s="90" t="e">
        <f aca="false">IF($C252="","",xEURO($L252,Put1,$G252,$G252,$T252,$J252,0,3))</f>
        <v>#VALUE!</v>
      </c>
      <c r="AG252" s="90" t="e">
        <f aca="false">IF($C252="","",xEURO($L252,Call2,$G252,$G252,$U252,$J252,1,3))</f>
        <v>#VALUE!</v>
      </c>
      <c r="AH252" s="90" t="e">
        <f aca="false">IF($C252="","",xEURO($L252,Put2,$G252,$G252,$V252,$J252,0,3))</f>
        <v>#VALUE!</v>
      </c>
      <c r="AI252" s="8" t="e">
        <f aca="false">IF(E252=1,G252,0)</f>
        <v>#VALUE!</v>
      </c>
      <c r="AJ252" s="8" t="e">
        <f aca="false">IF(E252=1,H252,0)</f>
        <v>#VALUE!</v>
      </c>
      <c r="AK252" s="8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</row>
    <row r="253" customFormat="false" ht="12.75" hidden="false" customHeight="false" outlineLevel="0" collapsed="false">
      <c r="A253" s="95" t="n">
        <f aca="false">Swap!A253</f>
        <v>44531</v>
      </c>
      <c r="B253" s="96" t="n">
        <f aca="false">B252+1</f>
        <v>244</v>
      </c>
      <c r="C253" s="95" t="e">
        <f aca="false">IF(AND(A253&gt;=Front!$E$11,A253&lt;=Front!$E$12),A253,"")</f>
        <v>#VALUE!</v>
      </c>
      <c r="D253" s="87" t="e">
        <f aca="false">Swap!AB253</f>
        <v>#VALUE!</v>
      </c>
      <c r="E253" s="87" t="e">
        <f aca="false">IF($C253="","",1)</f>
        <v>#VALUE!</v>
      </c>
      <c r="F253" s="97" t="e">
        <f aca="false">IF($C253="","",E253*H253)</f>
        <v>#VALUE!</v>
      </c>
      <c r="G253" s="31" t="n">
        <f aca="false">Swap!AG253</f>
        <v>0.0637743783593816</v>
      </c>
      <c r="H253" s="31" t="n">
        <f aca="false">Swap!AH253</f>
        <v>1.27095780291064</v>
      </c>
      <c r="I253" s="92" t="n">
        <f aca="false">INDEX(expery,MATCH(A253,exprymonth,0),2)</f>
        <v>44524</v>
      </c>
      <c r="J253" s="98" t="n">
        <f aca="false">I253-Front!$C$2</f>
        <v>-1402</v>
      </c>
      <c r="K253" s="99" t="n">
        <f aca="false">Swap!E253</f>
        <v>5.283</v>
      </c>
      <c r="L253" s="99" t="e">
        <f aca="false">IF(C253="","",(PriceSwitch=0)*K253+(PriceSwitch=1)*(Front!$H$21+K253)+(PriceSwitch=2)*Front!$H$21)</f>
        <v>#VALUE!</v>
      </c>
      <c r="M253" s="93" t="n">
        <f aca="false">INDEX(vols,MATCH(A253,volsmonth,0),2)</f>
        <v>0.17</v>
      </c>
      <c r="N253" s="3" t="e">
        <f aca="false">IF(Skew_Switch=0,"",IF($C253="","",(Front!$E$20=0)*M253+(Front!$E$20=1)*(Front!$E$21+M253)+(Front!$E$20=2)*Front!$E$21))</f>
        <v>#VALUE!</v>
      </c>
      <c r="O253" s="94" t="e">
        <f aca="false">IF(Skew_Switch=0,"",IF(C253="","",((calcskew(Call1-$L253,$C253,a,b))/100)))</f>
        <v>#VALUE!</v>
      </c>
      <c r="P253" s="94" t="e">
        <f aca="false">IF(Skew_Switch=0,"",IF(C253="","",((calcskew(Put1-$L253,$C253,a,b))/100)))</f>
        <v>#VALUE!</v>
      </c>
      <c r="Q253" s="94" t="e">
        <f aca="false">IF(Skew_Switch=0,"",IF(C253="","",((calcskew(Call2-$L253,$C253,a,b))/100)))</f>
        <v>#VALUE!</v>
      </c>
      <c r="R253" s="94" t="e">
        <f aca="false">IF(Skew_Switch=0,"",IF(C253="","",((calcskew(Put2-$L253,$C253,a,b))/100)))</f>
        <v>#VALUE!</v>
      </c>
      <c r="S253" s="3" t="e">
        <f aca="false">IF($C253="","",(Front!$C$19=0)*$N253+(Front!$C$19=1)*($N253+O253))</f>
        <v>#VALUE!</v>
      </c>
      <c r="T253" s="3" t="e">
        <f aca="false">IF($C253="","",(Front!$C$19=0)*$N253+(Front!$C$19=1)*($N253+P253))</f>
        <v>#VALUE!</v>
      </c>
      <c r="U253" s="3" t="e">
        <f aca="false">IF($C253="","",(Front!$C$19=0)*$N253+(Front!$C$19=1)*($N253+Q253))</f>
        <v>#VALUE!</v>
      </c>
      <c r="V253" s="3" t="e">
        <f aca="false">IF($C253="","",(Front!$C$19=0)*$N253+(Front!$C$19=1)*($N253+R253))</f>
        <v>#VALUE!</v>
      </c>
      <c r="W253" s="90" t="e">
        <f aca="false">IF($C253="","",xEURO($L253,Call1,$G253,$G253,S253,$J253,1,0))</f>
        <v>#VALUE!</v>
      </c>
      <c r="X253" s="90" t="e">
        <f aca="false">IF($C253="","",xEURO($L253,Put1,$G253,$G253,T253,$J253,0,0))</f>
        <v>#VALUE!</v>
      </c>
      <c r="Y253" s="90" t="e">
        <f aca="false">IF($C253="","",xEURO($L253,Call2,$G253,$G253,U253,$J253,1,0))</f>
        <v>#VALUE!</v>
      </c>
      <c r="Z253" s="90" t="e">
        <f aca="false">IF($C253="","",xEURO($L253,Put2,$G253,$G253,V253,$J253,0,0))</f>
        <v>#VALUE!</v>
      </c>
      <c r="AA253" s="90" t="e">
        <f aca="false">IF($C253="","",xEURO($L253,Call1,$G253,$G253,$S253,$J253,1,1))</f>
        <v>#VALUE!</v>
      </c>
      <c r="AB253" s="90" t="e">
        <f aca="false">IF($C253="","",xEURO($L253,Put1,$G253,$G253,$T253,$J253,0,1))</f>
        <v>#VALUE!</v>
      </c>
      <c r="AC253" s="90" t="e">
        <f aca="false">IF($C253="","",xEURO($L253,Call2,$G253,$G253,$U253,$J253,1,1))</f>
        <v>#VALUE!</v>
      </c>
      <c r="AD253" s="90" t="e">
        <f aca="false">IF($C253="","",xEURO($L253,Put2,$G253,$G253,$V253,$J253,0,1))</f>
        <v>#VALUE!</v>
      </c>
      <c r="AE253" s="90" t="e">
        <f aca="false">IF($C253="","",xEURO($L253,Call1,$G253,$G253,$S253,$J253,1,3))</f>
        <v>#VALUE!</v>
      </c>
      <c r="AF253" s="90" t="e">
        <f aca="false">IF($C253="","",xEURO($L253,Put1,$G253,$G253,$T253,$J253,0,3))</f>
        <v>#VALUE!</v>
      </c>
      <c r="AG253" s="90" t="e">
        <f aca="false">IF($C253="","",xEURO($L253,Call2,$G253,$G253,$U253,$J253,1,3))</f>
        <v>#VALUE!</v>
      </c>
      <c r="AH253" s="90" t="e">
        <f aca="false">IF($C253="","",xEURO($L253,Put2,$G253,$G253,$V253,$J253,0,3))</f>
        <v>#VALUE!</v>
      </c>
      <c r="AI253" s="8" t="e">
        <f aca="false">IF(E253=1,G253,0)</f>
        <v>#VALUE!</v>
      </c>
      <c r="AJ253" s="8" t="e">
        <f aca="false">IF(E253=1,H253,0)</f>
        <v>#VALUE!</v>
      </c>
      <c r="AK253" s="8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</row>
    <row r="254" customFormat="false" ht="12.75" hidden="false" customHeight="false" outlineLevel="0" collapsed="false">
      <c r="A254" s="95" t="n">
        <f aca="false">Swap!A254</f>
        <v>44562</v>
      </c>
      <c r="B254" s="96" t="n">
        <f aca="false">B253+1</f>
        <v>245</v>
      </c>
      <c r="C254" s="95" t="e">
        <f aca="false">IF(AND(A254&gt;=Front!$E$11,A254&lt;=Front!$E$12),A254,"")</f>
        <v>#VALUE!</v>
      </c>
      <c r="D254" s="87" t="e">
        <f aca="false">Swap!AB254</f>
        <v>#VALUE!</v>
      </c>
      <c r="E254" s="87" t="e">
        <f aca="false">IF($C254="","",1)</f>
        <v>#VALUE!</v>
      </c>
      <c r="F254" s="97" t="e">
        <f aca="false">IF($C254="","",E254*H254)</f>
        <v>#VALUE!</v>
      </c>
      <c r="G254" s="31" t="n">
        <f aca="false">Swap!AG254</f>
        <v>0.0637795140590129</v>
      </c>
      <c r="H254" s="31" t="n">
        <f aca="false">Swap!AH254</f>
        <v>1.2642273412597</v>
      </c>
      <c r="I254" s="92" t="n">
        <f aca="false">INDEX(expery,MATCH(A254,exprymonth,0),2)</f>
        <v>44557</v>
      </c>
      <c r="J254" s="98" t="n">
        <f aca="false">I254-Front!$C$2</f>
        <v>-1369</v>
      </c>
      <c r="K254" s="99" t="n">
        <f aca="false">Swap!E254</f>
        <v>5.3405</v>
      </c>
      <c r="L254" s="99" t="e">
        <f aca="false">IF(C254="","",(PriceSwitch=0)*K254+(PriceSwitch=1)*(Front!$H$21+K254)+(PriceSwitch=2)*Front!$H$21)</f>
        <v>#VALUE!</v>
      </c>
      <c r="M254" s="93" t="n">
        <f aca="false">INDEX(vols,MATCH(A254,volsmonth,0),2)</f>
        <v>0.17</v>
      </c>
      <c r="N254" s="3" t="e">
        <f aca="false">IF(Skew_Switch=0,"",IF($C254="","",(Front!$E$20=0)*M254+(Front!$E$20=1)*(Front!$E$21+M254)+(Front!$E$20=2)*Front!$E$21))</f>
        <v>#VALUE!</v>
      </c>
      <c r="O254" s="94" t="e">
        <f aca="false">IF(Skew_Switch=0,"",IF(C254="","",((calcskew(Call1-$L254,$C254,a,b))/100)))</f>
        <v>#VALUE!</v>
      </c>
      <c r="P254" s="94" t="e">
        <f aca="false">IF(Skew_Switch=0,"",IF(C254="","",((calcskew(Put1-$L254,$C254,a,b))/100)))</f>
        <v>#VALUE!</v>
      </c>
      <c r="Q254" s="94" t="e">
        <f aca="false">IF(Skew_Switch=0,"",IF(C254="","",((calcskew(Call2-$L254,$C254,a,b))/100)))</f>
        <v>#VALUE!</v>
      </c>
      <c r="R254" s="94" t="e">
        <f aca="false">IF(Skew_Switch=0,"",IF(C254="","",((calcskew(Put2-$L254,$C254,a,b))/100)))</f>
        <v>#VALUE!</v>
      </c>
      <c r="S254" s="3" t="e">
        <f aca="false">IF($C254="","",(Front!$C$19=0)*$N254+(Front!$C$19=1)*($N254+O254))</f>
        <v>#VALUE!</v>
      </c>
      <c r="T254" s="3" t="e">
        <f aca="false">IF($C254="","",(Front!$C$19=0)*$N254+(Front!$C$19=1)*($N254+P254))</f>
        <v>#VALUE!</v>
      </c>
      <c r="U254" s="3" t="e">
        <f aca="false">IF($C254="","",(Front!$C$19=0)*$N254+(Front!$C$19=1)*($N254+Q254))</f>
        <v>#VALUE!</v>
      </c>
      <c r="V254" s="3" t="e">
        <f aca="false">IF($C254="","",(Front!$C$19=0)*$N254+(Front!$C$19=1)*($N254+R254))</f>
        <v>#VALUE!</v>
      </c>
      <c r="W254" s="90" t="e">
        <f aca="false">IF($C254="","",xEURO($L254,Call1,$G254,$G254,S254,$J254,1,0))</f>
        <v>#VALUE!</v>
      </c>
      <c r="X254" s="90" t="e">
        <f aca="false">IF($C254="","",xEURO($L254,Put1,$G254,$G254,T254,$J254,0,0))</f>
        <v>#VALUE!</v>
      </c>
      <c r="Y254" s="90" t="e">
        <f aca="false">IF($C254="","",xEURO($L254,Call2,$G254,$G254,U254,$J254,1,0))</f>
        <v>#VALUE!</v>
      </c>
      <c r="Z254" s="90" t="e">
        <f aca="false">IF($C254="","",xEURO($L254,Put2,$G254,$G254,V254,$J254,0,0))</f>
        <v>#VALUE!</v>
      </c>
      <c r="AA254" s="90" t="e">
        <f aca="false">IF($C254="","",xEURO($L254,Call1,$G254,$G254,$S254,$J254,1,1))</f>
        <v>#VALUE!</v>
      </c>
      <c r="AB254" s="90" t="e">
        <f aca="false">IF($C254="","",xEURO($L254,Put1,$G254,$G254,$T254,$J254,0,1))</f>
        <v>#VALUE!</v>
      </c>
      <c r="AC254" s="90" t="e">
        <f aca="false">IF($C254="","",xEURO($L254,Call2,$G254,$G254,$U254,$J254,1,1))</f>
        <v>#VALUE!</v>
      </c>
      <c r="AD254" s="90" t="e">
        <f aca="false">IF($C254="","",xEURO($L254,Put2,$G254,$G254,$V254,$J254,0,1))</f>
        <v>#VALUE!</v>
      </c>
      <c r="AE254" s="90" t="e">
        <f aca="false">IF($C254="","",xEURO($L254,Call1,$G254,$G254,$S254,$J254,1,3))</f>
        <v>#VALUE!</v>
      </c>
      <c r="AF254" s="90" t="e">
        <f aca="false">IF($C254="","",xEURO($L254,Put1,$G254,$G254,$T254,$J254,0,3))</f>
        <v>#VALUE!</v>
      </c>
      <c r="AG254" s="90" t="e">
        <f aca="false">IF($C254="","",xEURO($L254,Call2,$G254,$G254,$U254,$J254,1,3))</f>
        <v>#VALUE!</v>
      </c>
      <c r="AH254" s="90" t="e">
        <f aca="false">IF($C254="","",xEURO($L254,Put2,$G254,$G254,$V254,$J254,0,3))</f>
        <v>#VALUE!</v>
      </c>
      <c r="AI254" s="8" t="e">
        <f aca="false">IF(E254=1,G254,0)</f>
        <v>#VALUE!</v>
      </c>
      <c r="AJ254" s="8" t="e">
        <f aca="false">IF(E254=1,H254,0)</f>
        <v>#VALUE!</v>
      </c>
      <c r="AK254" s="8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</row>
    <row r="255" customFormat="false" ht="12.75" hidden="false" customHeight="false" outlineLevel="0" collapsed="false">
      <c r="A255" s="95" t="n">
        <f aca="false">Swap!A255</f>
        <v>44593</v>
      </c>
      <c r="B255" s="96" t="n">
        <f aca="false">B254+1</f>
        <v>246</v>
      </c>
      <c r="C255" s="95" t="e">
        <f aca="false">IF(AND(A255&gt;=Front!$E$11,A255&lt;=Front!$E$12),A255,"")</f>
        <v>#VALUE!</v>
      </c>
      <c r="D255" s="87" t="e">
        <f aca="false">Swap!AB255</f>
        <v>#VALUE!</v>
      </c>
      <c r="E255" s="87" t="e">
        <f aca="false">IF($C255="","",1)</f>
        <v>#VALUE!</v>
      </c>
      <c r="F255" s="97" t="e">
        <f aca="false">IF($C255="","",E255*H255)</f>
        <v>#VALUE!</v>
      </c>
      <c r="G255" s="31" t="n">
        <f aca="false">Swap!AG255</f>
        <v>0.0637846497586527</v>
      </c>
      <c r="H255" s="31" t="n">
        <f aca="false">Swap!AH255</f>
        <v>1.25753145886728</v>
      </c>
      <c r="I255" s="92" t="n">
        <f aca="false">INDEX(expery,MATCH(A255,exprymonth,0),2)</f>
        <v>44587</v>
      </c>
      <c r="J255" s="98" t="n">
        <f aca="false">I255-Front!$C$2</f>
        <v>-1339</v>
      </c>
      <c r="K255" s="99" t="n">
        <f aca="false">Swap!E255</f>
        <v>5.2265</v>
      </c>
      <c r="L255" s="99" t="e">
        <f aca="false">IF(C255="","",(PriceSwitch=0)*K255+(PriceSwitch=1)*(Front!$H$21+K255)+(PriceSwitch=2)*Front!$H$21)</f>
        <v>#VALUE!</v>
      </c>
      <c r="M255" s="93" t="n">
        <f aca="false">INDEX(vols,MATCH(A255,volsmonth,0),2)</f>
        <v>0.17</v>
      </c>
      <c r="N255" s="3" t="e">
        <f aca="false">IF(Skew_Switch=0,"",IF($C255="","",(Front!$E$20=0)*M255+(Front!$E$20=1)*(Front!$E$21+M255)+(Front!$E$20=2)*Front!$E$21))</f>
        <v>#VALUE!</v>
      </c>
      <c r="O255" s="94" t="e">
        <f aca="false">IF(Skew_Switch=0,"",IF(C255="","",((calcskew(Call1-$L255,$C255,a,b))/100)))</f>
        <v>#VALUE!</v>
      </c>
      <c r="P255" s="94" t="e">
        <f aca="false">IF(Skew_Switch=0,"",IF(C255="","",((calcskew(Put1-$L255,$C255,a,b))/100)))</f>
        <v>#VALUE!</v>
      </c>
      <c r="Q255" s="94" t="e">
        <f aca="false">IF(Skew_Switch=0,"",IF(C255="","",((calcskew(Call2-$L255,$C255,a,b))/100)))</f>
        <v>#VALUE!</v>
      </c>
      <c r="R255" s="94" t="e">
        <f aca="false">IF(Skew_Switch=0,"",IF(C255="","",((calcskew(Put2-$L255,$C255,a,b))/100)))</f>
        <v>#VALUE!</v>
      </c>
      <c r="S255" s="3" t="e">
        <f aca="false">IF($C255="","",(Front!$C$19=0)*$N255+(Front!$C$19=1)*($N255+O255))</f>
        <v>#VALUE!</v>
      </c>
      <c r="T255" s="3" t="e">
        <f aca="false">IF($C255="","",(Front!$C$19=0)*$N255+(Front!$C$19=1)*($N255+P255))</f>
        <v>#VALUE!</v>
      </c>
      <c r="U255" s="3" t="e">
        <f aca="false">IF($C255="","",(Front!$C$19=0)*$N255+(Front!$C$19=1)*($N255+Q255))</f>
        <v>#VALUE!</v>
      </c>
      <c r="V255" s="3" t="e">
        <f aca="false">IF($C255="","",(Front!$C$19=0)*$N255+(Front!$C$19=1)*($N255+R255))</f>
        <v>#VALUE!</v>
      </c>
      <c r="W255" s="90" t="e">
        <f aca="false">IF($C255="","",xEURO($L255,Call1,$G255,$G255,S255,$J255,1,0))</f>
        <v>#VALUE!</v>
      </c>
      <c r="X255" s="90" t="e">
        <f aca="false">IF($C255="","",xEURO($L255,Put1,$G255,$G255,T255,$J255,0,0))</f>
        <v>#VALUE!</v>
      </c>
      <c r="Y255" s="90" t="e">
        <f aca="false">IF($C255="","",xEURO($L255,Call2,$G255,$G255,U255,$J255,1,0))</f>
        <v>#VALUE!</v>
      </c>
      <c r="Z255" s="90" t="e">
        <f aca="false">IF($C255="","",xEURO($L255,Put2,$G255,$G255,V255,$J255,0,0))</f>
        <v>#VALUE!</v>
      </c>
      <c r="AA255" s="90" t="e">
        <f aca="false">IF($C255="","",xEURO($L255,Call1,$G255,$G255,$S255,$J255,1,1))</f>
        <v>#VALUE!</v>
      </c>
      <c r="AB255" s="90" t="e">
        <f aca="false">IF($C255="","",xEURO($L255,Put1,$G255,$G255,$T255,$J255,0,1))</f>
        <v>#VALUE!</v>
      </c>
      <c r="AC255" s="90" t="e">
        <f aca="false">IF($C255="","",xEURO($L255,Call2,$G255,$G255,$U255,$J255,1,1))</f>
        <v>#VALUE!</v>
      </c>
      <c r="AD255" s="90" t="e">
        <f aca="false">IF($C255="","",xEURO($L255,Put2,$G255,$G255,$V255,$J255,0,1))</f>
        <v>#VALUE!</v>
      </c>
      <c r="AE255" s="90" t="e">
        <f aca="false">IF($C255="","",xEURO($L255,Call1,$G255,$G255,$S255,$J255,1,3))</f>
        <v>#VALUE!</v>
      </c>
      <c r="AF255" s="90" t="e">
        <f aca="false">IF($C255="","",xEURO($L255,Put1,$G255,$G255,$T255,$J255,0,3))</f>
        <v>#VALUE!</v>
      </c>
      <c r="AG255" s="90" t="e">
        <f aca="false">IF($C255="","",xEURO($L255,Call2,$G255,$G255,$U255,$J255,1,3))</f>
        <v>#VALUE!</v>
      </c>
      <c r="AH255" s="90" t="e">
        <f aca="false">IF($C255="","",xEURO($L255,Put2,$G255,$G255,$V255,$J255,0,3))</f>
        <v>#VALUE!</v>
      </c>
      <c r="AI255" s="8" t="e">
        <f aca="false">IF(E255=1,G255,0)</f>
        <v>#VALUE!</v>
      </c>
      <c r="AJ255" s="8" t="e">
        <f aca="false">IF(E255=1,H255,0)</f>
        <v>#VALUE!</v>
      </c>
      <c r="AK255" s="8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</row>
    <row r="256" customFormat="false" ht="12.75" hidden="false" customHeight="false" outlineLevel="0" collapsed="false">
      <c r="A256" s="95" t="n">
        <f aca="false">Swap!A256</f>
        <v>44621</v>
      </c>
      <c r="B256" s="96" t="n">
        <f aca="false">B255+1</f>
        <v>247</v>
      </c>
      <c r="C256" s="95" t="e">
        <f aca="false">IF(AND(A256&gt;=Front!$E$11,A256&lt;=Front!$E$12),A256,"")</f>
        <v>#VALUE!</v>
      </c>
      <c r="D256" s="87" t="e">
        <f aca="false">Swap!AB256</f>
        <v>#VALUE!</v>
      </c>
      <c r="E256" s="87" t="e">
        <f aca="false">IF($C256="","",1)</f>
        <v>#VALUE!</v>
      </c>
      <c r="F256" s="97" t="e">
        <f aca="false">IF($C256="","",E256*H256)</f>
        <v>#VALUE!</v>
      </c>
      <c r="G256" s="31" t="n">
        <f aca="false">Swap!AG256</f>
        <v>0.063789288455109</v>
      </c>
      <c r="H256" s="31" t="n">
        <f aca="false">Swap!AH256</f>
        <v>1.25151314373662</v>
      </c>
      <c r="I256" s="92" t="n">
        <f aca="false">INDEX(expery,MATCH(A256,exprymonth,0),2)</f>
        <v>44615</v>
      </c>
      <c r="J256" s="98" t="n">
        <f aca="false">I256-Front!$C$2</f>
        <v>-1311</v>
      </c>
      <c r="K256" s="99" t="n">
        <f aca="false">Swap!E256</f>
        <v>5.0945</v>
      </c>
      <c r="L256" s="99" t="e">
        <f aca="false">IF(C256="","",(PriceSwitch=0)*K256+(PriceSwitch=1)*(Front!$H$21+K256)+(PriceSwitch=2)*Front!$H$21)</f>
        <v>#VALUE!</v>
      </c>
      <c r="M256" s="93" t="n">
        <f aca="false">INDEX(vols,MATCH(A256,volsmonth,0),2)</f>
        <v>0.17</v>
      </c>
      <c r="N256" s="3" t="e">
        <f aca="false">IF(Skew_Switch=0,"",IF($C256="","",(Front!$E$20=0)*M256+(Front!$E$20=1)*(Front!$E$21+M256)+(Front!$E$20=2)*Front!$E$21))</f>
        <v>#VALUE!</v>
      </c>
      <c r="O256" s="94" t="e">
        <f aca="false">IF(Skew_Switch=0,"",IF(C256="","",((calcskew(Call1-$L256,$C256,a,b))/100)))</f>
        <v>#VALUE!</v>
      </c>
      <c r="P256" s="94" t="e">
        <f aca="false">IF(Skew_Switch=0,"",IF(C256="","",((calcskew(Put1-$L256,$C256,a,b))/100)))</f>
        <v>#VALUE!</v>
      </c>
      <c r="Q256" s="94" t="e">
        <f aca="false">IF(Skew_Switch=0,"",IF(C256="","",((calcskew(Call2-$L256,$C256,a,b))/100)))</f>
        <v>#VALUE!</v>
      </c>
      <c r="R256" s="94" t="e">
        <f aca="false">IF(Skew_Switch=0,"",IF(C256="","",((calcskew(Put2-$L256,$C256,a,b))/100)))</f>
        <v>#VALUE!</v>
      </c>
      <c r="S256" s="3" t="e">
        <f aca="false">IF($C256="","",(Front!$C$19=0)*$N256+(Front!$C$19=1)*($N256+O256))</f>
        <v>#VALUE!</v>
      </c>
      <c r="T256" s="3" t="e">
        <f aca="false">IF($C256="","",(Front!$C$19=0)*$N256+(Front!$C$19=1)*($N256+P256))</f>
        <v>#VALUE!</v>
      </c>
      <c r="U256" s="3" t="e">
        <f aca="false">IF($C256="","",(Front!$C$19=0)*$N256+(Front!$C$19=1)*($N256+Q256))</f>
        <v>#VALUE!</v>
      </c>
      <c r="V256" s="3" t="e">
        <f aca="false">IF($C256="","",(Front!$C$19=0)*$N256+(Front!$C$19=1)*($N256+R256))</f>
        <v>#VALUE!</v>
      </c>
      <c r="W256" s="90" t="e">
        <f aca="false">IF($C256="","",xEURO($L256,Call1,$G256,$G256,S256,$J256,1,0))</f>
        <v>#VALUE!</v>
      </c>
      <c r="X256" s="90" t="e">
        <f aca="false">IF($C256="","",xEURO($L256,Put1,$G256,$G256,T256,$J256,0,0))</f>
        <v>#VALUE!</v>
      </c>
      <c r="Y256" s="90" t="e">
        <f aca="false">IF($C256="","",xEURO($L256,Call2,$G256,$G256,U256,$J256,1,0))</f>
        <v>#VALUE!</v>
      </c>
      <c r="Z256" s="90" t="e">
        <f aca="false">IF($C256="","",xEURO($L256,Put2,$G256,$G256,V256,$J256,0,0))</f>
        <v>#VALUE!</v>
      </c>
      <c r="AA256" s="90" t="e">
        <f aca="false">IF($C256="","",xEURO($L256,Call1,$G256,$G256,$S256,$J256,1,1))</f>
        <v>#VALUE!</v>
      </c>
      <c r="AB256" s="90" t="e">
        <f aca="false">IF($C256="","",xEURO($L256,Put1,$G256,$G256,$T256,$J256,0,1))</f>
        <v>#VALUE!</v>
      </c>
      <c r="AC256" s="90" t="e">
        <f aca="false">IF($C256="","",xEURO($L256,Call2,$G256,$G256,$U256,$J256,1,1))</f>
        <v>#VALUE!</v>
      </c>
      <c r="AD256" s="90" t="e">
        <f aca="false">IF($C256="","",xEURO($L256,Put2,$G256,$G256,$V256,$J256,0,1))</f>
        <v>#VALUE!</v>
      </c>
      <c r="AE256" s="90" t="e">
        <f aca="false">IF($C256="","",xEURO($L256,Call1,$G256,$G256,$S256,$J256,1,3))</f>
        <v>#VALUE!</v>
      </c>
      <c r="AF256" s="90" t="e">
        <f aca="false">IF($C256="","",xEURO($L256,Put1,$G256,$G256,$T256,$J256,0,3))</f>
        <v>#VALUE!</v>
      </c>
      <c r="AG256" s="90" t="e">
        <f aca="false">IF($C256="","",xEURO($L256,Call2,$G256,$G256,$U256,$J256,1,3))</f>
        <v>#VALUE!</v>
      </c>
      <c r="AH256" s="90" t="e">
        <f aca="false">IF($C256="","",xEURO($L256,Put2,$G256,$G256,$V256,$J256,0,3))</f>
        <v>#VALUE!</v>
      </c>
      <c r="AI256" s="8" t="e">
        <f aca="false">IF(E256=1,G256,0)</f>
        <v>#VALUE!</v>
      </c>
      <c r="AJ256" s="8" t="e">
        <f aca="false">IF(E256=1,H256,0)</f>
        <v>#VALUE!</v>
      </c>
      <c r="AK256" s="8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</row>
    <row r="257" customFormat="false" ht="12.75" hidden="false" customHeight="false" outlineLevel="0" collapsed="false">
      <c r="A257" s="95" t="n">
        <f aca="false">Swap!A257</f>
        <v>44652</v>
      </c>
      <c r="B257" s="96" t="n">
        <f aca="false">B256+1</f>
        <v>248</v>
      </c>
      <c r="C257" s="95" t="e">
        <f aca="false">IF(AND(A257&gt;=Front!$E$11,A257&lt;=Front!$E$12),A257,"")</f>
        <v>#VALUE!</v>
      </c>
      <c r="D257" s="87" t="e">
        <f aca="false">Swap!AB257</f>
        <v>#VALUE!</v>
      </c>
      <c r="E257" s="87" t="e">
        <f aca="false">IF($C257="","",1)</f>
        <v>#VALUE!</v>
      </c>
      <c r="F257" s="97" t="e">
        <f aca="false">IF($C257="","",E257*H257)</f>
        <v>#VALUE!</v>
      </c>
      <c r="G257" s="31" t="n">
        <f aca="false">Swap!AG257</f>
        <v>0.0637944241547652</v>
      </c>
      <c r="H257" s="31" t="n">
        <f aca="false">Swap!AH257</f>
        <v>1.24488259936594</v>
      </c>
      <c r="I257" s="92" t="n">
        <f aca="false">INDEX(expery,MATCH(A257,exprymonth,0),2)</f>
        <v>44648</v>
      </c>
      <c r="J257" s="98" t="n">
        <f aca="false">I257-Front!$C$2</f>
        <v>-1278</v>
      </c>
      <c r="K257" s="99" t="n">
        <f aca="false">Swap!E257</f>
        <v>4.9245</v>
      </c>
      <c r="L257" s="99" t="e">
        <f aca="false">IF(C257="","",(PriceSwitch=0)*K257+(PriceSwitch=1)*(Front!$H$21+K257)+(PriceSwitch=2)*Front!$H$21)</f>
        <v>#VALUE!</v>
      </c>
      <c r="M257" s="93" t="n">
        <f aca="false">INDEX(vols,MATCH(A257,volsmonth,0),2)</f>
        <v>0.17</v>
      </c>
      <c r="N257" s="3" t="e">
        <f aca="false">IF(Skew_Switch=0,"",IF($C257="","",(Front!$E$20=0)*M257+(Front!$E$20=1)*(Front!$E$21+M257)+(Front!$E$20=2)*Front!$E$21))</f>
        <v>#VALUE!</v>
      </c>
      <c r="O257" s="94" t="e">
        <f aca="false">IF(Skew_Switch=0,"",IF(C257="","",((calcskew(Call1-$L257,$C257,a,b))/100)))</f>
        <v>#VALUE!</v>
      </c>
      <c r="P257" s="94" t="e">
        <f aca="false">IF(Skew_Switch=0,"",IF(C257="","",((calcskew(Put1-$L257,$C257,a,b))/100)))</f>
        <v>#VALUE!</v>
      </c>
      <c r="Q257" s="94" t="e">
        <f aca="false">IF(Skew_Switch=0,"",IF(C257="","",((calcskew(Call2-$L257,$C257,a,b))/100)))</f>
        <v>#VALUE!</v>
      </c>
      <c r="R257" s="94" t="e">
        <f aca="false">IF(Skew_Switch=0,"",IF(C257="","",((calcskew(Put2-$L257,$C257,a,b))/100)))</f>
        <v>#VALUE!</v>
      </c>
      <c r="S257" s="3" t="e">
        <f aca="false">IF($C257="","",(Front!$C$19=0)*$N257+(Front!$C$19=1)*($N257+O257))</f>
        <v>#VALUE!</v>
      </c>
      <c r="T257" s="3" t="e">
        <f aca="false">IF($C257="","",(Front!$C$19=0)*$N257+(Front!$C$19=1)*($N257+P257))</f>
        <v>#VALUE!</v>
      </c>
      <c r="U257" s="3" t="e">
        <f aca="false">IF($C257="","",(Front!$C$19=0)*$N257+(Front!$C$19=1)*($N257+Q257))</f>
        <v>#VALUE!</v>
      </c>
      <c r="V257" s="3" t="e">
        <f aca="false">IF($C257="","",(Front!$C$19=0)*$N257+(Front!$C$19=1)*($N257+R257))</f>
        <v>#VALUE!</v>
      </c>
      <c r="W257" s="90" t="e">
        <f aca="false">IF($C257="","",xEURO($L257,Call1,$G257,$G257,S257,$J257,1,0))</f>
        <v>#VALUE!</v>
      </c>
      <c r="X257" s="90" t="e">
        <f aca="false">IF($C257="","",xEURO($L257,Put1,$G257,$G257,T257,$J257,0,0))</f>
        <v>#VALUE!</v>
      </c>
      <c r="Y257" s="90" t="e">
        <f aca="false">IF($C257="","",xEURO($L257,Call2,$G257,$G257,U257,$J257,1,0))</f>
        <v>#VALUE!</v>
      </c>
      <c r="Z257" s="90" t="e">
        <f aca="false">IF($C257="","",xEURO($L257,Put2,$G257,$G257,V257,$J257,0,0))</f>
        <v>#VALUE!</v>
      </c>
      <c r="AA257" s="90" t="e">
        <f aca="false">IF($C257="","",xEURO($L257,Call1,$G257,$G257,$S257,$J257,1,1))</f>
        <v>#VALUE!</v>
      </c>
      <c r="AB257" s="90" t="e">
        <f aca="false">IF($C257="","",xEURO($L257,Put1,$G257,$G257,$T257,$J257,0,1))</f>
        <v>#VALUE!</v>
      </c>
      <c r="AC257" s="90" t="e">
        <f aca="false">IF($C257="","",xEURO($L257,Call2,$G257,$G257,$U257,$J257,1,1))</f>
        <v>#VALUE!</v>
      </c>
      <c r="AD257" s="90" t="e">
        <f aca="false">IF($C257="","",xEURO($L257,Put2,$G257,$G257,$V257,$J257,0,1))</f>
        <v>#VALUE!</v>
      </c>
      <c r="AE257" s="90" t="e">
        <f aca="false">IF($C257="","",xEURO($L257,Call1,$G257,$G257,$S257,$J257,1,3))</f>
        <v>#VALUE!</v>
      </c>
      <c r="AF257" s="90" t="e">
        <f aca="false">IF($C257="","",xEURO($L257,Put1,$G257,$G257,$T257,$J257,0,3))</f>
        <v>#VALUE!</v>
      </c>
      <c r="AG257" s="90" t="e">
        <f aca="false">IF($C257="","",xEURO($L257,Call2,$G257,$G257,$U257,$J257,1,3))</f>
        <v>#VALUE!</v>
      </c>
      <c r="AH257" s="90" t="e">
        <f aca="false">IF($C257="","",xEURO($L257,Put2,$G257,$G257,$V257,$J257,0,3))</f>
        <v>#VALUE!</v>
      </c>
      <c r="AI257" s="8" t="e">
        <f aca="false">IF(E257=1,G257,0)</f>
        <v>#VALUE!</v>
      </c>
      <c r="AJ257" s="8" t="e">
        <f aca="false">IF(E257=1,H257,0)</f>
        <v>#VALUE!</v>
      </c>
      <c r="AK257" s="8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</row>
    <row r="258" customFormat="false" ht="12.75" hidden="false" customHeight="false" outlineLevel="0" collapsed="false">
      <c r="A258" s="95" t="n">
        <f aca="false">Swap!A258</f>
        <v>44682</v>
      </c>
      <c r="B258" s="96" t="n">
        <f aca="false">B257+1</f>
        <v>249</v>
      </c>
      <c r="C258" s="95" t="e">
        <f aca="false">IF(AND(A258&gt;=Front!$E$11,A258&lt;=Front!$E$12),A258,"")</f>
        <v>#VALUE!</v>
      </c>
      <c r="D258" s="87" t="e">
        <f aca="false">Swap!AB258</f>
        <v>#VALUE!</v>
      </c>
      <c r="E258" s="87" t="e">
        <f aca="false">IF($C258="","",1)</f>
        <v>#VALUE!</v>
      </c>
      <c r="F258" s="97" t="e">
        <f aca="false">IF($C258="","",E258*H258)</f>
        <v>#VALUE!</v>
      </c>
      <c r="G258" s="31" t="n">
        <f aca="false">Swap!AG258</f>
        <v>0.0637993941866988</v>
      </c>
      <c r="H258" s="31" t="n">
        <f aca="false">Swap!AH258</f>
        <v>1.23849839642316</v>
      </c>
      <c r="I258" s="92" t="n">
        <f aca="false">INDEX(expery,MATCH(A258,exprymonth,0),2)</f>
        <v>44677</v>
      </c>
      <c r="J258" s="98" t="n">
        <f aca="false">I258-Front!$C$2</f>
        <v>-1249</v>
      </c>
      <c r="K258" s="99" t="n">
        <f aca="false">Swap!E258</f>
        <v>4.9245</v>
      </c>
      <c r="L258" s="99" t="e">
        <f aca="false">IF(C258="","",(PriceSwitch=0)*K258+(PriceSwitch=1)*(Front!$H$21+K258)+(PriceSwitch=2)*Front!$H$21)</f>
        <v>#VALUE!</v>
      </c>
      <c r="M258" s="93" t="n">
        <f aca="false">INDEX(vols,MATCH(A258,volsmonth,0),2)</f>
        <v>0.17</v>
      </c>
      <c r="N258" s="3" t="e">
        <f aca="false">IF(Skew_Switch=0,"",IF($C258="","",(Front!$E$20=0)*M258+(Front!$E$20=1)*(Front!$E$21+M258)+(Front!$E$20=2)*Front!$E$21))</f>
        <v>#VALUE!</v>
      </c>
      <c r="O258" s="94" t="e">
        <f aca="false">IF(Skew_Switch=0,"",IF(C258="","",((calcskew(Call1-$L258,$C258,a,b))/100)))</f>
        <v>#VALUE!</v>
      </c>
      <c r="P258" s="94" t="e">
        <f aca="false">IF(Skew_Switch=0,"",IF(C258="","",((calcskew(Put1-$L258,$C258,a,b))/100)))</f>
        <v>#VALUE!</v>
      </c>
      <c r="Q258" s="94" t="e">
        <f aca="false">IF(Skew_Switch=0,"",IF(C258="","",((calcskew(Call2-$L258,$C258,a,b))/100)))</f>
        <v>#VALUE!</v>
      </c>
      <c r="R258" s="94" t="e">
        <f aca="false">IF(Skew_Switch=0,"",IF(C258="","",((calcskew(Put2-$L258,$C258,a,b))/100)))</f>
        <v>#VALUE!</v>
      </c>
      <c r="S258" s="3" t="e">
        <f aca="false">IF($C258="","",(Front!$C$19=0)*$N258+(Front!$C$19=1)*($N258+O258))</f>
        <v>#VALUE!</v>
      </c>
      <c r="T258" s="3" t="e">
        <f aca="false">IF($C258="","",(Front!$C$19=0)*$N258+(Front!$C$19=1)*($N258+P258))</f>
        <v>#VALUE!</v>
      </c>
      <c r="U258" s="3" t="e">
        <f aca="false">IF($C258="","",(Front!$C$19=0)*$N258+(Front!$C$19=1)*($N258+Q258))</f>
        <v>#VALUE!</v>
      </c>
      <c r="V258" s="3" t="e">
        <f aca="false">IF($C258="","",(Front!$C$19=0)*$N258+(Front!$C$19=1)*($N258+R258))</f>
        <v>#VALUE!</v>
      </c>
      <c r="W258" s="90" t="e">
        <f aca="false">IF($C258="","",xEURO($L258,Call1,$G258,$G258,S258,$J258,1,0))</f>
        <v>#VALUE!</v>
      </c>
      <c r="X258" s="90" t="e">
        <f aca="false">IF($C258="","",xEURO($L258,Put1,$G258,$G258,T258,$J258,0,0))</f>
        <v>#VALUE!</v>
      </c>
      <c r="Y258" s="90" t="e">
        <f aca="false">IF($C258="","",xEURO($L258,Call2,$G258,$G258,U258,$J258,1,0))</f>
        <v>#VALUE!</v>
      </c>
      <c r="Z258" s="90" t="e">
        <f aca="false">IF($C258="","",xEURO($L258,Put2,$G258,$G258,V258,$J258,0,0))</f>
        <v>#VALUE!</v>
      </c>
      <c r="AA258" s="90" t="e">
        <f aca="false">IF($C258="","",xEURO($L258,Call1,$G258,$G258,$S258,$J258,1,1))</f>
        <v>#VALUE!</v>
      </c>
      <c r="AB258" s="90" t="e">
        <f aca="false">IF($C258="","",xEURO($L258,Put1,$G258,$G258,$T258,$J258,0,1))</f>
        <v>#VALUE!</v>
      </c>
      <c r="AC258" s="90" t="e">
        <f aca="false">IF($C258="","",xEURO($L258,Call2,$G258,$G258,$U258,$J258,1,1))</f>
        <v>#VALUE!</v>
      </c>
      <c r="AD258" s="90" t="e">
        <f aca="false">IF($C258="","",xEURO($L258,Put2,$G258,$G258,$V258,$J258,0,1))</f>
        <v>#VALUE!</v>
      </c>
      <c r="AE258" s="90" t="e">
        <f aca="false">IF($C258="","",xEURO($L258,Call1,$G258,$G258,$S258,$J258,1,3))</f>
        <v>#VALUE!</v>
      </c>
      <c r="AF258" s="90" t="e">
        <f aca="false">IF($C258="","",xEURO($L258,Put1,$G258,$G258,$T258,$J258,0,3))</f>
        <v>#VALUE!</v>
      </c>
      <c r="AG258" s="90" t="e">
        <f aca="false">IF($C258="","",xEURO($L258,Call2,$G258,$G258,$U258,$J258,1,3))</f>
        <v>#VALUE!</v>
      </c>
      <c r="AH258" s="90" t="e">
        <f aca="false">IF($C258="","",xEURO($L258,Put2,$G258,$G258,$V258,$J258,0,3))</f>
        <v>#VALUE!</v>
      </c>
      <c r="AI258" s="8" t="e">
        <f aca="false">IF(E258=1,G258,0)</f>
        <v>#VALUE!</v>
      </c>
      <c r="AJ258" s="8" t="e">
        <f aca="false">IF(E258=1,H258,0)</f>
        <v>#VALUE!</v>
      </c>
      <c r="AK258" s="8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</row>
    <row r="259" customFormat="false" ht="12.75" hidden="false" customHeight="false" outlineLevel="0" collapsed="false">
      <c r="A259" s="95" t="n">
        <f aca="false">Swap!A259</f>
        <v>44713</v>
      </c>
      <c r="B259" s="96" t="n">
        <f aca="false">B258+1</f>
        <v>250</v>
      </c>
      <c r="C259" s="95" t="e">
        <f aca="false">IF(AND(A259&gt;=Front!$E$11,A259&lt;=Front!$E$12),A259,"")</f>
        <v>#VALUE!</v>
      </c>
      <c r="D259" s="87" t="e">
        <f aca="false">Swap!AB259</f>
        <v>#VALUE!</v>
      </c>
      <c r="E259" s="87" t="e">
        <f aca="false">IF($C259="","",1)</f>
        <v>#VALUE!</v>
      </c>
      <c r="F259" s="97" t="e">
        <f aca="false">IF($C259="","",E259*H259)</f>
        <v>#VALUE!</v>
      </c>
      <c r="G259" s="31" t="n">
        <f aca="false">Swap!AG259</f>
        <v>0.0638045298863723</v>
      </c>
      <c r="H259" s="31" t="n">
        <f aca="false">Swap!AH259</f>
        <v>1.23193475641412</v>
      </c>
      <c r="I259" s="92" t="n">
        <f aca="false">INDEX(expery,MATCH(A259,exprymonth,0),2)</f>
        <v>44706</v>
      </c>
      <c r="J259" s="98" t="n">
        <f aca="false">I259-Front!$C$2</f>
        <v>-1220</v>
      </c>
      <c r="K259" s="99" t="n">
        <f aca="false">Swap!E259</f>
        <v>4.9565</v>
      </c>
      <c r="L259" s="99" t="e">
        <f aca="false">IF(C259="","",(PriceSwitch=0)*K259+(PriceSwitch=1)*(Front!$H$21+K259)+(PriceSwitch=2)*Front!$H$21)</f>
        <v>#VALUE!</v>
      </c>
      <c r="M259" s="93" t="n">
        <f aca="false">INDEX(vols,MATCH(A259,volsmonth,0),2)</f>
        <v>0.17</v>
      </c>
      <c r="N259" s="3" t="e">
        <f aca="false">IF(Skew_Switch=0,"",IF($C259="","",(Front!$E$20=0)*M259+(Front!$E$20=1)*(Front!$E$21+M259)+(Front!$E$20=2)*Front!$E$21))</f>
        <v>#VALUE!</v>
      </c>
      <c r="O259" s="94" t="e">
        <f aca="false">IF(Skew_Switch=0,"",IF(C259="","",((calcskew(Call1-$L259,$C259,a,b))/100)))</f>
        <v>#VALUE!</v>
      </c>
      <c r="P259" s="94" t="e">
        <f aca="false">IF(Skew_Switch=0,"",IF(C259="","",((calcskew(Put1-$L259,$C259,a,b))/100)))</f>
        <v>#VALUE!</v>
      </c>
      <c r="Q259" s="94" t="e">
        <f aca="false">IF(Skew_Switch=0,"",IF(C259="","",((calcskew(Call2-$L259,$C259,a,b))/100)))</f>
        <v>#VALUE!</v>
      </c>
      <c r="R259" s="94" t="e">
        <f aca="false">IF(Skew_Switch=0,"",IF(C259="","",((calcskew(Put2-$L259,$C259,a,b))/100)))</f>
        <v>#VALUE!</v>
      </c>
      <c r="S259" s="3" t="e">
        <f aca="false">IF($C259="","",(Front!$C$19=0)*$N259+(Front!$C$19=1)*($N259+O259))</f>
        <v>#VALUE!</v>
      </c>
      <c r="T259" s="3" t="e">
        <f aca="false">IF($C259="","",(Front!$C$19=0)*$N259+(Front!$C$19=1)*($N259+P259))</f>
        <v>#VALUE!</v>
      </c>
      <c r="U259" s="3" t="e">
        <f aca="false">IF($C259="","",(Front!$C$19=0)*$N259+(Front!$C$19=1)*($N259+Q259))</f>
        <v>#VALUE!</v>
      </c>
      <c r="V259" s="3" t="e">
        <f aca="false">IF($C259="","",(Front!$C$19=0)*$N259+(Front!$C$19=1)*($N259+R259))</f>
        <v>#VALUE!</v>
      </c>
      <c r="W259" s="90" t="e">
        <f aca="false">IF($C259="","",xEURO($L259,Call1,$G259,$G259,S259,$J259,1,0))</f>
        <v>#VALUE!</v>
      </c>
      <c r="X259" s="90" t="e">
        <f aca="false">IF($C259="","",xEURO($L259,Put1,$G259,$G259,T259,$J259,0,0))</f>
        <v>#VALUE!</v>
      </c>
      <c r="Y259" s="90" t="e">
        <f aca="false">IF($C259="","",xEURO($L259,Call2,$G259,$G259,U259,$J259,1,0))</f>
        <v>#VALUE!</v>
      </c>
      <c r="Z259" s="90" t="e">
        <f aca="false">IF($C259="","",xEURO($L259,Put2,$G259,$G259,V259,$J259,0,0))</f>
        <v>#VALUE!</v>
      </c>
      <c r="AA259" s="90" t="e">
        <f aca="false">IF($C259="","",xEURO($L259,Call1,$G259,$G259,$S259,$J259,1,1))</f>
        <v>#VALUE!</v>
      </c>
      <c r="AB259" s="90" t="e">
        <f aca="false">IF($C259="","",xEURO($L259,Put1,$G259,$G259,$T259,$J259,0,1))</f>
        <v>#VALUE!</v>
      </c>
      <c r="AC259" s="90" t="e">
        <f aca="false">IF($C259="","",xEURO($L259,Call2,$G259,$G259,$U259,$J259,1,1))</f>
        <v>#VALUE!</v>
      </c>
      <c r="AD259" s="90" t="e">
        <f aca="false">IF($C259="","",xEURO($L259,Put2,$G259,$G259,$V259,$J259,0,1))</f>
        <v>#VALUE!</v>
      </c>
      <c r="AE259" s="90" t="e">
        <f aca="false">IF($C259="","",xEURO($L259,Call1,$G259,$G259,$S259,$J259,1,3))</f>
        <v>#VALUE!</v>
      </c>
      <c r="AF259" s="90" t="e">
        <f aca="false">IF($C259="","",xEURO($L259,Put1,$G259,$G259,$T259,$J259,0,3))</f>
        <v>#VALUE!</v>
      </c>
      <c r="AG259" s="90" t="e">
        <f aca="false">IF($C259="","",xEURO($L259,Call2,$G259,$G259,$U259,$J259,1,3))</f>
        <v>#VALUE!</v>
      </c>
      <c r="AH259" s="90" t="e">
        <f aca="false">IF($C259="","",xEURO($L259,Put2,$G259,$G259,$V259,$J259,0,3))</f>
        <v>#VALUE!</v>
      </c>
      <c r="AI259" s="8" t="e">
        <f aca="false">IF(E259=1,G259,0)</f>
        <v>#VALUE!</v>
      </c>
      <c r="AJ259" s="8" t="e">
        <f aca="false">IF(E259=1,H259,0)</f>
        <v>#VALUE!</v>
      </c>
      <c r="AK259" s="8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</row>
    <row r="260" customFormat="false" ht="12.75" hidden="false" customHeight="false" outlineLevel="0" collapsed="false">
      <c r="A260" s="95" t="n">
        <f aca="false">Swap!A260</f>
        <v>44743</v>
      </c>
      <c r="B260" s="96" t="n">
        <f aca="false">B259+1</f>
        <v>251</v>
      </c>
      <c r="C260" s="95" t="e">
        <f aca="false">IF(AND(A260&gt;=Front!$E$11,A260&lt;=Front!$E$12),A260,"")</f>
        <v>#VALUE!</v>
      </c>
      <c r="D260" s="87" t="e">
        <f aca="false">Swap!AB260</f>
        <v>#VALUE!</v>
      </c>
      <c r="E260" s="87" t="e">
        <f aca="false">IF($C260="","",1)</f>
        <v>#VALUE!</v>
      </c>
      <c r="F260" s="97" t="e">
        <f aca="false">IF($C260="","",E260*H260)</f>
        <v>#VALUE!</v>
      </c>
      <c r="G260" s="31" t="n">
        <f aca="false">Swap!AG260</f>
        <v>0.0638094999183232</v>
      </c>
      <c r="H260" s="31" t="n">
        <f aca="false">Swap!AH260</f>
        <v>1.22561498282128</v>
      </c>
      <c r="I260" s="92" t="n">
        <f aca="false">INDEX(expery,MATCH(A260,exprymonth,0),2)</f>
        <v>44739</v>
      </c>
      <c r="J260" s="98" t="n">
        <f aca="false">I260-Front!$C$2</f>
        <v>-1187</v>
      </c>
      <c r="K260" s="99" t="n">
        <f aca="false">Swap!E260</f>
        <v>5.0065</v>
      </c>
      <c r="L260" s="99" t="e">
        <f aca="false">IF(C260="","",(PriceSwitch=0)*K260+(PriceSwitch=1)*(Front!$H$21+K260)+(PriceSwitch=2)*Front!$H$21)</f>
        <v>#VALUE!</v>
      </c>
      <c r="M260" s="93" t="n">
        <f aca="false">INDEX(vols,MATCH(A260,volsmonth,0),2)</f>
        <v>0.17</v>
      </c>
      <c r="N260" s="3" t="e">
        <f aca="false">IF(Skew_Switch=0,"",IF($C260="","",(Front!$E$20=0)*M260+(Front!$E$20=1)*(Front!$E$21+M260)+(Front!$E$20=2)*Front!$E$21))</f>
        <v>#VALUE!</v>
      </c>
      <c r="O260" s="94" t="e">
        <f aca="false">IF(Skew_Switch=0,"",IF(C260="","",((calcskew(Call1-$L260,$C260,a,b))/100)))</f>
        <v>#VALUE!</v>
      </c>
      <c r="P260" s="94" t="e">
        <f aca="false">IF(Skew_Switch=0,"",IF(C260="","",((calcskew(Put1-$L260,$C260,a,b))/100)))</f>
        <v>#VALUE!</v>
      </c>
      <c r="Q260" s="94" t="e">
        <f aca="false">IF(Skew_Switch=0,"",IF(C260="","",((calcskew(Call2-$L260,$C260,a,b))/100)))</f>
        <v>#VALUE!</v>
      </c>
      <c r="R260" s="94" t="e">
        <f aca="false">IF(Skew_Switch=0,"",IF(C260="","",((calcskew(Put2-$L260,$C260,a,b))/100)))</f>
        <v>#VALUE!</v>
      </c>
      <c r="S260" s="3" t="e">
        <f aca="false">IF($C260="","",(Front!$C$19=0)*$N260+(Front!$C$19=1)*($N260+O260))</f>
        <v>#VALUE!</v>
      </c>
      <c r="T260" s="3" t="e">
        <f aca="false">IF($C260="","",(Front!$C$19=0)*$N260+(Front!$C$19=1)*($N260+P260))</f>
        <v>#VALUE!</v>
      </c>
      <c r="U260" s="3" t="e">
        <f aca="false">IF($C260="","",(Front!$C$19=0)*$N260+(Front!$C$19=1)*($N260+Q260))</f>
        <v>#VALUE!</v>
      </c>
      <c r="V260" s="3" t="e">
        <f aca="false">IF($C260="","",(Front!$C$19=0)*$N260+(Front!$C$19=1)*($N260+R260))</f>
        <v>#VALUE!</v>
      </c>
      <c r="W260" s="90" t="e">
        <f aca="false">IF($C260="","",xEURO($L260,Call1,$G260,$G260,S260,$J260,1,0))</f>
        <v>#VALUE!</v>
      </c>
      <c r="X260" s="90" t="e">
        <f aca="false">IF($C260="","",xEURO($L260,Put1,$G260,$G260,T260,$J260,0,0))</f>
        <v>#VALUE!</v>
      </c>
      <c r="Y260" s="90" t="e">
        <f aca="false">IF($C260="","",xEURO($L260,Call2,$G260,$G260,U260,$J260,1,0))</f>
        <v>#VALUE!</v>
      </c>
      <c r="Z260" s="90" t="e">
        <f aca="false">IF($C260="","",xEURO($L260,Put2,$G260,$G260,V260,$J260,0,0))</f>
        <v>#VALUE!</v>
      </c>
      <c r="AA260" s="90" t="e">
        <f aca="false">IF($C260="","",xEURO($L260,Call1,$G260,$G260,$S260,$J260,1,1))</f>
        <v>#VALUE!</v>
      </c>
      <c r="AB260" s="90" t="e">
        <f aca="false">IF($C260="","",xEURO($L260,Put1,$G260,$G260,$T260,$J260,0,1))</f>
        <v>#VALUE!</v>
      </c>
      <c r="AC260" s="90" t="e">
        <f aca="false">IF($C260="","",xEURO($L260,Call2,$G260,$G260,$U260,$J260,1,1))</f>
        <v>#VALUE!</v>
      </c>
      <c r="AD260" s="90" t="e">
        <f aca="false">IF($C260="","",xEURO($L260,Put2,$G260,$G260,$V260,$J260,0,1))</f>
        <v>#VALUE!</v>
      </c>
      <c r="AE260" s="90" t="e">
        <f aca="false">IF($C260="","",xEURO($L260,Call1,$G260,$G260,$S260,$J260,1,3))</f>
        <v>#VALUE!</v>
      </c>
      <c r="AF260" s="90" t="e">
        <f aca="false">IF($C260="","",xEURO($L260,Put1,$G260,$G260,$T260,$J260,0,3))</f>
        <v>#VALUE!</v>
      </c>
      <c r="AG260" s="90" t="e">
        <f aca="false">IF($C260="","",xEURO($L260,Call2,$G260,$G260,$U260,$J260,1,3))</f>
        <v>#VALUE!</v>
      </c>
      <c r="AH260" s="90" t="e">
        <f aca="false">IF($C260="","",xEURO($L260,Put2,$G260,$G260,$V260,$J260,0,3))</f>
        <v>#VALUE!</v>
      </c>
      <c r="AI260" s="8" t="e">
        <f aca="false">IF(E260=1,G260,0)</f>
        <v>#VALUE!</v>
      </c>
      <c r="AJ260" s="8" t="e">
        <f aca="false">IF(E260=1,H260,0)</f>
        <v>#VALUE!</v>
      </c>
      <c r="AK260" s="8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</row>
    <row r="261" customFormat="false" ht="12.75" hidden="false" customHeight="false" outlineLevel="0" collapsed="false">
      <c r="A261" s="95" t="n">
        <f aca="false">Swap!A261</f>
        <v>44774</v>
      </c>
      <c r="B261" s="96" t="n">
        <f aca="false">B260+1</f>
        <v>252</v>
      </c>
      <c r="C261" s="95" t="e">
        <f aca="false">IF(AND(A261&gt;=Front!$E$11,A261&lt;=Front!$E$12),A261,"")</f>
        <v>#VALUE!</v>
      </c>
      <c r="D261" s="87" t="e">
        <f aca="false">Swap!AB261</f>
        <v>#VALUE!</v>
      </c>
      <c r="E261" s="87" t="e">
        <f aca="false">IF($C261="","",1)</f>
        <v>#VALUE!</v>
      </c>
      <c r="F261" s="97" t="e">
        <f aca="false">IF($C261="","",E261*H261)</f>
        <v>#VALUE!</v>
      </c>
      <c r="G261" s="31" t="n">
        <f aca="false">Swap!AG261</f>
        <v>0.0638146356180136</v>
      </c>
      <c r="H261" s="31" t="n">
        <f aca="false">Swap!AH261</f>
        <v>1.21911759399284</v>
      </c>
      <c r="I261" s="92" t="n">
        <f aca="false">INDEX(expery,MATCH(A261,exprymonth,0),2)</f>
        <v>44768</v>
      </c>
      <c r="J261" s="98" t="n">
        <f aca="false">I261-Front!$C$2</f>
        <v>-1158</v>
      </c>
      <c r="K261" s="99" t="n">
        <f aca="false">Swap!E261</f>
        <v>5.0405</v>
      </c>
      <c r="L261" s="99" t="e">
        <f aca="false">IF(C261="","",(PriceSwitch=0)*K261+(PriceSwitch=1)*(Front!$H$21+K261)+(PriceSwitch=2)*Front!$H$21)</f>
        <v>#VALUE!</v>
      </c>
      <c r="M261" s="93" t="n">
        <f aca="false">INDEX(vols,MATCH(A261,volsmonth,0),2)</f>
        <v>0.17</v>
      </c>
      <c r="N261" s="3" t="e">
        <f aca="false">IF(Skew_Switch=0,"",IF($C261="","",(Front!$E$20=0)*M261+(Front!$E$20=1)*(Front!$E$21+M261)+(Front!$E$20=2)*Front!$E$21))</f>
        <v>#VALUE!</v>
      </c>
      <c r="O261" s="94" t="e">
        <f aca="false">IF(Skew_Switch=0,"",IF(C261="","",((calcskew(Call1-$L261,$C261,a,b))/100)))</f>
        <v>#VALUE!</v>
      </c>
      <c r="P261" s="94" t="e">
        <f aca="false">IF(Skew_Switch=0,"",IF(C261="","",((calcskew(Put1-$L261,$C261,a,b))/100)))</f>
        <v>#VALUE!</v>
      </c>
      <c r="Q261" s="94" t="e">
        <f aca="false">IF(Skew_Switch=0,"",IF(C261="","",((calcskew(Call2-$L261,$C261,a,b))/100)))</f>
        <v>#VALUE!</v>
      </c>
      <c r="R261" s="94" t="e">
        <f aca="false">IF(Skew_Switch=0,"",IF(C261="","",((calcskew(Put2-$L261,$C261,a,b))/100)))</f>
        <v>#VALUE!</v>
      </c>
      <c r="S261" s="3" t="e">
        <f aca="false">IF($C261="","",(Front!$C$19=0)*$N261+(Front!$C$19=1)*($N261+O261))</f>
        <v>#VALUE!</v>
      </c>
      <c r="T261" s="3" t="e">
        <f aca="false">IF($C261="","",(Front!$C$19=0)*$N261+(Front!$C$19=1)*($N261+P261))</f>
        <v>#VALUE!</v>
      </c>
      <c r="U261" s="3" t="e">
        <f aca="false">IF($C261="","",(Front!$C$19=0)*$N261+(Front!$C$19=1)*($N261+Q261))</f>
        <v>#VALUE!</v>
      </c>
      <c r="V261" s="3" t="e">
        <f aca="false">IF($C261="","",(Front!$C$19=0)*$N261+(Front!$C$19=1)*($N261+R261))</f>
        <v>#VALUE!</v>
      </c>
      <c r="W261" s="90" t="e">
        <f aca="false">IF($C261="","",xEURO($L261,Call1,$G261,$G261,S261,$J261,1,0))</f>
        <v>#VALUE!</v>
      </c>
      <c r="X261" s="90" t="e">
        <f aca="false">IF($C261="","",xEURO($L261,Put1,$G261,$G261,T261,$J261,0,0))</f>
        <v>#VALUE!</v>
      </c>
      <c r="Y261" s="90" t="e">
        <f aca="false">IF($C261="","",xEURO($L261,Call2,$G261,$G261,U261,$J261,1,0))</f>
        <v>#VALUE!</v>
      </c>
      <c r="Z261" s="90" t="e">
        <f aca="false">IF($C261="","",xEURO($L261,Put2,$G261,$G261,V261,$J261,0,0))</f>
        <v>#VALUE!</v>
      </c>
      <c r="AA261" s="90" t="e">
        <f aca="false">IF($C261="","",xEURO($L261,Call1,$G261,$G261,$S261,$J261,1,1))</f>
        <v>#VALUE!</v>
      </c>
      <c r="AB261" s="90" t="e">
        <f aca="false">IF($C261="","",xEURO($L261,Put1,$G261,$G261,$T261,$J261,0,1))</f>
        <v>#VALUE!</v>
      </c>
      <c r="AC261" s="90" t="e">
        <f aca="false">IF($C261="","",xEURO($L261,Call2,$G261,$G261,$U261,$J261,1,1))</f>
        <v>#VALUE!</v>
      </c>
      <c r="AD261" s="90" t="e">
        <f aca="false">IF($C261="","",xEURO($L261,Put2,$G261,$G261,$V261,$J261,0,1))</f>
        <v>#VALUE!</v>
      </c>
      <c r="AE261" s="90" t="e">
        <f aca="false">IF($C261="","",xEURO($L261,Call1,$G261,$G261,$S261,$J261,1,3))</f>
        <v>#VALUE!</v>
      </c>
      <c r="AF261" s="90" t="e">
        <f aca="false">IF($C261="","",xEURO($L261,Put1,$G261,$G261,$T261,$J261,0,3))</f>
        <v>#VALUE!</v>
      </c>
      <c r="AG261" s="90" t="e">
        <f aca="false">IF($C261="","",xEURO($L261,Call2,$G261,$G261,$U261,$J261,1,3))</f>
        <v>#VALUE!</v>
      </c>
      <c r="AH261" s="90" t="e">
        <f aca="false">IF($C261="","",xEURO($L261,Put2,$G261,$G261,$V261,$J261,0,3))</f>
        <v>#VALUE!</v>
      </c>
      <c r="AI261" s="8" t="e">
        <f aca="false">IF(E261=1,G261,0)</f>
        <v>#VALUE!</v>
      </c>
      <c r="AJ261" s="8" t="e">
        <f aca="false">IF(E261=1,H261,0)</f>
        <v>#VALUE!</v>
      </c>
      <c r="AK261" s="8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</row>
    <row r="262" customFormat="false" ht="12.75" hidden="false" customHeight="false" outlineLevel="0" collapsed="false">
      <c r="A262" s="95" t="n">
        <f aca="false">Swap!A262</f>
        <v>44805</v>
      </c>
      <c r="B262" s="96" t="n">
        <f aca="false">B261+1</f>
        <v>253</v>
      </c>
      <c r="C262" s="95" t="e">
        <f aca="false">IF(AND(A262&gt;=Front!$E$11,A262&lt;=Front!$E$12),A262,"")</f>
        <v>#VALUE!</v>
      </c>
      <c r="D262" s="87" t="e">
        <f aca="false">Swap!AB262</f>
        <v>#VALUE!</v>
      </c>
      <c r="E262" s="87" t="e">
        <f aca="false">IF($C262="","",1)</f>
        <v>#VALUE!</v>
      </c>
      <c r="F262" s="97" t="e">
        <f aca="false">IF($C262="","",E262*H262)</f>
        <v>#VALUE!</v>
      </c>
      <c r="G262" s="31" t="n">
        <f aca="false">Swap!AG262</f>
        <v>0.0638197713177133</v>
      </c>
      <c r="H262" s="31" t="n">
        <f aca="false">Swap!AH262</f>
        <v>1.21265362545042</v>
      </c>
      <c r="I262" s="92" t="n">
        <f aca="false">INDEX(expery,MATCH(A262,exprymonth,0),2)</f>
        <v>44799</v>
      </c>
      <c r="J262" s="98" t="n">
        <f aca="false">I262-Front!$C$2</f>
        <v>-1127</v>
      </c>
      <c r="K262" s="99" t="n">
        <f aca="false">Swap!E262</f>
        <v>5.0535</v>
      </c>
      <c r="L262" s="99" t="e">
        <f aca="false">IF(C262="","",(PriceSwitch=0)*K262+(PriceSwitch=1)*(Front!$H$21+K262)+(PriceSwitch=2)*Front!$H$21)</f>
        <v>#VALUE!</v>
      </c>
      <c r="M262" s="93" t="n">
        <f aca="false">INDEX(vols,MATCH(A262,volsmonth,0),2)</f>
        <v>0.17</v>
      </c>
      <c r="N262" s="3" t="e">
        <f aca="false">IF(Skew_Switch=0,"",IF($C262="","",(Front!$E$20=0)*M262+(Front!$E$20=1)*(Front!$E$21+M262)+(Front!$E$20=2)*Front!$E$21))</f>
        <v>#VALUE!</v>
      </c>
      <c r="O262" s="94" t="e">
        <f aca="false">IF(Skew_Switch=0,"",IF(C262="","",((calcskew(Call1-$L262,$C262,a,b))/100)))</f>
        <v>#VALUE!</v>
      </c>
      <c r="P262" s="94" t="e">
        <f aca="false">IF(Skew_Switch=0,"",IF(C262="","",((calcskew(Put1-$L262,$C262,a,b))/100)))</f>
        <v>#VALUE!</v>
      </c>
      <c r="Q262" s="94" t="e">
        <f aca="false">IF(Skew_Switch=0,"",IF(C262="","",((calcskew(Call2-$L262,$C262,a,b))/100)))</f>
        <v>#VALUE!</v>
      </c>
      <c r="R262" s="94" t="e">
        <f aca="false">IF(Skew_Switch=0,"",IF(C262="","",((calcskew(Put2-$L262,$C262,a,b))/100)))</f>
        <v>#VALUE!</v>
      </c>
      <c r="S262" s="3" t="e">
        <f aca="false">IF($C262="","",(Front!$C$19=0)*$N262+(Front!$C$19=1)*($N262+O262))</f>
        <v>#VALUE!</v>
      </c>
      <c r="T262" s="3" t="e">
        <f aca="false">IF($C262="","",(Front!$C$19=0)*$N262+(Front!$C$19=1)*($N262+P262))</f>
        <v>#VALUE!</v>
      </c>
      <c r="U262" s="3" t="e">
        <f aca="false">IF($C262="","",(Front!$C$19=0)*$N262+(Front!$C$19=1)*($N262+Q262))</f>
        <v>#VALUE!</v>
      </c>
      <c r="V262" s="3" t="e">
        <f aca="false">IF($C262="","",(Front!$C$19=0)*$N262+(Front!$C$19=1)*($N262+R262))</f>
        <v>#VALUE!</v>
      </c>
      <c r="W262" s="90" t="e">
        <f aca="false">IF($C262="","",xEURO($L262,Call1,$G262,$G262,S262,$J262,1,0))</f>
        <v>#VALUE!</v>
      </c>
      <c r="X262" s="90" t="e">
        <f aca="false">IF($C262="","",xEURO($L262,Put1,$G262,$G262,T262,$J262,0,0))</f>
        <v>#VALUE!</v>
      </c>
      <c r="Y262" s="90" t="e">
        <f aca="false">IF($C262="","",xEURO($L262,Call2,$G262,$G262,U262,$J262,1,0))</f>
        <v>#VALUE!</v>
      </c>
      <c r="Z262" s="90" t="e">
        <f aca="false">IF($C262="","",xEURO($L262,Put2,$G262,$G262,V262,$J262,0,0))</f>
        <v>#VALUE!</v>
      </c>
      <c r="AA262" s="90" t="e">
        <f aca="false">IF($C262="","",xEURO($L262,Call1,$G262,$G262,$S262,$J262,1,1))</f>
        <v>#VALUE!</v>
      </c>
      <c r="AB262" s="90" t="e">
        <f aca="false">IF($C262="","",xEURO($L262,Put1,$G262,$G262,$T262,$J262,0,1))</f>
        <v>#VALUE!</v>
      </c>
      <c r="AC262" s="90" t="e">
        <f aca="false">IF($C262="","",xEURO($L262,Call2,$G262,$G262,$U262,$J262,1,1))</f>
        <v>#VALUE!</v>
      </c>
      <c r="AD262" s="90" t="e">
        <f aca="false">IF($C262="","",xEURO($L262,Put2,$G262,$G262,$V262,$J262,0,1))</f>
        <v>#VALUE!</v>
      </c>
      <c r="AE262" s="90" t="e">
        <f aca="false">IF($C262="","",xEURO($L262,Call1,$G262,$G262,$S262,$J262,1,3))</f>
        <v>#VALUE!</v>
      </c>
      <c r="AF262" s="90" t="e">
        <f aca="false">IF($C262="","",xEURO($L262,Put1,$G262,$G262,$T262,$J262,0,3))</f>
        <v>#VALUE!</v>
      </c>
      <c r="AG262" s="90" t="e">
        <f aca="false">IF($C262="","",xEURO($L262,Call2,$G262,$G262,$U262,$J262,1,3))</f>
        <v>#VALUE!</v>
      </c>
      <c r="AH262" s="90" t="e">
        <f aca="false">IF($C262="","",xEURO($L262,Put2,$G262,$G262,$V262,$J262,0,3))</f>
        <v>#VALUE!</v>
      </c>
      <c r="AI262" s="8" t="e">
        <f aca="false">IF(E262=1,G262,0)</f>
        <v>#VALUE!</v>
      </c>
      <c r="AJ262" s="8" t="e">
        <f aca="false">IF(E262=1,H262,0)</f>
        <v>#VALUE!</v>
      </c>
      <c r="AK262" s="8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</row>
    <row r="263" customFormat="false" ht="12.75" hidden="false" customHeight="false" outlineLevel="0" collapsed="false">
      <c r="A263" s="95" t="n">
        <f aca="false">Swap!A263</f>
        <v>44835</v>
      </c>
      <c r="B263" s="96" t="n">
        <f aca="false">B262+1</f>
        <v>254</v>
      </c>
      <c r="C263" s="95" t="e">
        <f aca="false">IF(AND(A263&gt;=Front!$E$11,A263&lt;=Front!$E$12),A263,"")</f>
        <v>#VALUE!</v>
      </c>
      <c r="D263" s="87" t="e">
        <f aca="false">Swap!AB263</f>
        <v>#VALUE!</v>
      </c>
      <c r="E263" s="87" t="e">
        <f aca="false">IF($C263="","",1)</f>
        <v>#VALUE!</v>
      </c>
      <c r="F263" s="97" t="e">
        <f aca="false">IF($C263="","",E263*H263)</f>
        <v>#VALUE!</v>
      </c>
      <c r="G263" s="31" t="n">
        <f aca="false">Swap!AG263</f>
        <v>0.0638247413496886</v>
      </c>
      <c r="H263" s="31" t="n">
        <f aca="false">Swap!AH263</f>
        <v>1.20642983593991</v>
      </c>
      <c r="I263" s="92" t="n">
        <f aca="false">INDEX(expery,MATCH(A263,exprymonth,0),2)</f>
        <v>44831</v>
      </c>
      <c r="J263" s="98" t="n">
        <f aca="false">I263-Front!$C$2</f>
        <v>-1095</v>
      </c>
      <c r="K263" s="99" t="n">
        <f aca="false">Swap!E263</f>
        <v>5.0455</v>
      </c>
      <c r="L263" s="99" t="e">
        <f aca="false">IF(C263="","",(PriceSwitch=0)*K263+(PriceSwitch=1)*(Front!$H$21+K263)+(PriceSwitch=2)*Front!$H$21)</f>
        <v>#VALUE!</v>
      </c>
      <c r="M263" s="93" t="n">
        <f aca="false">INDEX(vols,MATCH(A263,volsmonth,0),2)</f>
        <v>0.17</v>
      </c>
      <c r="N263" s="3" t="e">
        <f aca="false">IF(Skew_Switch=0,"",IF($C263="","",(Front!$E$20=0)*M263+(Front!$E$20=1)*(Front!$E$21+M263)+(Front!$E$20=2)*Front!$E$21))</f>
        <v>#VALUE!</v>
      </c>
      <c r="O263" s="94" t="e">
        <f aca="false">IF(Skew_Switch=0,"",IF(C263="","",((calcskew(Call1-$L263,$C263,a,b))/100)))</f>
        <v>#VALUE!</v>
      </c>
      <c r="P263" s="94" t="e">
        <f aca="false">IF(Skew_Switch=0,"",IF(C263="","",((calcskew(Put1-$L263,$C263,a,b))/100)))</f>
        <v>#VALUE!</v>
      </c>
      <c r="Q263" s="94" t="e">
        <f aca="false">IF(Skew_Switch=0,"",IF(C263="","",((calcskew(Call2-$L263,$C263,a,b))/100)))</f>
        <v>#VALUE!</v>
      </c>
      <c r="R263" s="94" t="e">
        <f aca="false">IF(Skew_Switch=0,"",IF(C263="","",((calcskew(Put2-$L263,$C263,a,b))/100)))</f>
        <v>#VALUE!</v>
      </c>
      <c r="S263" s="3" t="e">
        <f aca="false">IF($C263="","",(Front!$C$19=0)*$N263+(Front!$C$19=1)*($N263+O263))</f>
        <v>#VALUE!</v>
      </c>
      <c r="T263" s="3" t="e">
        <f aca="false">IF($C263="","",(Front!$C$19=0)*$N263+(Front!$C$19=1)*($N263+P263))</f>
        <v>#VALUE!</v>
      </c>
      <c r="U263" s="3" t="e">
        <f aca="false">IF($C263="","",(Front!$C$19=0)*$N263+(Front!$C$19=1)*($N263+Q263))</f>
        <v>#VALUE!</v>
      </c>
      <c r="V263" s="3" t="e">
        <f aca="false">IF($C263="","",(Front!$C$19=0)*$N263+(Front!$C$19=1)*($N263+R263))</f>
        <v>#VALUE!</v>
      </c>
      <c r="W263" s="90" t="e">
        <f aca="false">IF($C263="","",xEURO($L263,Call1,$G263,$G263,S263,$J263,1,0))</f>
        <v>#VALUE!</v>
      </c>
      <c r="X263" s="90" t="e">
        <f aca="false">IF($C263="","",xEURO($L263,Put1,$G263,$G263,T263,$J263,0,0))</f>
        <v>#VALUE!</v>
      </c>
      <c r="Y263" s="90" t="e">
        <f aca="false">IF($C263="","",xEURO($L263,Call2,$G263,$G263,U263,$J263,1,0))</f>
        <v>#VALUE!</v>
      </c>
      <c r="Z263" s="90" t="e">
        <f aca="false">IF($C263="","",xEURO($L263,Put2,$G263,$G263,V263,$J263,0,0))</f>
        <v>#VALUE!</v>
      </c>
      <c r="AA263" s="90" t="e">
        <f aca="false">IF($C263="","",xEURO($L263,Call1,$G263,$G263,$S263,$J263,1,1))</f>
        <v>#VALUE!</v>
      </c>
      <c r="AB263" s="90" t="e">
        <f aca="false">IF($C263="","",xEURO($L263,Put1,$G263,$G263,$T263,$J263,0,1))</f>
        <v>#VALUE!</v>
      </c>
      <c r="AC263" s="90" t="e">
        <f aca="false">IF($C263="","",xEURO($L263,Call2,$G263,$G263,$U263,$J263,1,1))</f>
        <v>#VALUE!</v>
      </c>
      <c r="AD263" s="90" t="e">
        <f aca="false">IF($C263="","",xEURO($L263,Put2,$G263,$G263,$V263,$J263,0,1))</f>
        <v>#VALUE!</v>
      </c>
      <c r="AE263" s="90" t="e">
        <f aca="false">IF($C263="","",xEURO($L263,Call1,$G263,$G263,$S263,$J263,1,3))</f>
        <v>#VALUE!</v>
      </c>
      <c r="AF263" s="90" t="e">
        <f aca="false">IF($C263="","",xEURO($L263,Put1,$G263,$G263,$T263,$J263,0,3))</f>
        <v>#VALUE!</v>
      </c>
      <c r="AG263" s="90" t="e">
        <f aca="false">IF($C263="","",xEURO($L263,Call2,$G263,$G263,$U263,$J263,1,3))</f>
        <v>#VALUE!</v>
      </c>
      <c r="AH263" s="90" t="e">
        <f aca="false">IF($C263="","",xEURO($L263,Put2,$G263,$G263,$V263,$J263,0,3))</f>
        <v>#VALUE!</v>
      </c>
      <c r="AI263" s="8" t="e">
        <f aca="false">IF(E263=1,G263,0)</f>
        <v>#VALUE!</v>
      </c>
      <c r="AJ263" s="8" t="e">
        <f aca="false">IF(E263=1,H263,0)</f>
        <v>#VALUE!</v>
      </c>
      <c r="AK263" s="8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</row>
    <row r="264" customFormat="false" ht="12.75" hidden="false" customHeight="false" outlineLevel="0" collapsed="false">
      <c r="A264" s="95" t="n">
        <f aca="false">Swap!A264</f>
        <v>44866</v>
      </c>
      <c r="B264" s="96" t="n">
        <f aca="false">B263+1</f>
        <v>255</v>
      </c>
      <c r="C264" s="95" t="e">
        <f aca="false">IF(AND(A264&gt;=Front!$E$11,A264&lt;=Front!$E$12),A264,"")</f>
        <v>#VALUE!</v>
      </c>
      <c r="D264" s="87" t="e">
        <f aca="false">Swap!AB264</f>
        <v>#VALUE!</v>
      </c>
      <c r="E264" s="87" t="e">
        <f aca="false">IF($C264="","",1)</f>
        <v>#VALUE!</v>
      </c>
      <c r="F264" s="97" t="e">
        <f aca="false">IF($C264="","",E264*H264)</f>
        <v>#VALUE!</v>
      </c>
      <c r="G264" s="31" t="n">
        <f aca="false">Swap!AG264</f>
        <v>0.0638298770494052</v>
      </c>
      <c r="H264" s="31" t="n">
        <f aca="false">Swap!AH264</f>
        <v>1.20003114506319</v>
      </c>
      <c r="I264" s="92" t="n">
        <f aca="false">INDEX(expery,MATCH(A264,exprymonth,0),2)</f>
        <v>44860</v>
      </c>
      <c r="J264" s="98" t="n">
        <f aca="false">I264-Front!$C$2</f>
        <v>-1066</v>
      </c>
      <c r="K264" s="99" t="n">
        <f aca="false">Swap!E264</f>
        <v>5.2155</v>
      </c>
      <c r="L264" s="99" t="e">
        <f aca="false">IF(C264="","",(PriceSwitch=0)*K264+(PriceSwitch=1)*(Front!$H$21+K264)+(PriceSwitch=2)*Front!$H$21)</f>
        <v>#VALUE!</v>
      </c>
      <c r="M264" s="93" t="n">
        <f aca="false">INDEX(vols,MATCH(A264,volsmonth,0),2)</f>
        <v>0.17</v>
      </c>
      <c r="N264" s="3" t="e">
        <f aca="false">IF(Skew_Switch=0,"",IF($C264="","",(Front!$E$20=0)*M264+(Front!$E$20=1)*(Front!$E$21+M264)+(Front!$E$20=2)*Front!$E$21))</f>
        <v>#VALUE!</v>
      </c>
      <c r="O264" s="94" t="e">
        <f aca="false">IF(Skew_Switch=0,"",IF(C264="","",((calcskew(Call1-$L264,$C264,a,b))/100)))</f>
        <v>#VALUE!</v>
      </c>
      <c r="P264" s="94" t="e">
        <f aca="false">IF(Skew_Switch=0,"",IF(C264="","",((calcskew(Put1-$L264,$C264,a,b))/100)))</f>
        <v>#VALUE!</v>
      </c>
      <c r="Q264" s="94" t="e">
        <f aca="false">IF(Skew_Switch=0,"",IF(C264="","",((calcskew(Call2-$L264,$C264,a,b))/100)))</f>
        <v>#VALUE!</v>
      </c>
      <c r="R264" s="94" t="e">
        <f aca="false">IF(Skew_Switch=0,"",IF(C264="","",((calcskew(Put2-$L264,$C264,a,b))/100)))</f>
        <v>#VALUE!</v>
      </c>
      <c r="S264" s="3" t="e">
        <f aca="false">IF($C264="","",(Front!$C$19=0)*$N264+(Front!$C$19=1)*($N264+O264))</f>
        <v>#VALUE!</v>
      </c>
      <c r="T264" s="3" t="e">
        <f aca="false">IF($C264="","",(Front!$C$19=0)*$N264+(Front!$C$19=1)*($N264+P264))</f>
        <v>#VALUE!</v>
      </c>
      <c r="U264" s="3" t="e">
        <f aca="false">IF($C264="","",(Front!$C$19=0)*$N264+(Front!$C$19=1)*($N264+Q264))</f>
        <v>#VALUE!</v>
      </c>
      <c r="V264" s="3" t="e">
        <f aca="false">IF($C264="","",(Front!$C$19=0)*$N264+(Front!$C$19=1)*($N264+R264))</f>
        <v>#VALUE!</v>
      </c>
      <c r="W264" s="90" t="e">
        <f aca="false">IF($C264="","",xEURO($L264,Call1,$G264,$G264,S264,$J264,1,0))</f>
        <v>#VALUE!</v>
      </c>
      <c r="X264" s="90" t="e">
        <f aca="false">IF($C264="","",xEURO($L264,Put1,$G264,$G264,T264,$J264,0,0))</f>
        <v>#VALUE!</v>
      </c>
      <c r="Y264" s="90" t="e">
        <f aca="false">IF($C264="","",xEURO($L264,Call2,$G264,$G264,U264,$J264,1,0))</f>
        <v>#VALUE!</v>
      </c>
      <c r="Z264" s="90" t="e">
        <f aca="false">IF($C264="","",xEURO($L264,Put2,$G264,$G264,V264,$J264,0,0))</f>
        <v>#VALUE!</v>
      </c>
      <c r="AA264" s="90" t="e">
        <f aca="false">IF($C264="","",xEURO($L264,Call1,$G264,$G264,$S264,$J264,1,1))</f>
        <v>#VALUE!</v>
      </c>
      <c r="AB264" s="90" t="e">
        <f aca="false">IF($C264="","",xEURO($L264,Put1,$G264,$G264,$T264,$J264,0,1))</f>
        <v>#VALUE!</v>
      </c>
      <c r="AC264" s="90" t="e">
        <f aca="false">IF($C264="","",xEURO($L264,Call2,$G264,$G264,$U264,$J264,1,1))</f>
        <v>#VALUE!</v>
      </c>
      <c r="AD264" s="90" t="e">
        <f aca="false">IF($C264="","",xEURO($L264,Put2,$G264,$G264,$V264,$J264,0,1))</f>
        <v>#VALUE!</v>
      </c>
      <c r="AE264" s="90" t="e">
        <f aca="false">IF($C264="","",xEURO($L264,Call1,$G264,$G264,$S264,$J264,1,3))</f>
        <v>#VALUE!</v>
      </c>
      <c r="AF264" s="90" t="e">
        <f aca="false">IF($C264="","",xEURO($L264,Put1,$G264,$G264,$T264,$J264,0,3))</f>
        <v>#VALUE!</v>
      </c>
      <c r="AG264" s="90" t="e">
        <f aca="false">IF($C264="","",xEURO($L264,Call2,$G264,$G264,$U264,$J264,1,3))</f>
        <v>#VALUE!</v>
      </c>
      <c r="AH264" s="90" t="e">
        <f aca="false">IF($C264="","",xEURO($L264,Put2,$G264,$G264,$V264,$J264,0,3))</f>
        <v>#VALUE!</v>
      </c>
      <c r="AI264" s="8" t="e">
        <f aca="false">IF(E264=1,G264,0)</f>
        <v>#VALUE!</v>
      </c>
      <c r="AJ264" s="8" t="e">
        <f aca="false">IF(E264=1,H264,0)</f>
        <v>#VALUE!</v>
      </c>
      <c r="AK264" s="8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</row>
    <row r="265" customFormat="false" ht="12.75" hidden="false" customHeight="false" outlineLevel="0" collapsed="false">
      <c r="A265" s="95" t="n">
        <f aca="false">Swap!A265</f>
        <v>44896</v>
      </c>
      <c r="B265" s="96" t="n">
        <f aca="false">B264+1</f>
        <v>256</v>
      </c>
      <c r="C265" s="95" t="e">
        <f aca="false">IF(AND(A265&gt;=Front!$E$11,A265&lt;=Front!$E$12),A265,"")</f>
        <v>#VALUE!</v>
      </c>
      <c r="D265" s="87" t="e">
        <f aca="false">Swap!AB265</f>
        <v>#VALUE!</v>
      </c>
      <c r="E265" s="87" t="e">
        <f aca="false">IF($C265="","",1)</f>
        <v>#VALUE!</v>
      </c>
      <c r="F265" s="97" t="e">
        <f aca="false">IF($C265="","",E265*H265)</f>
        <v>#VALUE!</v>
      </c>
      <c r="G265" s="31" t="n">
        <f aca="false">Swap!AG265</f>
        <v>0.0638348470813979</v>
      </c>
      <c r="H265" s="31" t="n">
        <f aca="false">Swap!AH265</f>
        <v>1.1938702181083</v>
      </c>
      <c r="I265" s="92" t="n">
        <f aca="false">INDEX(expery,MATCH(A265,exprymonth,0),2)</f>
        <v>44890</v>
      </c>
      <c r="J265" s="98" t="n">
        <f aca="false">I265-Front!$C$2</f>
        <v>-1036</v>
      </c>
      <c r="K265" s="99" t="n">
        <f aca="false">Swap!E265</f>
        <v>5.3905</v>
      </c>
      <c r="L265" s="99" t="e">
        <f aca="false">IF(C265="","",(PriceSwitch=0)*K265+(PriceSwitch=1)*(Front!$H$21+K265)+(PriceSwitch=2)*Front!$H$21)</f>
        <v>#VALUE!</v>
      </c>
      <c r="M265" s="93" t="n">
        <f aca="false">INDEX(vols,MATCH(A265,volsmonth,0),2)</f>
        <v>0.17</v>
      </c>
      <c r="N265" s="3" t="e">
        <f aca="false">IF(Skew_Switch=0,"",IF($C265="","",(Front!$E$20=0)*M265+(Front!$E$20=1)*(Front!$E$21+M265)+(Front!$E$20=2)*Front!$E$21))</f>
        <v>#VALUE!</v>
      </c>
      <c r="O265" s="94" t="e">
        <f aca="false">IF(Skew_Switch=0,"",IF(C265="","",((calcskew(Call1-$L265,$C265,a,b))/100)))</f>
        <v>#VALUE!</v>
      </c>
      <c r="P265" s="94" t="e">
        <f aca="false">IF(Skew_Switch=0,"",IF(C265="","",((calcskew(Put1-$L265,$C265,a,b))/100)))</f>
        <v>#VALUE!</v>
      </c>
      <c r="Q265" s="94" t="e">
        <f aca="false">IF(Skew_Switch=0,"",IF(C265="","",((calcskew(Call2-$L265,$C265,a,b))/100)))</f>
        <v>#VALUE!</v>
      </c>
      <c r="R265" s="94" t="e">
        <f aca="false">IF(Skew_Switch=0,"",IF(C265="","",((calcskew(Put2-$L265,$C265,a,b))/100)))</f>
        <v>#VALUE!</v>
      </c>
      <c r="S265" s="3" t="e">
        <f aca="false">IF($C265="","",(Front!$C$19=0)*$N265+(Front!$C$19=1)*($N265+O265))</f>
        <v>#VALUE!</v>
      </c>
      <c r="T265" s="3" t="e">
        <f aca="false">IF($C265="","",(Front!$C$19=0)*$N265+(Front!$C$19=1)*($N265+P265))</f>
        <v>#VALUE!</v>
      </c>
      <c r="U265" s="3" t="e">
        <f aca="false">IF($C265="","",(Front!$C$19=0)*$N265+(Front!$C$19=1)*($N265+Q265))</f>
        <v>#VALUE!</v>
      </c>
      <c r="V265" s="3" t="e">
        <f aca="false">IF($C265="","",(Front!$C$19=0)*$N265+(Front!$C$19=1)*($N265+R265))</f>
        <v>#VALUE!</v>
      </c>
      <c r="W265" s="90" t="e">
        <f aca="false">IF($C265="","",xEURO($L265,Call1,$G265,$G265,S265,$J265,1,0))</f>
        <v>#VALUE!</v>
      </c>
      <c r="X265" s="90" t="e">
        <f aca="false">IF($C265="","",xEURO($L265,Put1,$G265,$G265,T265,$J265,0,0))</f>
        <v>#VALUE!</v>
      </c>
      <c r="Y265" s="90" t="e">
        <f aca="false">IF($C265="","",xEURO($L265,Call2,$G265,$G265,U265,$J265,1,0))</f>
        <v>#VALUE!</v>
      </c>
      <c r="Z265" s="90" t="e">
        <f aca="false">IF($C265="","",xEURO($L265,Put2,$G265,$G265,V265,$J265,0,0))</f>
        <v>#VALUE!</v>
      </c>
      <c r="AA265" s="90" t="e">
        <f aca="false">IF($C265="","",xEURO($L265,Call1,$G265,$G265,$S265,$J265,1,1))</f>
        <v>#VALUE!</v>
      </c>
      <c r="AB265" s="90" t="e">
        <f aca="false">IF($C265="","",xEURO($L265,Put1,$G265,$G265,$T265,$J265,0,1))</f>
        <v>#VALUE!</v>
      </c>
      <c r="AC265" s="90" t="e">
        <f aca="false">IF($C265="","",xEURO($L265,Call2,$G265,$G265,$U265,$J265,1,1))</f>
        <v>#VALUE!</v>
      </c>
      <c r="AD265" s="90" t="e">
        <f aca="false">IF($C265="","",xEURO($L265,Put2,$G265,$G265,$V265,$J265,0,1))</f>
        <v>#VALUE!</v>
      </c>
      <c r="AE265" s="90" t="e">
        <f aca="false">IF($C265="","",xEURO($L265,Call1,$G265,$G265,$S265,$J265,1,3))</f>
        <v>#VALUE!</v>
      </c>
      <c r="AF265" s="90" t="e">
        <f aca="false">IF($C265="","",xEURO($L265,Put1,$G265,$G265,$T265,$J265,0,3))</f>
        <v>#VALUE!</v>
      </c>
      <c r="AG265" s="90" t="e">
        <f aca="false">IF($C265="","",xEURO($L265,Call2,$G265,$G265,$U265,$J265,1,3))</f>
        <v>#VALUE!</v>
      </c>
      <c r="AH265" s="90" t="e">
        <f aca="false">IF($C265="","",xEURO($L265,Put2,$G265,$G265,$V265,$J265,0,3))</f>
        <v>#VALUE!</v>
      </c>
      <c r="AI265" s="8" t="e">
        <f aca="false">IF(E265=1,G265,0)</f>
        <v>#VALUE!</v>
      </c>
      <c r="AJ265" s="8" t="e">
        <f aca="false">IF(E265=1,H265,0)</f>
        <v>#VALUE!</v>
      </c>
      <c r="AK265" s="8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</row>
    <row r="266" customFormat="false" ht="12.75" hidden="false" customHeight="false" outlineLevel="0" collapsed="false">
      <c r="A266" s="95" t="n">
        <f aca="false">Swap!A266</f>
        <v>44927</v>
      </c>
      <c r="B266" s="96" t="n">
        <f aca="false">B265+1</f>
        <v>257</v>
      </c>
      <c r="C266" s="95" t="e">
        <f aca="false">IF(AND(A266&gt;=Front!$E$11,A266&lt;=Front!$E$12),A266,"")</f>
        <v>#VALUE!</v>
      </c>
      <c r="D266" s="87" t="e">
        <f aca="false">Swap!AB266</f>
        <v>#VALUE!</v>
      </c>
      <c r="E266" s="87" t="e">
        <f aca="false">IF($C266="","",1)</f>
        <v>#VALUE!</v>
      </c>
      <c r="F266" s="97" t="e">
        <f aca="false">IF($C266="","",E266*H266)</f>
        <v>#VALUE!</v>
      </c>
      <c r="G266" s="31" t="n">
        <f aca="false">Swap!AG266</f>
        <v>0.0638399827811318</v>
      </c>
      <c r="H266" s="31" t="n">
        <f aca="false">Swap!AH266</f>
        <v>1.18753616703163</v>
      </c>
      <c r="I266" s="92" t="n">
        <f aca="false">INDEX(expery,MATCH(A266,exprymonth,0),2)</f>
        <v>44922</v>
      </c>
      <c r="J266" s="98" t="n">
        <f aca="false">I266-Front!$C$2</f>
        <v>-1004</v>
      </c>
      <c r="K266" s="99" t="n">
        <f aca="false">Swap!E266</f>
        <v>5.448</v>
      </c>
      <c r="L266" s="99" t="e">
        <f aca="false">IF(C266="","",(PriceSwitch=0)*K266+(PriceSwitch=1)*(Front!$H$21+K266)+(PriceSwitch=2)*Front!$H$21)</f>
        <v>#VALUE!</v>
      </c>
      <c r="M266" s="93" t="n">
        <f aca="false">INDEX(vols,MATCH(A266,volsmonth,0),2)</f>
        <v>0.17</v>
      </c>
      <c r="N266" s="3" t="e">
        <f aca="false">IF(Skew_Switch=0,"",IF($C266="","",(Front!$E$20=0)*M266+(Front!$E$20=1)*(Front!$E$21+M266)+(Front!$E$20=2)*Front!$E$21))</f>
        <v>#VALUE!</v>
      </c>
      <c r="O266" s="94" t="e">
        <f aca="false">IF(Skew_Switch=0,"",IF(C266="","",((calcskew(Call1-$L266,$C266,a,b))/100)))</f>
        <v>#VALUE!</v>
      </c>
      <c r="P266" s="94" t="e">
        <f aca="false">IF(Skew_Switch=0,"",IF(C266="","",((calcskew(Put1-$L266,$C266,a,b))/100)))</f>
        <v>#VALUE!</v>
      </c>
      <c r="Q266" s="94" t="e">
        <f aca="false">IF(Skew_Switch=0,"",IF(C266="","",((calcskew(Call2-$L266,$C266,a,b))/100)))</f>
        <v>#VALUE!</v>
      </c>
      <c r="R266" s="94" t="e">
        <f aca="false">IF(Skew_Switch=0,"",IF(C266="","",((calcskew(Put2-$L266,$C266,a,b))/100)))</f>
        <v>#VALUE!</v>
      </c>
      <c r="S266" s="3" t="e">
        <f aca="false">IF($C266="","",(Front!$C$19=0)*$N266+(Front!$C$19=1)*($N266+O266))</f>
        <v>#VALUE!</v>
      </c>
      <c r="T266" s="3" t="e">
        <f aca="false">IF($C266="","",(Front!$C$19=0)*$N266+(Front!$C$19=1)*($N266+P266))</f>
        <v>#VALUE!</v>
      </c>
      <c r="U266" s="3" t="e">
        <f aca="false">IF($C266="","",(Front!$C$19=0)*$N266+(Front!$C$19=1)*($N266+Q266))</f>
        <v>#VALUE!</v>
      </c>
      <c r="V266" s="3" t="e">
        <f aca="false">IF($C266="","",(Front!$C$19=0)*$N266+(Front!$C$19=1)*($N266+R266))</f>
        <v>#VALUE!</v>
      </c>
      <c r="W266" s="90" t="e">
        <f aca="false">IF($C266="","",xEURO($L266,Call1,$G266,$G266,S266,$J266,1,0))</f>
        <v>#VALUE!</v>
      </c>
      <c r="X266" s="90" t="e">
        <f aca="false">IF($C266="","",xEURO($L266,Put1,$G266,$G266,T266,$J266,0,0))</f>
        <v>#VALUE!</v>
      </c>
      <c r="Y266" s="90" t="e">
        <f aca="false">IF($C266="","",xEURO($L266,Call2,$G266,$G266,U266,$J266,1,0))</f>
        <v>#VALUE!</v>
      </c>
      <c r="Z266" s="90" t="e">
        <f aca="false">IF($C266="","",xEURO($L266,Put2,$G266,$G266,V266,$J266,0,0))</f>
        <v>#VALUE!</v>
      </c>
      <c r="AA266" s="90" t="e">
        <f aca="false">IF($C266="","",xEURO($L266,Call1,$G266,$G266,$S266,$J266,1,1))</f>
        <v>#VALUE!</v>
      </c>
      <c r="AB266" s="90" t="e">
        <f aca="false">IF($C266="","",xEURO($L266,Put1,$G266,$G266,$T266,$J266,0,1))</f>
        <v>#VALUE!</v>
      </c>
      <c r="AC266" s="90" t="e">
        <f aca="false">IF($C266="","",xEURO($L266,Call2,$G266,$G266,$U266,$J266,1,1))</f>
        <v>#VALUE!</v>
      </c>
      <c r="AD266" s="90" t="e">
        <f aca="false">IF($C266="","",xEURO($L266,Put2,$G266,$G266,$V266,$J266,0,1))</f>
        <v>#VALUE!</v>
      </c>
      <c r="AE266" s="90" t="e">
        <f aca="false">IF($C266="","",xEURO($L266,Call1,$G266,$G266,$S266,$J266,1,3))</f>
        <v>#VALUE!</v>
      </c>
      <c r="AF266" s="90" t="e">
        <f aca="false">IF($C266="","",xEURO($L266,Put1,$G266,$G266,$T266,$J266,0,3))</f>
        <v>#VALUE!</v>
      </c>
      <c r="AG266" s="90" t="e">
        <f aca="false">IF($C266="","",xEURO($L266,Call2,$G266,$G266,$U266,$J266,1,3))</f>
        <v>#VALUE!</v>
      </c>
      <c r="AH266" s="90" t="e">
        <f aca="false">IF($C266="","",xEURO($L266,Put2,$G266,$G266,$V266,$J266,0,3))</f>
        <v>#VALUE!</v>
      </c>
      <c r="AI266" s="8" t="e">
        <f aca="false">IF(E266=1,G266,0)</f>
        <v>#VALUE!</v>
      </c>
      <c r="AJ266" s="8" t="e">
        <f aca="false">IF(E266=1,H266,0)</f>
        <v>#VALUE!</v>
      </c>
      <c r="AK266" s="8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</row>
    <row r="267" customFormat="false" ht="12.75" hidden="false" customHeight="false" outlineLevel="0" collapsed="false">
      <c r="A267" s="95" t="n">
        <f aca="false">Swap!A267</f>
        <v>44958</v>
      </c>
      <c r="B267" s="96" t="n">
        <f aca="false">B266+1</f>
        <v>258</v>
      </c>
      <c r="C267" s="95" t="e">
        <f aca="false">IF(AND(A267&gt;=Front!$E$11,A267&lt;=Front!$E$12),A267,"")</f>
        <v>#VALUE!</v>
      </c>
      <c r="D267" s="87" t="e">
        <f aca="false">Swap!AB267</f>
        <v>#VALUE!</v>
      </c>
      <c r="E267" s="87" t="e">
        <f aca="false">IF($C267="","",1)</f>
        <v>#VALUE!</v>
      </c>
      <c r="F267" s="97" t="e">
        <f aca="false">IF($C267="","",E267*H267)</f>
        <v>#VALUE!</v>
      </c>
      <c r="G267" s="31" t="n">
        <f aca="false">Swap!AG267</f>
        <v>0.0638451184808746</v>
      </c>
      <c r="H267" s="31" t="n">
        <f aca="false">Swap!AH267</f>
        <v>1.18123472316759</v>
      </c>
      <c r="I267" s="92" t="n">
        <f aca="false">INDEX(expery,MATCH(A267,exprymonth,0),2)</f>
        <v>44952</v>
      </c>
      <c r="J267" s="98" t="n">
        <f aca="false">I267-Front!$C$2</f>
        <v>-974</v>
      </c>
      <c r="K267" s="99" t="n">
        <f aca="false">Swap!E267</f>
        <v>5.334</v>
      </c>
      <c r="L267" s="99" t="e">
        <f aca="false">IF(C267="","",(PriceSwitch=0)*K267+(PriceSwitch=1)*(Front!$H$21+K267)+(PriceSwitch=2)*Front!$H$21)</f>
        <v>#VALUE!</v>
      </c>
      <c r="M267" s="93" t="n">
        <f aca="false">INDEX(vols,MATCH(A267,volsmonth,0),2)</f>
        <v>0.17</v>
      </c>
      <c r="N267" s="3" t="e">
        <f aca="false">IF(Skew_Switch=0,"",IF($C267="","",(Front!$E$20=0)*M267+(Front!$E$20=1)*(Front!$E$21+M267)+(Front!$E$20=2)*Front!$E$21))</f>
        <v>#VALUE!</v>
      </c>
      <c r="O267" s="94" t="e">
        <f aca="false">IF(Skew_Switch=0,"",IF(C267="","",((calcskew(Call1-$L267,$C267,a,b))/100)))</f>
        <v>#VALUE!</v>
      </c>
      <c r="P267" s="94" t="e">
        <f aca="false">IF(Skew_Switch=0,"",IF(C267="","",((calcskew(Put1-$L267,$C267,a,b))/100)))</f>
        <v>#VALUE!</v>
      </c>
      <c r="Q267" s="94" t="e">
        <f aca="false">IF(Skew_Switch=0,"",IF(C267="","",((calcskew(Call2-$L267,$C267,a,b))/100)))</f>
        <v>#VALUE!</v>
      </c>
      <c r="R267" s="94" t="e">
        <f aca="false">IF(Skew_Switch=0,"",IF(C267="","",((calcskew(Put2-$L267,$C267,a,b))/100)))</f>
        <v>#VALUE!</v>
      </c>
      <c r="S267" s="3" t="e">
        <f aca="false">IF($C267="","",(Front!$C$19=0)*$N267+(Front!$C$19=1)*($N267+O267))</f>
        <v>#VALUE!</v>
      </c>
      <c r="T267" s="3" t="e">
        <f aca="false">IF($C267="","",(Front!$C$19=0)*$N267+(Front!$C$19=1)*($N267+P267))</f>
        <v>#VALUE!</v>
      </c>
      <c r="U267" s="3" t="e">
        <f aca="false">IF($C267="","",(Front!$C$19=0)*$N267+(Front!$C$19=1)*($N267+Q267))</f>
        <v>#VALUE!</v>
      </c>
      <c r="V267" s="3" t="e">
        <f aca="false">IF($C267="","",(Front!$C$19=0)*$N267+(Front!$C$19=1)*($N267+R267))</f>
        <v>#VALUE!</v>
      </c>
      <c r="W267" s="90" t="e">
        <f aca="false">IF($C267="","",xEURO($L267,Call1,$G267,$G267,S267,$J267,1,0))</f>
        <v>#VALUE!</v>
      </c>
      <c r="X267" s="90" t="e">
        <f aca="false">IF($C267="","",xEURO($L267,Put1,$G267,$G267,T267,$J267,0,0))</f>
        <v>#VALUE!</v>
      </c>
      <c r="Y267" s="90" t="e">
        <f aca="false">IF($C267="","",xEURO($L267,Call2,$G267,$G267,U267,$J267,1,0))</f>
        <v>#VALUE!</v>
      </c>
      <c r="Z267" s="90" t="e">
        <f aca="false">IF($C267="","",xEURO($L267,Put2,$G267,$G267,V267,$J267,0,0))</f>
        <v>#VALUE!</v>
      </c>
      <c r="AA267" s="90" t="e">
        <f aca="false">IF($C267="","",xEURO($L267,Call1,$G267,$G267,$S267,$J267,1,1))</f>
        <v>#VALUE!</v>
      </c>
      <c r="AB267" s="90" t="e">
        <f aca="false">IF($C267="","",xEURO($L267,Put1,$G267,$G267,$T267,$J267,0,1))</f>
        <v>#VALUE!</v>
      </c>
      <c r="AC267" s="90" t="e">
        <f aca="false">IF($C267="","",xEURO($L267,Call2,$G267,$G267,$U267,$J267,1,1))</f>
        <v>#VALUE!</v>
      </c>
      <c r="AD267" s="90" t="e">
        <f aca="false">IF($C267="","",xEURO($L267,Put2,$G267,$G267,$V267,$J267,0,1))</f>
        <v>#VALUE!</v>
      </c>
      <c r="AE267" s="90" t="e">
        <f aca="false">IF($C267="","",xEURO($L267,Call1,$G267,$G267,$S267,$J267,1,3))</f>
        <v>#VALUE!</v>
      </c>
      <c r="AF267" s="90" t="e">
        <f aca="false">IF($C267="","",xEURO($L267,Put1,$G267,$G267,$T267,$J267,0,3))</f>
        <v>#VALUE!</v>
      </c>
      <c r="AG267" s="90" t="e">
        <f aca="false">IF($C267="","",xEURO($L267,Call2,$G267,$G267,$U267,$J267,1,3))</f>
        <v>#VALUE!</v>
      </c>
      <c r="AH267" s="90" t="e">
        <f aca="false">IF($C267="","",xEURO($L267,Put2,$G267,$G267,$V267,$J267,0,3))</f>
        <v>#VALUE!</v>
      </c>
      <c r="AI267" s="8" t="e">
        <f aca="false">IF(E267=1,G267,0)</f>
        <v>#VALUE!</v>
      </c>
      <c r="AJ267" s="8" t="e">
        <f aca="false">IF(E267=1,H267,0)</f>
        <v>#VALUE!</v>
      </c>
      <c r="AK267" s="8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</row>
    <row r="268" customFormat="false" ht="12.75" hidden="false" customHeight="false" outlineLevel="0" collapsed="false">
      <c r="A268" s="95" t="n">
        <f aca="false">Swap!A268</f>
        <v>44986</v>
      </c>
      <c r="B268" s="96" t="n">
        <f aca="false">B267+1</f>
        <v>259</v>
      </c>
      <c r="C268" s="95" t="e">
        <f aca="false">IF(AND(A268&gt;=Front!$E$11,A268&lt;=Front!$E$12),A268,"")</f>
        <v>#VALUE!</v>
      </c>
      <c r="D268" s="87" t="e">
        <f aca="false">Swap!AB268</f>
        <v>#VALUE!</v>
      </c>
      <c r="E268" s="87" t="e">
        <f aca="false">IF($C268="","",1)</f>
        <v>#VALUE!</v>
      </c>
      <c r="F268" s="97" t="e">
        <f aca="false">IF($C268="","",E268*H268)</f>
        <v>#VALUE!</v>
      </c>
      <c r="G268" s="31" t="n">
        <f aca="false">Swap!AG268</f>
        <v>0.0638497571774237</v>
      </c>
      <c r="H268" s="31" t="n">
        <f aca="false">Swap!AH268</f>
        <v>1.17557098794618</v>
      </c>
      <c r="I268" s="92" t="n">
        <f aca="false">INDEX(expery,MATCH(A268,exprymonth,0),2)</f>
        <v>44980</v>
      </c>
      <c r="J268" s="98" t="n">
        <f aca="false">I268-Front!$C$2</f>
        <v>-946</v>
      </c>
      <c r="K268" s="99" t="n">
        <f aca="false">Swap!E268</f>
        <v>5.202</v>
      </c>
      <c r="L268" s="99" t="e">
        <f aca="false">IF(C268="","",(PriceSwitch=0)*K268+(PriceSwitch=1)*(Front!$H$21+K268)+(PriceSwitch=2)*Front!$H$21)</f>
        <v>#VALUE!</v>
      </c>
      <c r="M268" s="93" t="n">
        <f aca="false">INDEX(vols,MATCH(A268,volsmonth,0),2)</f>
        <v>0.17</v>
      </c>
      <c r="N268" s="3" t="e">
        <f aca="false">IF(Skew_Switch=0,"",IF($C268="","",(Front!$E$20=0)*M268+(Front!$E$20=1)*(Front!$E$21+M268)+(Front!$E$20=2)*Front!$E$21))</f>
        <v>#VALUE!</v>
      </c>
      <c r="O268" s="94" t="e">
        <f aca="false">IF(Skew_Switch=0,"",IF(C268="","",((calcskew(Call1-$L268,$C268,a,b))/100)))</f>
        <v>#VALUE!</v>
      </c>
      <c r="P268" s="94" t="e">
        <f aca="false">IF(Skew_Switch=0,"",IF(C268="","",((calcskew(Put1-$L268,$C268,a,b))/100)))</f>
        <v>#VALUE!</v>
      </c>
      <c r="Q268" s="94" t="e">
        <f aca="false">IF(Skew_Switch=0,"",IF(C268="","",((calcskew(Call2-$L268,$C268,a,b))/100)))</f>
        <v>#VALUE!</v>
      </c>
      <c r="R268" s="94" t="e">
        <f aca="false">IF(Skew_Switch=0,"",IF(C268="","",((calcskew(Put2-$L268,$C268,a,b))/100)))</f>
        <v>#VALUE!</v>
      </c>
      <c r="S268" s="3" t="e">
        <f aca="false">IF($C268="","",(Front!$C$19=0)*$N268+(Front!$C$19=1)*($N268+O268))</f>
        <v>#VALUE!</v>
      </c>
      <c r="T268" s="3" t="e">
        <f aca="false">IF($C268="","",(Front!$C$19=0)*$N268+(Front!$C$19=1)*($N268+P268))</f>
        <v>#VALUE!</v>
      </c>
      <c r="U268" s="3" t="e">
        <f aca="false">IF($C268="","",(Front!$C$19=0)*$N268+(Front!$C$19=1)*($N268+Q268))</f>
        <v>#VALUE!</v>
      </c>
      <c r="V268" s="3" t="e">
        <f aca="false">IF($C268="","",(Front!$C$19=0)*$N268+(Front!$C$19=1)*($N268+R268))</f>
        <v>#VALUE!</v>
      </c>
      <c r="W268" s="90" t="e">
        <f aca="false">IF($C268="","",xEURO($L268,Call1,$G268,$G268,S268,$J268,1,0))</f>
        <v>#VALUE!</v>
      </c>
      <c r="X268" s="90" t="e">
        <f aca="false">IF($C268="","",xEURO($L268,Put1,$G268,$G268,T268,$J268,0,0))</f>
        <v>#VALUE!</v>
      </c>
      <c r="Y268" s="90" t="e">
        <f aca="false">IF($C268="","",xEURO($L268,Call2,$G268,$G268,U268,$J268,1,0))</f>
        <v>#VALUE!</v>
      </c>
      <c r="Z268" s="90" t="e">
        <f aca="false">IF($C268="","",xEURO($L268,Put2,$G268,$G268,V268,$J268,0,0))</f>
        <v>#VALUE!</v>
      </c>
      <c r="AA268" s="90" t="e">
        <f aca="false">IF($C268="","",xEURO($L268,Call1,$G268,$G268,$S268,$J268,1,1))</f>
        <v>#VALUE!</v>
      </c>
      <c r="AB268" s="90" t="e">
        <f aca="false">IF($C268="","",xEURO($L268,Put1,$G268,$G268,$T268,$J268,0,1))</f>
        <v>#VALUE!</v>
      </c>
      <c r="AC268" s="90" t="e">
        <f aca="false">IF($C268="","",xEURO($L268,Call2,$G268,$G268,$U268,$J268,1,1))</f>
        <v>#VALUE!</v>
      </c>
      <c r="AD268" s="90" t="e">
        <f aca="false">IF($C268="","",xEURO($L268,Put2,$G268,$G268,$V268,$J268,0,1))</f>
        <v>#VALUE!</v>
      </c>
      <c r="AE268" s="90" t="e">
        <f aca="false">IF($C268="","",xEURO($L268,Call1,$G268,$G268,$S268,$J268,1,3))</f>
        <v>#VALUE!</v>
      </c>
      <c r="AF268" s="90" t="e">
        <f aca="false">IF($C268="","",xEURO($L268,Put1,$G268,$G268,$T268,$J268,0,3))</f>
        <v>#VALUE!</v>
      </c>
      <c r="AG268" s="90" t="e">
        <f aca="false">IF($C268="","",xEURO($L268,Call2,$G268,$G268,$U268,$J268,1,3))</f>
        <v>#VALUE!</v>
      </c>
      <c r="AH268" s="90" t="e">
        <f aca="false">IF($C268="","",xEURO($L268,Put2,$G268,$G268,$V268,$J268,0,3))</f>
        <v>#VALUE!</v>
      </c>
      <c r="AI268" s="8" t="e">
        <f aca="false">IF(E268=1,G268,0)</f>
        <v>#VALUE!</v>
      </c>
      <c r="AJ268" s="8" t="e">
        <f aca="false">IF(E268=1,H268,0)</f>
        <v>#VALUE!</v>
      </c>
      <c r="AK268" s="8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</row>
    <row r="269" customFormat="false" ht="12.75" hidden="false" customHeight="false" outlineLevel="0" collapsed="false">
      <c r="A269" s="95" t="n">
        <f aca="false">Swap!A269</f>
        <v>45017</v>
      </c>
      <c r="B269" s="96" t="n">
        <f aca="false">B268+1</f>
        <v>260</v>
      </c>
      <c r="C269" s="95" t="e">
        <f aca="false">IF(AND(A269&gt;=Front!$E$11,A269&lt;=Front!$E$12),A269,"")</f>
        <v>#VALUE!</v>
      </c>
      <c r="D269" s="87" t="e">
        <f aca="false">Swap!AB269</f>
        <v>#VALUE!</v>
      </c>
      <c r="E269" s="87" t="e">
        <f aca="false">IF($C269="","",1)</f>
        <v>#VALUE!</v>
      </c>
      <c r="F269" s="97" t="e">
        <f aca="false">IF($C269="","",E269*H269)</f>
        <v>#VALUE!</v>
      </c>
      <c r="G269" s="31" t="n">
        <f aca="false">Swap!AG269</f>
        <v>0.0638548928771829</v>
      </c>
      <c r="H269" s="31" t="n">
        <f aca="false">Swap!AH269</f>
        <v>1.16933115494538</v>
      </c>
      <c r="I269" s="92" t="n">
        <f aca="false">INDEX(expery,MATCH(A269,exprymonth,0),2)</f>
        <v>45013</v>
      </c>
      <c r="J269" s="98" t="n">
        <f aca="false">I269-Front!$C$2</f>
        <v>-913</v>
      </c>
      <c r="K269" s="99" t="n">
        <f aca="false">Swap!E269</f>
        <v>5.032</v>
      </c>
      <c r="L269" s="99" t="e">
        <f aca="false">IF(C269="","",(PriceSwitch=0)*K269+(PriceSwitch=1)*(Front!$H$21+K269)+(PriceSwitch=2)*Front!$H$21)</f>
        <v>#VALUE!</v>
      </c>
      <c r="M269" s="93" t="n">
        <f aca="false">INDEX(vols,MATCH(A269,volsmonth,0),2)</f>
        <v>0.17</v>
      </c>
      <c r="N269" s="3" t="e">
        <f aca="false">IF(Skew_Switch=0,"",IF($C269="","",(Front!$E$20=0)*M269+(Front!$E$20=1)*(Front!$E$21+M269)+(Front!$E$20=2)*Front!$E$21))</f>
        <v>#VALUE!</v>
      </c>
      <c r="O269" s="94" t="e">
        <f aca="false">IF(Skew_Switch=0,"",IF(C269="","",((calcskew(Call1-$L269,$C269,a,b))/100)))</f>
        <v>#VALUE!</v>
      </c>
      <c r="P269" s="94" t="e">
        <f aca="false">IF(Skew_Switch=0,"",IF(C269="","",((calcskew(Put1-$L269,$C269,a,b))/100)))</f>
        <v>#VALUE!</v>
      </c>
      <c r="Q269" s="94" t="e">
        <f aca="false">IF(Skew_Switch=0,"",IF(C269="","",((calcskew(Call2-$L269,$C269,a,b))/100)))</f>
        <v>#VALUE!</v>
      </c>
      <c r="R269" s="94" t="e">
        <f aca="false">IF(Skew_Switch=0,"",IF(C269="","",((calcskew(Put2-$L269,$C269,a,b))/100)))</f>
        <v>#VALUE!</v>
      </c>
      <c r="S269" s="3" t="e">
        <f aca="false">IF($C269="","",(Front!$C$19=0)*$N269+(Front!$C$19=1)*($N269+O269))</f>
        <v>#VALUE!</v>
      </c>
      <c r="T269" s="3" t="e">
        <f aca="false">IF($C269="","",(Front!$C$19=0)*$N269+(Front!$C$19=1)*($N269+P269))</f>
        <v>#VALUE!</v>
      </c>
      <c r="U269" s="3" t="e">
        <f aca="false">IF($C269="","",(Front!$C$19=0)*$N269+(Front!$C$19=1)*($N269+Q269))</f>
        <v>#VALUE!</v>
      </c>
      <c r="V269" s="3" t="e">
        <f aca="false">IF($C269="","",(Front!$C$19=0)*$N269+(Front!$C$19=1)*($N269+R269))</f>
        <v>#VALUE!</v>
      </c>
      <c r="W269" s="90" t="e">
        <f aca="false">IF($C269="","",xEURO($L269,Call1,$G269,$G269,S269,$J269,1,0))</f>
        <v>#VALUE!</v>
      </c>
      <c r="X269" s="90" t="e">
        <f aca="false">IF($C269="","",xEURO($L269,Put1,$G269,$G269,T269,$J269,0,0))</f>
        <v>#VALUE!</v>
      </c>
      <c r="Y269" s="90" t="e">
        <f aca="false">IF($C269="","",xEURO($L269,Call2,$G269,$G269,U269,$J269,1,0))</f>
        <v>#VALUE!</v>
      </c>
      <c r="Z269" s="90" t="e">
        <f aca="false">IF($C269="","",xEURO($L269,Put2,$G269,$G269,V269,$J269,0,0))</f>
        <v>#VALUE!</v>
      </c>
      <c r="AA269" s="90" t="e">
        <f aca="false">IF($C269="","",xEURO($L269,Call1,$G269,$G269,$S269,$J269,1,1))</f>
        <v>#VALUE!</v>
      </c>
      <c r="AB269" s="90" t="e">
        <f aca="false">IF($C269="","",xEURO($L269,Put1,$G269,$G269,$T269,$J269,0,1))</f>
        <v>#VALUE!</v>
      </c>
      <c r="AC269" s="90" t="e">
        <f aca="false">IF($C269="","",xEURO($L269,Call2,$G269,$G269,$U269,$J269,1,1))</f>
        <v>#VALUE!</v>
      </c>
      <c r="AD269" s="90" t="e">
        <f aca="false">IF($C269="","",xEURO($L269,Put2,$G269,$G269,$V269,$J269,0,1))</f>
        <v>#VALUE!</v>
      </c>
      <c r="AE269" s="90" t="e">
        <f aca="false">IF($C269="","",xEURO($L269,Call1,$G269,$G269,$S269,$J269,1,3))</f>
        <v>#VALUE!</v>
      </c>
      <c r="AF269" s="90" t="e">
        <f aca="false">IF($C269="","",xEURO($L269,Put1,$G269,$G269,$T269,$J269,0,3))</f>
        <v>#VALUE!</v>
      </c>
      <c r="AG269" s="90" t="e">
        <f aca="false">IF($C269="","",xEURO($L269,Call2,$G269,$G269,$U269,$J269,1,3))</f>
        <v>#VALUE!</v>
      </c>
      <c r="AH269" s="90" t="e">
        <f aca="false">IF($C269="","",xEURO($L269,Put2,$G269,$G269,$V269,$J269,0,3))</f>
        <v>#VALUE!</v>
      </c>
      <c r="AI269" s="8" t="e">
        <f aca="false">IF(E269=1,G269,0)</f>
        <v>#VALUE!</v>
      </c>
      <c r="AJ269" s="8" t="e">
        <f aca="false">IF(E269=1,H269,0)</f>
        <v>#VALUE!</v>
      </c>
      <c r="AK269" s="8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</row>
    <row r="270" customFormat="false" ht="12.75" hidden="false" customHeight="false" outlineLevel="0" collapsed="false">
      <c r="A270" s="95" t="n">
        <f aca="false">Swap!A270</f>
        <v>45047</v>
      </c>
      <c r="B270" s="96" t="n">
        <f aca="false">B269+1</f>
        <v>261</v>
      </c>
      <c r="C270" s="95" t="e">
        <f aca="false">IF(AND(A270&gt;=Front!$E$11,A270&lt;=Front!$E$12),A270,"")</f>
        <v>#VALUE!</v>
      </c>
      <c r="D270" s="87" t="e">
        <f aca="false">Swap!AB270</f>
        <v>#VALUE!</v>
      </c>
      <c r="E270" s="87" t="e">
        <f aca="false">IF($C270="","",1)</f>
        <v>#VALUE!</v>
      </c>
      <c r="F270" s="97" t="e">
        <f aca="false">IF($C270="","",E270*H270)</f>
        <v>#VALUE!</v>
      </c>
      <c r="G270" s="31" t="n">
        <f aca="false">Swap!AG270</f>
        <v>0.0638598629092164</v>
      </c>
      <c r="H270" s="31" t="n">
        <f aca="false">Swap!AH270</f>
        <v>1.16332320806024</v>
      </c>
      <c r="I270" s="92" t="n">
        <f aca="false">INDEX(expery,MATCH(A270,exprymonth,0),2)</f>
        <v>45041</v>
      </c>
      <c r="J270" s="98" t="n">
        <f aca="false">I270-Front!$C$2</f>
        <v>-885</v>
      </c>
      <c r="K270" s="99" t="n">
        <f aca="false">Swap!E270</f>
        <v>5.032</v>
      </c>
      <c r="L270" s="99" t="e">
        <f aca="false">IF(C270="","",(PriceSwitch=0)*K270+(PriceSwitch=1)*(Front!$H$21+K270)+(PriceSwitch=2)*Front!$H$21)</f>
        <v>#VALUE!</v>
      </c>
      <c r="M270" s="93" t="n">
        <f aca="false">INDEX(vols,MATCH(A270,volsmonth,0),2)</f>
        <v>0.17</v>
      </c>
      <c r="N270" s="3" t="e">
        <f aca="false">IF(Skew_Switch=0,"",IF($C270="","",(Front!$E$20=0)*M270+(Front!$E$20=1)*(Front!$E$21+M270)+(Front!$E$20=2)*Front!$E$21))</f>
        <v>#VALUE!</v>
      </c>
      <c r="O270" s="94" t="e">
        <f aca="false">IF(Skew_Switch=0,"",IF(C270="","",((calcskew(Call1-$L270,$C270,a,b))/100)))</f>
        <v>#VALUE!</v>
      </c>
      <c r="P270" s="94" t="e">
        <f aca="false">IF(Skew_Switch=0,"",IF(C270="","",((calcskew(Put1-$L270,$C270,a,b))/100)))</f>
        <v>#VALUE!</v>
      </c>
      <c r="Q270" s="94" t="e">
        <f aca="false">IF(Skew_Switch=0,"",IF(C270="","",((calcskew(Call2-$L270,$C270,a,b))/100)))</f>
        <v>#VALUE!</v>
      </c>
      <c r="R270" s="94" t="e">
        <f aca="false">IF(Skew_Switch=0,"",IF(C270="","",((calcskew(Put2-$L270,$C270,a,b))/100)))</f>
        <v>#VALUE!</v>
      </c>
      <c r="S270" s="3" t="e">
        <f aca="false">IF($C270="","",(Front!$C$19=0)*$N270+(Front!$C$19=1)*($N270+O270))</f>
        <v>#VALUE!</v>
      </c>
      <c r="T270" s="3" t="e">
        <f aca="false">IF($C270="","",(Front!$C$19=0)*$N270+(Front!$C$19=1)*($N270+P270))</f>
        <v>#VALUE!</v>
      </c>
      <c r="U270" s="3" t="e">
        <f aca="false">IF($C270="","",(Front!$C$19=0)*$N270+(Front!$C$19=1)*($N270+Q270))</f>
        <v>#VALUE!</v>
      </c>
      <c r="V270" s="3" t="e">
        <f aca="false">IF($C270="","",(Front!$C$19=0)*$N270+(Front!$C$19=1)*($N270+R270))</f>
        <v>#VALUE!</v>
      </c>
      <c r="W270" s="90" t="e">
        <f aca="false">IF($C270="","",xEURO($L270,Call1,$G270,$G270,S270,$J270,1,0))</f>
        <v>#VALUE!</v>
      </c>
      <c r="X270" s="90" t="e">
        <f aca="false">IF($C270="","",xEURO($L270,Put1,$G270,$G270,T270,$J270,0,0))</f>
        <v>#VALUE!</v>
      </c>
      <c r="Y270" s="90" t="e">
        <f aca="false">IF($C270="","",xEURO($L270,Call2,$G270,$G270,U270,$J270,1,0))</f>
        <v>#VALUE!</v>
      </c>
      <c r="Z270" s="90" t="e">
        <f aca="false">IF($C270="","",xEURO($L270,Put2,$G270,$G270,V270,$J270,0,0))</f>
        <v>#VALUE!</v>
      </c>
      <c r="AA270" s="90" t="e">
        <f aca="false">IF($C270="","",xEURO($L270,Call1,$G270,$G270,$S270,$J270,1,1))</f>
        <v>#VALUE!</v>
      </c>
      <c r="AB270" s="90" t="e">
        <f aca="false">IF($C270="","",xEURO($L270,Put1,$G270,$G270,$T270,$J270,0,1))</f>
        <v>#VALUE!</v>
      </c>
      <c r="AC270" s="90" t="e">
        <f aca="false">IF($C270="","",xEURO($L270,Call2,$G270,$G270,$U270,$J270,1,1))</f>
        <v>#VALUE!</v>
      </c>
      <c r="AD270" s="90" t="e">
        <f aca="false">IF($C270="","",xEURO($L270,Put2,$G270,$G270,$V270,$J270,0,1))</f>
        <v>#VALUE!</v>
      </c>
      <c r="AE270" s="90" t="e">
        <f aca="false">IF($C270="","",xEURO($L270,Call1,$G270,$G270,$S270,$J270,1,3))</f>
        <v>#VALUE!</v>
      </c>
      <c r="AF270" s="90" t="e">
        <f aca="false">IF($C270="","",xEURO($L270,Put1,$G270,$G270,$T270,$J270,0,3))</f>
        <v>#VALUE!</v>
      </c>
      <c r="AG270" s="90" t="e">
        <f aca="false">IF($C270="","",xEURO($L270,Call2,$G270,$G270,$U270,$J270,1,3))</f>
        <v>#VALUE!</v>
      </c>
      <c r="AH270" s="90" t="e">
        <f aca="false">IF($C270="","",xEURO($L270,Put2,$G270,$G270,$V270,$J270,0,3))</f>
        <v>#VALUE!</v>
      </c>
      <c r="AI270" s="8" t="e">
        <f aca="false">IF(E270=1,G270,0)</f>
        <v>#VALUE!</v>
      </c>
      <c r="AJ270" s="8" t="e">
        <f aca="false">IF(E270=1,H270,0)</f>
        <v>#VALUE!</v>
      </c>
      <c r="AK270" s="8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</row>
    <row r="271" customFormat="false" ht="12.75" hidden="false" customHeight="false" outlineLevel="0" collapsed="false">
      <c r="A271" s="95" t="n">
        <f aca="false">Swap!A271</f>
        <v>45078</v>
      </c>
      <c r="B271" s="96" t="n">
        <f aca="false">B270+1</f>
        <v>262</v>
      </c>
      <c r="C271" s="95" t="e">
        <f aca="false">IF(AND(A271&gt;=Front!$E$11,A271&lt;=Front!$E$12),A271,"")</f>
        <v>#VALUE!</v>
      </c>
      <c r="D271" s="87" t="e">
        <f aca="false">Swap!AB271</f>
        <v>#VALUE!</v>
      </c>
      <c r="E271" s="87" t="e">
        <f aca="false">IF($C271="","",1)</f>
        <v>#VALUE!</v>
      </c>
      <c r="F271" s="97" t="e">
        <f aca="false">IF($C271="","",E271*H271)</f>
        <v>#VALUE!</v>
      </c>
      <c r="G271" s="31" t="n">
        <f aca="false">Swap!AG271</f>
        <v>0.0638649986089934</v>
      </c>
      <c r="H271" s="31" t="n">
        <f aca="false">Swap!AH271</f>
        <v>1.15714646161606</v>
      </c>
      <c r="I271" s="92" t="n">
        <f aca="false">INDEX(expery,MATCH(A271,exprymonth,0),2)</f>
        <v>45071</v>
      </c>
      <c r="J271" s="98" t="n">
        <f aca="false">I271-Front!$C$2</f>
        <v>-855</v>
      </c>
      <c r="K271" s="99" t="n">
        <f aca="false">Swap!E271</f>
        <v>5.064</v>
      </c>
      <c r="L271" s="99" t="e">
        <f aca="false">IF(C271="","",(PriceSwitch=0)*K271+(PriceSwitch=1)*(Front!$H$21+K271)+(PriceSwitch=2)*Front!$H$21)</f>
        <v>#VALUE!</v>
      </c>
      <c r="M271" s="93" t="n">
        <f aca="false">INDEX(vols,MATCH(A271,volsmonth,0),2)</f>
        <v>0.17</v>
      </c>
      <c r="N271" s="3" t="e">
        <f aca="false">IF(Skew_Switch=0,"",IF($C271="","",(Front!$E$20=0)*M271+(Front!$E$20=1)*(Front!$E$21+M271)+(Front!$E$20=2)*Front!$E$21))</f>
        <v>#VALUE!</v>
      </c>
      <c r="O271" s="94" t="e">
        <f aca="false">IF(Skew_Switch=0,"",IF(C271="","",((calcskew(Call1-$L271,$C271,a,b))/100)))</f>
        <v>#VALUE!</v>
      </c>
      <c r="P271" s="94" t="e">
        <f aca="false">IF(Skew_Switch=0,"",IF(C271="","",((calcskew(Put1-$L271,$C271,a,b))/100)))</f>
        <v>#VALUE!</v>
      </c>
      <c r="Q271" s="94" t="e">
        <f aca="false">IF(Skew_Switch=0,"",IF(C271="","",((calcskew(Call2-$L271,$C271,a,b))/100)))</f>
        <v>#VALUE!</v>
      </c>
      <c r="R271" s="94" t="e">
        <f aca="false">IF(Skew_Switch=0,"",IF(C271="","",((calcskew(Put2-$L271,$C271,a,b))/100)))</f>
        <v>#VALUE!</v>
      </c>
      <c r="S271" s="3" t="e">
        <f aca="false">IF($C271="","",(Front!$C$19=0)*$N271+(Front!$C$19=1)*($N271+O271))</f>
        <v>#VALUE!</v>
      </c>
      <c r="T271" s="3" t="e">
        <f aca="false">IF($C271="","",(Front!$C$19=0)*$N271+(Front!$C$19=1)*($N271+P271))</f>
        <v>#VALUE!</v>
      </c>
      <c r="U271" s="3" t="e">
        <f aca="false">IF($C271="","",(Front!$C$19=0)*$N271+(Front!$C$19=1)*($N271+Q271))</f>
        <v>#VALUE!</v>
      </c>
      <c r="V271" s="3" t="e">
        <f aca="false">IF($C271="","",(Front!$C$19=0)*$N271+(Front!$C$19=1)*($N271+R271))</f>
        <v>#VALUE!</v>
      </c>
      <c r="W271" s="90" t="e">
        <f aca="false">IF($C271="","",xEURO($L271,Call1,$G271,$G271,S271,$J271,1,0))</f>
        <v>#VALUE!</v>
      </c>
      <c r="X271" s="90" t="e">
        <f aca="false">IF($C271="","",xEURO($L271,Put1,$G271,$G271,T271,$J271,0,0))</f>
        <v>#VALUE!</v>
      </c>
      <c r="Y271" s="90" t="e">
        <f aca="false">IF($C271="","",xEURO($L271,Call2,$G271,$G271,U271,$J271,1,0))</f>
        <v>#VALUE!</v>
      </c>
      <c r="Z271" s="90" t="e">
        <f aca="false">IF($C271="","",xEURO($L271,Put2,$G271,$G271,V271,$J271,0,0))</f>
        <v>#VALUE!</v>
      </c>
      <c r="AA271" s="90" t="e">
        <f aca="false">IF($C271="","",xEURO($L271,Call1,$G271,$G271,$S271,$J271,1,1))</f>
        <v>#VALUE!</v>
      </c>
      <c r="AB271" s="90" t="e">
        <f aca="false">IF($C271="","",xEURO($L271,Put1,$G271,$G271,$T271,$J271,0,1))</f>
        <v>#VALUE!</v>
      </c>
      <c r="AC271" s="90" t="e">
        <f aca="false">IF($C271="","",xEURO($L271,Call2,$G271,$G271,$U271,$J271,1,1))</f>
        <v>#VALUE!</v>
      </c>
      <c r="AD271" s="90" t="e">
        <f aca="false">IF($C271="","",xEURO($L271,Put2,$G271,$G271,$V271,$J271,0,1))</f>
        <v>#VALUE!</v>
      </c>
      <c r="AE271" s="90" t="e">
        <f aca="false">IF($C271="","",xEURO($L271,Call1,$G271,$G271,$S271,$J271,1,3))</f>
        <v>#VALUE!</v>
      </c>
      <c r="AF271" s="90" t="e">
        <f aca="false">IF($C271="","",xEURO($L271,Put1,$G271,$G271,$T271,$J271,0,3))</f>
        <v>#VALUE!</v>
      </c>
      <c r="AG271" s="90" t="e">
        <f aca="false">IF($C271="","",xEURO($L271,Call2,$G271,$G271,$U271,$J271,1,3))</f>
        <v>#VALUE!</v>
      </c>
      <c r="AH271" s="90" t="e">
        <f aca="false">IF($C271="","",xEURO($L271,Put2,$G271,$G271,$V271,$J271,0,3))</f>
        <v>#VALUE!</v>
      </c>
      <c r="AI271" s="8" t="e">
        <f aca="false">IF(E271=1,G271,0)</f>
        <v>#VALUE!</v>
      </c>
      <c r="AJ271" s="8" t="e">
        <f aca="false">IF(E271=1,H271,0)</f>
        <v>#VALUE!</v>
      </c>
      <c r="AK271" s="8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</row>
    <row r="272" customFormat="false" ht="12.75" hidden="false" customHeight="false" outlineLevel="0" collapsed="false">
      <c r="A272" s="95" t="n">
        <f aca="false">Swap!A272</f>
        <v>45108</v>
      </c>
      <c r="B272" s="96" t="n">
        <f aca="false">B271+1</f>
        <v>263</v>
      </c>
      <c r="C272" s="95" t="e">
        <f aca="false">IF(AND(A272&gt;=Front!$E$11,A272&lt;=Front!$E$12),A272,"")</f>
        <v>#VALUE!</v>
      </c>
      <c r="D272" s="87" t="e">
        <f aca="false">Swap!AB272</f>
        <v>#VALUE!</v>
      </c>
      <c r="E272" s="87" t="e">
        <f aca="false">IF($C272="","",1)</f>
        <v>#VALUE!</v>
      </c>
      <c r="F272" s="97" t="e">
        <f aca="false">IF($C272="","",E272*H272)</f>
        <v>#VALUE!</v>
      </c>
      <c r="G272" s="31" t="n">
        <f aca="false">Swap!AG272</f>
        <v>0.0638699686410433</v>
      </c>
      <c r="H272" s="31" t="n">
        <f aca="false">Swap!AH272</f>
        <v>1.15119926687456</v>
      </c>
      <c r="I272" s="92" t="n">
        <f aca="false">INDEX(expery,MATCH(A272,exprymonth,0),2)</f>
        <v>45104</v>
      </c>
      <c r="J272" s="98" t="n">
        <f aca="false">I272-Front!$C$2</f>
        <v>-822</v>
      </c>
      <c r="K272" s="99" t="n">
        <f aca="false">Swap!E272</f>
        <v>5.114</v>
      </c>
      <c r="L272" s="99" t="e">
        <f aca="false">IF(C272="","",(PriceSwitch=0)*K272+(PriceSwitch=1)*(Front!$H$21+K272)+(PriceSwitch=2)*Front!$H$21)</f>
        <v>#VALUE!</v>
      </c>
      <c r="M272" s="93" t="n">
        <f aca="false">INDEX(vols,MATCH(A272,volsmonth,0),2)</f>
        <v>0.17</v>
      </c>
      <c r="N272" s="3" t="e">
        <f aca="false">IF(Skew_Switch=0,"",IF($C272="","",(Front!$E$20=0)*M272+(Front!$E$20=1)*(Front!$E$21+M272)+(Front!$E$20=2)*Front!$E$21))</f>
        <v>#VALUE!</v>
      </c>
      <c r="O272" s="94" t="e">
        <f aca="false">IF(Skew_Switch=0,"",IF(C272="","",((calcskew(Call1-$L272,$C272,a,b))/100)))</f>
        <v>#VALUE!</v>
      </c>
      <c r="P272" s="94" t="e">
        <f aca="false">IF(Skew_Switch=0,"",IF(C272="","",((calcskew(Put1-$L272,$C272,a,b))/100)))</f>
        <v>#VALUE!</v>
      </c>
      <c r="Q272" s="94" t="e">
        <f aca="false">IF(Skew_Switch=0,"",IF(C272="","",((calcskew(Call2-$L272,$C272,a,b))/100)))</f>
        <v>#VALUE!</v>
      </c>
      <c r="R272" s="94" t="e">
        <f aca="false">IF(Skew_Switch=0,"",IF(C272="","",((calcskew(Put2-$L272,$C272,a,b))/100)))</f>
        <v>#VALUE!</v>
      </c>
      <c r="S272" s="3" t="e">
        <f aca="false">IF($C272="","",(Front!$C$19=0)*$N272+(Front!$C$19=1)*($N272+O272))</f>
        <v>#VALUE!</v>
      </c>
      <c r="T272" s="3" t="e">
        <f aca="false">IF($C272="","",(Front!$C$19=0)*$N272+(Front!$C$19=1)*($N272+P272))</f>
        <v>#VALUE!</v>
      </c>
      <c r="U272" s="3" t="e">
        <f aca="false">IF($C272="","",(Front!$C$19=0)*$N272+(Front!$C$19=1)*($N272+Q272))</f>
        <v>#VALUE!</v>
      </c>
      <c r="V272" s="3" t="e">
        <f aca="false">IF($C272="","",(Front!$C$19=0)*$N272+(Front!$C$19=1)*($N272+R272))</f>
        <v>#VALUE!</v>
      </c>
      <c r="W272" s="90" t="e">
        <f aca="false">IF($C272="","",xEURO($L272,Call1,$G272,$G272,S272,$J272,1,0))</f>
        <v>#VALUE!</v>
      </c>
      <c r="X272" s="90" t="e">
        <f aca="false">IF($C272="","",xEURO($L272,Put1,$G272,$G272,T272,$J272,0,0))</f>
        <v>#VALUE!</v>
      </c>
      <c r="Y272" s="90" t="e">
        <f aca="false">IF($C272="","",xEURO($L272,Call2,$G272,$G272,U272,$J272,1,0))</f>
        <v>#VALUE!</v>
      </c>
      <c r="Z272" s="90" t="e">
        <f aca="false">IF($C272="","",xEURO($L272,Put2,$G272,$G272,V272,$J272,0,0))</f>
        <v>#VALUE!</v>
      </c>
      <c r="AA272" s="90" t="e">
        <f aca="false">IF($C272="","",xEURO($L272,Call1,$G272,$G272,$S272,$J272,1,1))</f>
        <v>#VALUE!</v>
      </c>
      <c r="AB272" s="90" t="e">
        <f aca="false">IF($C272="","",xEURO($L272,Put1,$G272,$G272,$T272,$J272,0,1))</f>
        <v>#VALUE!</v>
      </c>
      <c r="AC272" s="90" t="e">
        <f aca="false">IF($C272="","",xEURO($L272,Call2,$G272,$G272,$U272,$J272,1,1))</f>
        <v>#VALUE!</v>
      </c>
      <c r="AD272" s="90" t="e">
        <f aca="false">IF($C272="","",xEURO($L272,Put2,$G272,$G272,$V272,$J272,0,1))</f>
        <v>#VALUE!</v>
      </c>
      <c r="AE272" s="90" t="e">
        <f aca="false">IF($C272="","",xEURO($L272,Call1,$G272,$G272,$S272,$J272,1,3))</f>
        <v>#VALUE!</v>
      </c>
      <c r="AF272" s="90" t="e">
        <f aca="false">IF($C272="","",xEURO($L272,Put1,$G272,$G272,$T272,$J272,0,3))</f>
        <v>#VALUE!</v>
      </c>
      <c r="AG272" s="90" t="e">
        <f aca="false">IF($C272="","",xEURO($L272,Call2,$G272,$G272,$U272,$J272,1,3))</f>
        <v>#VALUE!</v>
      </c>
      <c r="AH272" s="90" t="e">
        <f aca="false">IF($C272="","",xEURO($L272,Put2,$G272,$G272,$V272,$J272,0,3))</f>
        <v>#VALUE!</v>
      </c>
      <c r="AI272" s="8" t="e">
        <f aca="false">IF(E272=1,G272,0)</f>
        <v>#VALUE!</v>
      </c>
      <c r="AJ272" s="8" t="e">
        <f aca="false">IF(E272=1,H272,0)</f>
        <v>#VALUE!</v>
      </c>
      <c r="AK272" s="8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</row>
    <row r="273" customFormat="false" ht="12.75" hidden="false" customHeight="false" outlineLevel="0" collapsed="false">
      <c r="A273" s="95" t="n">
        <f aca="false">Swap!A273</f>
        <v>45139</v>
      </c>
      <c r="B273" s="96" t="n">
        <f aca="false">B272+1</f>
        <v>264</v>
      </c>
      <c r="C273" s="95" t="e">
        <f aca="false">IF(AND(A273&gt;=Front!$E$11,A273&lt;=Front!$E$12),A273,"")</f>
        <v>#VALUE!</v>
      </c>
      <c r="D273" s="87" t="e">
        <f aca="false">Swap!AB273</f>
        <v>#VALUE!</v>
      </c>
      <c r="E273" s="87" t="e">
        <f aca="false">IF($C273="","",1)</f>
        <v>#VALUE!</v>
      </c>
      <c r="F273" s="97" t="e">
        <f aca="false">IF($C273="","",E273*H273)</f>
        <v>#VALUE!</v>
      </c>
      <c r="G273" s="31" t="n">
        <f aca="false">Swap!AG273</f>
        <v>0.0638751043408372</v>
      </c>
      <c r="H273" s="31" t="n">
        <f aca="false">Swap!AH273</f>
        <v>1.14508498977425</v>
      </c>
      <c r="I273" s="92" t="n">
        <f aca="false">INDEX(expery,MATCH(A273,exprymonth,0),2)</f>
        <v>45133</v>
      </c>
      <c r="J273" s="98" t="n">
        <f aca="false">I273-Front!$C$2</f>
        <v>-793</v>
      </c>
      <c r="K273" s="99" t="n">
        <f aca="false">Swap!E273</f>
        <v>5.148</v>
      </c>
      <c r="L273" s="99" t="e">
        <f aca="false">IF(C273="","",(PriceSwitch=0)*K273+(PriceSwitch=1)*(Front!$H$21+K273)+(PriceSwitch=2)*Front!$H$21)</f>
        <v>#VALUE!</v>
      </c>
      <c r="M273" s="93" t="n">
        <f aca="false">INDEX(vols,MATCH(A273,volsmonth,0),2)</f>
        <v>0.17</v>
      </c>
      <c r="N273" s="3" t="e">
        <f aca="false">IF(Skew_Switch=0,"",IF($C273="","",(Front!$E$20=0)*M273+(Front!$E$20=1)*(Front!$E$21+M273)+(Front!$E$20=2)*Front!$E$21))</f>
        <v>#VALUE!</v>
      </c>
      <c r="O273" s="94" t="e">
        <f aca="false">IF(Skew_Switch=0,"",IF(C273="","",((calcskew(Call1-$L273,$C273,a,b))/100)))</f>
        <v>#VALUE!</v>
      </c>
      <c r="P273" s="94" t="e">
        <f aca="false">IF(Skew_Switch=0,"",IF(C273="","",((calcskew(Put1-$L273,$C273,a,b))/100)))</f>
        <v>#VALUE!</v>
      </c>
      <c r="Q273" s="94" t="e">
        <f aca="false">IF(Skew_Switch=0,"",IF(C273="","",((calcskew(Call2-$L273,$C273,a,b))/100)))</f>
        <v>#VALUE!</v>
      </c>
      <c r="R273" s="94" t="e">
        <f aca="false">IF(Skew_Switch=0,"",IF(C273="","",((calcskew(Put2-$L273,$C273,a,b))/100)))</f>
        <v>#VALUE!</v>
      </c>
      <c r="S273" s="3" t="e">
        <f aca="false">IF($C273="","",(Front!$C$19=0)*$N273+(Front!$C$19=1)*($N273+O273))</f>
        <v>#VALUE!</v>
      </c>
      <c r="T273" s="3" t="e">
        <f aca="false">IF($C273="","",(Front!$C$19=0)*$N273+(Front!$C$19=1)*($N273+P273))</f>
        <v>#VALUE!</v>
      </c>
      <c r="U273" s="3" t="e">
        <f aca="false">IF($C273="","",(Front!$C$19=0)*$N273+(Front!$C$19=1)*($N273+Q273))</f>
        <v>#VALUE!</v>
      </c>
      <c r="V273" s="3" t="e">
        <f aca="false">IF($C273="","",(Front!$C$19=0)*$N273+(Front!$C$19=1)*($N273+R273))</f>
        <v>#VALUE!</v>
      </c>
      <c r="W273" s="90" t="e">
        <f aca="false">IF($C273="","",xEURO($L273,Call1,$G273,$G273,S273,$J273,1,0))</f>
        <v>#VALUE!</v>
      </c>
      <c r="X273" s="90" t="e">
        <f aca="false">IF($C273="","",xEURO($L273,Put1,$G273,$G273,T273,$J273,0,0))</f>
        <v>#VALUE!</v>
      </c>
      <c r="Y273" s="90" t="e">
        <f aca="false">IF($C273="","",xEURO($L273,Call2,$G273,$G273,U273,$J273,1,0))</f>
        <v>#VALUE!</v>
      </c>
      <c r="Z273" s="90" t="e">
        <f aca="false">IF($C273="","",xEURO($L273,Put2,$G273,$G273,V273,$J273,0,0))</f>
        <v>#VALUE!</v>
      </c>
      <c r="AA273" s="90" t="e">
        <f aca="false">IF($C273="","",xEURO($L273,Call1,$G273,$G273,$S273,$J273,1,1))</f>
        <v>#VALUE!</v>
      </c>
      <c r="AB273" s="90" t="e">
        <f aca="false">IF($C273="","",xEURO($L273,Put1,$G273,$G273,$T273,$J273,0,1))</f>
        <v>#VALUE!</v>
      </c>
      <c r="AC273" s="90" t="e">
        <f aca="false">IF($C273="","",xEURO($L273,Call2,$G273,$G273,$U273,$J273,1,1))</f>
        <v>#VALUE!</v>
      </c>
      <c r="AD273" s="90" t="e">
        <f aca="false">IF($C273="","",xEURO($L273,Put2,$G273,$G273,$V273,$J273,0,1))</f>
        <v>#VALUE!</v>
      </c>
      <c r="AE273" s="90" t="e">
        <f aca="false">IF($C273="","",xEURO($L273,Call1,$G273,$G273,$S273,$J273,1,3))</f>
        <v>#VALUE!</v>
      </c>
      <c r="AF273" s="90" t="e">
        <f aca="false">IF($C273="","",xEURO($L273,Put1,$G273,$G273,$T273,$J273,0,3))</f>
        <v>#VALUE!</v>
      </c>
      <c r="AG273" s="90" t="e">
        <f aca="false">IF($C273="","",xEURO($L273,Call2,$G273,$G273,$U273,$J273,1,3))</f>
        <v>#VALUE!</v>
      </c>
      <c r="AH273" s="90" t="e">
        <f aca="false">IF($C273="","",xEURO($L273,Put2,$G273,$G273,$V273,$J273,0,3))</f>
        <v>#VALUE!</v>
      </c>
      <c r="AI273" s="8" t="e">
        <f aca="false">IF(E273=1,G273,0)</f>
        <v>#VALUE!</v>
      </c>
      <c r="AJ273" s="8" t="e">
        <f aca="false">IF(E273=1,H273,0)</f>
        <v>#VALUE!</v>
      </c>
      <c r="AK273" s="8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</row>
    <row r="274" customFormat="false" ht="12.75" hidden="false" customHeight="false" outlineLevel="0" collapsed="false">
      <c r="A274" s="95" t="n">
        <f aca="false">Swap!A274</f>
        <v>45170</v>
      </c>
      <c r="B274" s="96" t="n">
        <f aca="false">B273+1</f>
        <v>265</v>
      </c>
      <c r="C274" s="95" t="e">
        <f aca="false">IF(AND(A274&gt;=Front!$E$11,A274&lt;=Front!$E$12),A274,"")</f>
        <v>#VALUE!</v>
      </c>
      <c r="D274" s="87" t="e">
        <f aca="false">Swap!AB274</f>
        <v>#VALUE!</v>
      </c>
      <c r="E274" s="87" t="e">
        <f aca="false">IF($C274="","",1)</f>
        <v>#VALUE!</v>
      </c>
      <c r="F274" s="97" t="e">
        <f aca="false">IF($C274="","",E274*H274)</f>
        <v>#VALUE!</v>
      </c>
      <c r="G274" s="31" t="n">
        <f aca="false">Swap!AG274</f>
        <v>0.0638802400406395</v>
      </c>
      <c r="H274" s="31" t="n">
        <f aca="false">Swap!AH274</f>
        <v>1.13900222472276</v>
      </c>
      <c r="I274" s="92" t="n">
        <f aca="false">INDEX(expery,MATCH(A274,exprymonth,0),2)</f>
        <v>45166</v>
      </c>
      <c r="J274" s="98" t="n">
        <f aca="false">I274-Front!$C$2</f>
        <v>-760</v>
      </c>
      <c r="K274" s="99" t="n">
        <f aca="false">Swap!E274</f>
        <v>5.161</v>
      </c>
      <c r="L274" s="99" t="e">
        <f aca="false">IF(C274="","",(PriceSwitch=0)*K274+(PriceSwitch=1)*(Front!$H$21+K274)+(PriceSwitch=2)*Front!$H$21)</f>
        <v>#VALUE!</v>
      </c>
      <c r="M274" s="93" t="n">
        <f aca="false">INDEX(vols,MATCH(A274,volsmonth,0),2)</f>
        <v>0.17</v>
      </c>
      <c r="N274" s="3" t="e">
        <f aca="false">IF(Skew_Switch=0,"",IF($C274="","",(Front!$E$20=0)*M274+(Front!$E$20=1)*(Front!$E$21+M274)+(Front!$E$20=2)*Front!$E$21))</f>
        <v>#VALUE!</v>
      </c>
      <c r="O274" s="94" t="e">
        <f aca="false">IF(Skew_Switch=0,"",IF(C274="","",((calcskew(Call1-$L274,$C274,a,b))/100)))</f>
        <v>#VALUE!</v>
      </c>
      <c r="P274" s="94" t="e">
        <f aca="false">IF(Skew_Switch=0,"",IF(C274="","",((calcskew(Put1-$L274,$C274,a,b))/100)))</f>
        <v>#VALUE!</v>
      </c>
      <c r="Q274" s="94" t="e">
        <f aca="false">IF(Skew_Switch=0,"",IF(C274="","",((calcskew(Call2-$L274,$C274,a,b))/100)))</f>
        <v>#VALUE!</v>
      </c>
      <c r="R274" s="94" t="e">
        <f aca="false">IF(Skew_Switch=0,"",IF(C274="","",((calcskew(Put2-$L274,$C274,a,b))/100)))</f>
        <v>#VALUE!</v>
      </c>
      <c r="S274" s="3" t="e">
        <f aca="false">IF($C274="","",(Front!$C$19=0)*$N274+(Front!$C$19=1)*($N274+O274))</f>
        <v>#VALUE!</v>
      </c>
      <c r="T274" s="3" t="e">
        <f aca="false">IF($C274="","",(Front!$C$19=0)*$N274+(Front!$C$19=1)*($N274+P274))</f>
        <v>#VALUE!</v>
      </c>
      <c r="U274" s="3" t="e">
        <f aca="false">IF($C274="","",(Front!$C$19=0)*$N274+(Front!$C$19=1)*($N274+Q274))</f>
        <v>#VALUE!</v>
      </c>
      <c r="V274" s="3" t="e">
        <f aca="false">IF($C274="","",(Front!$C$19=0)*$N274+(Front!$C$19=1)*($N274+R274))</f>
        <v>#VALUE!</v>
      </c>
      <c r="W274" s="90" t="e">
        <f aca="false">IF($C274="","",xEURO($L274,Call1,$G274,$G274,S274,$J274,1,0))</f>
        <v>#VALUE!</v>
      </c>
      <c r="X274" s="90" t="e">
        <f aca="false">IF($C274="","",xEURO($L274,Put1,$G274,$G274,T274,$J274,0,0))</f>
        <v>#VALUE!</v>
      </c>
      <c r="Y274" s="90" t="e">
        <f aca="false">IF($C274="","",xEURO($L274,Call2,$G274,$G274,U274,$J274,1,0))</f>
        <v>#VALUE!</v>
      </c>
      <c r="Z274" s="90" t="e">
        <f aca="false">IF($C274="","",xEURO($L274,Put2,$G274,$G274,V274,$J274,0,0))</f>
        <v>#VALUE!</v>
      </c>
      <c r="AA274" s="90" t="e">
        <f aca="false">IF($C274="","",xEURO($L274,Call1,$G274,$G274,$S274,$J274,1,1))</f>
        <v>#VALUE!</v>
      </c>
      <c r="AB274" s="90" t="e">
        <f aca="false">IF($C274="","",xEURO($L274,Put1,$G274,$G274,$T274,$J274,0,1))</f>
        <v>#VALUE!</v>
      </c>
      <c r="AC274" s="90" t="e">
        <f aca="false">IF($C274="","",xEURO($L274,Call2,$G274,$G274,$U274,$J274,1,1))</f>
        <v>#VALUE!</v>
      </c>
      <c r="AD274" s="90" t="e">
        <f aca="false">IF($C274="","",xEURO($L274,Put2,$G274,$G274,$V274,$J274,0,1))</f>
        <v>#VALUE!</v>
      </c>
      <c r="AE274" s="90" t="e">
        <f aca="false">IF($C274="","",xEURO($L274,Call1,$G274,$G274,$S274,$J274,1,3))</f>
        <v>#VALUE!</v>
      </c>
      <c r="AF274" s="90" t="e">
        <f aca="false">IF($C274="","",xEURO($L274,Put1,$G274,$G274,$T274,$J274,0,3))</f>
        <v>#VALUE!</v>
      </c>
      <c r="AG274" s="90" t="e">
        <f aca="false">IF($C274="","",xEURO($L274,Call2,$G274,$G274,$U274,$J274,1,3))</f>
        <v>#VALUE!</v>
      </c>
      <c r="AH274" s="90" t="e">
        <f aca="false">IF($C274="","",xEURO($L274,Put2,$G274,$G274,$V274,$J274,0,3))</f>
        <v>#VALUE!</v>
      </c>
      <c r="AI274" s="8" t="e">
        <f aca="false">IF(E274=1,G274,0)</f>
        <v>#VALUE!</v>
      </c>
      <c r="AJ274" s="8" t="e">
        <f aca="false">IF(E274=1,H274,0)</f>
        <v>#VALUE!</v>
      </c>
      <c r="AK274" s="8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</row>
    <row r="275" customFormat="false" ht="12.75" hidden="false" customHeight="false" outlineLevel="0" collapsed="false">
      <c r="A275" s="95" t="n">
        <f aca="false">Swap!A275</f>
        <v>45200</v>
      </c>
      <c r="B275" s="96" t="n">
        <f aca="false">B274+1</f>
        <v>266</v>
      </c>
      <c r="C275" s="95" t="e">
        <f aca="false">IF(AND(A275&gt;=Front!$E$11,A275&lt;=Front!$E$12),A275,"")</f>
        <v>#VALUE!</v>
      </c>
      <c r="D275" s="87" t="e">
        <f aca="false">Swap!AB275</f>
        <v>#VALUE!</v>
      </c>
      <c r="E275" s="87" t="e">
        <f aca="false">IF($C275="","",1)</f>
        <v>#VALUE!</v>
      </c>
      <c r="F275" s="97" t="e">
        <f aca="false">IF($C275="","",E275*H275)</f>
        <v>#VALUE!</v>
      </c>
      <c r="G275" s="31" t="n">
        <f aca="false">Swap!AG275</f>
        <v>0.0638852100727152</v>
      </c>
      <c r="H275" s="31" t="n">
        <f aca="false">Swap!AH275</f>
        <v>1.13314553355117</v>
      </c>
      <c r="I275" s="92" t="n">
        <f aca="false">INDEX(expery,MATCH(A275,exprymonth,0),2)</f>
        <v>45195</v>
      </c>
      <c r="J275" s="98" t="n">
        <f aca="false">I275-Front!$C$2</f>
        <v>-731</v>
      </c>
      <c r="K275" s="99" t="n">
        <f aca="false">Swap!E275</f>
        <v>5.153</v>
      </c>
      <c r="L275" s="99" t="e">
        <f aca="false">IF(C275="","",(PriceSwitch=0)*K275+(PriceSwitch=1)*(Front!$H$21+K275)+(PriceSwitch=2)*Front!$H$21)</f>
        <v>#VALUE!</v>
      </c>
      <c r="M275" s="93" t="n">
        <f aca="false">INDEX(vols,MATCH(A275,volsmonth,0),2)</f>
        <v>0.17</v>
      </c>
      <c r="N275" s="3" t="e">
        <f aca="false">IF(Skew_Switch=0,"",IF($C275="","",(Front!$E$20=0)*M275+(Front!$E$20=1)*(Front!$E$21+M275)+(Front!$E$20=2)*Front!$E$21))</f>
        <v>#VALUE!</v>
      </c>
      <c r="O275" s="94" t="e">
        <f aca="false">IF(Skew_Switch=0,"",IF(C275="","",((calcskew(Call1-$L275,$C275,a,b))/100)))</f>
        <v>#VALUE!</v>
      </c>
      <c r="P275" s="94" t="e">
        <f aca="false">IF(Skew_Switch=0,"",IF(C275="","",((calcskew(Put1-$L275,$C275,a,b))/100)))</f>
        <v>#VALUE!</v>
      </c>
      <c r="Q275" s="94" t="e">
        <f aca="false">IF(Skew_Switch=0,"",IF(C275="","",((calcskew(Call2-$L275,$C275,a,b))/100)))</f>
        <v>#VALUE!</v>
      </c>
      <c r="R275" s="94" t="e">
        <f aca="false">IF(Skew_Switch=0,"",IF(C275="","",((calcskew(Put2-$L275,$C275,a,b))/100)))</f>
        <v>#VALUE!</v>
      </c>
      <c r="S275" s="3" t="e">
        <f aca="false">IF($C275="","",(Front!$C$19=0)*$N275+(Front!$C$19=1)*($N275+O275))</f>
        <v>#VALUE!</v>
      </c>
      <c r="T275" s="3" t="e">
        <f aca="false">IF($C275="","",(Front!$C$19=0)*$N275+(Front!$C$19=1)*($N275+P275))</f>
        <v>#VALUE!</v>
      </c>
      <c r="U275" s="3" t="e">
        <f aca="false">IF($C275="","",(Front!$C$19=0)*$N275+(Front!$C$19=1)*($N275+Q275))</f>
        <v>#VALUE!</v>
      </c>
      <c r="V275" s="3" t="e">
        <f aca="false">IF($C275="","",(Front!$C$19=0)*$N275+(Front!$C$19=1)*($N275+R275))</f>
        <v>#VALUE!</v>
      </c>
      <c r="W275" s="90" t="e">
        <f aca="false">IF($C275="","",xEURO($L275,Call1,$G275,$G275,S275,$J275,1,0))</f>
        <v>#VALUE!</v>
      </c>
      <c r="X275" s="90" t="e">
        <f aca="false">IF($C275="","",xEURO($L275,Put1,$G275,$G275,T275,$J275,0,0))</f>
        <v>#VALUE!</v>
      </c>
      <c r="Y275" s="90" t="e">
        <f aca="false">IF($C275="","",xEURO($L275,Call2,$G275,$G275,U275,$J275,1,0))</f>
        <v>#VALUE!</v>
      </c>
      <c r="Z275" s="90" t="e">
        <f aca="false">IF($C275="","",xEURO($L275,Put2,$G275,$G275,V275,$J275,0,0))</f>
        <v>#VALUE!</v>
      </c>
      <c r="AA275" s="90" t="e">
        <f aca="false">IF($C275="","",xEURO($L275,Call1,$G275,$G275,$S275,$J275,1,1))</f>
        <v>#VALUE!</v>
      </c>
      <c r="AB275" s="90" t="e">
        <f aca="false">IF($C275="","",xEURO($L275,Put1,$G275,$G275,$T275,$J275,0,1))</f>
        <v>#VALUE!</v>
      </c>
      <c r="AC275" s="90" t="e">
        <f aca="false">IF($C275="","",xEURO($L275,Call2,$G275,$G275,$U275,$J275,1,1))</f>
        <v>#VALUE!</v>
      </c>
      <c r="AD275" s="90" t="e">
        <f aca="false">IF($C275="","",xEURO($L275,Put2,$G275,$G275,$V275,$J275,0,1))</f>
        <v>#VALUE!</v>
      </c>
      <c r="AE275" s="90" t="e">
        <f aca="false">IF($C275="","",xEURO($L275,Call1,$G275,$G275,$S275,$J275,1,3))</f>
        <v>#VALUE!</v>
      </c>
      <c r="AF275" s="90" t="e">
        <f aca="false">IF($C275="","",xEURO($L275,Put1,$G275,$G275,$T275,$J275,0,3))</f>
        <v>#VALUE!</v>
      </c>
      <c r="AG275" s="90" t="e">
        <f aca="false">IF($C275="","",xEURO($L275,Call2,$G275,$G275,$U275,$J275,1,3))</f>
        <v>#VALUE!</v>
      </c>
      <c r="AH275" s="90" t="e">
        <f aca="false">IF($C275="","",xEURO($L275,Put2,$G275,$G275,$V275,$J275,0,3))</f>
        <v>#VALUE!</v>
      </c>
      <c r="AI275" s="8" t="e">
        <f aca="false">IF(E275=1,G275,0)</f>
        <v>#VALUE!</v>
      </c>
      <c r="AJ275" s="8" t="e">
        <f aca="false">IF(E275=1,H275,0)</f>
        <v>#VALUE!</v>
      </c>
      <c r="AK275" s="8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</row>
    <row r="276" customFormat="false" ht="12.75" hidden="false" customHeight="false" outlineLevel="0" collapsed="false">
      <c r="A276" s="95" t="n">
        <f aca="false">Swap!A276</f>
        <v>45231</v>
      </c>
      <c r="B276" s="96" t="n">
        <f aca="false">B275+1</f>
        <v>267</v>
      </c>
      <c r="C276" s="95" t="e">
        <f aca="false">IF(AND(A276&gt;=Front!$E$11,A276&lt;=Front!$E$12),A276,"")</f>
        <v>#VALUE!</v>
      </c>
      <c r="D276" s="87" t="e">
        <f aca="false">Swap!AB276</f>
        <v>#VALUE!</v>
      </c>
      <c r="E276" s="87" t="e">
        <f aca="false">IF($C276="","",1)</f>
        <v>#VALUE!</v>
      </c>
      <c r="F276" s="97" t="e">
        <f aca="false">IF($C276="","",E276*H276)</f>
        <v>#VALUE!</v>
      </c>
      <c r="G276" s="31" t="n">
        <f aca="false">Swap!AG276</f>
        <v>0.0638903457725348</v>
      </c>
      <c r="H276" s="31" t="n">
        <f aca="false">Swap!AH276</f>
        <v>1.12712431796164</v>
      </c>
      <c r="I276" s="92" t="n">
        <f aca="false">INDEX(expery,MATCH(A276,exprymonth,0),2)</f>
        <v>45225</v>
      </c>
      <c r="J276" s="98" t="n">
        <f aca="false">I276-Front!$C$2</f>
        <v>-701</v>
      </c>
      <c r="K276" s="99" t="n">
        <f aca="false">Swap!E276</f>
        <v>5.323</v>
      </c>
      <c r="L276" s="99" t="e">
        <f aca="false">IF(C276="","",(PriceSwitch=0)*K276+(PriceSwitch=1)*(Front!$H$21+K276)+(PriceSwitch=2)*Front!$H$21)</f>
        <v>#VALUE!</v>
      </c>
      <c r="M276" s="93" t="n">
        <f aca="false">INDEX(vols,MATCH(A276,volsmonth,0),2)</f>
        <v>0.17</v>
      </c>
      <c r="N276" s="3" t="e">
        <f aca="false">IF(Skew_Switch=0,"",IF($C276="","",(Front!$E$20=0)*M276+(Front!$E$20=1)*(Front!$E$21+M276)+(Front!$E$20=2)*Front!$E$21))</f>
        <v>#VALUE!</v>
      </c>
      <c r="O276" s="94" t="e">
        <f aca="false">IF(Skew_Switch=0,"",IF(C276="","",((calcskew(Call1-$L276,$C276,a,b))/100)))</f>
        <v>#VALUE!</v>
      </c>
      <c r="P276" s="94" t="e">
        <f aca="false">IF(Skew_Switch=0,"",IF(C276="","",((calcskew(Put1-$L276,$C276,a,b))/100)))</f>
        <v>#VALUE!</v>
      </c>
      <c r="Q276" s="94" t="e">
        <f aca="false">IF(Skew_Switch=0,"",IF(C276="","",((calcskew(Call2-$L276,$C276,a,b))/100)))</f>
        <v>#VALUE!</v>
      </c>
      <c r="R276" s="94" t="e">
        <f aca="false">IF(Skew_Switch=0,"",IF(C276="","",((calcskew(Put2-$L276,$C276,a,b))/100)))</f>
        <v>#VALUE!</v>
      </c>
      <c r="S276" s="3" t="e">
        <f aca="false">IF($C276="","",(Front!$C$19=0)*$N276+(Front!$C$19=1)*($N276+O276))</f>
        <v>#VALUE!</v>
      </c>
      <c r="T276" s="3" t="e">
        <f aca="false">IF($C276="","",(Front!$C$19=0)*$N276+(Front!$C$19=1)*($N276+P276))</f>
        <v>#VALUE!</v>
      </c>
      <c r="U276" s="3" t="e">
        <f aca="false">IF($C276="","",(Front!$C$19=0)*$N276+(Front!$C$19=1)*($N276+Q276))</f>
        <v>#VALUE!</v>
      </c>
      <c r="V276" s="3" t="e">
        <f aca="false">IF($C276="","",(Front!$C$19=0)*$N276+(Front!$C$19=1)*($N276+R276))</f>
        <v>#VALUE!</v>
      </c>
      <c r="W276" s="90" t="e">
        <f aca="false">IF($C276="","",xEURO($L276,Call1,$G276,$G276,S276,$J276,1,0))</f>
        <v>#VALUE!</v>
      </c>
      <c r="X276" s="90" t="e">
        <f aca="false">IF($C276="","",xEURO($L276,Put1,$G276,$G276,T276,$J276,0,0))</f>
        <v>#VALUE!</v>
      </c>
      <c r="Y276" s="90" t="e">
        <f aca="false">IF($C276="","",xEURO($L276,Call2,$G276,$G276,U276,$J276,1,0))</f>
        <v>#VALUE!</v>
      </c>
      <c r="Z276" s="90" t="e">
        <f aca="false">IF($C276="","",xEURO($L276,Put2,$G276,$G276,V276,$J276,0,0))</f>
        <v>#VALUE!</v>
      </c>
      <c r="AA276" s="90" t="e">
        <f aca="false">IF($C276="","",xEURO($L276,Call1,$G276,$G276,$S276,$J276,1,1))</f>
        <v>#VALUE!</v>
      </c>
      <c r="AB276" s="90" t="e">
        <f aca="false">IF($C276="","",xEURO($L276,Put1,$G276,$G276,$T276,$J276,0,1))</f>
        <v>#VALUE!</v>
      </c>
      <c r="AC276" s="90" t="e">
        <f aca="false">IF($C276="","",xEURO($L276,Call2,$G276,$G276,$U276,$J276,1,1))</f>
        <v>#VALUE!</v>
      </c>
      <c r="AD276" s="90" t="e">
        <f aca="false">IF($C276="","",xEURO($L276,Put2,$G276,$G276,$V276,$J276,0,1))</f>
        <v>#VALUE!</v>
      </c>
      <c r="AE276" s="90" t="e">
        <f aca="false">IF($C276="","",xEURO($L276,Call1,$G276,$G276,$S276,$J276,1,3))</f>
        <v>#VALUE!</v>
      </c>
      <c r="AF276" s="90" t="e">
        <f aca="false">IF($C276="","",xEURO($L276,Put1,$G276,$G276,$T276,$J276,0,3))</f>
        <v>#VALUE!</v>
      </c>
      <c r="AG276" s="90" t="e">
        <f aca="false">IF($C276="","",xEURO($L276,Call2,$G276,$G276,$U276,$J276,1,3))</f>
        <v>#VALUE!</v>
      </c>
      <c r="AH276" s="90" t="e">
        <f aca="false">IF($C276="","",xEURO($L276,Put2,$G276,$G276,$V276,$J276,0,3))</f>
        <v>#VALUE!</v>
      </c>
      <c r="AI276" s="8" t="e">
        <f aca="false">IF(E276=1,G276,0)</f>
        <v>#VALUE!</v>
      </c>
      <c r="AJ276" s="8" t="e">
        <f aca="false">IF(E276=1,H276,0)</f>
        <v>#VALUE!</v>
      </c>
      <c r="AK276" s="8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</row>
    <row r="277" customFormat="false" ht="12.75" hidden="false" customHeight="false" outlineLevel="0" collapsed="false">
      <c r="A277" s="95" t="n">
        <f aca="false">Swap!A277</f>
        <v>45261</v>
      </c>
      <c r="B277" s="96" t="n">
        <f aca="false">B276+1</f>
        <v>268</v>
      </c>
      <c r="C277" s="95" t="e">
        <f aca="false">IF(AND(A277&gt;=Front!$E$11,A277&lt;=Front!$E$12),A277,"")</f>
        <v>#VALUE!</v>
      </c>
      <c r="D277" s="87" t="e">
        <f aca="false">Swap!AB277</f>
        <v>#VALUE!</v>
      </c>
      <c r="E277" s="87" t="e">
        <f aca="false">IF($C277="","",1)</f>
        <v>#VALUE!</v>
      </c>
      <c r="F277" s="97" t="e">
        <f aca="false">IF($C277="","",E277*H277)</f>
        <v>#VALUE!</v>
      </c>
      <c r="G277" s="31" t="n">
        <f aca="false">Swap!AG277</f>
        <v>0.0638953158046265</v>
      </c>
      <c r="H277" s="31" t="n">
        <f aca="false">Swap!AH277</f>
        <v>1.12132689845728</v>
      </c>
      <c r="I277" s="92" t="n">
        <f aca="false">INDEX(expery,MATCH(A277,exprymonth,0),2)</f>
        <v>45257</v>
      </c>
      <c r="J277" s="98" t="n">
        <f aca="false">I277-Front!$C$2</f>
        <v>-669</v>
      </c>
      <c r="K277" s="99" t="n">
        <f aca="false">Swap!E277</f>
        <v>5.498</v>
      </c>
      <c r="L277" s="99" t="e">
        <f aca="false">IF(C277="","",(PriceSwitch=0)*K277+(PriceSwitch=1)*(Front!$H$21+K277)+(PriceSwitch=2)*Front!$H$21)</f>
        <v>#VALUE!</v>
      </c>
      <c r="M277" s="93" t="n">
        <f aca="false">INDEX(vols,MATCH(A277,volsmonth,0),2)</f>
        <v>0.17</v>
      </c>
      <c r="N277" s="3" t="e">
        <f aca="false">IF(Skew_Switch=0,"",IF($C277="","",(Front!$E$20=0)*M277+(Front!$E$20=1)*(Front!$E$21+M277)+(Front!$E$20=2)*Front!$E$21))</f>
        <v>#VALUE!</v>
      </c>
      <c r="O277" s="94" t="e">
        <f aca="false">IF(Skew_Switch=0,"",IF(C277="","",((calcskew(Call1-$L277,$C277,a,b))/100)))</f>
        <v>#VALUE!</v>
      </c>
      <c r="P277" s="94" t="e">
        <f aca="false">IF(Skew_Switch=0,"",IF(C277="","",((calcskew(Put1-$L277,$C277,a,b))/100)))</f>
        <v>#VALUE!</v>
      </c>
      <c r="Q277" s="94" t="e">
        <f aca="false">IF(Skew_Switch=0,"",IF(C277="","",((calcskew(Call2-$L277,$C277,a,b))/100)))</f>
        <v>#VALUE!</v>
      </c>
      <c r="R277" s="94" t="e">
        <f aca="false">IF(Skew_Switch=0,"",IF(C277="","",((calcskew(Put2-$L277,$C277,a,b))/100)))</f>
        <v>#VALUE!</v>
      </c>
      <c r="S277" s="3" t="e">
        <f aca="false">IF($C277="","",(Front!$C$19=0)*$N277+(Front!$C$19=1)*($N277+O277))</f>
        <v>#VALUE!</v>
      </c>
      <c r="T277" s="3" t="e">
        <f aca="false">IF($C277="","",(Front!$C$19=0)*$N277+(Front!$C$19=1)*($N277+P277))</f>
        <v>#VALUE!</v>
      </c>
      <c r="U277" s="3" t="e">
        <f aca="false">IF($C277="","",(Front!$C$19=0)*$N277+(Front!$C$19=1)*($N277+Q277))</f>
        <v>#VALUE!</v>
      </c>
      <c r="V277" s="3" t="e">
        <f aca="false">IF($C277="","",(Front!$C$19=0)*$N277+(Front!$C$19=1)*($N277+R277))</f>
        <v>#VALUE!</v>
      </c>
      <c r="W277" s="90" t="e">
        <f aca="false">IF($C277="","",xEURO($L277,Call1,$G277,$G277,S277,$J277,1,0))</f>
        <v>#VALUE!</v>
      </c>
      <c r="X277" s="90" t="e">
        <f aca="false">IF($C277="","",xEURO($L277,Put1,$G277,$G277,T277,$J277,0,0))</f>
        <v>#VALUE!</v>
      </c>
      <c r="Y277" s="90" t="e">
        <f aca="false">IF($C277="","",xEURO($L277,Call2,$G277,$G277,U277,$J277,1,0))</f>
        <v>#VALUE!</v>
      </c>
      <c r="Z277" s="90" t="e">
        <f aca="false">IF($C277="","",xEURO($L277,Put2,$G277,$G277,V277,$J277,0,0))</f>
        <v>#VALUE!</v>
      </c>
      <c r="AA277" s="90" t="e">
        <f aca="false">IF($C277="","",xEURO($L277,Call1,$G277,$G277,$S277,$J277,1,1))</f>
        <v>#VALUE!</v>
      </c>
      <c r="AB277" s="90" t="e">
        <f aca="false">IF($C277="","",xEURO($L277,Put1,$G277,$G277,$T277,$J277,0,1))</f>
        <v>#VALUE!</v>
      </c>
      <c r="AC277" s="90" t="e">
        <f aca="false">IF($C277="","",xEURO($L277,Call2,$G277,$G277,$U277,$J277,1,1))</f>
        <v>#VALUE!</v>
      </c>
      <c r="AD277" s="90" t="e">
        <f aca="false">IF($C277="","",xEURO($L277,Put2,$G277,$G277,$V277,$J277,0,1))</f>
        <v>#VALUE!</v>
      </c>
      <c r="AE277" s="90" t="e">
        <f aca="false">IF($C277="","",xEURO($L277,Call1,$G277,$G277,$S277,$J277,1,3))</f>
        <v>#VALUE!</v>
      </c>
      <c r="AF277" s="90" t="e">
        <f aca="false">IF($C277="","",xEURO($L277,Put1,$G277,$G277,$T277,$J277,0,3))</f>
        <v>#VALUE!</v>
      </c>
      <c r="AG277" s="90" t="e">
        <f aca="false">IF($C277="","",xEURO($L277,Call2,$G277,$G277,$U277,$J277,1,3))</f>
        <v>#VALUE!</v>
      </c>
      <c r="AH277" s="90" t="e">
        <f aca="false">IF($C277="","",xEURO($L277,Put2,$G277,$G277,$V277,$J277,0,3))</f>
        <v>#VALUE!</v>
      </c>
      <c r="AI277" s="8" t="e">
        <f aca="false">IF(E277=1,G277,0)</f>
        <v>#VALUE!</v>
      </c>
      <c r="AJ277" s="8" t="e">
        <f aca="false">IF(E277=1,H277,0)</f>
        <v>#VALUE!</v>
      </c>
      <c r="AK277" s="8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</row>
    <row r="278" customFormat="false" ht="12.75" hidden="false" customHeight="false" outlineLevel="0" collapsed="false">
      <c r="A278" s="95" t="n">
        <f aca="false">Swap!A278</f>
        <v>45292</v>
      </c>
      <c r="B278" s="96" t="n">
        <f aca="false">B277+1</f>
        <v>269</v>
      </c>
      <c r="C278" s="95" t="e">
        <f aca="false">IF(AND(A278&gt;=Front!$E$11,A278&lt;=Front!$E$12),A278,"")</f>
        <v>#VALUE!</v>
      </c>
      <c r="D278" s="87" t="e">
        <f aca="false">Swap!AB278</f>
        <v>#VALUE!</v>
      </c>
      <c r="E278" s="87" t="e">
        <f aca="false">IF($C278="","",1)</f>
        <v>#VALUE!</v>
      </c>
      <c r="F278" s="97" t="e">
        <f aca="false">IF($C278="","",E278*H278)</f>
        <v>#VALUE!</v>
      </c>
      <c r="G278" s="31" t="n">
        <f aca="false">Swap!AG278</f>
        <v>0.0639004515044634</v>
      </c>
      <c r="H278" s="31" t="n">
        <f aca="false">Swap!AH278</f>
        <v>1.11536662962188</v>
      </c>
      <c r="I278" s="92" t="n">
        <f aca="false">INDEX(expery,MATCH(A278,exprymonth,0),2)</f>
        <v>45286</v>
      </c>
      <c r="J278" s="98" t="n">
        <f aca="false">I278-Front!$C$2</f>
        <v>-640</v>
      </c>
      <c r="K278" s="99" t="n">
        <f aca="false">Swap!E278</f>
        <v>5.5555</v>
      </c>
      <c r="L278" s="99" t="e">
        <f aca="false">IF(C278="","",(PriceSwitch=0)*K278+(PriceSwitch=1)*(Front!$H$21+K278)+(PriceSwitch=2)*Front!$H$21)</f>
        <v>#VALUE!</v>
      </c>
      <c r="M278" s="93" t="n">
        <f aca="false">INDEX(vols,MATCH(A278,volsmonth,0),2)</f>
        <v>0.17</v>
      </c>
      <c r="N278" s="3" t="e">
        <f aca="false">IF(Skew_Switch=0,"",IF($C278="","",(Front!$E$20=0)*M278+(Front!$E$20=1)*(Front!$E$21+M278)+(Front!$E$20=2)*Front!$E$21))</f>
        <v>#VALUE!</v>
      </c>
      <c r="O278" s="94" t="e">
        <f aca="false">IF(Skew_Switch=0,"",IF(C278="","",((calcskew(Call1-$L278,$C278,a,b))/100)))</f>
        <v>#VALUE!</v>
      </c>
      <c r="P278" s="94" t="e">
        <f aca="false">IF(Skew_Switch=0,"",IF(C278="","",((calcskew(Put1-$L278,$C278,a,b))/100)))</f>
        <v>#VALUE!</v>
      </c>
      <c r="Q278" s="94" t="e">
        <f aca="false">IF(Skew_Switch=0,"",IF(C278="","",((calcskew(Call2-$L278,$C278,a,b))/100)))</f>
        <v>#VALUE!</v>
      </c>
      <c r="R278" s="94" t="e">
        <f aca="false">IF(Skew_Switch=0,"",IF(C278="","",((calcskew(Put2-$L278,$C278,a,b))/100)))</f>
        <v>#VALUE!</v>
      </c>
      <c r="S278" s="3" t="e">
        <f aca="false">IF($C278="","",(Front!$C$19=0)*$N278+(Front!$C$19=1)*($N278+O278))</f>
        <v>#VALUE!</v>
      </c>
      <c r="T278" s="3" t="e">
        <f aca="false">IF($C278="","",(Front!$C$19=0)*$N278+(Front!$C$19=1)*($N278+P278))</f>
        <v>#VALUE!</v>
      </c>
      <c r="U278" s="3" t="e">
        <f aca="false">IF($C278="","",(Front!$C$19=0)*$N278+(Front!$C$19=1)*($N278+Q278))</f>
        <v>#VALUE!</v>
      </c>
      <c r="V278" s="3" t="e">
        <f aca="false">IF($C278="","",(Front!$C$19=0)*$N278+(Front!$C$19=1)*($N278+R278))</f>
        <v>#VALUE!</v>
      </c>
      <c r="W278" s="90" t="e">
        <f aca="false">IF($C278="","",xEURO($L278,Call1,$G278,$G278,S278,$J278,1,0))</f>
        <v>#VALUE!</v>
      </c>
      <c r="X278" s="90" t="e">
        <f aca="false">IF($C278="","",xEURO($L278,Put1,$G278,$G278,T278,$J278,0,0))</f>
        <v>#VALUE!</v>
      </c>
      <c r="Y278" s="90" t="e">
        <f aca="false">IF($C278="","",xEURO($L278,Call2,$G278,$G278,U278,$J278,1,0))</f>
        <v>#VALUE!</v>
      </c>
      <c r="Z278" s="90" t="e">
        <f aca="false">IF($C278="","",xEURO($L278,Put2,$G278,$G278,V278,$J278,0,0))</f>
        <v>#VALUE!</v>
      </c>
      <c r="AA278" s="90" t="e">
        <f aca="false">IF($C278="","",xEURO($L278,Call1,$G278,$G278,$S278,$J278,1,1))</f>
        <v>#VALUE!</v>
      </c>
      <c r="AB278" s="90" t="e">
        <f aca="false">IF($C278="","",xEURO($L278,Put1,$G278,$G278,$T278,$J278,0,1))</f>
        <v>#VALUE!</v>
      </c>
      <c r="AC278" s="90" t="e">
        <f aca="false">IF($C278="","",xEURO($L278,Call2,$G278,$G278,$U278,$J278,1,1))</f>
        <v>#VALUE!</v>
      </c>
      <c r="AD278" s="90" t="e">
        <f aca="false">IF($C278="","",xEURO($L278,Put2,$G278,$G278,$V278,$J278,0,1))</f>
        <v>#VALUE!</v>
      </c>
      <c r="AE278" s="90" t="e">
        <f aca="false">IF($C278="","",xEURO($L278,Call1,$G278,$G278,$S278,$J278,1,3))</f>
        <v>#VALUE!</v>
      </c>
      <c r="AF278" s="90" t="e">
        <f aca="false">IF($C278="","",xEURO($L278,Put1,$G278,$G278,$T278,$J278,0,3))</f>
        <v>#VALUE!</v>
      </c>
      <c r="AG278" s="90" t="e">
        <f aca="false">IF($C278="","",xEURO($L278,Call2,$G278,$G278,$U278,$J278,1,3))</f>
        <v>#VALUE!</v>
      </c>
      <c r="AH278" s="90" t="e">
        <f aca="false">IF($C278="","",xEURO($L278,Put2,$G278,$G278,$V278,$J278,0,3))</f>
        <v>#VALUE!</v>
      </c>
      <c r="AI278" s="8" t="e">
        <f aca="false">IF(E278=1,G278,0)</f>
        <v>#VALUE!</v>
      </c>
      <c r="AJ278" s="8" t="e">
        <f aca="false">IF(E278=1,H278,0)</f>
        <v>#VALUE!</v>
      </c>
      <c r="AK278" s="8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</row>
    <row r="279" customFormat="false" ht="12.75" hidden="false" customHeight="false" outlineLevel="0" collapsed="false">
      <c r="A279" s="95" t="n">
        <f aca="false">Swap!A279</f>
        <v>45323</v>
      </c>
      <c r="B279" s="96" t="n">
        <f aca="false">B278+1</f>
        <v>270</v>
      </c>
      <c r="C279" s="95" t="e">
        <f aca="false">IF(AND(A279&gt;=Front!$E$11,A279&lt;=Front!$E$12),A279,"")</f>
        <v>#VALUE!</v>
      </c>
      <c r="D279" s="87" t="e">
        <f aca="false">Swap!AB279</f>
        <v>#VALUE!</v>
      </c>
      <c r="E279" s="87" t="e">
        <f aca="false">IF($C279="","",1)</f>
        <v>#VALUE!</v>
      </c>
      <c r="F279" s="97" t="e">
        <f aca="false">IF($C279="","",E279*H279)</f>
        <v>#VALUE!</v>
      </c>
      <c r="G279" s="31" t="n">
        <f aca="false">Swap!AG279</f>
        <v>0.0639055872043093</v>
      </c>
      <c r="H279" s="31" t="n">
        <f aca="false">Swap!AH279</f>
        <v>1.10943710457675</v>
      </c>
      <c r="I279" s="92" t="n">
        <f aca="false">INDEX(expery,MATCH(A279,exprymonth,0),2)</f>
        <v>45317</v>
      </c>
      <c r="J279" s="98" t="n">
        <f aca="false">I279-Front!$C$2</f>
        <v>-609</v>
      </c>
      <c r="K279" s="99" t="n">
        <f aca="false">Swap!E279</f>
        <v>5.4415</v>
      </c>
      <c r="L279" s="99" t="e">
        <f aca="false">IF(C279="","",(PriceSwitch=0)*K279+(PriceSwitch=1)*(Front!$H$21+K279)+(PriceSwitch=2)*Front!$H$21)</f>
        <v>#VALUE!</v>
      </c>
      <c r="M279" s="93" t="n">
        <f aca="false">INDEX(vols,MATCH(A279,volsmonth,0),2)</f>
        <v>0.17</v>
      </c>
      <c r="N279" s="3" t="e">
        <f aca="false">IF(Skew_Switch=0,"",IF($C279="","",(Front!$E$20=0)*M279+(Front!$E$20=1)*(Front!$E$21+M279)+(Front!$E$20=2)*Front!$E$21))</f>
        <v>#VALUE!</v>
      </c>
      <c r="O279" s="94" t="e">
        <f aca="false">IF(Skew_Switch=0,"",IF(C279="","",((calcskew(Call1-$L279,$C279,a,b))/100)))</f>
        <v>#VALUE!</v>
      </c>
      <c r="P279" s="94" t="e">
        <f aca="false">IF(Skew_Switch=0,"",IF(C279="","",((calcskew(Put1-$L279,$C279,a,b))/100)))</f>
        <v>#VALUE!</v>
      </c>
      <c r="Q279" s="94" t="e">
        <f aca="false">IF(Skew_Switch=0,"",IF(C279="","",((calcskew(Call2-$L279,$C279,a,b))/100)))</f>
        <v>#VALUE!</v>
      </c>
      <c r="R279" s="94" t="e">
        <f aca="false">IF(Skew_Switch=0,"",IF(C279="","",((calcskew(Put2-$L279,$C279,a,b))/100)))</f>
        <v>#VALUE!</v>
      </c>
      <c r="S279" s="3" t="e">
        <f aca="false">IF($C279="","",(Front!$C$19=0)*$N279+(Front!$C$19=1)*($N279+O279))</f>
        <v>#VALUE!</v>
      </c>
      <c r="T279" s="3" t="e">
        <f aca="false">IF($C279="","",(Front!$C$19=0)*$N279+(Front!$C$19=1)*($N279+P279))</f>
        <v>#VALUE!</v>
      </c>
      <c r="U279" s="3" t="e">
        <f aca="false">IF($C279="","",(Front!$C$19=0)*$N279+(Front!$C$19=1)*($N279+Q279))</f>
        <v>#VALUE!</v>
      </c>
      <c r="V279" s="3" t="e">
        <f aca="false">IF($C279="","",(Front!$C$19=0)*$N279+(Front!$C$19=1)*($N279+R279))</f>
        <v>#VALUE!</v>
      </c>
      <c r="W279" s="90" t="e">
        <f aca="false">IF($C279="","",xEURO($L279,Call1,$G279,$G279,S279,$J279,1,0))</f>
        <v>#VALUE!</v>
      </c>
      <c r="X279" s="90" t="e">
        <f aca="false">IF($C279="","",xEURO($L279,Put1,$G279,$G279,T279,$J279,0,0))</f>
        <v>#VALUE!</v>
      </c>
      <c r="Y279" s="90" t="e">
        <f aca="false">IF($C279="","",xEURO($L279,Call2,$G279,$G279,U279,$J279,1,0))</f>
        <v>#VALUE!</v>
      </c>
      <c r="Z279" s="90" t="e">
        <f aca="false">IF($C279="","",xEURO($L279,Put2,$G279,$G279,V279,$J279,0,0))</f>
        <v>#VALUE!</v>
      </c>
      <c r="AA279" s="90" t="e">
        <f aca="false">IF($C279="","",xEURO($L279,Call1,$G279,$G279,$S279,$J279,1,1))</f>
        <v>#VALUE!</v>
      </c>
      <c r="AB279" s="90" t="e">
        <f aca="false">IF($C279="","",xEURO($L279,Put1,$G279,$G279,$T279,$J279,0,1))</f>
        <v>#VALUE!</v>
      </c>
      <c r="AC279" s="90" t="e">
        <f aca="false">IF($C279="","",xEURO($L279,Call2,$G279,$G279,$U279,$J279,1,1))</f>
        <v>#VALUE!</v>
      </c>
      <c r="AD279" s="90" t="e">
        <f aca="false">IF($C279="","",xEURO($L279,Put2,$G279,$G279,$V279,$J279,0,1))</f>
        <v>#VALUE!</v>
      </c>
      <c r="AE279" s="90" t="e">
        <f aca="false">IF($C279="","",xEURO($L279,Call1,$G279,$G279,$S279,$J279,1,3))</f>
        <v>#VALUE!</v>
      </c>
      <c r="AF279" s="90" t="e">
        <f aca="false">IF($C279="","",xEURO($L279,Put1,$G279,$G279,$T279,$J279,0,3))</f>
        <v>#VALUE!</v>
      </c>
      <c r="AG279" s="90" t="e">
        <f aca="false">IF($C279="","",xEURO($L279,Call2,$G279,$G279,$U279,$J279,1,3))</f>
        <v>#VALUE!</v>
      </c>
      <c r="AH279" s="90" t="e">
        <f aca="false">IF($C279="","",xEURO($L279,Put2,$G279,$G279,$V279,$J279,0,3))</f>
        <v>#VALUE!</v>
      </c>
      <c r="AI279" s="8" t="e">
        <f aca="false">IF(E279=1,G279,0)</f>
        <v>#VALUE!</v>
      </c>
      <c r="AJ279" s="8" t="e">
        <f aca="false">IF(E279=1,H279,0)</f>
        <v>#VALUE!</v>
      </c>
      <c r="AK279" s="8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</row>
    <row r="280" customFormat="false" ht="12.75" hidden="false" customHeight="false" outlineLevel="0" collapsed="false">
      <c r="A280" s="95" t="n">
        <f aca="false">Swap!A280</f>
        <v>45352</v>
      </c>
      <c r="B280" s="96" t="n">
        <f aca="false">B279+1</f>
        <v>271</v>
      </c>
      <c r="C280" s="95" t="e">
        <f aca="false">IF(AND(A280&gt;=Front!$E$11,A280&lt;=Front!$E$12),A280,"")</f>
        <v>#VALUE!</v>
      </c>
      <c r="D280" s="87" t="e">
        <f aca="false">Swap!AB280</f>
        <v>#VALUE!</v>
      </c>
      <c r="E280" s="87" t="e">
        <f aca="false">IF($C280="","",1)</f>
        <v>#VALUE!</v>
      </c>
      <c r="F280" s="97" t="e">
        <f aca="false">IF($C280="","",E280*H280)</f>
        <v>#VALUE!</v>
      </c>
      <c r="G280" s="31" t="n">
        <f aca="false">Swap!AG280</f>
        <v>0.0639103915686889</v>
      </c>
      <c r="H280" s="31" t="n">
        <f aca="false">Swap!AH280</f>
        <v>1.1039178261641</v>
      </c>
      <c r="I280" s="92" t="n">
        <f aca="false">INDEX(expery,MATCH(A280,exprymonth,0),2)</f>
        <v>45348</v>
      </c>
      <c r="J280" s="98" t="n">
        <f aca="false">I280-Front!$C$2</f>
        <v>-578</v>
      </c>
      <c r="K280" s="99" t="n">
        <f aca="false">Swap!E280</f>
        <v>5.3095</v>
      </c>
      <c r="L280" s="99" t="e">
        <f aca="false">IF(C280="","",(PriceSwitch=0)*K280+(PriceSwitch=1)*(Front!$H$21+K280)+(PriceSwitch=2)*Front!$H$21)</f>
        <v>#VALUE!</v>
      </c>
      <c r="M280" s="93" t="n">
        <f aca="false">INDEX(vols,MATCH(A280,volsmonth,0),2)</f>
        <v>0.17</v>
      </c>
      <c r="N280" s="3" t="e">
        <f aca="false">IF(Skew_Switch=0,"",IF($C280="","",(Front!$E$20=0)*M280+(Front!$E$20=1)*(Front!$E$21+M280)+(Front!$E$20=2)*Front!$E$21))</f>
        <v>#VALUE!</v>
      </c>
      <c r="O280" s="94" t="e">
        <f aca="false">IF(Skew_Switch=0,"",IF(C280="","",((calcskew(Call1-$L280,$C280,a,b))/100)))</f>
        <v>#VALUE!</v>
      </c>
      <c r="P280" s="94" t="e">
        <f aca="false">IF(Skew_Switch=0,"",IF(C280="","",((calcskew(Put1-$L280,$C280,a,b))/100)))</f>
        <v>#VALUE!</v>
      </c>
      <c r="Q280" s="94" t="e">
        <f aca="false">IF(Skew_Switch=0,"",IF(C280="","",((calcskew(Call2-$L280,$C280,a,b))/100)))</f>
        <v>#VALUE!</v>
      </c>
      <c r="R280" s="94" t="e">
        <f aca="false">IF(Skew_Switch=0,"",IF(C280="","",((calcskew(Put2-$L280,$C280,a,b))/100)))</f>
        <v>#VALUE!</v>
      </c>
      <c r="S280" s="3" t="e">
        <f aca="false">IF($C280="","",(Front!$C$19=0)*$N280+(Front!$C$19=1)*($N280+O280))</f>
        <v>#VALUE!</v>
      </c>
      <c r="T280" s="3" t="e">
        <f aca="false">IF($C280="","",(Front!$C$19=0)*$N280+(Front!$C$19=1)*($N280+P280))</f>
        <v>#VALUE!</v>
      </c>
      <c r="U280" s="3" t="e">
        <f aca="false">IF($C280="","",(Front!$C$19=0)*$N280+(Front!$C$19=1)*($N280+Q280))</f>
        <v>#VALUE!</v>
      </c>
      <c r="V280" s="3" t="e">
        <f aca="false">IF($C280="","",(Front!$C$19=0)*$N280+(Front!$C$19=1)*($N280+R280))</f>
        <v>#VALUE!</v>
      </c>
      <c r="W280" s="90" t="e">
        <f aca="false">IF($C280="","",xEURO($L280,Call1,$G280,$G280,S280,$J280,1,0))</f>
        <v>#VALUE!</v>
      </c>
      <c r="X280" s="90" t="e">
        <f aca="false">IF($C280="","",xEURO($L280,Put1,$G280,$G280,T280,$J280,0,0))</f>
        <v>#VALUE!</v>
      </c>
      <c r="Y280" s="90" t="e">
        <f aca="false">IF($C280="","",xEURO($L280,Call2,$G280,$G280,U280,$J280,1,0))</f>
        <v>#VALUE!</v>
      </c>
      <c r="Z280" s="90" t="e">
        <f aca="false">IF($C280="","",xEURO($L280,Put2,$G280,$G280,V280,$J280,0,0))</f>
        <v>#VALUE!</v>
      </c>
      <c r="AA280" s="90" t="e">
        <f aca="false">IF($C280="","",xEURO($L280,Call1,$G280,$G280,$S280,$J280,1,1))</f>
        <v>#VALUE!</v>
      </c>
      <c r="AB280" s="90" t="e">
        <f aca="false">IF($C280="","",xEURO($L280,Put1,$G280,$G280,$T280,$J280,0,1))</f>
        <v>#VALUE!</v>
      </c>
      <c r="AC280" s="90" t="e">
        <f aca="false">IF($C280="","",xEURO($L280,Call2,$G280,$G280,$U280,$J280,1,1))</f>
        <v>#VALUE!</v>
      </c>
      <c r="AD280" s="90" t="e">
        <f aca="false">IF($C280="","",xEURO($L280,Put2,$G280,$G280,$V280,$J280,0,1))</f>
        <v>#VALUE!</v>
      </c>
      <c r="AE280" s="90" t="e">
        <f aca="false">IF($C280="","",xEURO($L280,Call1,$G280,$G280,$S280,$J280,1,3))</f>
        <v>#VALUE!</v>
      </c>
      <c r="AF280" s="90" t="e">
        <f aca="false">IF($C280="","",xEURO($L280,Put1,$G280,$G280,$T280,$J280,0,3))</f>
        <v>#VALUE!</v>
      </c>
      <c r="AG280" s="90" t="e">
        <f aca="false">IF($C280="","",xEURO($L280,Call2,$G280,$G280,$U280,$J280,1,3))</f>
        <v>#VALUE!</v>
      </c>
      <c r="AH280" s="90" t="e">
        <f aca="false">IF($C280="","",xEURO($L280,Put2,$G280,$G280,$V280,$J280,0,3))</f>
        <v>#VALUE!</v>
      </c>
      <c r="AI280" s="8" t="e">
        <f aca="false">IF(E280=1,G280,0)</f>
        <v>#VALUE!</v>
      </c>
      <c r="AJ280" s="8" t="e">
        <f aca="false">IF(E280=1,H280,0)</f>
        <v>#VALUE!</v>
      </c>
      <c r="AK280" s="8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  <c r="IM280" s="0"/>
      <c r="IN280" s="0"/>
      <c r="IO280" s="0"/>
      <c r="IP280" s="0"/>
      <c r="IQ280" s="0"/>
      <c r="IR280" s="0"/>
      <c r="IS280" s="0"/>
      <c r="IT280" s="0"/>
      <c r="IU280" s="0"/>
      <c r="IV280" s="0"/>
      <c r="IW280" s="0"/>
    </row>
    <row r="281" customFormat="false" ht="12.75" hidden="false" customHeight="false" outlineLevel="0" collapsed="false">
      <c r="A281" s="95" t="n">
        <f aca="false">Swap!A281</f>
        <v>45383</v>
      </c>
      <c r="B281" s="96" t="n">
        <f aca="false">B280+1</f>
        <v>272</v>
      </c>
      <c r="C281" s="95" t="e">
        <f aca="false">IF(AND(A281&gt;=Front!$E$11,A281&lt;=Front!$E$12),A281,"")</f>
        <v>#VALUE!</v>
      </c>
      <c r="D281" s="87" t="e">
        <f aca="false">Swap!AB281</f>
        <v>#VALUE!</v>
      </c>
      <c r="E281" s="87" t="e">
        <f aca="false">IF($C281="","",1)</f>
        <v>#VALUE!</v>
      </c>
      <c r="F281" s="97" t="e">
        <f aca="false">IF($C281="","",E281*H281)</f>
        <v>#VALUE!</v>
      </c>
      <c r="G281" s="31" t="n">
        <f aca="false">Swap!AG281</f>
        <v>0.0639155272685516</v>
      </c>
      <c r="H281" s="31" t="n">
        <f aca="false">Swap!AH281</f>
        <v>1.09804736997781</v>
      </c>
      <c r="I281" s="92" t="n">
        <f aca="false">INDEX(expery,MATCH(A281,exprymonth,0),2)</f>
        <v>45376</v>
      </c>
      <c r="J281" s="98" t="n">
        <f aca="false">I281-Front!$C$2</f>
        <v>-550</v>
      </c>
      <c r="K281" s="99" t="n">
        <f aca="false">Swap!E281</f>
        <v>5.1395</v>
      </c>
      <c r="L281" s="99" t="e">
        <f aca="false">IF(C281="","",(PriceSwitch=0)*K281+(PriceSwitch=1)*(Front!$H$21+K281)+(PriceSwitch=2)*Front!$H$21)</f>
        <v>#VALUE!</v>
      </c>
      <c r="M281" s="93" t="n">
        <f aca="false">INDEX(vols,MATCH(A281,volsmonth,0),2)</f>
        <v>0.17</v>
      </c>
      <c r="N281" s="3" t="e">
        <f aca="false">IF(Skew_Switch=0,"",IF($C281="","",(Front!$E$20=0)*M281+(Front!$E$20=1)*(Front!$E$21+M281)+(Front!$E$20=2)*Front!$E$21))</f>
        <v>#VALUE!</v>
      </c>
      <c r="O281" s="94" t="e">
        <f aca="false">IF(Skew_Switch=0,"",IF(C281="","",((calcskew(Call1-$L281,$C281,a,b))/100)))</f>
        <v>#VALUE!</v>
      </c>
      <c r="P281" s="94" t="e">
        <f aca="false">IF(Skew_Switch=0,"",IF(C281="","",((calcskew(Put1-$L281,$C281,a,b))/100)))</f>
        <v>#VALUE!</v>
      </c>
      <c r="Q281" s="94" t="e">
        <f aca="false">IF(Skew_Switch=0,"",IF(C281="","",((calcskew(Call2-$L281,$C281,a,b))/100)))</f>
        <v>#VALUE!</v>
      </c>
      <c r="R281" s="94" t="e">
        <f aca="false">IF(Skew_Switch=0,"",IF(C281="","",((calcskew(Put2-$L281,$C281,a,b))/100)))</f>
        <v>#VALUE!</v>
      </c>
      <c r="S281" s="3" t="e">
        <f aca="false">IF($C281="","",(Front!$C$19=0)*$N281+(Front!$C$19=1)*($N281+O281))</f>
        <v>#VALUE!</v>
      </c>
      <c r="T281" s="3" t="e">
        <f aca="false">IF($C281="","",(Front!$C$19=0)*$N281+(Front!$C$19=1)*($N281+P281))</f>
        <v>#VALUE!</v>
      </c>
      <c r="U281" s="3" t="e">
        <f aca="false">IF($C281="","",(Front!$C$19=0)*$N281+(Front!$C$19=1)*($N281+Q281))</f>
        <v>#VALUE!</v>
      </c>
      <c r="V281" s="3" t="e">
        <f aca="false">IF($C281="","",(Front!$C$19=0)*$N281+(Front!$C$19=1)*($N281+R281))</f>
        <v>#VALUE!</v>
      </c>
      <c r="W281" s="90" t="e">
        <f aca="false">IF($C281="","",xEURO($L281,Call1,$G281,$G281,S281,$J281,1,0))</f>
        <v>#VALUE!</v>
      </c>
      <c r="X281" s="90" t="e">
        <f aca="false">IF($C281="","",xEURO($L281,Put1,$G281,$G281,T281,$J281,0,0))</f>
        <v>#VALUE!</v>
      </c>
      <c r="Y281" s="90" t="e">
        <f aca="false">IF($C281="","",xEURO($L281,Call2,$G281,$G281,U281,$J281,1,0))</f>
        <v>#VALUE!</v>
      </c>
      <c r="Z281" s="90" t="e">
        <f aca="false">IF($C281="","",xEURO($L281,Put2,$G281,$G281,V281,$J281,0,0))</f>
        <v>#VALUE!</v>
      </c>
      <c r="AA281" s="90" t="e">
        <f aca="false">IF($C281="","",xEURO($L281,Call1,$G281,$G281,$S281,$J281,1,1))</f>
        <v>#VALUE!</v>
      </c>
      <c r="AB281" s="90" t="e">
        <f aca="false">IF($C281="","",xEURO($L281,Put1,$G281,$G281,$T281,$J281,0,1))</f>
        <v>#VALUE!</v>
      </c>
      <c r="AC281" s="90" t="e">
        <f aca="false">IF($C281="","",xEURO($L281,Call2,$G281,$G281,$U281,$J281,1,1))</f>
        <v>#VALUE!</v>
      </c>
      <c r="AD281" s="90" t="e">
        <f aca="false">IF($C281="","",xEURO($L281,Put2,$G281,$G281,$V281,$J281,0,1))</f>
        <v>#VALUE!</v>
      </c>
      <c r="AE281" s="90" t="e">
        <f aca="false">IF($C281="","",xEURO($L281,Call1,$G281,$G281,$S281,$J281,1,3))</f>
        <v>#VALUE!</v>
      </c>
      <c r="AF281" s="90" t="e">
        <f aca="false">IF($C281="","",xEURO($L281,Put1,$G281,$G281,$T281,$J281,0,3))</f>
        <v>#VALUE!</v>
      </c>
      <c r="AG281" s="90" t="e">
        <f aca="false">IF($C281="","",xEURO($L281,Call2,$G281,$G281,$U281,$J281,1,3))</f>
        <v>#VALUE!</v>
      </c>
      <c r="AH281" s="90" t="e">
        <f aca="false">IF($C281="","",xEURO($L281,Put2,$G281,$G281,$V281,$J281,0,3))</f>
        <v>#VALUE!</v>
      </c>
      <c r="AI281" s="8" t="e">
        <f aca="false">IF(E281=1,G281,0)</f>
        <v>#VALUE!</v>
      </c>
      <c r="AJ281" s="8" t="e">
        <f aca="false">IF(E281=1,H281,0)</f>
        <v>#VALUE!</v>
      </c>
      <c r="AK281" s="8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  <c r="IM281" s="0"/>
      <c r="IN281" s="0"/>
      <c r="IO281" s="0"/>
      <c r="IP281" s="0"/>
      <c r="IQ281" s="0"/>
      <c r="IR281" s="0"/>
      <c r="IS281" s="0"/>
      <c r="IT281" s="0"/>
      <c r="IU281" s="0"/>
      <c r="IV281" s="0"/>
      <c r="IW281" s="0"/>
    </row>
    <row r="282" customFormat="false" ht="12.75" hidden="false" customHeight="false" outlineLevel="0" collapsed="false">
      <c r="A282" s="95" t="n">
        <f aca="false">Swap!A282</f>
        <v>45413</v>
      </c>
      <c r="B282" s="96" t="n">
        <f aca="false">B281+1</f>
        <v>273</v>
      </c>
      <c r="C282" s="95" t="e">
        <f aca="false">IF(AND(A282&gt;=Front!$E$11,A282&lt;=Front!$E$12),A282,"")</f>
        <v>#VALUE!</v>
      </c>
      <c r="D282" s="87" t="e">
        <f aca="false">Swap!AB282</f>
        <v>#VALUE!</v>
      </c>
      <c r="E282" s="87" t="e">
        <f aca="false">IF($C282="","",1)</f>
        <v>#VALUE!</v>
      </c>
      <c r="F282" s="97" t="e">
        <f aca="false">IF($C282="","",E282*H282)</f>
        <v>#VALUE!</v>
      </c>
      <c r="G282" s="31" t="n">
        <f aca="false">Swap!AG282</f>
        <v>0.063920497300685</v>
      </c>
      <c r="H282" s="31" t="n">
        <f aca="false">Swap!AH282</f>
        <v>1.0923951301996</v>
      </c>
      <c r="I282" s="92" t="n">
        <f aca="false">INDEX(expery,MATCH(A282,exprymonth,0),2)</f>
        <v>45407</v>
      </c>
      <c r="J282" s="98" t="n">
        <f aca="false">I282-Front!$C$2</f>
        <v>-519</v>
      </c>
      <c r="K282" s="99" t="n">
        <f aca="false">Swap!E282</f>
        <v>5.1395</v>
      </c>
      <c r="L282" s="99" t="e">
        <f aca="false">IF(C282="","",(PriceSwitch=0)*K282+(PriceSwitch=1)*(Front!$H$21+K282)+(PriceSwitch=2)*Front!$H$21)</f>
        <v>#VALUE!</v>
      </c>
      <c r="M282" s="93" t="n">
        <f aca="false">INDEX(vols,MATCH(A282,volsmonth,0),2)</f>
        <v>0.17</v>
      </c>
      <c r="N282" s="3" t="e">
        <f aca="false">IF(Skew_Switch=0,"",IF($C282="","",(Front!$E$20=0)*M282+(Front!$E$20=1)*(Front!$E$21+M282)+(Front!$E$20=2)*Front!$E$21))</f>
        <v>#VALUE!</v>
      </c>
      <c r="O282" s="94" t="e">
        <f aca="false">IF(Skew_Switch=0,"",IF(C282="","",((calcskew(Call1-$L282,$C282,a,b))/100)))</f>
        <v>#VALUE!</v>
      </c>
      <c r="P282" s="94" t="e">
        <f aca="false">IF(Skew_Switch=0,"",IF(C282="","",((calcskew(Put1-$L282,$C282,a,b))/100)))</f>
        <v>#VALUE!</v>
      </c>
      <c r="Q282" s="94" t="e">
        <f aca="false">IF(Skew_Switch=0,"",IF(C282="","",((calcskew(Call2-$L282,$C282,a,b))/100)))</f>
        <v>#VALUE!</v>
      </c>
      <c r="R282" s="94" t="e">
        <f aca="false">IF(Skew_Switch=0,"",IF(C282="","",((calcskew(Put2-$L282,$C282,a,b))/100)))</f>
        <v>#VALUE!</v>
      </c>
      <c r="S282" s="3" t="e">
        <f aca="false">IF($C282="","",(Front!$C$19=0)*$N282+(Front!$C$19=1)*($N282+O282))</f>
        <v>#VALUE!</v>
      </c>
      <c r="T282" s="3" t="e">
        <f aca="false">IF($C282="","",(Front!$C$19=0)*$N282+(Front!$C$19=1)*($N282+P282))</f>
        <v>#VALUE!</v>
      </c>
      <c r="U282" s="3" t="e">
        <f aca="false">IF($C282="","",(Front!$C$19=0)*$N282+(Front!$C$19=1)*($N282+Q282))</f>
        <v>#VALUE!</v>
      </c>
      <c r="V282" s="3" t="e">
        <f aca="false">IF($C282="","",(Front!$C$19=0)*$N282+(Front!$C$19=1)*($N282+R282))</f>
        <v>#VALUE!</v>
      </c>
      <c r="W282" s="90" t="e">
        <f aca="false">IF($C282="","",xEURO($L282,Call1,$G282,$G282,S282,$J282,1,0))</f>
        <v>#VALUE!</v>
      </c>
      <c r="X282" s="90" t="e">
        <f aca="false">IF($C282="","",xEURO($L282,Put1,$G282,$G282,T282,$J282,0,0))</f>
        <v>#VALUE!</v>
      </c>
      <c r="Y282" s="90" t="e">
        <f aca="false">IF($C282="","",xEURO($L282,Call2,$G282,$G282,U282,$J282,1,0))</f>
        <v>#VALUE!</v>
      </c>
      <c r="Z282" s="90" t="e">
        <f aca="false">IF($C282="","",xEURO($L282,Put2,$G282,$G282,V282,$J282,0,0))</f>
        <v>#VALUE!</v>
      </c>
      <c r="AA282" s="90" t="e">
        <f aca="false">IF($C282="","",xEURO($L282,Call1,$G282,$G282,$S282,$J282,1,1))</f>
        <v>#VALUE!</v>
      </c>
      <c r="AB282" s="90" t="e">
        <f aca="false">IF($C282="","",xEURO($L282,Put1,$G282,$G282,$T282,$J282,0,1))</f>
        <v>#VALUE!</v>
      </c>
      <c r="AC282" s="90" t="e">
        <f aca="false">IF($C282="","",xEURO($L282,Call2,$G282,$G282,$U282,$J282,1,1))</f>
        <v>#VALUE!</v>
      </c>
      <c r="AD282" s="90" t="e">
        <f aca="false">IF($C282="","",xEURO($L282,Put2,$G282,$G282,$V282,$J282,0,1))</f>
        <v>#VALUE!</v>
      </c>
      <c r="AE282" s="90" t="e">
        <f aca="false">IF($C282="","",xEURO($L282,Call1,$G282,$G282,$S282,$J282,1,3))</f>
        <v>#VALUE!</v>
      </c>
      <c r="AF282" s="90" t="e">
        <f aca="false">IF($C282="","",xEURO($L282,Put1,$G282,$G282,$T282,$J282,0,3))</f>
        <v>#VALUE!</v>
      </c>
      <c r="AG282" s="90" t="e">
        <f aca="false">IF($C282="","",xEURO($L282,Call2,$G282,$G282,$U282,$J282,1,3))</f>
        <v>#VALUE!</v>
      </c>
      <c r="AH282" s="90" t="e">
        <f aca="false">IF($C282="","",xEURO($L282,Put2,$G282,$G282,$V282,$J282,0,3))</f>
        <v>#VALUE!</v>
      </c>
      <c r="AI282" s="8" t="e">
        <f aca="false">IF(E282=1,G282,0)</f>
        <v>#VALUE!</v>
      </c>
      <c r="AJ282" s="8" t="e">
        <f aca="false">IF(E282=1,H282,0)</f>
        <v>#VALUE!</v>
      </c>
      <c r="AK282" s="8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  <c r="IM282" s="0"/>
      <c r="IN282" s="0"/>
      <c r="IO282" s="0"/>
      <c r="IP282" s="0"/>
      <c r="IQ282" s="0"/>
      <c r="IR282" s="0"/>
      <c r="IS282" s="0"/>
      <c r="IT282" s="0"/>
      <c r="IU282" s="0"/>
      <c r="IV282" s="0"/>
      <c r="IW282" s="0"/>
    </row>
    <row r="283" customFormat="false" ht="12.75" hidden="false" customHeight="false" outlineLevel="0" collapsed="false">
      <c r="A283" s="95" t="n">
        <f aca="false">Swap!A283</f>
        <v>45444</v>
      </c>
      <c r="B283" s="96" t="n">
        <f aca="false">B282+1</f>
        <v>274</v>
      </c>
      <c r="C283" s="95" t="e">
        <f aca="false">IF(AND(A283&gt;=Front!$E$11,A283&lt;=Front!$E$12),A283,"")</f>
        <v>#VALUE!</v>
      </c>
      <c r="D283" s="87" t="e">
        <f aca="false">Swap!AB283</f>
        <v>#VALUE!</v>
      </c>
      <c r="E283" s="87" t="e">
        <f aca="false">IF($C283="","",1)</f>
        <v>#VALUE!</v>
      </c>
      <c r="F283" s="97" t="e">
        <f aca="false">IF($C283="","",E283*H283)</f>
        <v>#VALUE!</v>
      </c>
      <c r="G283" s="31" t="n">
        <f aca="false">Swap!AG283</f>
        <v>0.0639256330005651</v>
      </c>
      <c r="H283" s="31" t="n">
        <f aca="false">Swap!AH283</f>
        <v>1.08658414358626</v>
      </c>
      <c r="I283" s="92" t="n">
        <f aca="false">INDEX(expery,MATCH(A283,exprymonth,0),2)</f>
        <v>45440</v>
      </c>
      <c r="J283" s="98" t="n">
        <f aca="false">I283-Front!$C$2</f>
        <v>-486</v>
      </c>
      <c r="K283" s="99" t="n">
        <f aca="false">Swap!E283</f>
        <v>5.1715</v>
      </c>
      <c r="L283" s="99" t="e">
        <f aca="false">IF(C283="","",(PriceSwitch=0)*K283+(PriceSwitch=1)*(Front!$H$21+K283)+(PriceSwitch=2)*Front!$H$21)</f>
        <v>#VALUE!</v>
      </c>
      <c r="M283" s="93" t="n">
        <f aca="false">INDEX(vols,MATCH(A283,volsmonth,0),2)</f>
        <v>0.17</v>
      </c>
      <c r="N283" s="3" t="e">
        <f aca="false">IF(Skew_Switch=0,"",IF($C283="","",(Front!$E$20=0)*M283+(Front!$E$20=1)*(Front!$E$21+M283)+(Front!$E$20=2)*Front!$E$21))</f>
        <v>#VALUE!</v>
      </c>
      <c r="O283" s="94" t="e">
        <f aca="false">IF(Skew_Switch=0,"",IF(C283="","",((calcskew(Call1-$L283,$C283,a,b))/100)))</f>
        <v>#VALUE!</v>
      </c>
      <c r="P283" s="94" t="e">
        <f aca="false">IF(Skew_Switch=0,"",IF(C283="","",((calcskew(Put1-$L283,$C283,a,b))/100)))</f>
        <v>#VALUE!</v>
      </c>
      <c r="Q283" s="94" t="e">
        <f aca="false">IF(Skew_Switch=0,"",IF(C283="","",((calcskew(Call2-$L283,$C283,a,b))/100)))</f>
        <v>#VALUE!</v>
      </c>
      <c r="R283" s="94" t="e">
        <f aca="false">IF(Skew_Switch=0,"",IF(C283="","",((calcskew(Put2-$L283,$C283,a,b))/100)))</f>
        <v>#VALUE!</v>
      </c>
      <c r="S283" s="3" t="e">
        <f aca="false">IF($C283="","",(Front!$C$19=0)*$N283+(Front!$C$19=1)*($N283+O283))</f>
        <v>#VALUE!</v>
      </c>
      <c r="T283" s="3" t="e">
        <f aca="false">IF($C283="","",(Front!$C$19=0)*$N283+(Front!$C$19=1)*($N283+P283))</f>
        <v>#VALUE!</v>
      </c>
      <c r="U283" s="3" t="e">
        <f aca="false">IF($C283="","",(Front!$C$19=0)*$N283+(Front!$C$19=1)*($N283+Q283))</f>
        <v>#VALUE!</v>
      </c>
      <c r="V283" s="3" t="e">
        <f aca="false">IF($C283="","",(Front!$C$19=0)*$N283+(Front!$C$19=1)*($N283+R283))</f>
        <v>#VALUE!</v>
      </c>
      <c r="W283" s="90" t="e">
        <f aca="false">IF($C283="","",xEURO($L283,Call1,$G283,$G283,S283,$J283,1,0))</f>
        <v>#VALUE!</v>
      </c>
      <c r="X283" s="90" t="e">
        <f aca="false">IF($C283="","",xEURO($L283,Put1,$G283,$G283,T283,$J283,0,0))</f>
        <v>#VALUE!</v>
      </c>
      <c r="Y283" s="90" t="e">
        <f aca="false">IF($C283="","",xEURO($L283,Call2,$G283,$G283,U283,$J283,1,0))</f>
        <v>#VALUE!</v>
      </c>
      <c r="Z283" s="90" t="e">
        <f aca="false">IF($C283="","",xEURO($L283,Put2,$G283,$G283,V283,$J283,0,0))</f>
        <v>#VALUE!</v>
      </c>
      <c r="AA283" s="90" t="e">
        <f aca="false">IF($C283="","",xEURO($L283,Call1,$G283,$G283,$S283,$J283,1,1))</f>
        <v>#VALUE!</v>
      </c>
      <c r="AB283" s="90" t="e">
        <f aca="false">IF($C283="","",xEURO($L283,Put1,$G283,$G283,$T283,$J283,0,1))</f>
        <v>#VALUE!</v>
      </c>
      <c r="AC283" s="90" t="e">
        <f aca="false">IF($C283="","",xEURO($L283,Call2,$G283,$G283,$U283,$J283,1,1))</f>
        <v>#VALUE!</v>
      </c>
      <c r="AD283" s="90" t="e">
        <f aca="false">IF($C283="","",xEURO($L283,Put2,$G283,$G283,$V283,$J283,0,1))</f>
        <v>#VALUE!</v>
      </c>
      <c r="AE283" s="90" t="e">
        <f aca="false">IF($C283="","",xEURO($L283,Call1,$G283,$G283,$S283,$J283,1,3))</f>
        <v>#VALUE!</v>
      </c>
      <c r="AF283" s="90" t="e">
        <f aca="false">IF($C283="","",xEURO($L283,Put1,$G283,$G283,$T283,$J283,0,3))</f>
        <v>#VALUE!</v>
      </c>
      <c r="AG283" s="90" t="e">
        <f aca="false">IF($C283="","",xEURO($L283,Call2,$G283,$G283,$U283,$J283,1,3))</f>
        <v>#VALUE!</v>
      </c>
      <c r="AH283" s="90" t="e">
        <f aca="false">IF($C283="","",xEURO($L283,Put2,$G283,$G283,$V283,$J283,0,3))</f>
        <v>#VALUE!</v>
      </c>
      <c r="AI283" s="8" t="e">
        <f aca="false">IF(E283=1,G283,0)</f>
        <v>#VALUE!</v>
      </c>
      <c r="AJ283" s="8" t="e">
        <f aca="false">IF(E283=1,H283,0)</f>
        <v>#VALUE!</v>
      </c>
      <c r="AK283" s="8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  <row r="284" customFormat="false" ht="12.75" hidden="false" customHeight="false" outlineLevel="0" collapsed="false">
      <c r="A284" s="95" t="n">
        <f aca="false">Swap!A284</f>
        <v>45474</v>
      </c>
      <c r="B284" s="96" t="n">
        <f aca="false">B283+1</f>
        <v>275</v>
      </c>
      <c r="C284" s="95" t="e">
        <f aca="false">IF(AND(A284&gt;=Front!$E$11,A284&lt;=Front!$E$12),A284,"")</f>
        <v>#VALUE!</v>
      </c>
      <c r="D284" s="87" t="e">
        <f aca="false">Swap!AB284</f>
        <v>#VALUE!</v>
      </c>
      <c r="E284" s="87" t="e">
        <f aca="false">IF($C284="","",1)</f>
        <v>#VALUE!</v>
      </c>
      <c r="F284" s="97" t="e">
        <f aca="false">IF($C284="","",E284*H284)</f>
        <v>#VALUE!</v>
      </c>
      <c r="G284" s="31" t="n">
        <f aca="false">Swap!AG284</f>
        <v>0.0639306030327149</v>
      </c>
      <c r="H284" s="31" t="n">
        <f aca="false">Swap!AH284</f>
        <v>1.08098917220904</v>
      </c>
      <c r="I284" s="92" t="n">
        <f aca="false">INDEX(expery,MATCH(A284,exprymonth,0),2)</f>
        <v>45468</v>
      </c>
      <c r="J284" s="98" t="n">
        <f aca="false">I284-Front!$C$2</f>
        <v>-458</v>
      </c>
      <c r="K284" s="99" t="n">
        <f aca="false">Swap!E284</f>
        <v>5.2215</v>
      </c>
      <c r="L284" s="99" t="e">
        <f aca="false">IF(C284="","",(PriceSwitch=0)*K284+(PriceSwitch=1)*(Front!$H$21+K284)+(PriceSwitch=2)*Front!$H$21)</f>
        <v>#VALUE!</v>
      </c>
      <c r="M284" s="93" t="n">
        <f aca="false">INDEX(vols,MATCH(A284,volsmonth,0),2)</f>
        <v>0.17</v>
      </c>
      <c r="N284" s="3" t="e">
        <f aca="false">IF(Skew_Switch=0,"",IF($C284="","",(Front!$E$20=0)*M284+(Front!$E$20=1)*(Front!$E$21+M284)+(Front!$E$20=2)*Front!$E$21))</f>
        <v>#VALUE!</v>
      </c>
      <c r="O284" s="94" t="e">
        <f aca="false">IF(Skew_Switch=0,"",IF(C284="","",((calcskew(Call1-$L284,$C284,a,b))/100)))</f>
        <v>#VALUE!</v>
      </c>
      <c r="P284" s="94" t="e">
        <f aca="false">IF(Skew_Switch=0,"",IF(C284="","",((calcskew(Put1-$L284,$C284,a,b))/100)))</f>
        <v>#VALUE!</v>
      </c>
      <c r="Q284" s="94" t="e">
        <f aca="false">IF(Skew_Switch=0,"",IF(C284="","",((calcskew(Call2-$L284,$C284,a,b))/100)))</f>
        <v>#VALUE!</v>
      </c>
      <c r="R284" s="94" t="e">
        <f aca="false">IF(Skew_Switch=0,"",IF(C284="","",((calcskew(Put2-$L284,$C284,a,b))/100)))</f>
        <v>#VALUE!</v>
      </c>
      <c r="S284" s="3" t="e">
        <f aca="false">IF($C284="","",(Front!$C$19=0)*$N284+(Front!$C$19=1)*($N284+O284))</f>
        <v>#VALUE!</v>
      </c>
      <c r="T284" s="3" t="e">
        <f aca="false">IF($C284="","",(Front!$C$19=0)*$N284+(Front!$C$19=1)*($N284+P284))</f>
        <v>#VALUE!</v>
      </c>
      <c r="U284" s="3" t="e">
        <f aca="false">IF($C284="","",(Front!$C$19=0)*$N284+(Front!$C$19=1)*($N284+Q284))</f>
        <v>#VALUE!</v>
      </c>
      <c r="V284" s="3" t="e">
        <f aca="false">IF($C284="","",(Front!$C$19=0)*$N284+(Front!$C$19=1)*($N284+R284))</f>
        <v>#VALUE!</v>
      </c>
      <c r="W284" s="90" t="e">
        <f aca="false">IF($C284="","",xEURO($L284,Call1,$G284,$G284,S284,$J284,1,0))</f>
        <v>#VALUE!</v>
      </c>
      <c r="X284" s="90" t="e">
        <f aca="false">IF($C284="","",xEURO($L284,Put1,$G284,$G284,T284,$J284,0,0))</f>
        <v>#VALUE!</v>
      </c>
      <c r="Y284" s="90" t="e">
        <f aca="false">IF($C284="","",xEURO($L284,Call2,$G284,$G284,U284,$J284,1,0))</f>
        <v>#VALUE!</v>
      </c>
      <c r="Z284" s="90" t="e">
        <f aca="false">IF($C284="","",xEURO($L284,Put2,$G284,$G284,V284,$J284,0,0))</f>
        <v>#VALUE!</v>
      </c>
      <c r="AA284" s="90" t="e">
        <f aca="false">IF($C284="","",xEURO($L284,Call1,$G284,$G284,$S284,$J284,1,1))</f>
        <v>#VALUE!</v>
      </c>
      <c r="AB284" s="90" t="e">
        <f aca="false">IF($C284="","",xEURO($L284,Put1,$G284,$G284,$T284,$J284,0,1))</f>
        <v>#VALUE!</v>
      </c>
      <c r="AC284" s="90" t="e">
        <f aca="false">IF($C284="","",xEURO($L284,Call2,$G284,$G284,$U284,$J284,1,1))</f>
        <v>#VALUE!</v>
      </c>
      <c r="AD284" s="90" t="e">
        <f aca="false">IF($C284="","",xEURO($L284,Put2,$G284,$G284,$V284,$J284,0,1))</f>
        <v>#VALUE!</v>
      </c>
      <c r="AE284" s="90" t="e">
        <f aca="false">IF($C284="","",xEURO($L284,Call1,$G284,$G284,$S284,$J284,1,3))</f>
        <v>#VALUE!</v>
      </c>
      <c r="AF284" s="90" t="e">
        <f aca="false">IF($C284="","",xEURO($L284,Put1,$G284,$G284,$T284,$J284,0,3))</f>
        <v>#VALUE!</v>
      </c>
      <c r="AG284" s="90" t="e">
        <f aca="false">IF($C284="","",xEURO($L284,Call2,$G284,$G284,$U284,$J284,1,3))</f>
        <v>#VALUE!</v>
      </c>
      <c r="AH284" s="90" t="e">
        <f aca="false">IF($C284="","",xEURO($L284,Put2,$G284,$G284,$V284,$J284,0,3))</f>
        <v>#VALUE!</v>
      </c>
      <c r="AI284" s="8" t="e">
        <f aca="false">IF(E284=1,G284,0)</f>
        <v>#VALUE!</v>
      </c>
      <c r="AJ284" s="8" t="e">
        <f aca="false">IF(E284=1,H284,0)</f>
        <v>#VALUE!</v>
      </c>
      <c r="AK284" s="8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  <c r="IM284" s="0"/>
      <c r="IN284" s="0"/>
      <c r="IO284" s="0"/>
      <c r="IP284" s="0"/>
      <c r="IQ284" s="0"/>
      <c r="IR284" s="0"/>
      <c r="IS284" s="0"/>
      <c r="IT284" s="0"/>
      <c r="IU284" s="0"/>
      <c r="IV284" s="0"/>
      <c r="IW284" s="0"/>
    </row>
    <row r="285" customFormat="false" ht="12.75" hidden="false" customHeight="false" outlineLevel="0" collapsed="false">
      <c r="A285" s="95" t="n">
        <f aca="false">Swap!A285</f>
        <v>45505</v>
      </c>
      <c r="B285" s="96" t="n">
        <f aca="false">B284+1</f>
        <v>276</v>
      </c>
      <c r="C285" s="95" t="e">
        <f aca="false">IF(AND(A285&gt;=Front!$E$11,A285&lt;=Front!$E$12),A285,"")</f>
        <v>#VALUE!</v>
      </c>
      <c r="D285" s="87" t="e">
        <f aca="false">Swap!AB285</f>
        <v>#VALUE!</v>
      </c>
      <c r="E285" s="87" t="e">
        <f aca="false">IF($C285="","",1)</f>
        <v>#VALUE!</v>
      </c>
      <c r="F285" s="97" t="e">
        <f aca="false">IF($C285="","",E285*H285)</f>
        <v>#VALUE!</v>
      </c>
      <c r="G285" s="31" t="n">
        <f aca="false">Swap!AG285</f>
        <v>0.0639357387326118</v>
      </c>
      <c r="H285" s="31" t="n">
        <f aca="false">Swap!AH285</f>
        <v>1.07523707211026</v>
      </c>
      <c r="I285" s="92" t="n">
        <f aca="false">INDEX(expery,MATCH(A285,exprymonth,0),2)</f>
        <v>45499</v>
      </c>
      <c r="J285" s="98" t="n">
        <f aca="false">I285-Front!$C$2</f>
        <v>-427</v>
      </c>
      <c r="K285" s="99" t="n">
        <f aca="false">Swap!E285</f>
        <v>5.2555</v>
      </c>
      <c r="L285" s="99" t="e">
        <f aca="false">IF(C285="","",(PriceSwitch=0)*K285+(PriceSwitch=1)*(Front!$H$21+K285)+(PriceSwitch=2)*Front!$H$21)</f>
        <v>#VALUE!</v>
      </c>
      <c r="M285" s="93" t="n">
        <f aca="false">INDEX(vols,MATCH(A285,volsmonth,0),2)</f>
        <v>0.17</v>
      </c>
      <c r="N285" s="3" t="e">
        <f aca="false">IF(Skew_Switch=0,"",IF($C285="","",(Front!$E$20=0)*M285+(Front!$E$20=1)*(Front!$E$21+M285)+(Front!$E$20=2)*Front!$E$21))</f>
        <v>#VALUE!</v>
      </c>
      <c r="O285" s="94" t="e">
        <f aca="false">IF(Skew_Switch=0,"",IF(C285="","",((calcskew(Call1-$L285,$C285,a,b))/100)))</f>
        <v>#VALUE!</v>
      </c>
      <c r="P285" s="94" t="e">
        <f aca="false">IF(Skew_Switch=0,"",IF(C285="","",((calcskew(Put1-$L285,$C285,a,b))/100)))</f>
        <v>#VALUE!</v>
      </c>
      <c r="Q285" s="94" t="e">
        <f aca="false">IF(Skew_Switch=0,"",IF(C285="","",((calcskew(Call2-$L285,$C285,a,b))/100)))</f>
        <v>#VALUE!</v>
      </c>
      <c r="R285" s="94" t="e">
        <f aca="false">IF(Skew_Switch=0,"",IF(C285="","",((calcskew(Put2-$L285,$C285,a,b))/100)))</f>
        <v>#VALUE!</v>
      </c>
      <c r="S285" s="3" t="e">
        <f aca="false">IF($C285="","",(Front!$C$19=0)*$N285+(Front!$C$19=1)*($N285+O285))</f>
        <v>#VALUE!</v>
      </c>
      <c r="T285" s="3" t="e">
        <f aca="false">IF($C285="","",(Front!$C$19=0)*$N285+(Front!$C$19=1)*($N285+P285))</f>
        <v>#VALUE!</v>
      </c>
      <c r="U285" s="3" t="e">
        <f aca="false">IF($C285="","",(Front!$C$19=0)*$N285+(Front!$C$19=1)*($N285+Q285))</f>
        <v>#VALUE!</v>
      </c>
      <c r="V285" s="3" t="e">
        <f aca="false">IF($C285="","",(Front!$C$19=0)*$N285+(Front!$C$19=1)*($N285+R285))</f>
        <v>#VALUE!</v>
      </c>
      <c r="W285" s="90" t="e">
        <f aca="false">IF($C285="","",xEURO($L285,Call1,$G285,$G285,S285,$J285,1,0))</f>
        <v>#VALUE!</v>
      </c>
      <c r="X285" s="90" t="e">
        <f aca="false">IF($C285="","",xEURO($L285,Put1,$G285,$G285,T285,$J285,0,0))</f>
        <v>#VALUE!</v>
      </c>
      <c r="Y285" s="90" t="e">
        <f aca="false">IF($C285="","",xEURO($L285,Call2,$G285,$G285,U285,$J285,1,0))</f>
        <v>#VALUE!</v>
      </c>
      <c r="Z285" s="90" t="e">
        <f aca="false">IF($C285="","",xEURO($L285,Put2,$G285,$G285,V285,$J285,0,0))</f>
        <v>#VALUE!</v>
      </c>
      <c r="AA285" s="90" t="e">
        <f aca="false">IF($C285="","",xEURO($L285,Call1,$G285,$G285,$S285,$J285,1,1))</f>
        <v>#VALUE!</v>
      </c>
      <c r="AB285" s="90" t="e">
        <f aca="false">IF($C285="","",xEURO($L285,Put1,$G285,$G285,$T285,$J285,0,1))</f>
        <v>#VALUE!</v>
      </c>
      <c r="AC285" s="90" t="e">
        <f aca="false">IF($C285="","",xEURO($L285,Call2,$G285,$G285,$U285,$J285,1,1))</f>
        <v>#VALUE!</v>
      </c>
      <c r="AD285" s="90" t="e">
        <f aca="false">IF($C285="","",xEURO($L285,Put2,$G285,$G285,$V285,$J285,0,1))</f>
        <v>#VALUE!</v>
      </c>
      <c r="AE285" s="90" t="e">
        <f aca="false">IF($C285="","",xEURO($L285,Call1,$G285,$G285,$S285,$J285,1,3))</f>
        <v>#VALUE!</v>
      </c>
      <c r="AF285" s="90" t="e">
        <f aca="false">IF($C285="","",xEURO($L285,Put1,$G285,$G285,$T285,$J285,0,3))</f>
        <v>#VALUE!</v>
      </c>
      <c r="AG285" s="90" t="e">
        <f aca="false">IF($C285="","",xEURO($L285,Call2,$G285,$G285,$U285,$J285,1,3))</f>
        <v>#VALUE!</v>
      </c>
      <c r="AH285" s="90" t="e">
        <f aca="false">IF($C285="","",xEURO($L285,Put2,$G285,$G285,$V285,$J285,0,3))</f>
        <v>#VALUE!</v>
      </c>
      <c r="AI285" s="8" t="e">
        <f aca="false">IF(E285=1,G285,0)</f>
        <v>#VALUE!</v>
      </c>
      <c r="AJ285" s="8" t="e">
        <f aca="false">IF(E285=1,H285,0)</f>
        <v>#VALUE!</v>
      </c>
      <c r="AK285" s="8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  <c r="IM285" s="0"/>
      <c r="IN285" s="0"/>
      <c r="IO285" s="0"/>
      <c r="IP285" s="0"/>
      <c r="IQ285" s="0"/>
      <c r="IR285" s="0"/>
      <c r="IS285" s="0"/>
      <c r="IT285" s="0"/>
      <c r="IU285" s="0"/>
      <c r="IV285" s="0"/>
      <c r="IW285" s="0"/>
    </row>
    <row r="286" customFormat="false" ht="12.75" hidden="false" customHeight="false" outlineLevel="0" collapsed="false">
      <c r="A286" s="95" t="n">
        <f aca="false">Swap!A286</f>
        <v>45536</v>
      </c>
      <c r="B286" s="96" t="n">
        <f aca="false">B285+1</f>
        <v>277</v>
      </c>
      <c r="C286" s="95" t="e">
        <f aca="false">IF(AND(A286&gt;=Front!$E$11,A286&lt;=Front!$E$12),A286,"")</f>
        <v>#VALUE!</v>
      </c>
      <c r="D286" s="87" t="e">
        <f aca="false">Swap!AB286</f>
        <v>#VALUE!</v>
      </c>
      <c r="E286" s="87" t="e">
        <f aca="false">IF($C286="","",1)</f>
        <v>#VALUE!</v>
      </c>
      <c r="F286" s="97" t="e">
        <f aca="false">IF($C286="","",E286*H286)</f>
        <v>#VALUE!</v>
      </c>
      <c r="G286" s="31" t="n">
        <f aca="false">Swap!AG286</f>
        <v>0.0639408744325176</v>
      </c>
      <c r="H286" s="31" t="n">
        <f aca="false">Swap!AH286</f>
        <v>1.06951467626785</v>
      </c>
      <c r="I286" s="92" t="n">
        <f aca="false">INDEX(expery,MATCH(A286,exprymonth,0),2)</f>
        <v>45531</v>
      </c>
      <c r="J286" s="98" t="n">
        <f aca="false">I286-Front!$C$2</f>
        <v>-395</v>
      </c>
      <c r="K286" s="99" t="n">
        <f aca="false">Swap!E286</f>
        <v>5.2685</v>
      </c>
      <c r="L286" s="99" t="e">
        <f aca="false">IF(C286="","",(PriceSwitch=0)*K286+(PriceSwitch=1)*(Front!$H$21+K286)+(PriceSwitch=2)*Front!$H$21)</f>
        <v>#VALUE!</v>
      </c>
      <c r="M286" s="93" t="n">
        <f aca="false">INDEX(vols,MATCH(A286,volsmonth,0),2)</f>
        <v>0.17</v>
      </c>
      <c r="N286" s="3" t="e">
        <f aca="false">IF(Skew_Switch=0,"",IF($C286="","",(Front!$E$20=0)*M286+(Front!$E$20=1)*(Front!$E$21+M286)+(Front!$E$20=2)*Front!$E$21))</f>
        <v>#VALUE!</v>
      </c>
      <c r="O286" s="94" t="e">
        <f aca="false">IF(Skew_Switch=0,"",IF(C286="","",((calcskew(Call1-$L286,$C286,a,b))/100)))</f>
        <v>#VALUE!</v>
      </c>
      <c r="P286" s="94" t="e">
        <f aca="false">IF(Skew_Switch=0,"",IF(C286="","",((calcskew(Put1-$L286,$C286,a,b))/100)))</f>
        <v>#VALUE!</v>
      </c>
      <c r="Q286" s="94" t="e">
        <f aca="false">IF(Skew_Switch=0,"",IF(C286="","",((calcskew(Call2-$L286,$C286,a,b))/100)))</f>
        <v>#VALUE!</v>
      </c>
      <c r="R286" s="94" t="e">
        <f aca="false">IF(Skew_Switch=0,"",IF(C286="","",((calcskew(Put2-$L286,$C286,a,b))/100)))</f>
        <v>#VALUE!</v>
      </c>
      <c r="S286" s="3" t="e">
        <f aca="false">IF($C286="","",(Front!$C$19=0)*$N286+(Front!$C$19=1)*($N286+O286))</f>
        <v>#VALUE!</v>
      </c>
      <c r="T286" s="3" t="e">
        <f aca="false">IF($C286="","",(Front!$C$19=0)*$N286+(Front!$C$19=1)*($N286+P286))</f>
        <v>#VALUE!</v>
      </c>
      <c r="U286" s="3" t="e">
        <f aca="false">IF($C286="","",(Front!$C$19=0)*$N286+(Front!$C$19=1)*($N286+Q286))</f>
        <v>#VALUE!</v>
      </c>
      <c r="V286" s="3" t="e">
        <f aca="false">IF($C286="","",(Front!$C$19=0)*$N286+(Front!$C$19=1)*($N286+R286))</f>
        <v>#VALUE!</v>
      </c>
      <c r="W286" s="90" t="e">
        <f aca="false">IF($C286="","",xEURO($L286,Call1,$G286,$G286,S286,$J286,1,0))</f>
        <v>#VALUE!</v>
      </c>
      <c r="X286" s="90" t="e">
        <f aca="false">IF($C286="","",xEURO($L286,Put1,$G286,$G286,T286,$J286,0,0))</f>
        <v>#VALUE!</v>
      </c>
      <c r="Y286" s="90" t="e">
        <f aca="false">IF($C286="","",xEURO($L286,Call2,$G286,$G286,U286,$J286,1,0))</f>
        <v>#VALUE!</v>
      </c>
      <c r="Z286" s="90" t="e">
        <f aca="false">IF($C286="","",xEURO($L286,Put2,$G286,$G286,V286,$J286,0,0))</f>
        <v>#VALUE!</v>
      </c>
      <c r="AA286" s="90" t="e">
        <f aca="false">IF($C286="","",xEURO($L286,Call1,$G286,$G286,$S286,$J286,1,1))</f>
        <v>#VALUE!</v>
      </c>
      <c r="AB286" s="90" t="e">
        <f aca="false">IF($C286="","",xEURO($L286,Put1,$G286,$G286,$T286,$J286,0,1))</f>
        <v>#VALUE!</v>
      </c>
      <c r="AC286" s="90" t="e">
        <f aca="false">IF($C286="","",xEURO($L286,Call2,$G286,$G286,$U286,$J286,1,1))</f>
        <v>#VALUE!</v>
      </c>
      <c r="AD286" s="90" t="e">
        <f aca="false">IF($C286="","",xEURO($L286,Put2,$G286,$G286,$V286,$J286,0,1))</f>
        <v>#VALUE!</v>
      </c>
      <c r="AE286" s="90" t="e">
        <f aca="false">IF($C286="","",xEURO($L286,Call1,$G286,$G286,$S286,$J286,1,3))</f>
        <v>#VALUE!</v>
      </c>
      <c r="AF286" s="90" t="e">
        <f aca="false">IF($C286="","",xEURO($L286,Put1,$G286,$G286,$T286,$J286,0,3))</f>
        <v>#VALUE!</v>
      </c>
      <c r="AG286" s="90" t="e">
        <f aca="false">IF($C286="","",xEURO($L286,Call2,$G286,$G286,$U286,$J286,1,3))</f>
        <v>#VALUE!</v>
      </c>
      <c r="AH286" s="90" t="e">
        <f aca="false">IF($C286="","",xEURO($L286,Put2,$G286,$G286,$V286,$J286,0,3))</f>
        <v>#VALUE!</v>
      </c>
      <c r="AI286" s="8" t="e">
        <f aca="false">IF(E286=1,G286,0)</f>
        <v>#VALUE!</v>
      </c>
      <c r="AJ286" s="8" t="e">
        <f aca="false">IF(E286=1,H286,0)</f>
        <v>#VALUE!</v>
      </c>
      <c r="AK286" s="8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  <c r="IM286" s="0"/>
      <c r="IN286" s="0"/>
      <c r="IO286" s="0"/>
      <c r="IP286" s="0"/>
      <c r="IQ286" s="0"/>
      <c r="IR286" s="0"/>
      <c r="IS286" s="0"/>
      <c r="IT286" s="0"/>
      <c r="IU286" s="0"/>
      <c r="IV286" s="0"/>
      <c r="IW286" s="0"/>
    </row>
    <row r="287" customFormat="false" ht="12.75" hidden="false" customHeight="false" outlineLevel="0" collapsed="false">
      <c r="A287" s="95" t="n">
        <f aca="false">Swap!A287</f>
        <v>45566</v>
      </c>
      <c r="B287" s="96" t="n">
        <f aca="false">B286+1</f>
        <v>278</v>
      </c>
      <c r="C287" s="95" t="e">
        <f aca="false">IF(AND(A287&gt;=Front!$E$11,A287&lt;=Front!$E$12),A287,"")</f>
        <v>#VALUE!</v>
      </c>
      <c r="D287" s="87" t="e">
        <f aca="false">Swap!AB287</f>
        <v>#VALUE!</v>
      </c>
      <c r="E287" s="87" t="e">
        <f aca="false">IF($C287="","",1)</f>
        <v>#VALUE!</v>
      </c>
      <c r="F287" s="97" t="e">
        <f aca="false">IF($C287="","",E287*H287)</f>
        <v>#VALUE!</v>
      </c>
      <c r="G287" s="31" t="n">
        <f aca="false">Swap!AG287</f>
        <v>0.0639458444646932</v>
      </c>
      <c r="H287" s="31" t="n">
        <f aca="false">Swap!AH287</f>
        <v>1.06400501642814</v>
      </c>
      <c r="I287" s="92" t="n">
        <f aca="false">INDEX(expery,MATCH(A287,exprymonth,0),2)</f>
        <v>45560</v>
      </c>
      <c r="J287" s="98" t="n">
        <f aca="false">I287-Front!$C$2</f>
        <v>-366</v>
      </c>
      <c r="K287" s="99" t="n">
        <f aca="false">Swap!E287</f>
        <v>5.2605</v>
      </c>
      <c r="L287" s="99" t="e">
        <f aca="false">IF(C287="","",(PriceSwitch=0)*K287+(PriceSwitch=1)*(Front!$H$21+K287)+(PriceSwitch=2)*Front!$H$21)</f>
        <v>#VALUE!</v>
      </c>
      <c r="M287" s="93" t="n">
        <f aca="false">INDEX(vols,MATCH(A287,volsmonth,0),2)</f>
        <v>0.17</v>
      </c>
      <c r="N287" s="3" t="e">
        <f aca="false">IF(Skew_Switch=0,"",IF($C287="","",(Front!$E$20=0)*M287+(Front!$E$20=1)*(Front!$E$21+M287)+(Front!$E$20=2)*Front!$E$21))</f>
        <v>#VALUE!</v>
      </c>
      <c r="O287" s="94" t="e">
        <f aca="false">IF(Skew_Switch=0,"",IF(C287="","",((calcskew(Call1-$L287,$C287,a,b))/100)))</f>
        <v>#VALUE!</v>
      </c>
      <c r="P287" s="94" t="e">
        <f aca="false">IF(Skew_Switch=0,"",IF(C287="","",((calcskew(Put1-$L287,$C287,a,b))/100)))</f>
        <v>#VALUE!</v>
      </c>
      <c r="Q287" s="94" t="e">
        <f aca="false">IF(Skew_Switch=0,"",IF(C287="","",((calcskew(Call2-$L287,$C287,a,b))/100)))</f>
        <v>#VALUE!</v>
      </c>
      <c r="R287" s="94" t="e">
        <f aca="false">IF(Skew_Switch=0,"",IF(C287="","",((calcskew(Put2-$L287,$C287,a,b))/100)))</f>
        <v>#VALUE!</v>
      </c>
      <c r="S287" s="3" t="e">
        <f aca="false">IF($C287="","",(Front!$C$19=0)*$N287+(Front!$C$19=1)*($N287+O287))</f>
        <v>#VALUE!</v>
      </c>
      <c r="T287" s="3" t="e">
        <f aca="false">IF($C287="","",(Front!$C$19=0)*$N287+(Front!$C$19=1)*($N287+P287))</f>
        <v>#VALUE!</v>
      </c>
      <c r="U287" s="3" t="e">
        <f aca="false">IF($C287="","",(Front!$C$19=0)*$N287+(Front!$C$19=1)*($N287+Q287))</f>
        <v>#VALUE!</v>
      </c>
      <c r="V287" s="3" t="e">
        <f aca="false">IF($C287="","",(Front!$C$19=0)*$N287+(Front!$C$19=1)*($N287+R287))</f>
        <v>#VALUE!</v>
      </c>
      <c r="W287" s="90" t="e">
        <f aca="false">IF($C287="","",xEURO($L287,Call1,$G287,$G287,S287,$J287,1,0))</f>
        <v>#VALUE!</v>
      </c>
      <c r="X287" s="90" t="e">
        <f aca="false">IF($C287="","",xEURO($L287,Put1,$G287,$G287,T287,$J287,0,0))</f>
        <v>#VALUE!</v>
      </c>
      <c r="Y287" s="90" t="e">
        <f aca="false">IF($C287="","",xEURO($L287,Call2,$G287,$G287,U287,$J287,1,0))</f>
        <v>#VALUE!</v>
      </c>
      <c r="Z287" s="90" t="e">
        <f aca="false">IF($C287="","",xEURO($L287,Put2,$G287,$G287,V287,$J287,0,0))</f>
        <v>#VALUE!</v>
      </c>
      <c r="AA287" s="90" t="e">
        <f aca="false">IF($C287="","",xEURO($L287,Call1,$G287,$G287,$S287,$J287,1,1))</f>
        <v>#VALUE!</v>
      </c>
      <c r="AB287" s="90" t="e">
        <f aca="false">IF($C287="","",xEURO($L287,Put1,$G287,$G287,$T287,$J287,0,1))</f>
        <v>#VALUE!</v>
      </c>
      <c r="AC287" s="90" t="e">
        <f aca="false">IF($C287="","",xEURO($L287,Call2,$G287,$G287,$U287,$J287,1,1))</f>
        <v>#VALUE!</v>
      </c>
      <c r="AD287" s="90" t="e">
        <f aca="false">IF($C287="","",xEURO($L287,Put2,$G287,$G287,$V287,$J287,0,1))</f>
        <v>#VALUE!</v>
      </c>
      <c r="AE287" s="90" t="e">
        <f aca="false">IF($C287="","",xEURO($L287,Call1,$G287,$G287,$S287,$J287,1,3))</f>
        <v>#VALUE!</v>
      </c>
      <c r="AF287" s="90" t="e">
        <f aca="false">IF($C287="","",xEURO($L287,Put1,$G287,$G287,$T287,$J287,0,3))</f>
        <v>#VALUE!</v>
      </c>
      <c r="AG287" s="90" t="e">
        <f aca="false">IF($C287="","",xEURO($L287,Call2,$G287,$G287,$U287,$J287,1,3))</f>
        <v>#VALUE!</v>
      </c>
      <c r="AH287" s="90" t="e">
        <f aca="false">IF($C287="","",xEURO($L287,Put2,$G287,$G287,$V287,$J287,0,3))</f>
        <v>#VALUE!</v>
      </c>
      <c r="AI287" s="8" t="e">
        <f aca="false">IF(E287=1,G287,0)</f>
        <v>#VALUE!</v>
      </c>
      <c r="AJ287" s="8" t="e">
        <f aca="false">IF(E287=1,H287,0)</f>
        <v>#VALUE!</v>
      </c>
      <c r="AK287" s="8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  <c r="IM287" s="0"/>
      <c r="IN287" s="0"/>
      <c r="IO287" s="0"/>
      <c r="IP287" s="0"/>
      <c r="IQ287" s="0"/>
      <c r="IR287" s="0"/>
      <c r="IS287" s="0"/>
      <c r="IT287" s="0"/>
      <c r="IU287" s="0"/>
      <c r="IV287" s="0"/>
      <c r="IW287" s="0"/>
    </row>
    <row r="288" customFormat="false" ht="12.75" hidden="false" customHeight="false" outlineLevel="0" collapsed="false">
      <c r="A288" s="95" t="n">
        <f aca="false">Swap!A288</f>
        <v>45597</v>
      </c>
      <c r="B288" s="96" t="n">
        <f aca="false">B287+1</f>
        <v>279</v>
      </c>
      <c r="C288" s="95" t="e">
        <f aca="false">IF(AND(A288&gt;=Front!$E$11,A288&lt;=Front!$E$12),A288,"")</f>
        <v>#VALUE!</v>
      </c>
      <c r="D288" s="87" t="e">
        <f aca="false">Swap!AB288</f>
        <v>#VALUE!</v>
      </c>
      <c r="E288" s="87" t="e">
        <f aca="false">IF($C288="","",1)</f>
        <v>#VALUE!</v>
      </c>
      <c r="F288" s="97" t="e">
        <f aca="false">IF($C288="","",E288*H288)</f>
        <v>#VALUE!</v>
      </c>
      <c r="G288" s="31" t="n">
        <f aca="false">Swap!AG288</f>
        <v>0.0639509801646163</v>
      </c>
      <c r="H288" s="31" t="n">
        <f aca="false">Swap!AH288</f>
        <v>1.05834063814503</v>
      </c>
      <c r="I288" s="92" t="n">
        <f aca="false">INDEX(expery,MATCH(A288,exprymonth,0),2)</f>
        <v>45593</v>
      </c>
      <c r="J288" s="98" t="n">
        <f aca="false">I288-Front!$C$2</f>
        <v>-333</v>
      </c>
      <c r="K288" s="99" t="n">
        <f aca="false">Swap!E288</f>
        <v>5.4305</v>
      </c>
      <c r="L288" s="99" t="e">
        <f aca="false">IF(C288="","",(PriceSwitch=0)*K288+(PriceSwitch=1)*(Front!$H$21+K288)+(PriceSwitch=2)*Front!$H$21)</f>
        <v>#VALUE!</v>
      </c>
      <c r="M288" s="93" t="n">
        <f aca="false">INDEX(vols,MATCH(A288,volsmonth,0),2)</f>
        <v>0.17</v>
      </c>
      <c r="N288" s="3" t="e">
        <f aca="false">IF(Skew_Switch=0,"",IF($C288="","",(Front!$E$20=0)*M288+(Front!$E$20=1)*(Front!$E$21+M288)+(Front!$E$20=2)*Front!$E$21))</f>
        <v>#VALUE!</v>
      </c>
      <c r="O288" s="94" t="e">
        <f aca="false">IF(Skew_Switch=0,"",IF(C288="","",((calcskew(Call1-$L288,$C288,a,b))/100)))</f>
        <v>#VALUE!</v>
      </c>
      <c r="P288" s="94" t="e">
        <f aca="false">IF(Skew_Switch=0,"",IF(C288="","",((calcskew(Put1-$L288,$C288,a,b))/100)))</f>
        <v>#VALUE!</v>
      </c>
      <c r="Q288" s="94" t="e">
        <f aca="false">IF(Skew_Switch=0,"",IF(C288="","",((calcskew(Call2-$L288,$C288,a,b))/100)))</f>
        <v>#VALUE!</v>
      </c>
      <c r="R288" s="94" t="e">
        <f aca="false">IF(Skew_Switch=0,"",IF(C288="","",((calcskew(Put2-$L288,$C288,a,b))/100)))</f>
        <v>#VALUE!</v>
      </c>
      <c r="S288" s="3" t="e">
        <f aca="false">IF($C288="","",(Front!$C$19=0)*$N288+(Front!$C$19=1)*($N288+O288))</f>
        <v>#VALUE!</v>
      </c>
      <c r="T288" s="3" t="e">
        <f aca="false">IF($C288="","",(Front!$C$19=0)*$N288+(Front!$C$19=1)*($N288+P288))</f>
        <v>#VALUE!</v>
      </c>
      <c r="U288" s="3" t="e">
        <f aca="false">IF($C288="","",(Front!$C$19=0)*$N288+(Front!$C$19=1)*($N288+Q288))</f>
        <v>#VALUE!</v>
      </c>
      <c r="V288" s="3" t="e">
        <f aca="false">IF($C288="","",(Front!$C$19=0)*$N288+(Front!$C$19=1)*($N288+R288))</f>
        <v>#VALUE!</v>
      </c>
      <c r="W288" s="90" t="e">
        <f aca="false">IF($C288="","",xEURO($L288,Call1,$G288,$G288,S288,$J288,1,0))</f>
        <v>#VALUE!</v>
      </c>
      <c r="X288" s="90" t="e">
        <f aca="false">IF($C288="","",xEURO($L288,Put1,$G288,$G288,T288,$J288,0,0))</f>
        <v>#VALUE!</v>
      </c>
      <c r="Y288" s="90" t="e">
        <f aca="false">IF($C288="","",xEURO($L288,Call2,$G288,$G288,U288,$J288,1,0))</f>
        <v>#VALUE!</v>
      </c>
      <c r="Z288" s="90" t="e">
        <f aca="false">IF($C288="","",xEURO($L288,Put2,$G288,$G288,V288,$J288,0,0))</f>
        <v>#VALUE!</v>
      </c>
      <c r="AA288" s="90" t="e">
        <f aca="false">IF($C288="","",xEURO($L288,Call1,$G288,$G288,$S288,$J288,1,1))</f>
        <v>#VALUE!</v>
      </c>
      <c r="AB288" s="90" t="e">
        <f aca="false">IF($C288="","",xEURO($L288,Put1,$G288,$G288,$T288,$J288,0,1))</f>
        <v>#VALUE!</v>
      </c>
      <c r="AC288" s="90" t="e">
        <f aca="false">IF($C288="","",xEURO($L288,Call2,$G288,$G288,$U288,$J288,1,1))</f>
        <v>#VALUE!</v>
      </c>
      <c r="AD288" s="90" t="e">
        <f aca="false">IF($C288="","",xEURO($L288,Put2,$G288,$G288,$V288,$J288,0,1))</f>
        <v>#VALUE!</v>
      </c>
      <c r="AE288" s="90" t="e">
        <f aca="false">IF($C288="","",xEURO($L288,Call1,$G288,$G288,$S288,$J288,1,3))</f>
        <v>#VALUE!</v>
      </c>
      <c r="AF288" s="90" t="e">
        <f aca="false">IF($C288="","",xEURO($L288,Put1,$G288,$G288,$T288,$J288,0,3))</f>
        <v>#VALUE!</v>
      </c>
      <c r="AG288" s="90" t="e">
        <f aca="false">IF($C288="","",xEURO($L288,Call2,$G288,$G288,$U288,$J288,1,3))</f>
        <v>#VALUE!</v>
      </c>
      <c r="AH288" s="90" t="e">
        <f aca="false">IF($C288="","",xEURO($L288,Put2,$G288,$G288,$V288,$J288,0,3))</f>
        <v>#VALUE!</v>
      </c>
      <c r="AI288" s="8" t="e">
        <f aca="false">IF(E288=1,G288,0)</f>
        <v>#VALUE!</v>
      </c>
      <c r="AJ288" s="8" t="e">
        <f aca="false">IF(E288=1,H288,0)</f>
        <v>#VALUE!</v>
      </c>
      <c r="AK288" s="8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</row>
    <row r="289" customFormat="false" ht="12.75" hidden="false" customHeight="false" outlineLevel="0" collapsed="false">
      <c r="A289" s="95" t="n">
        <f aca="false">Swap!A289</f>
        <v>45627</v>
      </c>
      <c r="B289" s="96" t="n">
        <f aca="false">B288+1</f>
        <v>280</v>
      </c>
      <c r="C289" s="95" t="e">
        <f aca="false">IF(AND(A289&gt;=Front!$E$11,A289&lt;=Front!$E$12),A289,"")</f>
        <v>#VALUE!</v>
      </c>
      <c r="D289" s="87" t="e">
        <f aca="false">Swap!AB289</f>
        <v>#VALUE!</v>
      </c>
      <c r="E289" s="87" t="e">
        <f aca="false">IF($C289="","",1)</f>
        <v>#VALUE!</v>
      </c>
      <c r="F289" s="97" t="e">
        <f aca="false">IF($C289="","",E289*H289)</f>
        <v>#VALUE!</v>
      </c>
      <c r="G289" s="31" t="n">
        <f aca="false">Swap!AG289</f>
        <v>0.0639559501968079</v>
      </c>
      <c r="H289" s="31" t="n">
        <f aca="false">Swap!AH289</f>
        <v>1.05288684819222</v>
      </c>
      <c r="I289" s="92" t="n">
        <f aca="false">INDEX(expery,MATCH(A289,exprymonth,0),2)</f>
        <v>45621</v>
      </c>
      <c r="J289" s="98" t="n">
        <f aca="false">I289-Front!$C$2</f>
        <v>-305</v>
      </c>
      <c r="K289" s="99" t="n">
        <f aca="false">Swap!E289</f>
        <v>5.6055</v>
      </c>
      <c r="L289" s="99" t="e">
        <f aca="false">IF(C289="","",(PriceSwitch=0)*K289+(PriceSwitch=1)*(Front!$H$21+K289)+(PriceSwitch=2)*Front!$H$21)</f>
        <v>#VALUE!</v>
      </c>
      <c r="M289" s="93" t="n">
        <f aca="false">INDEX(vols,MATCH(A289,volsmonth,0),2)</f>
        <v>0.17</v>
      </c>
      <c r="N289" s="3" t="e">
        <f aca="false">IF(Skew_Switch=0,"",IF($C289="","",(Front!$E$20=0)*M289+(Front!$E$20=1)*(Front!$E$21+M289)+(Front!$E$20=2)*Front!$E$21))</f>
        <v>#VALUE!</v>
      </c>
      <c r="O289" s="94" t="e">
        <f aca="false">IF(Skew_Switch=0,"",IF(C289="","",((calcskew(Call1-$L289,$C289,a,b))/100)))</f>
        <v>#VALUE!</v>
      </c>
      <c r="P289" s="94" t="e">
        <f aca="false">IF(Skew_Switch=0,"",IF(C289="","",((calcskew(Put1-$L289,$C289,a,b))/100)))</f>
        <v>#VALUE!</v>
      </c>
      <c r="Q289" s="94" t="e">
        <f aca="false">IF(Skew_Switch=0,"",IF(C289="","",((calcskew(Call2-$L289,$C289,a,b))/100)))</f>
        <v>#VALUE!</v>
      </c>
      <c r="R289" s="94" t="e">
        <f aca="false">IF(Skew_Switch=0,"",IF(C289="","",((calcskew(Put2-$L289,$C289,a,b))/100)))</f>
        <v>#VALUE!</v>
      </c>
      <c r="S289" s="3" t="e">
        <f aca="false">IF($C289="","",(Front!$C$19=0)*$N289+(Front!$C$19=1)*($N289+O289))</f>
        <v>#VALUE!</v>
      </c>
      <c r="T289" s="3" t="e">
        <f aca="false">IF($C289="","",(Front!$C$19=0)*$N289+(Front!$C$19=1)*($N289+P289))</f>
        <v>#VALUE!</v>
      </c>
      <c r="U289" s="3" t="e">
        <f aca="false">IF($C289="","",(Front!$C$19=0)*$N289+(Front!$C$19=1)*($N289+Q289))</f>
        <v>#VALUE!</v>
      </c>
      <c r="V289" s="3" t="e">
        <f aca="false">IF($C289="","",(Front!$C$19=0)*$N289+(Front!$C$19=1)*($N289+R289))</f>
        <v>#VALUE!</v>
      </c>
      <c r="W289" s="90" t="e">
        <f aca="false">IF($C289="","",xEURO($L289,Call1,$G289,$G289,S289,$J289,1,0))</f>
        <v>#VALUE!</v>
      </c>
      <c r="X289" s="90" t="e">
        <f aca="false">IF($C289="","",xEURO($L289,Put1,$G289,$G289,T289,$J289,0,0))</f>
        <v>#VALUE!</v>
      </c>
      <c r="Y289" s="90" t="e">
        <f aca="false">IF($C289="","",xEURO($L289,Call2,$G289,$G289,U289,$J289,1,0))</f>
        <v>#VALUE!</v>
      </c>
      <c r="Z289" s="90" t="e">
        <f aca="false">IF($C289="","",xEURO($L289,Put2,$G289,$G289,V289,$J289,0,0))</f>
        <v>#VALUE!</v>
      </c>
      <c r="AA289" s="90" t="e">
        <f aca="false">IF($C289="","",xEURO($L289,Call1,$G289,$G289,$S289,$J289,1,1))</f>
        <v>#VALUE!</v>
      </c>
      <c r="AB289" s="90" t="e">
        <f aca="false">IF($C289="","",xEURO($L289,Put1,$G289,$G289,$T289,$J289,0,1))</f>
        <v>#VALUE!</v>
      </c>
      <c r="AC289" s="90" t="e">
        <f aca="false">IF($C289="","",xEURO($L289,Call2,$G289,$G289,$U289,$J289,1,1))</f>
        <v>#VALUE!</v>
      </c>
      <c r="AD289" s="90" t="e">
        <f aca="false">IF($C289="","",xEURO($L289,Put2,$G289,$G289,$V289,$J289,0,1))</f>
        <v>#VALUE!</v>
      </c>
      <c r="AE289" s="90" t="e">
        <f aca="false">IF($C289="","",xEURO($L289,Call1,$G289,$G289,$S289,$J289,1,3))</f>
        <v>#VALUE!</v>
      </c>
      <c r="AF289" s="90" t="e">
        <f aca="false">IF($C289="","",xEURO($L289,Put1,$G289,$G289,$T289,$J289,0,3))</f>
        <v>#VALUE!</v>
      </c>
      <c r="AG289" s="90" t="e">
        <f aca="false">IF($C289="","",xEURO($L289,Call2,$G289,$G289,$U289,$J289,1,3))</f>
        <v>#VALUE!</v>
      </c>
      <c r="AH289" s="90" t="e">
        <f aca="false">IF($C289="","",xEURO($L289,Put2,$G289,$G289,$V289,$J289,0,3))</f>
        <v>#VALUE!</v>
      </c>
      <c r="AI289" s="8" t="e">
        <f aca="false">IF(E289=1,G289,0)</f>
        <v>#VALUE!</v>
      </c>
      <c r="AJ289" s="8" t="e">
        <f aca="false">IF(E289=1,H289,0)</f>
        <v>#VALUE!</v>
      </c>
      <c r="AK289" s="8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</row>
    <row r="290" customFormat="false" ht="12.75" hidden="false" customHeight="false" outlineLevel="0" collapsed="false">
      <c r="A290" s="95" t="n">
        <f aca="false">Swap!A290</f>
        <v>45658</v>
      </c>
      <c r="B290" s="96" t="n">
        <f aca="false">B289+1</f>
        <v>281</v>
      </c>
      <c r="C290" s="95" t="e">
        <f aca="false">IF(AND(A290&gt;=Front!$E$11,A290&lt;=Front!$E$12),A290,"")</f>
        <v>#VALUE!</v>
      </c>
      <c r="D290" s="87" t="e">
        <f aca="false">Swap!AB290</f>
        <v>#VALUE!</v>
      </c>
      <c r="E290" s="87" t="e">
        <f aca="false">IF($C290="","",1)</f>
        <v>#VALUE!</v>
      </c>
      <c r="F290" s="97" t="e">
        <f aca="false">IF($C290="","",E290*H290)</f>
        <v>#VALUE!</v>
      </c>
      <c r="G290" s="31" t="e">
        <f aca="false">Swap!AG290</f>
        <v>#N/A</v>
      </c>
      <c r="H290" s="31" t="e">
        <f aca="false">Swap!AH290</f>
        <v>#N/A</v>
      </c>
      <c r="I290" s="92" t="n">
        <f aca="false">INDEX(expery,MATCH(A290,exprymonth,0),2)</f>
        <v>45652</v>
      </c>
      <c r="J290" s="98" t="n">
        <f aca="false">I290-Front!$C$2</f>
        <v>-274</v>
      </c>
      <c r="K290" s="99" t="n">
        <f aca="false">Swap!E290</f>
        <v>5.663</v>
      </c>
      <c r="L290" s="99" t="e">
        <f aca="false">IF(C290="","",(PriceSwitch=0)*K290+(PriceSwitch=1)*(Front!$H$21+K290)+(PriceSwitch=2)*Front!$H$21)</f>
        <v>#VALUE!</v>
      </c>
      <c r="M290" s="93" t="e">
        <f aca="false">INDEX(vols,MATCH(A290,volsmonth,0),2)</f>
        <v>#N/A</v>
      </c>
      <c r="N290" s="3" t="e">
        <f aca="false">IF(Skew_Switch=0,"",IF($C290="","",(Front!$E$20=0)*M290+(Front!$E$20=1)*(Front!$E$21+M290)+(Front!$E$20=2)*Front!$E$21))</f>
        <v>#VALUE!</v>
      </c>
      <c r="O290" s="94" t="e">
        <f aca="false">IF(Skew_Switch=0,"",IF(C290="","",((calcskew(Call1-$L290,$C290,a,b))/100)))</f>
        <v>#VALUE!</v>
      </c>
      <c r="P290" s="94" t="e">
        <f aca="false">IF(Skew_Switch=0,"",IF(C290="","",((calcskew(Put1-$L290,$C290,a,b))/100)))</f>
        <v>#VALUE!</v>
      </c>
      <c r="Q290" s="94" t="e">
        <f aca="false">IF(Skew_Switch=0,"",IF(C290="","",((calcskew(Call2-$L290,$C290,a,b))/100)))</f>
        <v>#VALUE!</v>
      </c>
      <c r="R290" s="94" t="e">
        <f aca="false">IF(Skew_Switch=0,"",IF(C290="","",((calcskew(Put2-$L290,$C290,a,b))/100)))</f>
        <v>#VALUE!</v>
      </c>
      <c r="S290" s="3" t="e">
        <f aca="false">IF($C290="","",(Front!$C$19=0)*$N290+(Front!$C$19=1)*($N290+O290))</f>
        <v>#VALUE!</v>
      </c>
      <c r="T290" s="3" t="e">
        <f aca="false">IF($C290="","",(Front!$C$19=0)*$N290+(Front!$C$19=1)*($N290+P290))</f>
        <v>#VALUE!</v>
      </c>
      <c r="U290" s="3" t="e">
        <f aca="false">IF($C290="","",(Front!$C$19=0)*$N290+(Front!$C$19=1)*($N290+Q290))</f>
        <v>#VALUE!</v>
      </c>
      <c r="V290" s="3" t="e">
        <f aca="false">IF($C290="","",(Front!$C$19=0)*$N290+(Front!$C$19=1)*($N290+R290))</f>
        <v>#VALUE!</v>
      </c>
      <c r="W290" s="90" t="e">
        <f aca="false">IF($C290="","",xEURO($L290,Call1,$G290,$G290,S290,$J290,1,0))</f>
        <v>#VALUE!</v>
      </c>
      <c r="X290" s="90" t="e">
        <f aca="false">IF($C290="","",xEURO($L290,Put1,$G290,$G290,T290,$J290,0,0))</f>
        <v>#VALUE!</v>
      </c>
      <c r="Y290" s="90" t="e">
        <f aca="false">IF($C290="","",xEURO($L290,Call2,$G290,$G290,U290,$J290,1,0))</f>
        <v>#VALUE!</v>
      </c>
      <c r="Z290" s="90" t="e">
        <f aca="false">IF($C290="","",xEURO($L290,Put2,$G290,$G290,V290,$J290,0,0))</f>
        <v>#VALUE!</v>
      </c>
      <c r="AA290" s="90" t="e">
        <f aca="false">IF($C290="","",xEURO($L290,Call1,$G290,$G290,$S290,$J290,1,1))</f>
        <v>#VALUE!</v>
      </c>
      <c r="AB290" s="90" t="e">
        <f aca="false">IF($C290="","",xEURO($L290,Put1,$G290,$G290,$T290,$J290,0,1))</f>
        <v>#VALUE!</v>
      </c>
      <c r="AC290" s="90" t="e">
        <f aca="false">IF($C290="","",xEURO($L290,Call2,$G290,$G290,$U290,$J290,1,1))</f>
        <v>#VALUE!</v>
      </c>
      <c r="AD290" s="90" t="e">
        <f aca="false">IF($C290="","",xEURO($L290,Put2,$G290,$G290,$V290,$J290,0,1))</f>
        <v>#VALUE!</v>
      </c>
      <c r="AE290" s="90" t="e">
        <f aca="false">IF($C290="","",xEURO($L290,Call1,$G290,$G290,$S290,$J290,1,3))</f>
        <v>#VALUE!</v>
      </c>
      <c r="AF290" s="90" t="e">
        <f aca="false">IF($C290="","",xEURO($L290,Put1,$G290,$G290,$T290,$J290,0,3))</f>
        <v>#VALUE!</v>
      </c>
      <c r="AG290" s="90" t="e">
        <f aca="false">IF($C290="","",xEURO($L290,Call2,$G290,$G290,$U290,$J290,1,3))</f>
        <v>#VALUE!</v>
      </c>
      <c r="AH290" s="90" t="e">
        <f aca="false">IF($C290="","",xEURO($L290,Put2,$G290,$G290,$V290,$J290,0,3))</f>
        <v>#VALUE!</v>
      </c>
      <c r="AI290" s="8" t="e">
        <f aca="false">IF(E290=1,G290,0)</f>
        <v>#VALUE!</v>
      </c>
      <c r="AJ290" s="8" t="e">
        <f aca="false">IF(E290=1,H290,0)</f>
        <v>#VALUE!</v>
      </c>
      <c r="AK290" s="8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  <c r="IM290" s="0"/>
      <c r="IN290" s="0"/>
      <c r="IO290" s="0"/>
      <c r="IP290" s="0"/>
      <c r="IQ290" s="0"/>
      <c r="IR290" s="0"/>
      <c r="IS290" s="0"/>
      <c r="IT290" s="0"/>
      <c r="IU290" s="0"/>
      <c r="IV290" s="0"/>
      <c r="IW290" s="0"/>
    </row>
    <row r="291" customFormat="false" ht="12.75" hidden="false" customHeight="false" outlineLevel="0" collapsed="false">
      <c r="A291" s="95" t="n">
        <f aca="false">Swap!A291</f>
        <v>45689</v>
      </c>
      <c r="B291" s="96" t="n">
        <f aca="false">B290+1</f>
        <v>282</v>
      </c>
      <c r="C291" s="95" t="e">
        <f aca="false">IF(AND(A291&gt;=Front!$E$11,A291&lt;=Front!$E$12),A291,"")</f>
        <v>#VALUE!</v>
      </c>
      <c r="D291" s="87" t="e">
        <f aca="false">Swap!AB291</f>
        <v>#VALUE!</v>
      </c>
      <c r="E291" s="87" t="e">
        <f aca="false">IF($C291="","",1)</f>
        <v>#VALUE!</v>
      </c>
      <c r="F291" s="97" t="e">
        <f aca="false">IF($C291="","",E291*H291)</f>
        <v>#VALUE!</v>
      </c>
      <c r="G291" s="31" t="e">
        <f aca="false">Swap!AG291</f>
        <v>#N/A</v>
      </c>
      <c r="H291" s="31" t="e">
        <f aca="false">Swap!AH291</f>
        <v>#N/A</v>
      </c>
      <c r="I291" s="92" t="n">
        <f aca="false">INDEX(expery,MATCH(A291,exprymonth,0),2)</f>
        <v>45685</v>
      </c>
      <c r="J291" s="98" t="n">
        <f aca="false">I291-Front!$C$2</f>
        <v>-241</v>
      </c>
      <c r="K291" s="99" t="n">
        <f aca="false">Swap!E291</f>
        <v>0</v>
      </c>
      <c r="L291" s="99" t="e">
        <f aca="false">IF(C291="","",(PriceSwitch=0)*K291+(PriceSwitch=1)*(Front!$H$21+K291)+(PriceSwitch=2)*Front!$H$21)</f>
        <v>#VALUE!</v>
      </c>
      <c r="M291" s="93" t="e">
        <f aca="false">INDEX(vols,MATCH(A291,volsmonth,0),2)</f>
        <v>#N/A</v>
      </c>
      <c r="N291" s="3" t="e">
        <f aca="false">IF(Skew_Switch=0,"",IF($C291="","",(Front!$E$20=0)*M291+(Front!$E$20=1)*(Front!$E$21+M291)+(Front!$E$20=2)*Front!$E$21))</f>
        <v>#VALUE!</v>
      </c>
      <c r="O291" s="94" t="e">
        <f aca="false">IF(Skew_Switch=0,"",IF(C291="","",((calcskew(Call1-$L291,$C291,a,b))/100)))</f>
        <v>#VALUE!</v>
      </c>
      <c r="P291" s="94" t="e">
        <f aca="false">IF(Skew_Switch=0,"",IF(C291="","",((calcskew(Put1-$L291,$C291,a,b))/100)))</f>
        <v>#VALUE!</v>
      </c>
      <c r="Q291" s="94" t="e">
        <f aca="false">IF(Skew_Switch=0,"",IF(C291="","",((calcskew(Call2-$L291,$C291,a,b))/100)))</f>
        <v>#VALUE!</v>
      </c>
      <c r="R291" s="94" t="e">
        <f aca="false">IF(Skew_Switch=0,"",IF(C291="","",((calcskew(Put2-$L291,$C291,a,b))/100)))</f>
        <v>#VALUE!</v>
      </c>
      <c r="S291" s="3" t="e">
        <f aca="false">IF($C291="","",(Front!$C$19=0)*$N291+(Front!$C$19=1)*($N291+O291))</f>
        <v>#VALUE!</v>
      </c>
      <c r="T291" s="3" t="e">
        <f aca="false">IF($C291="","",(Front!$C$19=0)*$N291+(Front!$C$19=1)*($N291+P291))</f>
        <v>#VALUE!</v>
      </c>
      <c r="U291" s="3" t="e">
        <f aca="false">IF($C291="","",(Front!$C$19=0)*$N291+(Front!$C$19=1)*($N291+Q291))</f>
        <v>#VALUE!</v>
      </c>
      <c r="V291" s="3" t="e">
        <f aca="false">IF($C291="","",(Front!$C$19=0)*$N291+(Front!$C$19=1)*($N291+R291))</f>
        <v>#VALUE!</v>
      </c>
      <c r="W291" s="90" t="e">
        <f aca="false">IF($C291="","",xEURO($L291,Call1,$G291,$G291,S291,$J291,1,0))</f>
        <v>#VALUE!</v>
      </c>
      <c r="X291" s="90" t="e">
        <f aca="false">IF($C291="","",xEURO($L291,Put1,$G291,$G291,T291,$J291,0,0))</f>
        <v>#VALUE!</v>
      </c>
      <c r="Y291" s="90" t="e">
        <f aca="false">IF($C291="","",xEURO($L291,Call2,$G291,$G291,U291,$J291,1,0))</f>
        <v>#VALUE!</v>
      </c>
      <c r="Z291" s="90" t="e">
        <f aca="false">IF($C291="","",xEURO($L291,Put2,$G291,$G291,V291,$J291,0,0))</f>
        <v>#VALUE!</v>
      </c>
      <c r="AA291" s="90" t="e">
        <f aca="false">IF($C291="","",xEURO($L291,Call1,$G291,$G291,$S291,$J291,1,1))</f>
        <v>#VALUE!</v>
      </c>
      <c r="AB291" s="90" t="e">
        <f aca="false">IF($C291="","",xEURO($L291,Put1,$G291,$G291,$T291,$J291,0,1))</f>
        <v>#VALUE!</v>
      </c>
      <c r="AC291" s="90" t="e">
        <f aca="false">IF($C291="","",xEURO($L291,Call2,$G291,$G291,$U291,$J291,1,1))</f>
        <v>#VALUE!</v>
      </c>
      <c r="AD291" s="90" t="e">
        <f aca="false">IF($C291="","",xEURO($L291,Put2,$G291,$G291,$V291,$J291,0,1))</f>
        <v>#VALUE!</v>
      </c>
      <c r="AE291" s="90" t="e">
        <f aca="false">IF($C291="","",xEURO($L291,Call1,$G291,$G291,$S291,$J291,1,3))</f>
        <v>#VALUE!</v>
      </c>
      <c r="AF291" s="90" t="e">
        <f aca="false">IF($C291="","",xEURO($L291,Put1,$G291,$G291,$T291,$J291,0,3))</f>
        <v>#VALUE!</v>
      </c>
      <c r="AG291" s="90" t="e">
        <f aca="false">IF($C291="","",xEURO($L291,Call2,$G291,$G291,$U291,$J291,1,3))</f>
        <v>#VALUE!</v>
      </c>
      <c r="AH291" s="90" t="e">
        <f aca="false">IF($C291="","",xEURO($L291,Put2,$G291,$G291,$V291,$J291,0,3))</f>
        <v>#VALUE!</v>
      </c>
      <c r="AI291" s="8" t="e">
        <f aca="false">IF(E291=1,G291,0)</f>
        <v>#VALUE!</v>
      </c>
      <c r="AJ291" s="8" t="e">
        <f aca="false">IF(E291=1,H291,0)</f>
        <v>#VALUE!</v>
      </c>
      <c r="AK291" s="8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  <c r="IM291" s="0"/>
      <c r="IN291" s="0"/>
      <c r="IO291" s="0"/>
      <c r="IP291" s="0"/>
      <c r="IQ291" s="0"/>
      <c r="IR291" s="0"/>
      <c r="IS291" s="0"/>
      <c r="IT291" s="0"/>
      <c r="IU291" s="0"/>
      <c r="IV291" s="0"/>
      <c r="IW291" s="0"/>
    </row>
    <row r="292" customFormat="false" ht="12.75" hidden="false" customHeight="false" outlineLevel="0" collapsed="false">
      <c r="A292" s="95" t="n">
        <f aca="false">Swap!A292</f>
        <v>45717</v>
      </c>
      <c r="B292" s="96" t="n">
        <f aca="false">B291+1</f>
        <v>283</v>
      </c>
      <c r="C292" s="95" t="e">
        <f aca="false">IF(AND(A292&gt;=Front!$E$11,A292&lt;=Front!$E$12),A292,"")</f>
        <v>#VALUE!</v>
      </c>
      <c r="D292" s="87" t="e">
        <f aca="false">Swap!AB292</f>
        <v>#VALUE!</v>
      </c>
      <c r="E292" s="87" t="e">
        <f aca="false">IF($C292="","",1)</f>
        <v>#VALUE!</v>
      </c>
      <c r="F292" s="97" t="e">
        <f aca="false">IF($C292="","",E292*H292)</f>
        <v>#VALUE!</v>
      </c>
      <c r="G292" s="31" t="e">
        <f aca="false">Swap!AG292</f>
        <v>#N/A</v>
      </c>
      <c r="H292" s="31" t="e">
        <f aca="false">Swap!AH292</f>
        <v>#N/A</v>
      </c>
      <c r="I292" s="92" t="n">
        <f aca="false">INDEX(expery,MATCH(A292,exprymonth,0),2)</f>
        <v>45713</v>
      </c>
      <c r="J292" s="98" t="n">
        <f aca="false">I292-Front!$C$2</f>
        <v>-213</v>
      </c>
      <c r="K292" s="99" t="n">
        <f aca="false">Swap!E292</f>
        <v>0</v>
      </c>
      <c r="L292" s="99" t="e">
        <f aca="false">IF(C292="","",(PriceSwitch=0)*K292+(PriceSwitch=1)*(Front!$H$21+K292)+(PriceSwitch=2)*Front!$H$21)</f>
        <v>#VALUE!</v>
      </c>
      <c r="M292" s="93" t="e">
        <f aca="false">M291</f>
        <v>#N/A</v>
      </c>
      <c r="N292" s="3" t="e">
        <f aca="false">IF(Skew_Switch=0,"",IF($C292="","",(Front!$E$20=0)*M292+(Front!$E$20=1)*(Front!$E$21+M292)+(Front!$E$20=2)*Front!$E$21))</f>
        <v>#VALUE!</v>
      </c>
      <c r="O292" s="94" t="e">
        <f aca="false">IF(Skew_Switch=0,"",IF(C292="","",((calcskew(Call1-$L292,$C292,a,b))/100)))</f>
        <v>#VALUE!</v>
      </c>
      <c r="P292" s="94" t="e">
        <f aca="false">IF(Skew_Switch=0,"",IF(C292="","",((calcskew(Put1-$L292,$C292,a,b))/100)))</f>
        <v>#VALUE!</v>
      </c>
      <c r="Q292" s="94" t="e">
        <f aca="false">IF(Skew_Switch=0,"",IF(C292="","",((calcskew(Call2-$L292,$C292,a,b))/100)))</f>
        <v>#VALUE!</v>
      </c>
      <c r="R292" s="94" t="e">
        <f aca="false">IF(Skew_Switch=0,"",IF(C292="","",((calcskew(Put2-$L292,$C292,a,b))/100)))</f>
        <v>#VALUE!</v>
      </c>
      <c r="S292" s="3" t="e">
        <f aca="false">IF($C292="","",(Front!$C$19=0)*$N292+(Front!$C$19=1)*($N292+O292))</f>
        <v>#VALUE!</v>
      </c>
      <c r="T292" s="3" t="e">
        <f aca="false">IF($C292="","",(Front!$C$19=0)*$N292+(Front!$C$19=1)*($N292+P292))</f>
        <v>#VALUE!</v>
      </c>
      <c r="U292" s="3" t="e">
        <f aca="false">IF($C292="","",(Front!$C$19=0)*$N292+(Front!$C$19=1)*($N292+Q292))</f>
        <v>#VALUE!</v>
      </c>
      <c r="V292" s="3" t="e">
        <f aca="false">IF($C292="","",(Front!$C$19=0)*$N292+(Front!$C$19=1)*($N292+R292))</f>
        <v>#VALUE!</v>
      </c>
      <c r="W292" s="90" t="e">
        <f aca="false">IF($C292="","",xEURO($L292,Call1,$G292,$G292,S292,$J292,1,0))</f>
        <v>#VALUE!</v>
      </c>
      <c r="X292" s="90" t="e">
        <f aca="false">IF($C292="","",xEURO($L292,Put1,$G292,$G292,T292,$J292,0,0))</f>
        <v>#VALUE!</v>
      </c>
      <c r="Y292" s="90" t="e">
        <f aca="false">IF($C292="","",xEURO($L292,Call2,$G292,$G292,U292,$J292,1,0))</f>
        <v>#VALUE!</v>
      </c>
      <c r="Z292" s="90" t="e">
        <f aca="false">IF($C292="","",xEURO($L292,Put2,$G292,$G292,V292,$J292,0,0))</f>
        <v>#VALUE!</v>
      </c>
      <c r="AA292" s="90" t="e">
        <f aca="false">IF($C292="","",xEURO($L292,Call1,$G292,$G292,$S292,$J292,1,1))</f>
        <v>#VALUE!</v>
      </c>
      <c r="AB292" s="90" t="e">
        <f aca="false">IF($C292="","",xEURO($L292,Put1,$G292,$G292,$T292,$J292,0,1))</f>
        <v>#VALUE!</v>
      </c>
      <c r="AC292" s="90" t="e">
        <f aca="false">IF($C292="","",xEURO($L292,Call2,$G292,$G292,$U292,$J292,1,1))</f>
        <v>#VALUE!</v>
      </c>
      <c r="AD292" s="90" t="e">
        <f aca="false">IF($C292="","",xEURO($L292,Put2,$G292,$G292,$V292,$J292,0,1))</f>
        <v>#VALUE!</v>
      </c>
      <c r="AE292" s="90" t="e">
        <f aca="false">IF($C292="","",xEURO($L292,Call1,$G292,$G292,$S292,$J292,1,3))</f>
        <v>#VALUE!</v>
      </c>
      <c r="AF292" s="90" t="e">
        <f aca="false">IF($C292="","",xEURO($L292,Put1,$G292,$G292,$T292,$J292,0,3))</f>
        <v>#VALUE!</v>
      </c>
      <c r="AG292" s="90" t="e">
        <f aca="false">IF($C292="","",xEURO($L292,Call2,$G292,$G292,$U292,$J292,1,3))</f>
        <v>#VALUE!</v>
      </c>
      <c r="AH292" s="90" t="e">
        <f aca="false">IF($C292="","",xEURO($L292,Put2,$G292,$G292,$V292,$J292,0,3))</f>
        <v>#VALUE!</v>
      </c>
      <c r="AI292" s="8" t="e">
        <f aca="false">IF(E292=1,G292,0)</f>
        <v>#VALUE!</v>
      </c>
      <c r="AJ292" s="8" t="e">
        <f aca="false">IF(E292=1,H292,0)</f>
        <v>#VALUE!</v>
      </c>
      <c r="AK292" s="8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  <c r="IM292" s="0"/>
      <c r="IN292" s="0"/>
      <c r="IO292" s="0"/>
      <c r="IP292" s="0"/>
      <c r="IQ292" s="0"/>
      <c r="IR292" s="0"/>
      <c r="IS292" s="0"/>
      <c r="IT292" s="0"/>
      <c r="IU292" s="0"/>
      <c r="IV292" s="0"/>
      <c r="IW292" s="0"/>
    </row>
    <row r="293" customFormat="false" ht="12.75" hidden="false" customHeight="false" outlineLevel="0" collapsed="false">
      <c r="A293" s="95" t="n">
        <f aca="false">Swap!A293</f>
        <v>45748</v>
      </c>
      <c r="B293" s="96" t="n">
        <f aca="false">B292+1</f>
        <v>284</v>
      </c>
      <c r="C293" s="95" t="e">
        <f aca="false">IF(AND(A293&gt;=Front!$E$11,A293&lt;=Front!$E$12),A293,"")</f>
        <v>#VALUE!</v>
      </c>
      <c r="D293" s="87" t="e">
        <f aca="false">Swap!AB293</f>
        <v>#VALUE!</v>
      </c>
      <c r="E293" s="87" t="e">
        <f aca="false">IF($C293="","",1)</f>
        <v>#VALUE!</v>
      </c>
      <c r="F293" s="97" t="e">
        <f aca="false">IF($C293="","",E293*H293)</f>
        <v>#VALUE!</v>
      </c>
      <c r="G293" s="31" t="e">
        <f aca="false">Swap!AG293</f>
        <v>#N/A</v>
      </c>
      <c r="H293" s="31" t="e">
        <f aca="false">Swap!AH293</f>
        <v>#N/A</v>
      </c>
      <c r="I293" s="92" t="n">
        <f aca="false">INDEX(expery,MATCH(A293,exprymonth,0),2)</f>
        <v>45742</v>
      </c>
      <c r="J293" s="98" t="n">
        <f aca="false">I293-Front!$C$2</f>
        <v>-184</v>
      </c>
      <c r="K293" s="99" t="n">
        <f aca="false">Swap!E293</f>
        <v>0</v>
      </c>
      <c r="L293" s="99" t="e">
        <f aca="false">IF(C293="","",(PriceSwitch=0)*K293+(PriceSwitch=1)*(Front!$H$21+K293)+(PriceSwitch=2)*Front!$H$21)</f>
        <v>#VALUE!</v>
      </c>
      <c r="M293" s="93" t="e">
        <f aca="false">M292</f>
        <v>#N/A</v>
      </c>
      <c r="N293" s="3" t="e">
        <f aca="false">IF(Skew_Switch=0,"",IF($C293="","",(Front!$E$20=0)*M293+(Front!$E$20=1)*(Front!$E$21+M293)+(Front!$E$20=2)*Front!$E$21))</f>
        <v>#VALUE!</v>
      </c>
      <c r="O293" s="94" t="e">
        <f aca="false">IF(Skew_Switch=0,"",IF(C293="","",((calcskew(Call1-$L293,$C293,a,b))/100)))</f>
        <v>#VALUE!</v>
      </c>
      <c r="P293" s="94" t="e">
        <f aca="false">IF(Skew_Switch=0,"",IF(C293="","",((calcskew(Put1-$L293,$C293,a,b))/100)))</f>
        <v>#VALUE!</v>
      </c>
      <c r="Q293" s="94" t="e">
        <f aca="false">IF(Skew_Switch=0,"",IF(C293="","",((calcskew(Call2-$L293,$C293,a,b))/100)))</f>
        <v>#VALUE!</v>
      </c>
      <c r="R293" s="94" t="e">
        <f aca="false">IF(Skew_Switch=0,"",IF(C293="","",((calcskew(Put2-$L293,$C293,a,b))/100)))</f>
        <v>#VALUE!</v>
      </c>
      <c r="S293" s="3" t="e">
        <f aca="false">IF($C293="","",(Front!$C$19=0)*$N293+(Front!$C$19=1)*($N293+O293))</f>
        <v>#VALUE!</v>
      </c>
      <c r="T293" s="3" t="e">
        <f aca="false">IF($C293="","",(Front!$C$19=0)*$N293+(Front!$C$19=1)*($N293+P293))</f>
        <v>#VALUE!</v>
      </c>
      <c r="U293" s="3" t="e">
        <f aca="false">IF($C293="","",(Front!$C$19=0)*$N293+(Front!$C$19=1)*($N293+Q293))</f>
        <v>#VALUE!</v>
      </c>
      <c r="V293" s="3" t="e">
        <f aca="false">IF($C293="","",(Front!$C$19=0)*$N293+(Front!$C$19=1)*($N293+R293))</f>
        <v>#VALUE!</v>
      </c>
      <c r="W293" s="90" t="e">
        <f aca="false">IF($C293="","",xEURO($L293,Call1,$G293,$G293,S293,$J293,1,0))</f>
        <v>#VALUE!</v>
      </c>
      <c r="X293" s="90" t="e">
        <f aca="false">IF($C293="","",xEURO($L293,Put1,$G293,$G293,T293,$J293,0,0))</f>
        <v>#VALUE!</v>
      </c>
      <c r="Y293" s="90" t="e">
        <f aca="false">IF($C293="","",xEURO($L293,Call2,$G293,$G293,U293,$J293,1,0))</f>
        <v>#VALUE!</v>
      </c>
      <c r="Z293" s="90" t="e">
        <f aca="false">IF($C293="","",xEURO($L293,Put2,$G293,$G293,V293,$J293,0,0))</f>
        <v>#VALUE!</v>
      </c>
      <c r="AA293" s="90" t="e">
        <f aca="false">IF($C293="","",xEURO($L293,Call1,$G293,$G293,$S293,$J293,1,1))</f>
        <v>#VALUE!</v>
      </c>
      <c r="AB293" s="90" t="e">
        <f aca="false">IF($C293="","",xEURO($L293,Put1,$G293,$G293,$T293,$J293,0,1))</f>
        <v>#VALUE!</v>
      </c>
      <c r="AC293" s="90" t="e">
        <f aca="false">IF($C293="","",xEURO($L293,Call2,$G293,$G293,$U293,$J293,1,1))</f>
        <v>#VALUE!</v>
      </c>
      <c r="AD293" s="90" t="e">
        <f aca="false">IF($C293="","",xEURO($L293,Put2,$G293,$G293,$V293,$J293,0,1))</f>
        <v>#VALUE!</v>
      </c>
      <c r="AE293" s="90" t="e">
        <f aca="false">IF($C293="","",xEURO($L293,Call1,$G293,$G293,$S293,$J293,1,3))</f>
        <v>#VALUE!</v>
      </c>
      <c r="AF293" s="90" t="e">
        <f aca="false">IF($C293="","",xEURO($L293,Put1,$G293,$G293,$T293,$J293,0,3))</f>
        <v>#VALUE!</v>
      </c>
      <c r="AG293" s="90" t="e">
        <f aca="false">IF($C293="","",xEURO($L293,Call2,$G293,$G293,$U293,$J293,1,3))</f>
        <v>#VALUE!</v>
      </c>
      <c r="AH293" s="90" t="e">
        <f aca="false">IF($C293="","",xEURO($L293,Put2,$G293,$G293,$V293,$J293,0,3))</f>
        <v>#VALUE!</v>
      </c>
      <c r="AI293" s="8" t="e">
        <f aca="false">IF(E293=1,G293,0)</f>
        <v>#VALUE!</v>
      </c>
      <c r="AJ293" s="8" t="e">
        <f aca="false">IF(E293=1,H293,0)</f>
        <v>#VALUE!</v>
      </c>
      <c r="AK293" s="8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  <c r="IM293" s="0"/>
      <c r="IN293" s="0"/>
      <c r="IO293" s="0"/>
      <c r="IP293" s="0"/>
      <c r="IQ293" s="0"/>
      <c r="IR293" s="0"/>
      <c r="IS293" s="0"/>
      <c r="IT293" s="0"/>
      <c r="IU293" s="0"/>
      <c r="IV293" s="0"/>
      <c r="IW293" s="0"/>
    </row>
    <row r="294" customFormat="false" ht="12.75" hidden="false" customHeight="false" outlineLevel="0" collapsed="false">
      <c r="A294" s="95" t="n">
        <f aca="false">Swap!A294</f>
        <v>45778</v>
      </c>
      <c r="B294" s="96" t="n">
        <f aca="false">B293+1</f>
        <v>285</v>
      </c>
      <c r="C294" s="95" t="e">
        <f aca="false">IF(AND(A294&gt;=Front!$E$11,A294&lt;=Front!$E$12),A294,"")</f>
        <v>#VALUE!</v>
      </c>
      <c r="D294" s="87" t="e">
        <f aca="false">Swap!AB294</f>
        <v>#VALUE!</v>
      </c>
      <c r="E294" s="87" t="e">
        <f aca="false">IF($C294="","",1)</f>
        <v>#VALUE!</v>
      </c>
      <c r="F294" s="97" t="e">
        <f aca="false">IF($C294="","",E294*H294)</f>
        <v>#VALUE!</v>
      </c>
      <c r="G294" s="31" t="e">
        <f aca="false">Swap!AG294</f>
        <v>#N/A</v>
      </c>
      <c r="H294" s="31" t="e">
        <f aca="false">Swap!AH294</f>
        <v>#N/A</v>
      </c>
      <c r="I294" s="92" t="n">
        <f aca="false">INDEX(expery,MATCH(A294,exprymonth,0),2)</f>
        <v>45772</v>
      </c>
      <c r="J294" s="98" t="n">
        <f aca="false">I294-Front!$C$2</f>
        <v>-154</v>
      </c>
      <c r="K294" s="99" t="n">
        <f aca="false">Swap!E294</f>
        <v>0</v>
      </c>
      <c r="L294" s="99" t="e">
        <f aca="false">IF(C294="","",(PriceSwitch=0)*K294+(PriceSwitch=1)*(Front!$H$21+K294)+(PriceSwitch=2)*Front!$H$21)</f>
        <v>#VALUE!</v>
      </c>
      <c r="M294" s="93" t="e">
        <f aca="false">M293</f>
        <v>#N/A</v>
      </c>
      <c r="N294" s="3" t="e">
        <f aca="false">IF(Skew_Switch=0,"",IF($C294="","",(Front!$E$20=0)*M294+(Front!$E$20=1)*(Front!$E$21+M294)+(Front!$E$20=2)*Front!$E$21))</f>
        <v>#VALUE!</v>
      </c>
      <c r="O294" s="94" t="e">
        <f aca="false">IF(Skew_Switch=0,"",IF(C294="","",((calcskew(Call1-$L294,$C294,a,b))/100)))</f>
        <v>#VALUE!</v>
      </c>
      <c r="P294" s="94" t="e">
        <f aca="false">IF(Skew_Switch=0,"",IF(C294="","",((calcskew(Put1-$L294,$C294,a,b))/100)))</f>
        <v>#VALUE!</v>
      </c>
      <c r="Q294" s="94" t="e">
        <f aca="false">IF(Skew_Switch=0,"",IF(C294="","",((calcskew(Call2-$L294,$C294,a,b))/100)))</f>
        <v>#VALUE!</v>
      </c>
      <c r="R294" s="94" t="e">
        <f aca="false">IF(Skew_Switch=0,"",IF(C294="","",((calcskew(Put2-$L294,$C294,a,b))/100)))</f>
        <v>#VALUE!</v>
      </c>
      <c r="S294" s="3" t="e">
        <f aca="false">IF($C294="","",(Front!$C$19=0)*$N294+(Front!$C$19=1)*($N294+O294))</f>
        <v>#VALUE!</v>
      </c>
      <c r="T294" s="3" t="e">
        <f aca="false">IF($C294="","",(Front!$C$19=0)*$N294+(Front!$C$19=1)*($N294+P294))</f>
        <v>#VALUE!</v>
      </c>
      <c r="U294" s="3" t="e">
        <f aca="false">IF($C294="","",(Front!$C$19=0)*$N294+(Front!$C$19=1)*($N294+Q294))</f>
        <v>#VALUE!</v>
      </c>
      <c r="V294" s="3" t="e">
        <f aca="false">IF($C294="","",(Front!$C$19=0)*$N294+(Front!$C$19=1)*($N294+R294))</f>
        <v>#VALUE!</v>
      </c>
      <c r="W294" s="90" t="e">
        <f aca="false">IF($C294="","",xEURO($L294,Call1,$G294,$G294,S294,$J294,1,0))</f>
        <v>#VALUE!</v>
      </c>
      <c r="X294" s="90" t="e">
        <f aca="false">IF($C294="","",xEURO($L294,Put1,$G294,$G294,T294,$J294,0,0))</f>
        <v>#VALUE!</v>
      </c>
      <c r="Y294" s="90" t="e">
        <f aca="false">IF($C294="","",xEURO($L294,Call2,$G294,$G294,U294,$J294,1,0))</f>
        <v>#VALUE!</v>
      </c>
      <c r="Z294" s="90" t="e">
        <f aca="false">IF($C294="","",xEURO($L294,Put2,$G294,$G294,V294,$J294,0,0))</f>
        <v>#VALUE!</v>
      </c>
      <c r="AA294" s="90" t="e">
        <f aca="false">IF($C294="","",xEURO($L294,Call1,$G294,$G294,$S294,$J294,1,1))</f>
        <v>#VALUE!</v>
      </c>
      <c r="AB294" s="90" t="e">
        <f aca="false">IF($C294="","",xEURO($L294,Put1,$G294,$G294,$T294,$J294,0,1))</f>
        <v>#VALUE!</v>
      </c>
      <c r="AC294" s="90" t="e">
        <f aca="false">IF($C294="","",xEURO($L294,Call2,$G294,$G294,$U294,$J294,1,1))</f>
        <v>#VALUE!</v>
      </c>
      <c r="AD294" s="90" t="e">
        <f aca="false">IF($C294="","",xEURO($L294,Put2,$G294,$G294,$V294,$J294,0,1))</f>
        <v>#VALUE!</v>
      </c>
      <c r="AE294" s="90" t="e">
        <f aca="false">IF($C294="","",xEURO($L294,Call1,$G294,$G294,$S294,$J294,1,3))</f>
        <v>#VALUE!</v>
      </c>
      <c r="AF294" s="90" t="e">
        <f aca="false">IF($C294="","",xEURO($L294,Put1,$G294,$G294,$T294,$J294,0,3))</f>
        <v>#VALUE!</v>
      </c>
      <c r="AG294" s="90" t="e">
        <f aca="false">IF($C294="","",xEURO($L294,Call2,$G294,$G294,$U294,$J294,1,3))</f>
        <v>#VALUE!</v>
      </c>
      <c r="AH294" s="90" t="e">
        <f aca="false">IF($C294="","",xEURO($L294,Put2,$G294,$G294,$V294,$J294,0,3))</f>
        <v>#VALUE!</v>
      </c>
      <c r="AI294" s="8" t="e">
        <f aca="false">IF(E294=1,G294,0)</f>
        <v>#VALUE!</v>
      </c>
      <c r="AJ294" s="8" t="e">
        <f aca="false">IF(E294=1,H294,0)</f>
        <v>#VALUE!</v>
      </c>
      <c r="AK294" s="8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  <c r="IM294" s="0"/>
      <c r="IN294" s="0"/>
      <c r="IO294" s="0"/>
      <c r="IP294" s="0"/>
      <c r="IQ294" s="0"/>
      <c r="IR294" s="0"/>
      <c r="IS294" s="0"/>
      <c r="IT294" s="0"/>
      <c r="IU294" s="0"/>
      <c r="IV294" s="0"/>
      <c r="IW294" s="0"/>
    </row>
    <row r="295" customFormat="false" ht="12.75" hidden="false" customHeight="false" outlineLevel="0" collapsed="false">
      <c r="A295" s="95" t="n">
        <f aca="false">Swap!A295</f>
        <v>45809</v>
      </c>
      <c r="B295" s="96" t="n">
        <f aca="false">B294+1</f>
        <v>286</v>
      </c>
      <c r="C295" s="95" t="e">
        <f aca="false">IF(AND(A295&gt;=Front!$E$11,A295&lt;=Front!$E$12),A295,"")</f>
        <v>#VALUE!</v>
      </c>
      <c r="D295" s="87" t="e">
        <f aca="false">Swap!AB295</f>
        <v>#VALUE!</v>
      </c>
      <c r="E295" s="87" t="e">
        <f aca="false">IF($C295="","",1)</f>
        <v>#VALUE!</v>
      </c>
      <c r="F295" s="97" t="e">
        <f aca="false">IF($C295="","",E295*H295)</f>
        <v>#VALUE!</v>
      </c>
      <c r="G295" s="31" t="e">
        <f aca="false">Swap!AG295</f>
        <v>#N/A</v>
      </c>
      <c r="H295" s="31" t="e">
        <f aca="false">Swap!AH295</f>
        <v>#N/A</v>
      </c>
      <c r="I295" s="92" t="n">
        <f aca="false">INDEX(expery,MATCH(A295,exprymonth,0),2)</f>
        <v>45804</v>
      </c>
      <c r="J295" s="98" t="n">
        <f aca="false">I295-Front!$C$2</f>
        <v>-122</v>
      </c>
      <c r="K295" s="99" t="n">
        <f aca="false">Swap!E295</f>
        <v>0</v>
      </c>
      <c r="L295" s="99" t="e">
        <f aca="false">IF(C295="","",(PriceSwitch=0)*K295+(PriceSwitch=1)*(Front!$H$21+K295)+(PriceSwitch=2)*Front!$H$21)</f>
        <v>#VALUE!</v>
      </c>
      <c r="M295" s="93" t="e">
        <f aca="false">M294</f>
        <v>#N/A</v>
      </c>
      <c r="N295" s="3" t="e">
        <f aca="false">IF(Skew_Switch=0,"",IF($C295="","",(Front!$E$20=0)*M295+(Front!$E$20=1)*(Front!$E$21+M295)+(Front!$E$20=2)*Front!$E$21))</f>
        <v>#VALUE!</v>
      </c>
      <c r="O295" s="94" t="e">
        <f aca="false">IF(Skew_Switch=0,"",IF(C295="","",((calcskew(Call1-$L295,$C295,a,b))/100)))</f>
        <v>#VALUE!</v>
      </c>
      <c r="P295" s="94" t="e">
        <f aca="false">IF(Skew_Switch=0,"",IF(C295="","",((calcskew(Put1-$L295,$C295,a,b))/100)))</f>
        <v>#VALUE!</v>
      </c>
      <c r="Q295" s="94" t="e">
        <f aca="false">IF(Skew_Switch=0,"",IF(C295="","",((calcskew(Call2-$L295,$C295,a,b))/100)))</f>
        <v>#VALUE!</v>
      </c>
      <c r="R295" s="94" t="e">
        <f aca="false">IF(Skew_Switch=0,"",IF(C295="","",((calcskew(Put2-$L295,$C295,a,b))/100)))</f>
        <v>#VALUE!</v>
      </c>
      <c r="S295" s="3" t="e">
        <f aca="false">IF($C295="","",(Front!$C$19=0)*$N295+(Front!$C$19=1)*($N295+O295))</f>
        <v>#VALUE!</v>
      </c>
      <c r="T295" s="3" t="e">
        <f aca="false">IF($C295="","",(Front!$C$19=0)*$N295+(Front!$C$19=1)*($N295+P295))</f>
        <v>#VALUE!</v>
      </c>
      <c r="U295" s="3" t="e">
        <f aca="false">IF($C295="","",(Front!$C$19=0)*$N295+(Front!$C$19=1)*($N295+Q295))</f>
        <v>#VALUE!</v>
      </c>
      <c r="V295" s="3" t="e">
        <f aca="false">IF($C295="","",(Front!$C$19=0)*$N295+(Front!$C$19=1)*($N295+R295))</f>
        <v>#VALUE!</v>
      </c>
      <c r="W295" s="90" t="e">
        <f aca="false">IF($C295="","",xEURO($L295,Call1,$G295,$G295,S295,$J295,1,0))</f>
        <v>#VALUE!</v>
      </c>
      <c r="X295" s="90" t="e">
        <f aca="false">IF($C295="","",xEURO($L295,Put1,$G295,$G295,T295,$J295,0,0))</f>
        <v>#VALUE!</v>
      </c>
      <c r="Y295" s="90" t="e">
        <f aca="false">IF($C295="","",xEURO($L295,Call2,$G295,$G295,U295,$J295,1,0))</f>
        <v>#VALUE!</v>
      </c>
      <c r="Z295" s="90" t="e">
        <f aca="false">IF($C295="","",xEURO($L295,Put2,$G295,$G295,V295,$J295,0,0))</f>
        <v>#VALUE!</v>
      </c>
      <c r="AA295" s="90" t="e">
        <f aca="false">IF($C295="","",xEURO($L295,Call1,$G295,$G295,$S295,$J295,1,1))</f>
        <v>#VALUE!</v>
      </c>
      <c r="AB295" s="90" t="e">
        <f aca="false">IF($C295="","",xEURO($L295,Put1,$G295,$G295,$T295,$J295,0,1))</f>
        <v>#VALUE!</v>
      </c>
      <c r="AC295" s="90" t="e">
        <f aca="false">IF($C295="","",xEURO($L295,Call2,$G295,$G295,$U295,$J295,1,1))</f>
        <v>#VALUE!</v>
      </c>
      <c r="AD295" s="90" t="e">
        <f aca="false">IF($C295="","",xEURO($L295,Put2,$G295,$G295,$V295,$J295,0,1))</f>
        <v>#VALUE!</v>
      </c>
      <c r="AE295" s="90" t="e">
        <f aca="false">IF($C295="","",xEURO($L295,Call1,$G295,$G295,$S295,$J295,1,3))</f>
        <v>#VALUE!</v>
      </c>
      <c r="AF295" s="90" t="e">
        <f aca="false">IF($C295="","",xEURO($L295,Put1,$G295,$G295,$T295,$J295,0,3))</f>
        <v>#VALUE!</v>
      </c>
      <c r="AG295" s="90" t="e">
        <f aca="false">IF($C295="","",xEURO($L295,Call2,$G295,$G295,$U295,$J295,1,3))</f>
        <v>#VALUE!</v>
      </c>
      <c r="AH295" s="90" t="e">
        <f aca="false">IF($C295="","",xEURO($L295,Put2,$G295,$G295,$V295,$J295,0,3))</f>
        <v>#VALUE!</v>
      </c>
      <c r="AI295" s="8" t="e">
        <f aca="false">IF(E295=1,G295,0)</f>
        <v>#VALUE!</v>
      </c>
      <c r="AJ295" s="8" t="e">
        <f aca="false">IF(E295=1,H295,0)</f>
        <v>#VALUE!</v>
      </c>
      <c r="AK295" s="8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  <c r="IM295" s="0"/>
      <c r="IN295" s="0"/>
      <c r="IO295" s="0"/>
      <c r="IP295" s="0"/>
      <c r="IQ295" s="0"/>
      <c r="IR295" s="0"/>
      <c r="IS295" s="0"/>
      <c r="IT295" s="0"/>
      <c r="IU295" s="0"/>
      <c r="IV295" s="0"/>
      <c r="IW295" s="0"/>
    </row>
    <row r="296" customFormat="false" ht="12.75" hidden="false" customHeight="false" outlineLevel="0" collapsed="false">
      <c r="A296" s="95" t="n">
        <f aca="false">Swap!A296</f>
        <v>45839</v>
      </c>
      <c r="B296" s="96" t="n">
        <f aca="false">B295+1</f>
        <v>287</v>
      </c>
      <c r="C296" s="95" t="e">
        <f aca="false">IF(AND(A296&gt;=Front!$E$11,A296&lt;=Front!$E$12),A296,"")</f>
        <v>#VALUE!</v>
      </c>
      <c r="D296" s="87" t="e">
        <f aca="false">Swap!AB296</f>
        <v>#VALUE!</v>
      </c>
      <c r="E296" s="87" t="e">
        <f aca="false">IF($C296="","",1)</f>
        <v>#VALUE!</v>
      </c>
      <c r="F296" s="97" t="e">
        <f aca="false">IF($C296="","",E296*H296)</f>
        <v>#VALUE!</v>
      </c>
      <c r="G296" s="31" t="e">
        <f aca="false">Swap!AG296</f>
        <v>#N/A</v>
      </c>
      <c r="H296" s="31" t="e">
        <f aca="false">Swap!AH296</f>
        <v>#N/A</v>
      </c>
      <c r="I296" s="92" t="n">
        <f aca="false">INDEX(expery,MATCH(A296,exprymonth,0),2)</f>
        <v>45833</v>
      </c>
      <c r="J296" s="98" t="n">
        <f aca="false">I296-Front!$C$2</f>
        <v>-93</v>
      </c>
      <c r="K296" s="99" t="n">
        <f aca="false">Swap!E296</f>
        <v>0</v>
      </c>
      <c r="L296" s="99" t="e">
        <f aca="false">IF(C296="","",(PriceSwitch=0)*K296+(PriceSwitch=1)*(Front!$H$21+K296)+(PriceSwitch=2)*Front!$H$21)</f>
        <v>#VALUE!</v>
      </c>
      <c r="M296" s="93" t="e">
        <f aca="false">M295</f>
        <v>#N/A</v>
      </c>
      <c r="N296" s="3" t="e">
        <f aca="false">IF(Skew_Switch=0,"",IF($C296="","",(Front!$E$20=0)*M296+(Front!$E$20=1)*(Front!$E$21+M296)+(Front!$E$20=2)*Front!$E$21))</f>
        <v>#VALUE!</v>
      </c>
      <c r="O296" s="94" t="e">
        <f aca="false">IF(Skew_Switch=0,"",IF(C296="","",((calcskew(Call1-$L296,$C296,a,b))/100)))</f>
        <v>#VALUE!</v>
      </c>
      <c r="P296" s="94" t="e">
        <f aca="false">IF(Skew_Switch=0,"",IF(C296="","",((calcskew(Put1-$L296,$C296,a,b))/100)))</f>
        <v>#VALUE!</v>
      </c>
      <c r="Q296" s="94" t="e">
        <f aca="false">IF(Skew_Switch=0,"",IF(C296="","",((calcskew(Call2-$L296,$C296,a,b))/100)))</f>
        <v>#VALUE!</v>
      </c>
      <c r="R296" s="94" t="e">
        <f aca="false">IF(Skew_Switch=0,"",IF(C296="","",((calcskew(Put2-$L296,$C296,a,b))/100)))</f>
        <v>#VALUE!</v>
      </c>
      <c r="S296" s="3" t="e">
        <f aca="false">IF($C296="","",(Front!$C$19=0)*$N296+(Front!$C$19=1)*($N296+O296))</f>
        <v>#VALUE!</v>
      </c>
      <c r="T296" s="3" t="e">
        <f aca="false">IF($C296="","",(Front!$C$19=0)*$N296+(Front!$C$19=1)*($N296+P296))</f>
        <v>#VALUE!</v>
      </c>
      <c r="U296" s="3" t="e">
        <f aca="false">IF($C296="","",(Front!$C$19=0)*$N296+(Front!$C$19=1)*($N296+Q296))</f>
        <v>#VALUE!</v>
      </c>
      <c r="V296" s="3" t="e">
        <f aca="false">IF($C296="","",(Front!$C$19=0)*$N296+(Front!$C$19=1)*($N296+R296))</f>
        <v>#VALUE!</v>
      </c>
      <c r="W296" s="90" t="e">
        <f aca="false">IF($C296="","",xEURO($L296,Call1,$G296,$G296,S296,$J296,1,0))</f>
        <v>#VALUE!</v>
      </c>
      <c r="X296" s="90" t="e">
        <f aca="false">IF($C296="","",xEURO($L296,Put1,$G296,$G296,T296,$J296,0,0))</f>
        <v>#VALUE!</v>
      </c>
      <c r="Y296" s="90" t="e">
        <f aca="false">IF($C296="","",xEURO($L296,Call2,$G296,$G296,U296,$J296,1,0))</f>
        <v>#VALUE!</v>
      </c>
      <c r="Z296" s="90" t="e">
        <f aca="false">IF($C296="","",xEURO($L296,Put2,$G296,$G296,V296,$J296,0,0))</f>
        <v>#VALUE!</v>
      </c>
      <c r="AA296" s="90" t="e">
        <f aca="false">IF($C296="","",xEURO($L296,Call1,$G296,$G296,$S296,$J296,1,1))</f>
        <v>#VALUE!</v>
      </c>
      <c r="AB296" s="90" t="e">
        <f aca="false">IF($C296="","",xEURO($L296,Put1,$G296,$G296,$T296,$J296,0,1))</f>
        <v>#VALUE!</v>
      </c>
      <c r="AC296" s="90" t="e">
        <f aca="false">IF($C296="","",xEURO($L296,Call2,$G296,$G296,$U296,$J296,1,1))</f>
        <v>#VALUE!</v>
      </c>
      <c r="AD296" s="90" t="e">
        <f aca="false">IF($C296="","",xEURO($L296,Put2,$G296,$G296,$V296,$J296,0,1))</f>
        <v>#VALUE!</v>
      </c>
      <c r="AE296" s="90" t="e">
        <f aca="false">IF($C296="","",xEURO($L296,Call1,$G296,$G296,$S296,$J296,1,3))</f>
        <v>#VALUE!</v>
      </c>
      <c r="AF296" s="90" t="e">
        <f aca="false">IF($C296="","",xEURO($L296,Put1,$G296,$G296,$T296,$J296,0,3))</f>
        <v>#VALUE!</v>
      </c>
      <c r="AG296" s="90" t="e">
        <f aca="false">IF($C296="","",xEURO($L296,Call2,$G296,$G296,$U296,$J296,1,3))</f>
        <v>#VALUE!</v>
      </c>
      <c r="AH296" s="90" t="e">
        <f aca="false">IF($C296="","",xEURO($L296,Put2,$G296,$G296,$V296,$J296,0,3))</f>
        <v>#VALUE!</v>
      </c>
      <c r="AI296" s="8" t="e">
        <f aca="false">IF(E296=1,G296,0)</f>
        <v>#VALUE!</v>
      </c>
      <c r="AJ296" s="8" t="e">
        <f aca="false">IF(E296=1,H296,0)</f>
        <v>#VALUE!</v>
      </c>
      <c r="AK296" s="8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  <c r="IM296" s="0"/>
      <c r="IN296" s="0"/>
      <c r="IO296" s="0"/>
      <c r="IP296" s="0"/>
      <c r="IQ296" s="0"/>
      <c r="IR296" s="0"/>
      <c r="IS296" s="0"/>
      <c r="IT296" s="0"/>
      <c r="IU296" s="0"/>
      <c r="IV296" s="0"/>
      <c r="IW296" s="0"/>
    </row>
    <row r="297" customFormat="false" ht="12.75" hidden="false" customHeight="false" outlineLevel="0" collapsed="false">
      <c r="A297" s="95" t="n">
        <f aca="false">Swap!A297</f>
        <v>45870</v>
      </c>
      <c r="B297" s="96" t="n">
        <f aca="false">B296+1</f>
        <v>288</v>
      </c>
      <c r="C297" s="95" t="e">
        <f aca="false">IF(AND(A297&gt;=Front!$E$11,A297&lt;=Front!$E$12),A297,"")</f>
        <v>#VALUE!</v>
      </c>
      <c r="D297" s="87" t="e">
        <f aca="false">Swap!AB297</f>
        <v>#VALUE!</v>
      </c>
      <c r="E297" s="87" t="e">
        <f aca="false">IF($C297="","",1)</f>
        <v>#VALUE!</v>
      </c>
      <c r="F297" s="97" t="e">
        <f aca="false">IF($C297="","",E297*H297)</f>
        <v>#VALUE!</v>
      </c>
      <c r="G297" s="31" t="e">
        <f aca="false">Swap!AG297</f>
        <v>#N/A</v>
      </c>
      <c r="H297" s="31" t="e">
        <f aca="false">Swap!AH297</f>
        <v>#N/A</v>
      </c>
      <c r="I297" s="92" t="n">
        <f aca="false">INDEX(expery,MATCH(A297,exprymonth,0),2)</f>
        <v>45866</v>
      </c>
      <c r="J297" s="98" t="n">
        <f aca="false">I297-Front!$C$2</f>
        <v>-60</v>
      </c>
      <c r="K297" s="99" t="n">
        <f aca="false">Swap!E297</f>
        <v>0</v>
      </c>
      <c r="L297" s="99" t="e">
        <f aca="false">IF(C297="","",(PriceSwitch=0)*K297+(PriceSwitch=1)*(Front!$H$21+K297)+(PriceSwitch=2)*Front!$H$21)</f>
        <v>#VALUE!</v>
      </c>
      <c r="M297" s="93" t="e">
        <f aca="false">M296</f>
        <v>#N/A</v>
      </c>
      <c r="N297" s="3" t="e">
        <f aca="false">IF(Skew_Switch=0,"",IF($C297="","",(Front!$E$20=0)*M297+(Front!$E$20=1)*(Front!$E$21+M297)+(Front!$E$20=2)*Front!$E$21))</f>
        <v>#VALUE!</v>
      </c>
      <c r="O297" s="94" t="e">
        <f aca="false">IF(Skew_Switch=0,"",IF(C297="","",((calcskew(Call1-$L297,$C297,a,b))/100)))</f>
        <v>#VALUE!</v>
      </c>
      <c r="P297" s="94" t="e">
        <f aca="false">IF(Skew_Switch=0,"",IF(C297="","",((calcskew(Put1-$L297,$C297,a,b))/100)))</f>
        <v>#VALUE!</v>
      </c>
      <c r="Q297" s="94" t="e">
        <f aca="false">IF(Skew_Switch=0,"",IF(C297="","",((calcskew(Call2-$L297,$C297,a,b))/100)))</f>
        <v>#VALUE!</v>
      </c>
      <c r="R297" s="94" t="e">
        <f aca="false">IF(Skew_Switch=0,"",IF(C297="","",((calcskew(Put2-$L297,$C297,a,b))/100)))</f>
        <v>#VALUE!</v>
      </c>
      <c r="S297" s="3" t="e">
        <f aca="false">IF($C297="","",(Front!$C$19=0)*$N297+(Front!$C$19=1)*($N297+O297))</f>
        <v>#VALUE!</v>
      </c>
      <c r="T297" s="3" t="e">
        <f aca="false">IF($C297="","",(Front!$C$19=0)*$N297+(Front!$C$19=1)*($N297+P297))</f>
        <v>#VALUE!</v>
      </c>
      <c r="U297" s="3" t="e">
        <f aca="false">IF($C297="","",(Front!$C$19=0)*$N297+(Front!$C$19=1)*($N297+Q297))</f>
        <v>#VALUE!</v>
      </c>
      <c r="V297" s="3" t="e">
        <f aca="false">IF($C297="","",(Front!$C$19=0)*$N297+(Front!$C$19=1)*($N297+R297))</f>
        <v>#VALUE!</v>
      </c>
      <c r="W297" s="90" t="e">
        <f aca="false">IF($C297="","",xEURO($L297,Call1,$G297,$G297,S297,$J297,1,0))</f>
        <v>#VALUE!</v>
      </c>
      <c r="X297" s="90" t="e">
        <f aca="false">IF($C297="","",xEURO($L297,Put1,$G297,$G297,T297,$J297,0,0))</f>
        <v>#VALUE!</v>
      </c>
      <c r="Y297" s="90" t="e">
        <f aca="false">IF($C297="","",xEURO($L297,Call2,$G297,$G297,U297,$J297,1,0))</f>
        <v>#VALUE!</v>
      </c>
      <c r="Z297" s="90" t="e">
        <f aca="false">IF($C297="","",xEURO($L297,Put2,$G297,$G297,V297,$J297,0,0))</f>
        <v>#VALUE!</v>
      </c>
      <c r="AA297" s="90" t="e">
        <f aca="false">IF($C297="","",xEURO($L297,Call1,$G297,$G297,$S297,$J297,1,1))</f>
        <v>#VALUE!</v>
      </c>
      <c r="AB297" s="90" t="e">
        <f aca="false">IF($C297="","",xEURO($L297,Put1,$G297,$G297,$T297,$J297,0,1))</f>
        <v>#VALUE!</v>
      </c>
      <c r="AC297" s="90" t="e">
        <f aca="false">IF($C297="","",xEURO($L297,Call2,$G297,$G297,$U297,$J297,1,1))</f>
        <v>#VALUE!</v>
      </c>
      <c r="AD297" s="90" t="e">
        <f aca="false">IF($C297="","",xEURO($L297,Put2,$G297,$G297,$V297,$J297,0,1))</f>
        <v>#VALUE!</v>
      </c>
      <c r="AE297" s="90" t="e">
        <f aca="false">IF($C297="","",xEURO($L297,Call1,$G297,$G297,$S297,$J297,1,3))</f>
        <v>#VALUE!</v>
      </c>
      <c r="AF297" s="90" t="e">
        <f aca="false">IF($C297="","",xEURO($L297,Put1,$G297,$G297,$T297,$J297,0,3))</f>
        <v>#VALUE!</v>
      </c>
      <c r="AG297" s="90" t="e">
        <f aca="false">IF($C297="","",xEURO($L297,Call2,$G297,$G297,$U297,$J297,1,3))</f>
        <v>#VALUE!</v>
      </c>
      <c r="AH297" s="90" t="e">
        <f aca="false">IF($C297="","",xEURO($L297,Put2,$G297,$G297,$V297,$J297,0,3))</f>
        <v>#VALUE!</v>
      </c>
      <c r="AI297" s="8" t="e">
        <f aca="false">IF(E297=1,G297,0)</f>
        <v>#VALUE!</v>
      </c>
      <c r="AJ297" s="8" t="e">
        <f aca="false">IF(E297=1,H297,0)</f>
        <v>#VALUE!</v>
      </c>
      <c r="AK297" s="8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  <c r="IM297" s="0"/>
      <c r="IN297" s="0"/>
      <c r="IO297" s="0"/>
      <c r="IP297" s="0"/>
      <c r="IQ297" s="0"/>
      <c r="IR297" s="0"/>
      <c r="IS297" s="0"/>
      <c r="IT297" s="0"/>
      <c r="IU297" s="0"/>
      <c r="IV297" s="0"/>
      <c r="IW297" s="0"/>
    </row>
    <row r="298" customFormat="false" ht="12.75" hidden="false" customHeight="false" outlineLevel="0" collapsed="false">
      <c r="A298" s="95" t="n">
        <f aca="false">Swap!A298</f>
        <v>45901</v>
      </c>
      <c r="B298" s="96" t="n">
        <f aca="false">B297+1</f>
        <v>289</v>
      </c>
      <c r="C298" s="95" t="e">
        <f aca="false">IF(AND(A298&gt;=Front!$E$11,A298&lt;=Front!$E$12),A298,"")</f>
        <v>#VALUE!</v>
      </c>
      <c r="D298" s="87" t="e">
        <f aca="false">Swap!AB298</f>
        <v>#VALUE!</v>
      </c>
      <c r="E298" s="87" t="e">
        <f aca="false">IF($C298="","",1)</f>
        <v>#VALUE!</v>
      </c>
      <c r="F298" s="97" t="e">
        <f aca="false">IF($C298="","",E298*H298)</f>
        <v>#VALUE!</v>
      </c>
      <c r="G298" s="31" t="e">
        <f aca="false">Swap!AG298</f>
        <v>#N/A</v>
      </c>
      <c r="H298" s="31" t="e">
        <f aca="false">Swap!AH298</f>
        <v>#N/A</v>
      </c>
      <c r="I298" s="92" t="n">
        <f aca="false">INDEX(expery,MATCH(A298,exprymonth,0),2)</f>
        <v>45895</v>
      </c>
      <c r="J298" s="98" t="n">
        <f aca="false">I298-Front!$C$2</f>
        <v>-31</v>
      </c>
      <c r="K298" s="99" t="n">
        <f aca="false">Swap!E298</f>
        <v>0</v>
      </c>
      <c r="L298" s="99" t="e">
        <f aca="false">IF(C298="","",(PriceSwitch=0)*K298+(PriceSwitch=1)*(Front!$H$21+K298)+(PriceSwitch=2)*Front!$H$21)</f>
        <v>#VALUE!</v>
      </c>
      <c r="M298" s="93" t="e">
        <f aca="false">M297</f>
        <v>#N/A</v>
      </c>
      <c r="N298" s="3" t="e">
        <f aca="false">IF(Skew_Switch=0,"",IF($C298="","",(Front!$E$20=0)*M298+(Front!$E$20=1)*(Front!$E$21+M298)+(Front!$E$20=2)*Front!$E$21))</f>
        <v>#VALUE!</v>
      </c>
      <c r="O298" s="94" t="e">
        <f aca="false">IF(Skew_Switch=0,"",IF(C298="","",((calcskew(Call1-$L298,$C298,a,b))/100)))</f>
        <v>#VALUE!</v>
      </c>
      <c r="P298" s="94" t="e">
        <f aca="false">IF(Skew_Switch=0,"",IF(C298="","",((calcskew(Put1-$L298,$C298,a,b))/100)))</f>
        <v>#VALUE!</v>
      </c>
      <c r="Q298" s="94" t="e">
        <f aca="false">IF(Skew_Switch=0,"",IF(C298="","",((calcskew(Call2-$L298,$C298,a,b))/100)))</f>
        <v>#VALUE!</v>
      </c>
      <c r="R298" s="94" t="e">
        <f aca="false">IF(Skew_Switch=0,"",IF(C298="","",((calcskew(Put2-$L298,$C298,a,b))/100)))</f>
        <v>#VALUE!</v>
      </c>
      <c r="S298" s="3" t="e">
        <f aca="false">IF($C298="","",(Front!$C$19=0)*$N298+(Front!$C$19=1)*($N298+O298))</f>
        <v>#VALUE!</v>
      </c>
      <c r="T298" s="3" t="e">
        <f aca="false">IF($C298="","",(Front!$C$19=0)*$N298+(Front!$C$19=1)*($N298+P298))</f>
        <v>#VALUE!</v>
      </c>
      <c r="U298" s="3" t="e">
        <f aca="false">IF($C298="","",(Front!$C$19=0)*$N298+(Front!$C$19=1)*($N298+Q298))</f>
        <v>#VALUE!</v>
      </c>
      <c r="V298" s="3" t="e">
        <f aca="false">IF($C298="","",(Front!$C$19=0)*$N298+(Front!$C$19=1)*($N298+R298))</f>
        <v>#VALUE!</v>
      </c>
      <c r="W298" s="90" t="e">
        <f aca="false">IF($C298="","",xEURO($L298,Call1,$G298,$G298,S298,$J298,1,0))</f>
        <v>#VALUE!</v>
      </c>
      <c r="X298" s="90" t="e">
        <f aca="false">IF($C298="","",xEURO($L298,Put1,$G298,$G298,T298,$J298,0,0))</f>
        <v>#VALUE!</v>
      </c>
      <c r="Y298" s="90" t="e">
        <f aca="false">IF($C298="","",xEURO($L298,Call2,$G298,$G298,U298,$J298,1,0))</f>
        <v>#VALUE!</v>
      </c>
      <c r="Z298" s="90" t="e">
        <f aca="false">IF($C298="","",xEURO($L298,Put2,$G298,$G298,V298,$J298,0,0))</f>
        <v>#VALUE!</v>
      </c>
      <c r="AA298" s="90" t="e">
        <f aca="false">IF($C298="","",xEURO($L298,Call1,$G298,$G298,$S298,$J298,1,1))</f>
        <v>#VALUE!</v>
      </c>
      <c r="AB298" s="90" t="e">
        <f aca="false">IF($C298="","",xEURO($L298,Put1,$G298,$G298,$T298,$J298,0,1))</f>
        <v>#VALUE!</v>
      </c>
      <c r="AC298" s="90" t="e">
        <f aca="false">IF($C298="","",xEURO($L298,Call2,$G298,$G298,$U298,$J298,1,1))</f>
        <v>#VALUE!</v>
      </c>
      <c r="AD298" s="90" t="e">
        <f aca="false">IF($C298="","",xEURO($L298,Put2,$G298,$G298,$V298,$J298,0,1))</f>
        <v>#VALUE!</v>
      </c>
      <c r="AE298" s="90" t="e">
        <f aca="false">IF($C298="","",xEURO($L298,Call1,$G298,$G298,$S298,$J298,1,3))</f>
        <v>#VALUE!</v>
      </c>
      <c r="AF298" s="90" t="e">
        <f aca="false">IF($C298="","",xEURO($L298,Put1,$G298,$G298,$T298,$J298,0,3))</f>
        <v>#VALUE!</v>
      </c>
      <c r="AG298" s="90" t="e">
        <f aca="false">IF($C298="","",xEURO($L298,Call2,$G298,$G298,$U298,$J298,1,3))</f>
        <v>#VALUE!</v>
      </c>
      <c r="AH298" s="90" t="e">
        <f aca="false">IF($C298="","",xEURO($L298,Put2,$G298,$G298,$V298,$J298,0,3))</f>
        <v>#VALUE!</v>
      </c>
      <c r="AI298" s="8" t="e">
        <f aca="false">IF(E298=1,G298,0)</f>
        <v>#VALUE!</v>
      </c>
      <c r="AJ298" s="8" t="e">
        <f aca="false">IF(E298=1,H298,0)</f>
        <v>#VALUE!</v>
      </c>
      <c r="AK298" s="8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  <c r="IM298" s="0"/>
      <c r="IN298" s="0"/>
      <c r="IO298" s="0"/>
      <c r="IP298" s="0"/>
      <c r="IQ298" s="0"/>
      <c r="IR298" s="0"/>
      <c r="IS298" s="0"/>
      <c r="IT298" s="0"/>
      <c r="IU298" s="0"/>
      <c r="IV298" s="0"/>
      <c r="IW298" s="0"/>
    </row>
    <row r="299" customFormat="false" ht="12.75" hidden="false" customHeight="false" outlineLevel="0" collapsed="false">
      <c r="A299" s="95" t="n">
        <f aca="false">Swap!A299</f>
        <v>45931</v>
      </c>
      <c r="B299" s="96" t="n">
        <f aca="false">B298+1</f>
        <v>290</v>
      </c>
      <c r="C299" s="95" t="e">
        <f aca="false">IF(AND(A299&gt;=Front!$E$11,A299&lt;=Front!$E$12),A299,"")</f>
        <v>#VALUE!</v>
      </c>
      <c r="D299" s="87" t="e">
        <f aca="false">Swap!AB299</f>
        <v>#VALUE!</v>
      </c>
      <c r="E299" s="87" t="e">
        <f aca="false">IF($C299="","",1)</f>
        <v>#VALUE!</v>
      </c>
      <c r="F299" s="97" t="e">
        <f aca="false">IF($C299="","",E299*H299)</f>
        <v>#VALUE!</v>
      </c>
      <c r="G299" s="31" t="e">
        <f aca="false">Swap!AG299</f>
        <v>#N/A</v>
      </c>
      <c r="H299" s="31" t="e">
        <f aca="false">Swap!AH299</f>
        <v>#N/A</v>
      </c>
      <c r="I299" s="92" t="n">
        <f aca="false">INDEX(expery,MATCH(A299,exprymonth,0),2)</f>
        <v>45925</v>
      </c>
      <c r="J299" s="98" t="n">
        <f aca="false">I299-Front!$C$2</f>
        <v>-1</v>
      </c>
      <c r="K299" s="99" t="n">
        <f aca="false">Swap!E299</f>
        <v>0</v>
      </c>
      <c r="L299" s="99" t="e">
        <f aca="false">IF(C299="","",(PriceSwitch=0)*K299+(PriceSwitch=1)*(Front!$H$21+K299)+(PriceSwitch=2)*Front!$H$21)</f>
        <v>#VALUE!</v>
      </c>
      <c r="M299" s="93" t="e">
        <f aca="false">M298</f>
        <v>#N/A</v>
      </c>
      <c r="N299" s="3" t="e">
        <f aca="false">IF(Skew_Switch=0,"",IF($C299="","",(Front!$E$20=0)*M299+(Front!$E$20=1)*(Front!$E$21+M299)+(Front!$E$20=2)*Front!$E$21))</f>
        <v>#VALUE!</v>
      </c>
      <c r="O299" s="94" t="e">
        <f aca="false">IF(Skew_Switch=0,"",IF(C299="","",((calcskew(Call1-$L299,$C299,a,b))/100)))</f>
        <v>#VALUE!</v>
      </c>
      <c r="P299" s="94" t="e">
        <f aca="false">IF(Skew_Switch=0,"",IF(C299="","",((calcskew(Put1-$L299,$C299,a,b))/100)))</f>
        <v>#VALUE!</v>
      </c>
      <c r="Q299" s="94" t="e">
        <f aca="false">IF(Skew_Switch=0,"",IF(C299="","",((calcskew(Call2-$L299,$C299,a,b))/100)))</f>
        <v>#VALUE!</v>
      </c>
      <c r="R299" s="94" t="e">
        <f aca="false">IF(Skew_Switch=0,"",IF(C299="","",((calcskew(Put2-$L299,$C299,a,b))/100)))</f>
        <v>#VALUE!</v>
      </c>
      <c r="S299" s="3" t="e">
        <f aca="false">IF($C299="","",(Front!$C$19=0)*$N299+(Front!$C$19=1)*($N299+O299))</f>
        <v>#VALUE!</v>
      </c>
      <c r="T299" s="3" t="e">
        <f aca="false">IF($C299="","",(Front!$C$19=0)*$N299+(Front!$C$19=1)*($N299+P299))</f>
        <v>#VALUE!</v>
      </c>
      <c r="U299" s="3" t="e">
        <f aca="false">IF($C299="","",(Front!$C$19=0)*$N299+(Front!$C$19=1)*($N299+Q299))</f>
        <v>#VALUE!</v>
      </c>
      <c r="V299" s="3" t="e">
        <f aca="false">IF($C299="","",(Front!$C$19=0)*$N299+(Front!$C$19=1)*($N299+R299))</f>
        <v>#VALUE!</v>
      </c>
      <c r="W299" s="90" t="e">
        <f aca="false">IF($C299="","",xEURO($L299,Call1,$G299,$G299,S299,$J299,1,0))</f>
        <v>#VALUE!</v>
      </c>
      <c r="X299" s="90" t="e">
        <f aca="false">IF($C299="","",xEURO($L299,Put1,$G299,$G299,T299,$J299,0,0))</f>
        <v>#VALUE!</v>
      </c>
      <c r="Y299" s="90" t="e">
        <f aca="false">IF($C299="","",xEURO($L299,Call2,$G299,$G299,U299,$J299,1,0))</f>
        <v>#VALUE!</v>
      </c>
      <c r="Z299" s="90" t="e">
        <f aca="false">IF($C299="","",xEURO($L299,Put2,$G299,$G299,V299,$J299,0,0))</f>
        <v>#VALUE!</v>
      </c>
      <c r="AA299" s="90" t="e">
        <f aca="false">IF($C299="","",xEURO($L299,Call1,$G299,$G299,$S299,$J299,1,1))</f>
        <v>#VALUE!</v>
      </c>
      <c r="AB299" s="90" t="e">
        <f aca="false">IF($C299="","",xEURO($L299,Put1,$G299,$G299,$T299,$J299,0,1))</f>
        <v>#VALUE!</v>
      </c>
      <c r="AC299" s="90" t="e">
        <f aca="false">IF($C299="","",xEURO($L299,Call2,$G299,$G299,$U299,$J299,1,1))</f>
        <v>#VALUE!</v>
      </c>
      <c r="AD299" s="90" t="e">
        <f aca="false">IF($C299="","",xEURO($L299,Put2,$G299,$G299,$V299,$J299,0,1))</f>
        <v>#VALUE!</v>
      </c>
      <c r="AE299" s="90" t="e">
        <f aca="false">IF($C299="","",xEURO($L299,Call1,$G299,$G299,$S299,$J299,1,3))</f>
        <v>#VALUE!</v>
      </c>
      <c r="AF299" s="90" t="e">
        <f aca="false">IF($C299="","",xEURO($L299,Put1,$G299,$G299,$T299,$J299,0,3))</f>
        <v>#VALUE!</v>
      </c>
      <c r="AG299" s="90" t="e">
        <f aca="false">IF($C299="","",xEURO($L299,Call2,$G299,$G299,$U299,$J299,1,3))</f>
        <v>#VALUE!</v>
      </c>
      <c r="AH299" s="90" t="e">
        <f aca="false">IF($C299="","",xEURO($L299,Put2,$G299,$G299,$V299,$J299,0,3))</f>
        <v>#VALUE!</v>
      </c>
      <c r="AI299" s="8" t="e">
        <f aca="false">IF(E299=1,G299,0)</f>
        <v>#VALUE!</v>
      </c>
      <c r="AJ299" s="8" t="e">
        <f aca="false">IF(E299=1,H299,0)</f>
        <v>#VALUE!</v>
      </c>
      <c r="AK299" s="8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  <c r="IM299" s="0"/>
      <c r="IN299" s="0"/>
      <c r="IO299" s="0"/>
      <c r="IP299" s="0"/>
      <c r="IQ299" s="0"/>
      <c r="IR299" s="0"/>
      <c r="IS299" s="0"/>
      <c r="IT299" s="0"/>
      <c r="IU299" s="0"/>
      <c r="IV299" s="0"/>
      <c r="IW299" s="0"/>
    </row>
    <row r="300" customFormat="false" ht="12.75" hidden="false" customHeight="false" outlineLevel="0" collapsed="false">
      <c r="A300" s="95" t="n">
        <f aca="false">Swap!A300</f>
        <v>45962</v>
      </c>
      <c r="B300" s="96" t="n">
        <f aca="false">B299+1</f>
        <v>291</v>
      </c>
      <c r="C300" s="95" t="e">
        <f aca="false">IF(AND(A300&gt;=Front!$E$11,A300&lt;=Front!$E$12),A300,"")</f>
        <v>#VALUE!</v>
      </c>
      <c r="D300" s="87" t="e">
        <f aca="false">Swap!AB300</f>
        <v>#VALUE!</v>
      </c>
      <c r="E300" s="87" t="e">
        <f aca="false">IF($C300="","",1)</f>
        <v>#VALUE!</v>
      </c>
      <c r="F300" s="97" t="e">
        <f aca="false">IF($C300="","",E300*H300)</f>
        <v>#VALUE!</v>
      </c>
      <c r="G300" s="31" t="e">
        <f aca="false">Swap!AG300</f>
        <v>#N/A</v>
      </c>
      <c r="H300" s="31" t="e">
        <f aca="false">Swap!AH300</f>
        <v>#N/A</v>
      </c>
      <c r="I300" s="92" t="n">
        <f aca="false">INDEX(expery,MATCH(A300,exprymonth,0),2)</f>
        <v>45958</v>
      </c>
      <c r="J300" s="98" t="n">
        <f aca="false">I300-Front!$C$2</f>
        <v>32</v>
      </c>
      <c r="K300" s="99" t="n">
        <f aca="false">Swap!E300</f>
        <v>0</v>
      </c>
      <c r="L300" s="99" t="e">
        <f aca="false">IF(C300="","",(PriceSwitch=0)*K300+(PriceSwitch=1)*(Front!$H$21+K300)+(PriceSwitch=2)*Front!$H$21)</f>
        <v>#VALUE!</v>
      </c>
      <c r="M300" s="93" t="e">
        <f aca="false">M299</f>
        <v>#N/A</v>
      </c>
      <c r="N300" s="3" t="e">
        <f aca="false">IF(Skew_Switch=0,"",IF($C300="","",(Front!$E$20=0)*M300+(Front!$E$20=1)*(Front!$E$21+M300)+(Front!$E$20=2)*Front!$E$21))</f>
        <v>#VALUE!</v>
      </c>
      <c r="O300" s="94" t="e">
        <f aca="false">IF(Skew_Switch=0,"",IF(C300="","",((calcskew(Call1-$L300,$C300,a,b))/100)))</f>
        <v>#VALUE!</v>
      </c>
      <c r="P300" s="94" t="e">
        <f aca="false">IF(Skew_Switch=0,"",IF(C300="","",((calcskew(Put1-$L300,$C300,a,b))/100)))</f>
        <v>#VALUE!</v>
      </c>
      <c r="Q300" s="94" t="e">
        <f aca="false">IF(Skew_Switch=0,"",IF(C300="","",((calcskew(Call2-$L300,$C300,a,b))/100)))</f>
        <v>#VALUE!</v>
      </c>
      <c r="R300" s="94" t="e">
        <f aca="false">IF(Skew_Switch=0,"",IF(C300="","",((calcskew(Put2-$L300,$C300,a,b))/100)))</f>
        <v>#VALUE!</v>
      </c>
      <c r="S300" s="3" t="e">
        <f aca="false">IF($C300="","",(Front!$C$19=0)*$N300+(Front!$C$19=1)*($N300+O300))</f>
        <v>#VALUE!</v>
      </c>
      <c r="T300" s="3" t="e">
        <f aca="false">IF($C300="","",(Front!$C$19=0)*$N300+(Front!$C$19=1)*($N300+P300))</f>
        <v>#VALUE!</v>
      </c>
      <c r="U300" s="3" t="e">
        <f aca="false">IF($C300="","",(Front!$C$19=0)*$N300+(Front!$C$19=1)*($N300+Q300))</f>
        <v>#VALUE!</v>
      </c>
      <c r="V300" s="3" t="e">
        <f aca="false">IF($C300="","",(Front!$C$19=0)*$N300+(Front!$C$19=1)*($N300+R300))</f>
        <v>#VALUE!</v>
      </c>
      <c r="W300" s="90" t="e">
        <f aca="false">IF($C300="","",xEURO($L300,Call1,$G300,$G300,S300,$J300,1,0))</f>
        <v>#VALUE!</v>
      </c>
      <c r="X300" s="90" t="e">
        <f aca="false">IF($C300="","",xEURO($L300,Put1,$G300,$G300,T300,$J300,0,0))</f>
        <v>#VALUE!</v>
      </c>
      <c r="Y300" s="90" t="e">
        <f aca="false">IF($C300="","",xEURO($L300,Call2,$G300,$G300,U300,$J300,1,0))</f>
        <v>#VALUE!</v>
      </c>
      <c r="Z300" s="90" t="e">
        <f aca="false">IF($C300="","",xEURO($L300,Put2,$G300,$G300,V300,$J300,0,0))</f>
        <v>#VALUE!</v>
      </c>
      <c r="AA300" s="90" t="e">
        <f aca="false">IF($C300="","",xEURO($L300,Call1,$G300,$G300,$S300,$J300,1,1))</f>
        <v>#VALUE!</v>
      </c>
      <c r="AB300" s="90" t="e">
        <f aca="false">IF($C300="","",xEURO($L300,Put1,$G300,$G300,$T300,$J300,0,1))</f>
        <v>#VALUE!</v>
      </c>
      <c r="AC300" s="90" t="e">
        <f aca="false">IF($C300="","",xEURO($L300,Call2,$G300,$G300,$U300,$J300,1,1))</f>
        <v>#VALUE!</v>
      </c>
      <c r="AD300" s="90" t="e">
        <f aca="false">IF($C300="","",xEURO($L300,Put2,$G300,$G300,$V300,$J300,0,1))</f>
        <v>#VALUE!</v>
      </c>
      <c r="AE300" s="90" t="e">
        <f aca="false">IF($C300="","",xEURO($L300,Call1,$G300,$G300,$S300,$J300,1,3))</f>
        <v>#VALUE!</v>
      </c>
      <c r="AF300" s="90" t="e">
        <f aca="false">IF($C300="","",xEURO($L300,Put1,$G300,$G300,$T300,$J300,0,3))</f>
        <v>#VALUE!</v>
      </c>
      <c r="AG300" s="90" t="e">
        <f aca="false">IF($C300="","",xEURO($L300,Call2,$G300,$G300,$U300,$J300,1,3))</f>
        <v>#VALUE!</v>
      </c>
      <c r="AH300" s="90" t="e">
        <f aca="false">IF($C300="","",xEURO($L300,Put2,$G300,$G300,$V300,$J300,0,3))</f>
        <v>#VALUE!</v>
      </c>
      <c r="AI300" s="8" t="e">
        <f aca="false">IF(E300=1,G300,0)</f>
        <v>#VALUE!</v>
      </c>
      <c r="AJ300" s="8" t="e">
        <f aca="false">IF(E300=1,H300,0)</f>
        <v>#VALUE!</v>
      </c>
      <c r="AK300" s="8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  <c r="IM300" s="0"/>
      <c r="IN300" s="0"/>
      <c r="IO300" s="0"/>
      <c r="IP300" s="0"/>
      <c r="IQ300" s="0"/>
      <c r="IR300" s="0"/>
      <c r="IS300" s="0"/>
      <c r="IT300" s="0"/>
      <c r="IU300" s="0"/>
      <c r="IV300" s="0"/>
      <c r="IW300" s="0"/>
    </row>
    <row r="301" customFormat="false" ht="12.75" hidden="false" customHeight="false" outlineLevel="0" collapsed="false">
      <c r="A301" s="95" t="n">
        <f aca="false">Swap!A301</f>
        <v>45992</v>
      </c>
      <c r="B301" s="96" t="n">
        <f aca="false">B300+1</f>
        <v>292</v>
      </c>
      <c r="C301" s="95" t="e">
        <f aca="false">IF(AND(A301&gt;=Front!$E$11,A301&lt;=Front!$E$12),A301,"")</f>
        <v>#VALUE!</v>
      </c>
      <c r="D301" s="87" t="e">
        <f aca="false">Swap!AB301</f>
        <v>#VALUE!</v>
      </c>
      <c r="E301" s="87" t="e">
        <f aca="false">IF($C301="","",1)</f>
        <v>#VALUE!</v>
      </c>
      <c r="F301" s="97" t="e">
        <f aca="false">IF($C301="","",E301*H301)</f>
        <v>#VALUE!</v>
      </c>
      <c r="G301" s="31" t="e">
        <f aca="false">Swap!AG301</f>
        <v>#N/A</v>
      </c>
      <c r="H301" s="31" t="e">
        <f aca="false">Swap!AH301</f>
        <v>#N/A</v>
      </c>
      <c r="I301" s="92" t="n">
        <f aca="false">INDEX(expery,MATCH(A301,exprymonth,0),2)</f>
        <v>45985</v>
      </c>
      <c r="J301" s="98" t="n">
        <f aca="false">I301-Front!$C$2</f>
        <v>59</v>
      </c>
      <c r="K301" s="99" t="n">
        <f aca="false">Swap!E301</f>
        <v>0</v>
      </c>
      <c r="L301" s="99" t="e">
        <f aca="false">IF(C301="","",(PriceSwitch=0)*K301+(PriceSwitch=1)*(Front!$H$21+K301)+(PriceSwitch=2)*Front!$H$21)</f>
        <v>#VALUE!</v>
      </c>
      <c r="M301" s="93" t="e">
        <f aca="false">M300</f>
        <v>#N/A</v>
      </c>
      <c r="N301" s="3" t="e">
        <f aca="false">IF(Skew_Switch=0,"",IF($C301="","",(Front!$E$20=0)*M301+(Front!$E$20=1)*(Front!$E$21+M301)+(Front!$E$20=2)*Front!$E$21))</f>
        <v>#VALUE!</v>
      </c>
      <c r="O301" s="94" t="e">
        <f aca="false">IF(Skew_Switch=0,"",IF(C301="","",((calcskew(Call1-$L301,$C301,a,b))/100)))</f>
        <v>#VALUE!</v>
      </c>
      <c r="P301" s="94" t="e">
        <f aca="false">IF(Skew_Switch=0,"",IF(C301="","",((calcskew(Put1-$L301,$C301,a,b))/100)))</f>
        <v>#VALUE!</v>
      </c>
      <c r="Q301" s="94" t="e">
        <f aca="false">IF(Skew_Switch=0,"",IF(C301="","",((calcskew(Call2-$L301,$C301,a,b))/100)))</f>
        <v>#VALUE!</v>
      </c>
      <c r="R301" s="94" t="e">
        <f aca="false">IF(Skew_Switch=0,"",IF(C301="","",((calcskew(Put2-$L301,$C301,a,b))/100)))</f>
        <v>#VALUE!</v>
      </c>
      <c r="S301" s="3" t="e">
        <f aca="false">IF($C301="","",(Front!$C$19=0)*$N301+(Front!$C$19=1)*($N301+O301))</f>
        <v>#VALUE!</v>
      </c>
      <c r="T301" s="3" t="e">
        <f aca="false">IF($C301="","",(Front!$C$19=0)*$N301+(Front!$C$19=1)*($N301+P301))</f>
        <v>#VALUE!</v>
      </c>
      <c r="U301" s="3" t="e">
        <f aca="false">IF($C301="","",(Front!$C$19=0)*$N301+(Front!$C$19=1)*($N301+Q301))</f>
        <v>#VALUE!</v>
      </c>
      <c r="V301" s="3" t="e">
        <f aca="false">IF($C301="","",(Front!$C$19=0)*$N301+(Front!$C$19=1)*($N301+R301))</f>
        <v>#VALUE!</v>
      </c>
      <c r="W301" s="90" t="e">
        <f aca="false">IF($C301="","",xEURO($L301,Call1,$G301,$G301,S301,$J301,1,0))</f>
        <v>#VALUE!</v>
      </c>
      <c r="X301" s="90" t="e">
        <f aca="false">IF($C301="","",xEURO($L301,Put1,$G301,$G301,T301,$J301,0,0))</f>
        <v>#VALUE!</v>
      </c>
      <c r="Y301" s="90" t="e">
        <f aca="false">IF($C301="","",xEURO($L301,Call2,$G301,$G301,U301,$J301,1,0))</f>
        <v>#VALUE!</v>
      </c>
      <c r="Z301" s="90" t="e">
        <f aca="false">IF($C301="","",xEURO($L301,Put2,$G301,$G301,V301,$J301,0,0))</f>
        <v>#VALUE!</v>
      </c>
      <c r="AA301" s="90" t="e">
        <f aca="false">IF($C301="","",xEURO($L301,Call1,$G301,$G301,$S301,$J301,1,1))</f>
        <v>#VALUE!</v>
      </c>
      <c r="AB301" s="90" t="e">
        <f aca="false">IF($C301="","",xEURO($L301,Put1,$G301,$G301,$T301,$J301,0,1))</f>
        <v>#VALUE!</v>
      </c>
      <c r="AC301" s="90" t="e">
        <f aca="false">IF($C301="","",xEURO($L301,Call2,$G301,$G301,$U301,$J301,1,1))</f>
        <v>#VALUE!</v>
      </c>
      <c r="AD301" s="90" t="e">
        <f aca="false">IF($C301="","",xEURO($L301,Put2,$G301,$G301,$V301,$J301,0,1))</f>
        <v>#VALUE!</v>
      </c>
      <c r="AE301" s="90" t="e">
        <f aca="false">IF($C301="","",xEURO($L301,Call1,$G301,$G301,$S301,$J301,1,3))</f>
        <v>#VALUE!</v>
      </c>
      <c r="AF301" s="90" t="e">
        <f aca="false">IF($C301="","",xEURO($L301,Put1,$G301,$G301,$T301,$J301,0,3))</f>
        <v>#VALUE!</v>
      </c>
      <c r="AG301" s="90" t="e">
        <f aca="false">IF($C301="","",xEURO($L301,Call2,$G301,$G301,$U301,$J301,1,3))</f>
        <v>#VALUE!</v>
      </c>
      <c r="AH301" s="90" t="e">
        <f aca="false">IF($C301="","",xEURO($L301,Put2,$G301,$G301,$V301,$J301,0,3))</f>
        <v>#VALUE!</v>
      </c>
      <c r="AI301" s="8" t="e">
        <f aca="false">IF(E301=1,G301,0)</f>
        <v>#VALUE!</v>
      </c>
      <c r="AJ301" s="8" t="e">
        <f aca="false">IF(E301=1,H301,0)</f>
        <v>#VALUE!</v>
      </c>
      <c r="AK301" s="8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  <c r="IM301" s="0"/>
      <c r="IN301" s="0"/>
      <c r="IO301" s="0"/>
      <c r="IP301" s="0"/>
      <c r="IQ301" s="0"/>
      <c r="IR301" s="0"/>
      <c r="IS301" s="0"/>
      <c r="IT301" s="0"/>
      <c r="IU301" s="0"/>
      <c r="IV301" s="0"/>
      <c r="IW301" s="0"/>
    </row>
    <row r="302" customFormat="false" ht="12.75" hidden="false" customHeight="false" outlineLevel="0" collapsed="false">
      <c r="A302" s="95" t="n">
        <f aca="false">Swap!A302</f>
        <v>46023</v>
      </c>
      <c r="B302" s="96" t="n">
        <f aca="false">B301+1</f>
        <v>293</v>
      </c>
      <c r="C302" s="95" t="e">
        <f aca="false">IF(AND(A302&gt;=Front!$E$11,A302&lt;=Front!$E$12),A302,"")</f>
        <v>#VALUE!</v>
      </c>
      <c r="D302" s="87" t="e">
        <f aca="false">Swap!AB302</f>
        <v>#VALUE!</v>
      </c>
      <c r="E302" s="87" t="e">
        <f aca="false">IF($C302="","",1)</f>
        <v>#VALUE!</v>
      </c>
      <c r="F302" s="97" t="e">
        <f aca="false">IF($C302="","",E302*H302)</f>
        <v>#VALUE!</v>
      </c>
      <c r="G302" s="31" t="e">
        <f aca="false">Swap!AG302</f>
        <v>#N/A</v>
      </c>
      <c r="H302" s="31" t="e">
        <f aca="false">Swap!AH302</f>
        <v>#N/A</v>
      </c>
      <c r="I302" s="92" t="n">
        <f aca="false">INDEX(expery,MATCH(A302,exprymonth,0),2)</f>
        <v>46017</v>
      </c>
      <c r="J302" s="98" t="n">
        <f aca="false">I302-Front!$C$2</f>
        <v>91</v>
      </c>
      <c r="K302" s="99" t="n">
        <f aca="false">Swap!E302</f>
        <v>0</v>
      </c>
      <c r="L302" s="99" t="e">
        <f aca="false">IF(C302="","",(PriceSwitch=0)*K302+(PriceSwitch=1)*(Front!$H$21+K302)+(PriceSwitch=2)*Front!$H$21)</f>
        <v>#VALUE!</v>
      </c>
      <c r="M302" s="93" t="e">
        <f aca="false">M301</f>
        <v>#N/A</v>
      </c>
      <c r="N302" s="3" t="e">
        <f aca="false">IF(Skew_Switch=0,"",IF($C302="","",(Front!$E$20=0)*M302+(Front!$E$20=1)*(Front!$E$21+M302)+(Front!$E$20=2)*Front!$E$21))</f>
        <v>#VALUE!</v>
      </c>
      <c r="O302" s="94" t="e">
        <f aca="false">IF(Skew_Switch=0,"",IF(C302="","",((calcskew(Call1-$L302,$C302,a,b))/100)))</f>
        <v>#VALUE!</v>
      </c>
      <c r="P302" s="94" t="e">
        <f aca="false">IF(Skew_Switch=0,"",IF(C302="","",((calcskew(Put1-$L302,$C302,a,b))/100)))</f>
        <v>#VALUE!</v>
      </c>
      <c r="Q302" s="94" t="e">
        <f aca="false">IF(Skew_Switch=0,"",IF(C302="","",((calcskew(Call2-$L302,$C302,a,b))/100)))</f>
        <v>#VALUE!</v>
      </c>
      <c r="R302" s="94" t="e">
        <f aca="false">IF(Skew_Switch=0,"",IF(C302="","",((calcskew(Put2-$L302,$C302,a,b))/100)))</f>
        <v>#VALUE!</v>
      </c>
      <c r="S302" s="3" t="e">
        <f aca="false">IF($C302="","",(Front!$C$19=0)*$N302+(Front!$C$19=1)*($N302+O302))</f>
        <v>#VALUE!</v>
      </c>
      <c r="T302" s="3" t="e">
        <f aca="false">IF($C302="","",(Front!$C$19=0)*$N302+(Front!$C$19=1)*($N302+P302))</f>
        <v>#VALUE!</v>
      </c>
      <c r="U302" s="3" t="e">
        <f aca="false">IF($C302="","",(Front!$C$19=0)*$N302+(Front!$C$19=1)*($N302+Q302))</f>
        <v>#VALUE!</v>
      </c>
      <c r="V302" s="3" t="e">
        <f aca="false">IF($C302="","",(Front!$C$19=0)*$N302+(Front!$C$19=1)*($N302+R302))</f>
        <v>#VALUE!</v>
      </c>
      <c r="W302" s="90" t="e">
        <f aca="false">IF($C302="","",xEURO($L302,Call1,$G302,$G302,S302,$J302,1,0))</f>
        <v>#VALUE!</v>
      </c>
      <c r="X302" s="90" t="e">
        <f aca="false">IF($C302="","",xEURO($L302,Put1,$G302,$G302,T302,$J302,0,0))</f>
        <v>#VALUE!</v>
      </c>
      <c r="Y302" s="90" t="e">
        <f aca="false">IF($C302="","",xEURO($L302,Call2,$G302,$G302,U302,$J302,1,0))</f>
        <v>#VALUE!</v>
      </c>
      <c r="Z302" s="90" t="e">
        <f aca="false">IF($C302="","",xEURO($L302,Put2,$G302,$G302,V302,$J302,0,0))</f>
        <v>#VALUE!</v>
      </c>
      <c r="AA302" s="90" t="e">
        <f aca="false">IF($C302="","",xEURO($L302,Call1,$G302,$G302,$S302,$J302,1,1))</f>
        <v>#VALUE!</v>
      </c>
      <c r="AB302" s="90" t="e">
        <f aca="false">IF($C302="","",xEURO($L302,Put1,$G302,$G302,$T302,$J302,0,1))</f>
        <v>#VALUE!</v>
      </c>
      <c r="AC302" s="90" t="e">
        <f aca="false">IF($C302="","",xEURO($L302,Call2,$G302,$G302,$U302,$J302,1,1))</f>
        <v>#VALUE!</v>
      </c>
      <c r="AD302" s="90" t="e">
        <f aca="false">IF($C302="","",xEURO($L302,Put2,$G302,$G302,$V302,$J302,0,1))</f>
        <v>#VALUE!</v>
      </c>
      <c r="AE302" s="90" t="e">
        <f aca="false">IF($C302="","",xEURO($L302,Call1,$G302,$G302,$S302,$J302,1,3))</f>
        <v>#VALUE!</v>
      </c>
      <c r="AF302" s="90" t="e">
        <f aca="false">IF($C302="","",xEURO($L302,Put1,$G302,$G302,$T302,$J302,0,3))</f>
        <v>#VALUE!</v>
      </c>
      <c r="AG302" s="90" t="e">
        <f aca="false">IF($C302="","",xEURO($L302,Call2,$G302,$G302,$U302,$J302,1,3))</f>
        <v>#VALUE!</v>
      </c>
      <c r="AH302" s="90" t="e">
        <f aca="false">IF($C302="","",xEURO($L302,Put2,$G302,$G302,$V302,$J302,0,3))</f>
        <v>#VALUE!</v>
      </c>
      <c r="AI302" s="8" t="e">
        <f aca="false">IF(E302=1,G302,0)</f>
        <v>#VALUE!</v>
      </c>
      <c r="AJ302" s="8" t="e">
        <f aca="false">IF(E302=1,H302,0)</f>
        <v>#VALUE!</v>
      </c>
      <c r="AK302" s="8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  <c r="IM302" s="0"/>
      <c r="IN302" s="0"/>
      <c r="IO302" s="0"/>
      <c r="IP302" s="0"/>
      <c r="IQ302" s="0"/>
      <c r="IR302" s="0"/>
      <c r="IS302" s="0"/>
      <c r="IT302" s="0"/>
      <c r="IU302" s="0"/>
      <c r="IV302" s="0"/>
      <c r="IW302" s="0"/>
    </row>
    <row r="303" customFormat="false" ht="12.75" hidden="false" customHeight="false" outlineLevel="0" collapsed="false">
      <c r="A303" s="95" t="n">
        <f aca="false">Swap!A303</f>
        <v>46054</v>
      </c>
      <c r="B303" s="96" t="n">
        <f aca="false">B302+1</f>
        <v>294</v>
      </c>
      <c r="C303" s="95" t="e">
        <f aca="false">IF(AND(A303&gt;=Front!$E$11,A303&lt;=Front!$E$12),A303,"")</f>
        <v>#VALUE!</v>
      </c>
      <c r="D303" s="87" t="e">
        <f aca="false">Swap!AB303</f>
        <v>#VALUE!</v>
      </c>
      <c r="E303" s="87" t="e">
        <f aca="false">IF($C303="","",1)</f>
        <v>#VALUE!</v>
      </c>
      <c r="F303" s="97" t="e">
        <f aca="false">IF($C303="","",E303*H303)</f>
        <v>#VALUE!</v>
      </c>
      <c r="G303" s="31" t="e">
        <f aca="false">Swap!AG303</f>
        <v>#N/A</v>
      </c>
      <c r="H303" s="31" t="e">
        <f aca="false">Swap!AH303</f>
        <v>#N/A</v>
      </c>
      <c r="I303" s="92" t="n">
        <f aca="false">INDEX(expery,MATCH(A303,exprymonth,0),2)</f>
        <v>46049</v>
      </c>
      <c r="J303" s="98" t="n">
        <f aca="false">I303-Front!$C$2</f>
        <v>123</v>
      </c>
      <c r="K303" s="99" t="n">
        <f aca="false">Swap!E303</f>
        <v>0</v>
      </c>
      <c r="L303" s="99" t="e">
        <f aca="false">IF(C303="","",(PriceSwitch=0)*K303+(PriceSwitch=1)*(Front!$H$21+K303)+(PriceSwitch=2)*Front!$H$21)</f>
        <v>#VALUE!</v>
      </c>
      <c r="M303" s="93" t="e">
        <f aca="false">M302</f>
        <v>#N/A</v>
      </c>
      <c r="N303" s="3" t="e">
        <f aca="false">IF(Skew_Switch=0,"",IF($C303="","",(Front!$E$20=0)*M303+(Front!$E$20=1)*(Front!$E$21+M303)+(Front!$E$20=2)*Front!$E$21))</f>
        <v>#VALUE!</v>
      </c>
      <c r="O303" s="94" t="e">
        <f aca="false">IF(Skew_Switch=0,"",IF(C303="","",((calcskew(Call1-$L303,$C303,a,b))/100)))</f>
        <v>#VALUE!</v>
      </c>
      <c r="P303" s="94" t="e">
        <f aca="false">IF(Skew_Switch=0,"",IF(C303="","",((calcskew(Put1-$L303,$C303,a,b))/100)))</f>
        <v>#VALUE!</v>
      </c>
      <c r="Q303" s="94" t="e">
        <f aca="false">IF(Skew_Switch=0,"",IF(C303="","",((calcskew(Call2-$L303,$C303,a,b))/100)))</f>
        <v>#VALUE!</v>
      </c>
      <c r="R303" s="94" t="e">
        <f aca="false">IF(Skew_Switch=0,"",IF(C303="","",((calcskew(Put2-$L303,$C303,a,b))/100)))</f>
        <v>#VALUE!</v>
      </c>
      <c r="S303" s="3" t="e">
        <f aca="false">IF($C303="","",(Front!$C$19=0)*$N303+(Front!$C$19=1)*($N303+O303))</f>
        <v>#VALUE!</v>
      </c>
      <c r="T303" s="3" t="e">
        <f aca="false">IF($C303="","",(Front!$C$19=0)*$N303+(Front!$C$19=1)*($N303+P303))</f>
        <v>#VALUE!</v>
      </c>
      <c r="U303" s="3" t="e">
        <f aca="false">IF($C303="","",(Front!$C$19=0)*$N303+(Front!$C$19=1)*($N303+Q303))</f>
        <v>#VALUE!</v>
      </c>
      <c r="V303" s="3" t="e">
        <f aca="false">IF($C303="","",(Front!$C$19=0)*$N303+(Front!$C$19=1)*($N303+R303))</f>
        <v>#VALUE!</v>
      </c>
      <c r="W303" s="90" t="e">
        <f aca="false">IF($C303="","",xEURO($L303,Call1,$G303,$G303,S303,$J303,1,0))</f>
        <v>#VALUE!</v>
      </c>
      <c r="X303" s="90" t="e">
        <f aca="false">IF($C303="","",xEURO($L303,Put1,$G303,$G303,T303,$J303,0,0))</f>
        <v>#VALUE!</v>
      </c>
      <c r="Y303" s="90" t="e">
        <f aca="false">IF($C303="","",xEURO($L303,Call2,$G303,$G303,U303,$J303,1,0))</f>
        <v>#VALUE!</v>
      </c>
      <c r="Z303" s="90" t="e">
        <f aca="false">IF($C303="","",xEURO($L303,Put2,$G303,$G303,V303,$J303,0,0))</f>
        <v>#VALUE!</v>
      </c>
      <c r="AA303" s="90" t="e">
        <f aca="false">IF($C303="","",xEURO($L303,Call1,$G303,$G303,$S303,$J303,1,1))</f>
        <v>#VALUE!</v>
      </c>
      <c r="AB303" s="90" t="e">
        <f aca="false">IF($C303="","",xEURO($L303,Put1,$G303,$G303,$T303,$J303,0,1))</f>
        <v>#VALUE!</v>
      </c>
      <c r="AC303" s="90" t="e">
        <f aca="false">IF($C303="","",xEURO($L303,Call2,$G303,$G303,$U303,$J303,1,1))</f>
        <v>#VALUE!</v>
      </c>
      <c r="AD303" s="90" t="e">
        <f aca="false">IF($C303="","",xEURO($L303,Put2,$G303,$G303,$V303,$J303,0,1))</f>
        <v>#VALUE!</v>
      </c>
      <c r="AE303" s="90" t="e">
        <f aca="false">IF($C303="","",xEURO($L303,Call1,$G303,$G303,$S303,$J303,1,3))</f>
        <v>#VALUE!</v>
      </c>
      <c r="AF303" s="90" t="e">
        <f aca="false">IF($C303="","",xEURO($L303,Put1,$G303,$G303,$T303,$J303,0,3))</f>
        <v>#VALUE!</v>
      </c>
      <c r="AG303" s="90" t="e">
        <f aca="false">IF($C303="","",xEURO($L303,Call2,$G303,$G303,$U303,$J303,1,3))</f>
        <v>#VALUE!</v>
      </c>
      <c r="AH303" s="90" t="e">
        <f aca="false">IF($C303="","",xEURO($L303,Put2,$G303,$G303,$V303,$J303,0,3))</f>
        <v>#VALUE!</v>
      </c>
      <c r="AI303" s="8" t="e">
        <f aca="false">IF(E303=1,G303,0)</f>
        <v>#VALUE!</v>
      </c>
      <c r="AJ303" s="8" t="e">
        <f aca="false">IF(E303=1,H303,0)</f>
        <v>#VALUE!</v>
      </c>
      <c r="AK303" s="8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  <c r="IM303" s="0"/>
      <c r="IN303" s="0"/>
      <c r="IO303" s="0"/>
      <c r="IP303" s="0"/>
      <c r="IQ303" s="0"/>
      <c r="IR303" s="0"/>
      <c r="IS303" s="0"/>
      <c r="IT303" s="0"/>
      <c r="IU303" s="0"/>
      <c r="IV303" s="0"/>
      <c r="IW303" s="0"/>
    </row>
    <row r="304" customFormat="false" ht="12.75" hidden="false" customHeight="false" outlineLevel="0" collapsed="false">
      <c r="A304" s="95" t="n">
        <f aca="false">Swap!A304</f>
        <v>46082</v>
      </c>
      <c r="B304" s="96" t="n">
        <f aca="false">B303+1</f>
        <v>295</v>
      </c>
      <c r="C304" s="95" t="e">
        <f aca="false">IF(AND(A304&gt;=Front!$E$11,A304&lt;=Front!$E$12),A304,"")</f>
        <v>#VALUE!</v>
      </c>
      <c r="D304" s="87" t="e">
        <f aca="false">Swap!AB304</f>
        <v>#VALUE!</v>
      </c>
      <c r="E304" s="87" t="e">
        <f aca="false">IF($C304="","",1)</f>
        <v>#VALUE!</v>
      </c>
      <c r="F304" s="97" t="e">
        <f aca="false">IF($C304="","",E304*H304)</f>
        <v>#VALUE!</v>
      </c>
      <c r="G304" s="31" t="e">
        <f aca="false">Swap!AG304</f>
        <v>#N/A</v>
      </c>
      <c r="H304" s="31" t="e">
        <f aca="false">Swap!AH304</f>
        <v>#N/A</v>
      </c>
      <c r="I304" s="92" t="n">
        <f aca="false">INDEX(expery,MATCH(A304,exprymonth,0),2)</f>
        <v>46077</v>
      </c>
      <c r="J304" s="98" t="n">
        <f aca="false">I304-Front!$C$2</f>
        <v>151</v>
      </c>
      <c r="K304" s="99" t="n">
        <f aca="false">Swap!E304</f>
        <v>0</v>
      </c>
      <c r="L304" s="99" t="e">
        <f aca="false">IF(C304="","",(PriceSwitch=0)*K304+(PriceSwitch=1)*(Front!$H$21+K304)+(PriceSwitch=2)*Front!$H$21)</f>
        <v>#VALUE!</v>
      </c>
      <c r="M304" s="93" t="e">
        <f aca="false">M303</f>
        <v>#N/A</v>
      </c>
      <c r="N304" s="3" t="e">
        <f aca="false">IF(Skew_Switch=0,"",IF($C304="","",(Front!$E$20=0)*M304+(Front!$E$20=1)*(Front!$E$21+M304)+(Front!$E$20=2)*Front!$E$21))</f>
        <v>#VALUE!</v>
      </c>
      <c r="O304" s="94" t="e">
        <f aca="false">IF(Skew_Switch=0,"",IF(C304="","",((calcskew(Call1-$L304,$C304,a,b))/100)))</f>
        <v>#VALUE!</v>
      </c>
      <c r="P304" s="94" t="e">
        <f aca="false">IF(Skew_Switch=0,"",IF(C304="","",((calcskew(Put1-$L304,$C304,a,b))/100)))</f>
        <v>#VALUE!</v>
      </c>
      <c r="Q304" s="94" t="e">
        <f aca="false">IF(Skew_Switch=0,"",IF(C304="","",((calcskew(Call2-$L304,$C304,a,b))/100)))</f>
        <v>#VALUE!</v>
      </c>
      <c r="R304" s="94" t="e">
        <f aca="false">IF(Skew_Switch=0,"",IF(C304="","",((calcskew(Put2-$L304,$C304,a,b))/100)))</f>
        <v>#VALUE!</v>
      </c>
      <c r="S304" s="3" t="e">
        <f aca="false">IF($C304="","",(Front!$C$19=0)*$N304+(Front!$C$19=1)*($N304+O304))</f>
        <v>#VALUE!</v>
      </c>
      <c r="T304" s="3" t="e">
        <f aca="false">IF($C304="","",(Front!$C$19=0)*$N304+(Front!$C$19=1)*($N304+P304))</f>
        <v>#VALUE!</v>
      </c>
      <c r="U304" s="3" t="e">
        <f aca="false">IF($C304="","",(Front!$C$19=0)*$N304+(Front!$C$19=1)*($N304+Q304))</f>
        <v>#VALUE!</v>
      </c>
      <c r="V304" s="3" t="e">
        <f aca="false">IF($C304="","",(Front!$C$19=0)*$N304+(Front!$C$19=1)*($N304+R304))</f>
        <v>#VALUE!</v>
      </c>
      <c r="W304" s="90" t="e">
        <f aca="false">IF($C304="","",xEURO($L304,Call1,$G304,$G304,S304,$J304,1,0))</f>
        <v>#VALUE!</v>
      </c>
      <c r="X304" s="90" t="e">
        <f aca="false">IF($C304="","",xEURO($L304,Put1,$G304,$G304,T304,$J304,0,0))</f>
        <v>#VALUE!</v>
      </c>
      <c r="Y304" s="90" t="e">
        <f aca="false">IF($C304="","",xEURO($L304,Call2,$G304,$G304,U304,$J304,1,0))</f>
        <v>#VALUE!</v>
      </c>
      <c r="Z304" s="90" t="e">
        <f aca="false">IF($C304="","",xEURO($L304,Put2,$G304,$G304,V304,$J304,0,0))</f>
        <v>#VALUE!</v>
      </c>
      <c r="AA304" s="90" t="e">
        <f aca="false">IF($C304="","",xEURO($L304,Call1,$G304,$G304,$S304,$J304,1,1))</f>
        <v>#VALUE!</v>
      </c>
      <c r="AB304" s="90" t="e">
        <f aca="false">IF($C304="","",xEURO($L304,Put1,$G304,$G304,$T304,$J304,0,1))</f>
        <v>#VALUE!</v>
      </c>
      <c r="AC304" s="90" t="e">
        <f aca="false">IF($C304="","",xEURO($L304,Call2,$G304,$G304,$U304,$J304,1,1))</f>
        <v>#VALUE!</v>
      </c>
      <c r="AD304" s="90" t="e">
        <f aca="false">IF($C304="","",xEURO($L304,Put2,$G304,$G304,$V304,$J304,0,1))</f>
        <v>#VALUE!</v>
      </c>
      <c r="AE304" s="90" t="e">
        <f aca="false">IF($C304="","",xEURO($L304,Call1,$G304,$G304,$S304,$J304,1,3))</f>
        <v>#VALUE!</v>
      </c>
      <c r="AF304" s="90" t="e">
        <f aca="false">IF($C304="","",xEURO($L304,Put1,$G304,$G304,$T304,$J304,0,3))</f>
        <v>#VALUE!</v>
      </c>
      <c r="AG304" s="90" t="e">
        <f aca="false">IF($C304="","",xEURO($L304,Call2,$G304,$G304,$U304,$J304,1,3))</f>
        <v>#VALUE!</v>
      </c>
      <c r="AH304" s="90" t="e">
        <f aca="false">IF($C304="","",xEURO($L304,Put2,$G304,$G304,$V304,$J304,0,3))</f>
        <v>#VALUE!</v>
      </c>
      <c r="AI304" s="8" t="e">
        <f aca="false">IF(E304=1,G304,0)</f>
        <v>#VALUE!</v>
      </c>
      <c r="AJ304" s="8" t="e">
        <f aca="false">IF(E304=1,H304,0)</f>
        <v>#VALUE!</v>
      </c>
      <c r="AK304" s="8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  <c r="IM304" s="0"/>
      <c r="IN304" s="0"/>
      <c r="IO304" s="0"/>
      <c r="IP304" s="0"/>
      <c r="IQ304" s="0"/>
      <c r="IR304" s="0"/>
      <c r="IS304" s="0"/>
      <c r="IT304" s="0"/>
      <c r="IU304" s="0"/>
      <c r="IV304" s="0"/>
      <c r="IW304" s="0"/>
    </row>
    <row r="305" customFormat="false" ht="12.75" hidden="false" customHeight="false" outlineLevel="0" collapsed="false">
      <c r="A305" s="100"/>
      <c r="D305" s="101"/>
      <c r="E305" s="101"/>
      <c r="F305" s="102"/>
      <c r="G305" s="103"/>
      <c r="H305" s="103"/>
      <c r="I305" s="92" t="e">
        <f aca="false">INDEX(expery,MATCH(A305,exprymonth,0),2)</f>
        <v>#N/A</v>
      </c>
      <c r="J305" s="101"/>
      <c r="K305" s="104"/>
      <c r="L305" s="104"/>
      <c r="M305" s="93"/>
      <c r="N305" s="105"/>
      <c r="O305" s="94"/>
      <c r="P305" s="94"/>
      <c r="Q305" s="94"/>
      <c r="R305" s="94"/>
      <c r="S305" s="3"/>
      <c r="T305" s="3"/>
      <c r="U305" s="3"/>
      <c r="V305" s="3"/>
      <c r="W305" s="104"/>
      <c r="X305" s="104"/>
      <c r="Y305" s="104"/>
      <c r="Z305" s="104"/>
      <c r="AA305" s="104"/>
      <c r="AB305" s="104"/>
      <c r="AC305" s="104"/>
      <c r="AD305" s="104"/>
      <c r="AE305" s="104"/>
      <c r="AF305" s="104"/>
      <c r="AG305" s="104"/>
      <c r="AH305" s="104"/>
      <c r="AI305" s="104"/>
      <c r="AJ305" s="104"/>
    </row>
    <row r="306" customFormat="false" ht="12.75" hidden="false" customHeight="false" outlineLevel="0" collapsed="false">
      <c r="A306" s="100"/>
      <c r="D306" s="101"/>
      <c r="E306" s="101"/>
      <c r="F306" s="102"/>
      <c r="G306" s="103"/>
      <c r="H306" s="103"/>
      <c r="I306" s="92" t="e">
        <f aca="false">INDEX(expery,MATCH(A306,exprymonth,0),2)</f>
        <v>#N/A</v>
      </c>
      <c r="J306" s="101"/>
      <c r="K306" s="104"/>
      <c r="L306" s="104"/>
      <c r="M306" s="93"/>
      <c r="N306" s="105"/>
      <c r="O306" s="94"/>
      <c r="P306" s="94"/>
      <c r="Q306" s="94"/>
      <c r="R306" s="94"/>
      <c r="S306" s="3"/>
      <c r="T306" s="3"/>
      <c r="U306" s="3"/>
      <c r="V306" s="3"/>
      <c r="W306" s="104"/>
      <c r="X306" s="104"/>
      <c r="Y306" s="104"/>
      <c r="Z306" s="104"/>
      <c r="AA306" s="104"/>
      <c r="AB306" s="104"/>
      <c r="AC306" s="104"/>
      <c r="AD306" s="104"/>
      <c r="AE306" s="104"/>
      <c r="AF306" s="104"/>
      <c r="AG306" s="104"/>
      <c r="AH306" s="104"/>
      <c r="AI306" s="104"/>
      <c r="AJ306" s="104"/>
    </row>
    <row r="307" customFormat="false" ht="12.75" hidden="false" customHeight="false" outlineLevel="0" collapsed="false">
      <c r="A307" s="100"/>
      <c r="D307" s="101"/>
      <c r="E307" s="101"/>
      <c r="F307" s="102"/>
      <c r="G307" s="103"/>
      <c r="H307" s="103"/>
      <c r="I307" s="92" t="e">
        <f aca="false">INDEX(expery,MATCH(A307,exprymonth,0),2)</f>
        <v>#N/A</v>
      </c>
      <c r="J307" s="101"/>
      <c r="K307" s="104"/>
      <c r="L307" s="104"/>
      <c r="M307" s="93"/>
      <c r="N307" s="105"/>
      <c r="O307" s="94"/>
      <c r="P307" s="94"/>
      <c r="Q307" s="94"/>
      <c r="R307" s="94"/>
      <c r="S307" s="3"/>
      <c r="T307" s="3"/>
      <c r="U307" s="3"/>
      <c r="V307" s="3"/>
      <c r="W307" s="104"/>
      <c r="X307" s="104"/>
      <c r="Y307" s="104"/>
      <c r="Z307" s="104"/>
      <c r="AA307" s="104"/>
      <c r="AB307" s="104"/>
      <c r="AC307" s="104"/>
      <c r="AD307" s="104"/>
      <c r="AE307" s="104"/>
      <c r="AF307" s="104"/>
      <c r="AG307" s="104"/>
      <c r="AH307" s="104"/>
      <c r="AI307" s="104"/>
      <c r="AJ307" s="104"/>
    </row>
    <row r="308" customFormat="false" ht="12.75" hidden="false" customHeight="false" outlineLevel="0" collapsed="false">
      <c r="A308" s="100"/>
      <c r="D308" s="101"/>
      <c r="E308" s="101"/>
      <c r="F308" s="102"/>
      <c r="G308" s="103"/>
      <c r="H308" s="103"/>
      <c r="I308" s="92" t="e">
        <f aca="false">INDEX(expery,MATCH(A308,exprymonth,0),2)</f>
        <v>#N/A</v>
      </c>
      <c r="J308" s="101"/>
      <c r="K308" s="104"/>
      <c r="L308" s="104"/>
      <c r="M308" s="93"/>
      <c r="N308" s="105"/>
      <c r="O308" s="94"/>
      <c r="P308" s="94"/>
      <c r="Q308" s="94"/>
      <c r="R308" s="94"/>
      <c r="S308" s="3"/>
      <c r="T308" s="3"/>
      <c r="U308" s="3"/>
      <c r="V308" s="3"/>
      <c r="W308" s="104"/>
      <c r="X308" s="104"/>
      <c r="Y308" s="104"/>
      <c r="Z308" s="104"/>
      <c r="AA308" s="104"/>
      <c r="AB308" s="104"/>
      <c r="AC308" s="104"/>
      <c r="AD308" s="104"/>
      <c r="AE308" s="104"/>
      <c r="AF308" s="104"/>
      <c r="AG308" s="104"/>
      <c r="AH308" s="104"/>
      <c r="AI308" s="104"/>
      <c r="AJ308" s="104"/>
    </row>
    <row r="309" customFormat="false" ht="12.75" hidden="false" customHeight="false" outlineLevel="0" collapsed="false">
      <c r="A309" s="100"/>
      <c r="D309" s="101"/>
      <c r="E309" s="101"/>
      <c r="F309" s="102"/>
      <c r="G309" s="103"/>
      <c r="H309" s="103"/>
      <c r="I309" s="92" t="e">
        <f aca="false">INDEX(expery,MATCH(A309,exprymonth,0),2)</f>
        <v>#N/A</v>
      </c>
      <c r="J309" s="101"/>
      <c r="K309" s="104"/>
      <c r="L309" s="104"/>
      <c r="M309" s="93"/>
      <c r="N309" s="105"/>
      <c r="O309" s="94"/>
      <c r="P309" s="94"/>
      <c r="Q309" s="94"/>
      <c r="R309" s="94"/>
      <c r="S309" s="3"/>
      <c r="T309" s="3"/>
      <c r="U309" s="3"/>
      <c r="V309" s="3"/>
      <c r="W309" s="104"/>
      <c r="X309" s="104"/>
      <c r="Y309" s="104"/>
      <c r="Z309" s="104"/>
      <c r="AA309" s="104"/>
      <c r="AB309" s="104"/>
      <c r="AC309" s="104"/>
      <c r="AD309" s="104"/>
      <c r="AE309" s="104"/>
      <c r="AF309" s="104"/>
      <c r="AG309" s="104"/>
      <c r="AH309" s="104"/>
      <c r="AI309" s="104"/>
      <c r="AJ309" s="104"/>
    </row>
    <row r="310" customFormat="false" ht="12.75" hidden="false" customHeight="false" outlineLevel="0" collapsed="false">
      <c r="A310" s="100"/>
      <c r="D310" s="101"/>
      <c r="E310" s="101"/>
      <c r="F310" s="102"/>
      <c r="G310" s="103"/>
      <c r="H310" s="103"/>
      <c r="I310" s="92" t="e">
        <f aca="false">INDEX(expery,MATCH(A310,exprymonth,0),2)</f>
        <v>#N/A</v>
      </c>
      <c r="J310" s="101"/>
      <c r="K310" s="104"/>
      <c r="L310" s="104"/>
      <c r="M310" s="93"/>
      <c r="N310" s="105"/>
      <c r="O310" s="94"/>
      <c r="P310" s="94"/>
      <c r="Q310" s="94"/>
      <c r="R310" s="94"/>
      <c r="S310" s="3"/>
      <c r="T310" s="3"/>
      <c r="U310" s="3"/>
      <c r="V310" s="3"/>
      <c r="W310" s="104"/>
      <c r="X310" s="104"/>
      <c r="Y310" s="104"/>
      <c r="Z310" s="104"/>
      <c r="AA310" s="104"/>
      <c r="AB310" s="104"/>
      <c r="AC310" s="104"/>
      <c r="AD310" s="104"/>
      <c r="AE310" s="104"/>
      <c r="AF310" s="104"/>
      <c r="AG310" s="104"/>
      <c r="AH310" s="104"/>
      <c r="AI310" s="104"/>
      <c r="AJ310" s="104"/>
    </row>
    <row r="311" customFormat="false" ht="12.75" hidden="false" customHeight="false" outlineLevel="0" collapsed="false">
      <c r="A311" s="100"/>
      <c r="D311" s="101"/>
      <c r="E311" s="101"/>
      <c r="F311" s="102"/>
      <c r="G311" s="103"/>
      <c r="H311" s="103"/>
      <c r="I311" s="92" t="e">
        <f aca="false">INDEX(expery,MATCH(A311,exprymonth,0),2)</f>
        <v>#N/A</v>
      </c>
      <c r="J311" s="101"/>
      <c r="K311" s="104"/>
      <c r="L311" s="104"/>
      <c r="M311" s="93"/>
      <c r="N311" s="105"/>
      <c r="O311" s="94"/>
      <c r="P311" s="94"/>
      <c r="Q311" s="94"/>
      <c r="R311" s="94"/>
      <c r="S311" s="3"/>
      <c r="T311" s="3"/>
      <c r="U311" s="3"/>
      <c r="V311" s="3"/>
      <c r="W311" s="104"/>
      <c r="X311" s="104"/>
      <c r="Y311" s="104"/>
      <c r="Z311" s="104"/>
      <c r="AA311" s="104"/>
      <c r="AB311" s="104"/>
      <c r="AC311" s="104"/>
      <c r="AD311" s="104"/>
      <c r="AE311" s="104"/>
      <c r="AF311" s="104"/>
      <c r="AG311" s="104"/>
      <c r="AH311" s="104"/>
      <c r="AI311" s="104"/>
      <c r="AJ311" s="104"/>
    </row>
    <row r="312" customFormat="false" ht="12.75" hidden="false" customHeight="false" outlineLevel="0" collapsed="false">
      <c r="A312" s="100"/>
      <c r="D312" s="101"/>
      <c r="E312" s="101"/>
      <c r="F312" s="102"/>
      <c r="G312" s="103"/>
      <c r="H312" s="103"/>
      <c r="I312" s="92" t="e">
        <f aca="false">INDEX(expery,MATCH(A312,exprymonth,0),2)</f>
        <v>#N/A</v>
      </c>
      <c r="J312" s="101"/>
      <c r="K312" s="104"/>
      <c r="L312" s="104"/>
      <c r="M312" s="93"/>
      <c r="N312" s="105"/>
      <c r="O312" s="94"/>
      <c r="P312" s="94"/>
      <c r="Q312" s="94"/>
      <c r="R312" s="94"/>
      <c r="S312" s="3"/>
      <c r="T312" s="3"/>
      <c r="U312" s="3"/>
      <c r="V312" s="3"/>
      <c r="W312" s="104"/>
      <c r="X312" s="104"/>
      <c r="Y312" s="104"/>
      <c r="Z312" s="104"/>
      <c r="AA312" s="104"/>
      <c r="AB312" s="104"/>
      <c r="AC312" s="104"/>
      <c r="AD312" s="104"/>
      <c r="AE312" s="104"/>
      <c r="AF312" s="104"/>
      <c r="AG312" s="104"/>
      <c r="AH312" s="104"/>
      <c r="AI312" s="104"/>
      <c r="AJ312" s="104"/>
    </row>
    <row r="313" customFormat="false" ht="12.75" hidden="false" customHeight="false" outlineLevel="0" collapsed="false">
      <c r="A313" s="100"/>
      <c r="D313" s="101"/>
      <c r="E313" s="101"/>
      <c r="F313" s="102"/>
      <c r="G313" s="103"/>
      <c r="H313" s="103"/>
      <c r="I313" s="92" t="e">
        <f aca="false">INDEX(expery,MATCH(A313,exprymonth,0),2)</f>
        <v>#N/A</v>
      </c>
      <c r="J313" s="101"/>
      <c r="K313" s="104"/>
      <c r="L313" s="104"/>
      <c r="M313" s="93"/>
      <c r="N313" s="105"/>
      <c r="O313" s="94"/>
      <c r="P313" s="94"/>
      <c r="Q313" s="94"/>
      <c r="R313" s="94"/>
      <c r="S313" s="3"/>
      <c r="T313" s="3"/>
      <c r="U313" s="3"/>
      <c r="V313" s="3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</row>
    <row r="314" customFormat="false" ht="12.75" hidden="false" customHeight="false" outlineLevel="0" collapsed="false">
      <c r="A314" s="100"/>
      <c r="D314" s="101"/>
      <c r="E314" s="101"/>
      <c r="F314" s="102"/>
      <c r="G314" s="103"/>
      <c r="H314" s="103"/>
      <c r="I314" s="92" t="e">
        <f aca="false">INDEX(expery,MATCH(A314,exprymonth,0),2)</f>
        <v>#N/A</v>
      </c>
      <c r="J314" s="101"/>
      <c r="K314" s="104"/>
      <c r="L314" s="104"/>
      <c r="M314" s="93"/>
      <c r="N314" s="105"/>
      <c r="O314" s="94"/>
      <c r="P314" s="94"/>
      <c r="Q314" s="94"/>
      <c r="R314" s="94"/>
      <c r="S314" s="3"/>
      <c r="T314" s="3"/>
      <c r="U314" s="3"/>
      <c r="V314" s="3"/>
      <c r="W314" s="104"/>
      <c r="X314" s="104"/>
      <c r="Y314" s="104"/>
      <c r="Z314" s="104"/>
      <c r="AA314" s="104"/>
      <c r="AB314" s="104"/>
      <c r="AC314" s="104"/>
      <c r="AD314" s="104"/>
      <c r="AE314" s="104"/>
      <c r="AF314" s="104"/>
      <c r="AG314" s="104"/>
      <c r="AH314" s="104"/>
      <c r="AI314" s="104"/>
      <c r="AJ314" s="104"/>
    </row>
    <row r="315" customFormat="false" ht="12.75" hidden="false" customHeight="false" outlineLevel="0" collapsed="false">
      <c r="A315" s="100"/>
      <c r="D315" s="101"/>
      <c r="E315" s="101"/>
      <c r="F315" s="102"/>
      <c r="G315" s="103"/>
      <c r="H315" s="103"/>
      <c r="I315" s="92" t="e">
        <f aca="false">INDEX(expery,MATCH(A315,exprymonth,0),2)</f>
        <v>#N/A</v>
      </c>
      <c r="J315" s="101"/>
      <c r="K315" s="104"/>
      <c r="L315" s="104"/>
      <c r="M315" s="93"/>
      <c r="N315" s="105"/>
      <c r="O315" s="94"/>
      <c r="P315" s="94"/>
      <c r="Q315" s="94"/>
      <c r="R315" s="94"/>
      <c r="S315" s="3"/>
      <c r="T315" s="3"/>
      <c r="U315" s="3"/>
      <c r="V315" s="3"/>
      <c r="W315" s="104"/>
      <c r="X315" s="104"/>
      <c r="Y315" s="104"/>
      <c r="Z315" s="104"/>
      <c r="AA315" s="104"/>
      <c r="AB315" s="104"/>
      <c r="AC315" s="104"/>
      <c r="AD315" s="104"/>
      <c r="AE315" s="104"/>
      <c r="AF315" s="104"/>
      <c r="AG315" s="104"/>
      <c r="AH315" s="104"/>
      <c r="AI315" s="104"/>
      <c r="AJ315" s="104"/>
    </row>
    <row r="316" customFormat="false" ht="12.75" hidden="false" customHeight="false" outlineLevel="0" collapsed="false">
      <c r="A316" s="100"/>
      <c r="D316" s="101"/>
      <c r="E316" s="101"/>
      <c r="F316" s="102"/>
      <c r="G316" s="103"/>
      <c r="H316" s="103"/>
      <c r="I316" s="92" t="e">
        <f aca="false">INDEX(expery,MATCH(A316,exprymonth,0),2)</f>
        <v>#N/A</v>
      </c>
      <c r="J316" s="101"/>
      <c r="K316" s="104"/>
      <c r="L316" s="104"/>
      <c r="M316" s="93"/>
      <c r="N316" s="105"/>
      <c r="O316" s="94"/>
      <c r="P316" s="94"/>
      <c r="Q316" s="94"/>
      <c r="R316" s="94"/>
      <c r="S316" s="3"/>
      <c r="T316" s="3"/>
      <c r="U316" s="3"/>
      <c r="V316" s="3"/>
      <c r="W316" s="104"/>
      <c r="X316" s="104"/>
      <c r="Y316" s="104"/>
      <c r="Z316" s="104"/>
      <c r="AA316" s="104"/>
      <c r="AB316" s="104"/>
      <c r="AC316" s="104"/>
      <c r="AD316" s="104"/>
      <c r="AE316" s="104"/>
      <c r="AF316" s="104"/>
      <c r="AG316" s="104"/>
      <c r="AH316" s="104"/>
      <c r="AI316" s="104"/>
      <c r="AJ316" s="104"/>
    </row>
    <row r="317" customFormat="false" ht="12.75" hidden="false" customHeight="false" outlineLevel="0" collapsed="false">
      <c r="A317" s="100"/>
      <c r="D317" s="101"/>
      <c r="E317" s="101"/>
      <c r="F317" s="102"/>
      <c r="G317" s="103"/>
      <c r="H317" s="103"/>
      <c r="I317" s="92" t="e">
        <f aca="false">INDEX(expery,MATCH(A317,exprymonth,0),2)</f>
        <v>#N/A</v>
      </c>
      <c r="J317" s="101"/>
      <c r="K317" s="104"/>
      <c r="L317" s="104"/>
      <c r="M317" s="93"/>
      <c r="N317" s="105"/>
      <c r="O317" s="94"/>
      <c r="P317" s="94"/>
      <c r="Q317" s="94"/>
      <c r="R317" s="94"/>
      <c r="S317" s="3"/>
      <c r="T317" s="3"/>
      <c r="U317" s="3"/>
      <c r="V317" s="3"/>
      <c r="W317" s="104"/>
      <c r="X317" s="104"/>
      <c r="Y317" s="104"/>
      <c r="Z317" s="104"/>
      <c r="AA317" s="104"/>
      <c r="AB317" s="104"/>
      <c r="AC317" s="104"/>
      <c r="AD317" s="104"/>
      <c r="AE317" s="104"/>
      <c r="AF317" s="104"/>
      <c r="AG317" s="104"/>
      <c r="AH317" s="104"/>
      <c r="AI317" s="104"/>
      <c r="AJ317" s="104"/>
    </row>
    <row r="318" customFormat="false" ht="12.75" hidden="false" customHeight="false" outlineLevel="0" collapsed="false">
      <c r="A318" s="100"/>
      <c r="D318" s="101"/>
      <c r="E318" s="101"/>
      <c r="F318" s="102"/>
      <c r="G318" s="103"/>
      <c r="H318" s="103"/>
      <c r="I318" s="92" t="e">
        <f aca="false">INDEX(expery,MATCH(A318,exprymonth,0),2)</f>
        <v>#N/A</v>
      </c>
      <c r="J318" s="101"/>
      <c r="K318" s="104"/>
      <c r="L318" s="104"/>
      <c r="M318" s="93"/>
      <c r="N318" s="105"/>
      <c r="O318" s="94"/>
      <c r="P318" s="94"/>
      <c r="Q318" s="94"/>
      <c r="R318" s="94"/>
      <c r="S318" s="3"/>
      <c r="T318" s="3"/>
      <c r="U318" s="3"/>
      <c r="V318" s="3"/>
      <c r="W318" s="104"/>
      <c r="X318" s="104"/>
      <c r="Y318" s="104"/>
      <c r="Z318" s="104"/>
      <c r="AA318" s="104"/>
      <c r="AB318" s="104"/>
      <c r="AC318" s="104"/>
      <c r="AD318" s="104"/>
      <c r="AE318" s="104"/>
      <c r="AF318" s="104"/>
      <c r="AG318" s="104"/>
      <c r="AH318" s="104"/>
      <c r="AI318" s="104"/>
      <c r="AJ318" s="104"/>
    </row>
    <row r="319" customFormat="false" ht="12.75" hidden="false" customHeight="false" outlineLevel="0" collapsed="false">
      <c r="A319" s="100"/>
      <c r="D319" s="101"/>
      <c r="E319" s="101"/>
      <c r="F319" s="102"/>
      <c r="G319" s="103"/>
      <c r="H319" s="103"/>
      <c r="I319" s="92" t="e">
        <f aca="false">INDEX(expery,MATCH(A319,exprymonth,0),2)</f>
        <v>#N/A</v>
      </c>
      <c r="J319" s="101"/>
      <c r="K319" s="104"/>
      <c r="L319" s="104"/>
      <c r="M319" s="93"/>
      <c r="N319" s="105"/>
      <c r="O319" s="94"/>
      <c r="P319" s="94"/>
      <c r="Q319" s="94"/>
      <c r="R319" s="94"/>
      <c r="S319" s="3"/>
      <c r="T319" s="3"/>
      <c r="U319" s="3"/>
      <c r="V319" s="3"/>
      <c r="W319" s="104"/>
      <c r="X319" s="104"/>
      <c r="Y319" s="104"/>
      <c r="Z319" s="104"/>
      <c r="AA319" s="104"/>
      <c r="AB319" s="104"/>
      <c r="AC319" s="104"/>
      <c r="AD319" s="104"/>
      <c r="AE319" s="104"/>
      <c r="AF319" s="104"/>
      <c r="AG319" s="104"/>
      <c r="AH319" s="104"/>
      <c r="AI319" s="104"/>
      <c r="AJ319" s="104"/>
    </row>
    <row r="320" customFormat="false" ht="12.75" hidden="false" customHeight="false" outlineLevel="0" collapsed="false">
      <c r="A320" s="100"/>
      <c r="D320" s="101"/>
      <c r="E320" s="101"/>
      <c r="F320" s="102"/>
      <c r="G320" s="103"/>
      <c r="H320" s="103"/>
      <c r="I320" s="92" t="e">
        <f aca="false">INDEX(expery,MATCH(A320,exprymonth,0),2)</f>
        <v>#N/A</v>
      </c>
      <c r="J320" s="101"/>
      <c r="K320" s="104"/>
      <c r="L320" s="104"/>
      <c r="M320" s="93"/>
      <c r="N320" s="105"/>
      <c r="O320" s="94"/>
      <c r="P320" s="94"/>
      <c r="Q320" s="94"/>
      <c r="R320" s="94"/>
      <c r="S320" s="3"/>
      <c r="T320" s="3"/>
      <c r="U320" s="3"/>
      <c r="V320" s="3"/>
      <c r="W320" s="104"/>
      <c r="X320" s="104"/>
      <c r="Y320" s="104"/>
      <c r="Z320" s="104"/>
      <c r="AA320" s="104"/>
      <c r="AB320" s="104"/>
      <c r="AC320" s="104"/>
      <c r="AD320" s="104"/>
      <c r="AE320" s="104"/>
      <c r="AF320" s="104"/>
      <c r="AG320" s="104"/>
      <c r="AH320" s="104"/>
      <c r="AI320" s="104"/>
      <c r="AJ320" s="104"/>
    </row>
    <row r="321" customFormat="false" ht="12.75" hidden="false" customHeight="false" outlineLevel="0" collapsed="false">
      <c r="A321" s="100"/>
      <c r="D321" s="101"/>
      <c r="E321" s="101"/>
      <c r="F321" s="102"/>
      <c r="G321" s="103"/>
      <c r="H321" s="103"/>
      <c r="I321" s="92" t="e">
        <f aca="false">INDEX(expery,MATCH(A321,exprymonth,0),2)</f>
        <v>#N/A</v>
      </c>
      <c r="J321" s="101"/>
      <c r="K321" s="104"/>
      <c r="L321" s="104"/>
      <c r="M321" s="93"/>
      <c r="N321" s="105"/>
      <c r="O321" s="94"/>
      <c r="P321" s="94"/>
      <c r="Q321" s="94"/>
      <c r="R321" s="94"/>
      <c r="S321" s="3"/>
      <c r="T321" s="3"/>
      <c r="U321" s="3"/>
      <c r="V321" s="3"/>
      <c r="W321" s="104"/>
      <c r="X321" s="104"/>
      <c r="Y321" s="104"/>
      <c r="Z321" s="104"/>
      <c r="AA321" s="104"/>
      <c r="AB321" s="104"/>
      <c r="AC321" s="104"/>
      <c r="AD321" s="104"/>
      <c r="AE321" s="104"/>
      <c r="AF321" s="104"/>
      <c r="AG321" s="104"/>
      <c r="AH321" s="104"/>
      <c r="AI321" s="104"/>
      <c r="AJ321" s="104"/>
    </row>
    <row r="322" customFormat="false" ht="12.75" hidden="false" customHeight="false" outlineLevel="0" collapsed="false">
      <c r="A322" s="100"/>
      <c r="D322" s="101"/>
      <c r="E322" s="101"/>
      <c r="F322" s="102"/>
      <c r="G322" s="103"/>
      <c r="H322" s="103"/>
      <c r="I322" s="92" t="e">
        <f aca="false">INDEX(expery,MATCH(A322,exprymonth,0),2)</f>
        <v>#N/A</v>
      </c>
      <c r="J322" s="101"/>
      <c r="K322" s="104"/>
      <c r="L322" s="104"/>
      <c r="M322" s="93"/>
      <c r="N322" s="105"/>
      <c r="O322" s="94"/>
      <c r="P322" s="94"/>
      <c r="Q322" s="94"/>
      <c r="R322" s="94"/>
      <c r="S322" s="3"/>
      <c r="T322" s="3"/>
      <c r="U322" s="3"/>
      <c r="V322" s="3"/>
      <c r="W322" s="104"/>
      <c r="X322" s="104"/>
      <c r="Y322" s="104"/>
      <c r="Z322" s="104"/>
      <c r="AA322" s="104"/>
      <c r="AB322" s="104"/>
      <c r="AC322" s="104"/>
      <c r="AD322" s="104"/>
      <c r="AE322" s="104"/>
      <c r="AF322" s="104"/>
      <c r="AG322" s="104"/>
      <c r="AH322" s="104"/>
      <c r="AI322" s="104"/>
      <c r="AJ322" s="104"/>
    </row>
    <row r="323" customFormat="false" ht="12.75" hidden="false" customHeight="false" outlineLevel="0" collapsed="false">
      <c r="A323" s="100"/>
      <c r="D323" s="101"/>
      <c r="E323" s="101"/>
      <c r="F323" s="102"/>
      <c r="G323" s="103"/>
      <c r="H323" s="103"/>
      <c r="I323" s="92" t="e">
        <f aca="false">INDEX(expery,MATCH(A323,exprymonth,0),2)</f>
        <v>#N/A</v>
      </c>
      <c r="J323" s="101"/>
      <c r="K323" s="104"/>
      <c r="L323" s="104"/>
      <c r="M323" s="93"/>
      <c r="N323" s="105"/>
      <c r="O323" s="94"/>
      <c r="P323" s="94"/>
      <c r="Q323" s="94"/>
      <c r="R323" s="94"/>
      <c r="S323" s="3"/>
      <c r="T323" s="3"/>
      <c r="U323" s="3"/>
      <c r="V323" s="3"/>
      <c r="W323" s="104"/>
      <c r="X323" s="104"/>
      <c r="Y323" s="104"/>
      <c r="Z323" s="104"/>
      <c r="AA323" s="104"/>
      <c r="AB323" s="104"/>
      <c r="AC323" s="104"/>
      <c r="AD323" s="104"/>
      <c r="AE323" s="104"/>
      <c r="AF323" s="104"/>
      <c r="AG323" s="104"/>
      <c r="AH323" s="104"/>
      <c r="AI323" s="104"/>
      <c r="AJ323" s="104"/>
    </row>
    <row r="324" customFormat="false" ht="12.75" hidden="false" customHeight="false" outlineLevel="0" collapsed="false">
      <c r="A324" s="100"/>
      <c r="D324" s="101"/>
      <c r="E324" s="101"/>
      <c r="F324" s="102"/>
      <c r="G324" s="103"/>
      <c r="H324" s="103"/>
      <c r="I324" s="92" t="e">
        <f aca="false">INDEX(expery,MATCH(A324,exprymonth,0),2)</f>
        <v>#N/A</v>
      </c>
      <c r="J324" s="101"/>
      <c r="K324" s="104"/>
      <c r="L324" s="104"/>
      <c r="M324" s="93"/>
      <c r="N324" s="105"/>
      <c r="O324" s="94"/>
      <c r="P324" s="94"/>
      <c r="Q324" s="94"/>
      <c r="R324" s="94"/>
      <c r="S324" s="3"/>
      <c r="T324" s="3"/>
      <c r="U324" s="3"/>
      <c r="V324" s="3"/>
      <c r="W324" s="104"/>
      <c r="X324" s="104"/>
      <c r="Y324" s="104"/>
      <c r="Z324" s="104"/>
      <c r="AA324" s="104"/>
      <c r="AB324" s="104"/>
      <c r="AC324" s="104"/>
      <c r="AD324" s="104"/>
      <c r="AE324" s="104"/>
      <c r="AF324" s="104"/>
      <c r="AG324" s="104"/>
      <c r="AH324" s="104"/>
      <c r="AI324" s="104"/>
      <c r="AJ324" s="104"/>
    </row>
    <row r="325" customFormat="false" ht="12.75" hidden="false" customHeight="false" outlineLevel="0" collapsed="false">
      <c r="A325" s="100"/>
      <c r="D325" s="101"/>
      <c r="E325" s="101"/>
      <c r="F325" s="102"/>
      <c r="G325" s="103"/>
      <c r="H325" s="103"/>
      <c r="I325" s="92" t="e">
        <f aca="false">INDEX(expery,MATCH(A325,exprymonth,0),2)</f>
        <v>#N/A</v>
      </c>
      <c r="J325" s="101"/>
      <c r="K325" s="104"/>
      <c r="L325" s="104"/>
      <c r="M325" s="93"/>
      <c r="N325" s="105"/>
      <c r="O325" s="94"/>
      <c r="P325" s="94"/>
      <c r="Q325" s="94"/>
      <c r="R325" s="94"/>
      <c r="S325" s="3"/>
      <c r="T325" s="3"/>
      <c r="U325" s="3"/>
      <c r="V325" s="3"/>
      <c r="W325" s="104"/>
      <c r="X325" s="104"/>
      <c r="Y325" s="104"/>
      <c r="Z325" s="104"/>
      <c r="AA325" s="104"/>
      <c r="AB325" s="104"/>
      <c r="AC325" s="104"/>
      <c r="AD325" s="104"/>
      <c r="AE325" s="104"/>
      <c r="AF325" s="104"/>
      <c r="AG325" s="104"/>
      <c r="AH325" s="104"/>
      <c r="AI325" s="104"/>
      <c r="AJ325" s="104"/>
    </row>
    <row r="326" customFormat="false" ht="12.75" hidden="false" customHeight="false" outlineLevel="0" collapsed="false">
      <c r="A326" s="100"/>
      <c r="D326" s="101"/>
      <c r="E326" s="101"/>
      <c r="F326" s="102"/>
      <c r="G326" s="103"/>
      <c r="H326" s="103"/>
      <c r="I326" s="92" t="e">
        <f aca="false">INDEX(expery,MATCH(A326,exprymonth,0),2)</f>
        <v>#N/A</v>
      </c>
      <c r="J326" s="101"/>
      <c r="K326" s="104"/>
      <c r="L326" s="104"/>
      <c r="M326" s="93"/>
      <c r="N326" s="105"/>
      <c r="O326" s="94"/>
      <c r="P326" s="94"/>
      <c r="Q326" s="94"/>
      <c r="R326" s="94"/>
      <c r="S326" s="3"/>
      <c r="T326" s="3"/>
      <c r="U326" s="3"/>
      <c r="V326" s="3"/>
      <c r="W326" s="104"/>
      <c r="X326" s="104"/>
      <c r="Y326" s="104"/>
      <c r="Z326" s="104"/>
      <c r="AA326" s="104"/>
      <c r="AB326" s="104"/>
      <c r="AC326" s="104"/>
      <c r="AD326" s="104"/>
      <c r="AE326" s="104"/>
      <c r="AF326" s="104"/>
      <c r="AG326" s="104"/>
      <c r="AH326" s="104"/>
      <c r="AI326" s="104"/>
      <c r="AJ326" s="104"/>
    </row>
    <row r="327" customFormat="false" ht="12.75" hidden="false" customHeight="false" outlineLevel="0" collapsed="false">
      <c r="A327" s="100"/>
      <c r="D327" s="101"/>
      <c r="E327" s="101"/>
      <c r="F327" s="102"/>
      <c r="G327" s="103"/>
      <c r="H327" s="103"/>
      <c r="I327" s="92" t="e">
        <f aca="false">INDEX(expery,MATCH(A327,exprymonth,0),2)</f>
        <v>#N/A</v>
      </c>
      <c r="J327" s="101"/>
      <c r="K327" s="104"/>
      <c r="L327" s="104"/>
      <c r="M327" s="93"/>
      <c r="N327" s="105"/>
      <c r="O327" s="94"/>
      <c r="P327" s="94"/>
      <c r="Q327" s="94"/>
      <c r="R327" s="94"/>
      <c r="S327" s="3"/>
      <c r="T327" s="3"/>
      <c r="U327" s="3"/>
      <c r="V327" s="3"/>
      <c r="W327" s="104"/>
      <c r="X327" s="104"/>
      <c r="Y327" s="104"/>
      <c r="Z327" s="104"/>
      <c r="AA327" s="104"/>
      <c r="AB327" s="104"/>
      <c r="AC327" s="104"/>
      <c r="AD327" s="104"/>
      <c r="AE327" s="104"/>
      <c r="AF327" s="104"/>
      <c r="AG327" s="104"/>
      <c r="AH327" s="104"/>
      <c r="AI327" s="104"/>
      <c r="AJ327" s="104"/>
    </row>
    <row r="328" customFormat="false" ht="12.75" hidden="false" customHeight="false" outlineLevel="0" collapsed="false">
      <c r="A328" s="100"/>
      <c r="D328" s="101"/>
      <c r="E328" s="101"/>
      <c r="F328" s="102"/>
      <c r="G328" s="103"/>
      <c r="H328" s="103"/>
      <c r="I328" s="92" t="e">
        <f aca="false">INDEX(expery,MATCH(A328,exprymonth,0),2)</f>
        <v>#N/A</v>
      </c>
      <c r="J328" s="101"/>
      <c r="K328" s="104"/>
      <c r="L328" s="104"/>
      <c r="M328" s="93"/>
      <c r="N328" s="105"/>
      <c r="O328" s="94"/>
      <c r="P328" s="94"/>
      <c r="Q328" s="94"/>
      <c r="R328" s="94"/>
      <c r="S328" s="3"/>
      <c r="T328" s="3"/>
      <c r="U328" s="3"/>
      <c r="V328" s="3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</row>
    <row r="329" customFormat="false" ht="12.75" hidden="false" customHeight="false" outlineLevel="0" collapsed="false">
      <c r="A329" s="100"/>
      <c r="D329" s="101"/>
      <c r="E329" s="101"/>
      <c r="F329" s="102"/>
      <c r="G329" s="103"/>
      <c r="H329" s="103"/>
      <c r="I329" s="92" t="e">
        <f aca="false">INDEX(expery,MATCH(A329,exprymonth,0),2)</f>
        <v>#N/A</v>
      </c>
      <c r="J329" s="101"/>
      <c r="K329" s="104"/>
      <c r="L329" s="104"/>
      <c r="M329" s="93"/>
      <c r="N329" s="105"/>
      <c r="O329" s="94"/>
      <c r="P329" s="94"/>
      <c r="Q329" s="94"/>
      <c r="R329" s="94"/>
      <c r="S329" s="3"/>
      <c r="T329" s="3"/>
      <c r="U329" s="3"/>
      <c r="V329" s="3"/>
      <c r="W329" s="104"/>
      <c r="X329" s="104"/>
      <c r="Y329" s="104"/>
      <c r="Z329" s="104"/>
      <c r="AA329" s="104"/>
      <c r="AB329" s="104"/>
      <c r="AC329" s="104"/>
      <c r="AD329" s="104"/>
      <c r="AE329" s="104"/>
      <c r="AF329" s="104"/>
      <c r="AG329" s="104"/>
      <c r="AH329" s="104"/>
      <c r="AI329" s="104"/>
      <c r="AJ329" s="104"/>
    </row>
    <row r="330" customFormat="false" ht="12.75" hidden="false" customHeight="false" outlineLevel="0" collapsed="false">
      <c r="A330" s="100"/>
      <c r="D330" s="101"/>
      <c r="E330" s="101"/>
      <c r="F330" s="102"/>
      <c r="G330" s="103"/>
      <c r="H330" s="103"/>
      <c r="I330" s="92" t="e">
        <f aca="false">INDEX(expery,MATCH(A330,exprymonth,0),2)</f>
        <v>#N/A</v>
      </c>
      <c r="J330" s="101"/>
      <c r="K330" s="104"/>
      <c r="L330" s="104"/>
      <c r="M330" s="93"/>
      <c r="N330" s="105"/>
      <c r="O330" s="94"/>
      <c r="P330" s="94"/>
      <c r="Q330" s="94"/>
      <c r="R330" s="94"/>
      <c r="S330" s="3"/>
      <c r="T330" s="3"/>
      <c r="U330" s="3"/>
      <c r="V330" s="3"/>
      <c r="W330" s="104"/>
      <c r="X330" s="104"/>
      <c r="Y330" s="104"/>
      <c r="Z330" s="104"/>
      <c r="AA330" s="104"/>
      <c r="AB330" s="104"/>
      <c r="AC330" s="104"/>
      <c r="AD330" s="104"/>
      <c r="AE330" s="104"/>
      <c r="AF330" s="104"/>
      <c r="AG330" s="104"/>
      <c r="AH330" s="104"/>
      <c r="AI330" s="104"/>
      <c r="AJ330" s="104"/>
    </row>
    <row r="331" customFormat="false" ht="12.75" hidden="false" customHeight="false" outlineLevel="0" collapsed="false">
      <c r="A331" s="100"/>
      <c r="D331" s="101"/>
      <c r="E331" s="101"/>
      <c r="F331" s="102"/>
      <c r="G331" s="103"/>
      <c r="H331" s="103"/>
      <c r="I331" s="92" t="e">
        <f aca="false">INDEX(expery,MATCH(A331,exprymonth,0),2)</f>
        <v>#N/A</v>
      </c>
      <c r="J331" s="101"/>
      <c r="K331" s="104"/>
      <c r="L331" s="104"/>
      <c r="M331" s="93"/>
      <c r="N331" s="105"/>
      <c r="O331" s="94"/>
      <c r="P331" s="94"/>
      <c r="Q331" s="94"/>
      <c r="R331" s="94"/>
      <c r="S331" s="3"/>
      <c r="T331" s="3"/>
      <c r="U331" s="3"/>
      <c r="V331" s="3"/>
      <c r="W331" s="104"/>
      <c r="X331" s="104"/>
      <c r="Y331" s="104"/>
      <c r="Z331" s="104"/>
      <c r="AA331" s="104"/>
      <c r="AB331" s="104"/>
      <c r="AC331" s="104"/>
      <c r="AD331" s="104"/>
      <c r="AE331" s="104"/>
      <c r="AF331" s="104"/>
      <c r="AG331" s="104"/>
      <c r="AH331" s="104"/>
      <c r="AI331" s="104"/>
      <c r="AJ331" s="104"/>
    </row>
    <row r="332" customFormat="false" ht="12.75" hidden="false" customHeight="false" outlineLevel="0" collapsed="false">
      <c r="A332" s="100"/>
      <c r="D332" s="101"/>
      <c r="E332" s="101"/>
      <c r="F332" s="102"/>
      <c r="G332" s="103"/>
      <c r="H332" s="103"/>
      <c r="I332" s="92" t="e">
        <f aca="false">INDEX(expery,MATCH(A332,exprymonth,0),2)</f>
        <v>#N/A</v>
      </c>
      <c r="J332" s="101"/>
      <c r="K332" s="104"/>
      <c r="L332" s="104"/>
      <c r="M332" s="93"/>
      <c r="N332" s="105"/>
      <c r="O332" s="94"/>
      <c r="P332" s="94"/>
      <c r="Q332" s="94"/>
      <c r="R332" s="94"/>
      <c r="S332" s="3"/>
      <c r="T332" s="3"/>
      <c r="U332" s="3"/>
      <c r="V332" s="3"/>
      <c r="W332" s="104"/>
      <c r="X332" s="104"/>
      <c r="Y332" s="104"/>
      <c r="Z332" s="104"/>
      <c r="AA332" s="104"/>
      <c r="AB332" s="104"/>
      <c r="AC332" s="104"/>
      <c r="AD332" s="104"/>
      <c r="AE332" s="104"/>
      <c r="AF332" s="104"/>
      <c r="AG332" s="104"/>
      <c r="AH332" s="104"/>
      <c r="AI332" s="104"/>
      <c r="AJ332" s="104"/>
    </row>
    <row r="333" customFormat="false" ht="12.75" hidden="false" customHeight="false" outlineLevel="0" collapsed="false">
      <c r="A333" s="100"/>
      <c r="D333" s="101"/>
      <c r="E333" s="101"/>
      <c r="F333" s="102"/>
      <c r="G333" s="103"/>
      <c r="H333" s="103"/>
      <c r="I333" s="92" t="e">
        <f aca="false">INDEX(expery,MATCH(A333,exprymonth,0),2)</f>
        <v>#N/A</v>
      </c>
      <c r="J333" s="101"/>
      <c r="K333" s="104"/>
      <c r="L333" s="104"/>
      <c r="M333" s="93"/>
      <c r="N333" s="105"/>
      <c r="O333" s="94"/>
      <c r="P333" s="94"/>
      <c r="Q333" s="94"/>
      <c r="R333" s="94"/>
      <c r="S333" s="3"/>
      <c r="T333" s="3"/>
      <c r="U333" s="3"/>
      <c r="V333" s="3"/>
      <c r="W333" s="104"/>
      <c r="X333" s="104"/>
      <c r="Y333" s="104"/>
      <c r="Z333" s="104"/>
      <c r="AA333" s="104"/>
      <c r="AB333" s="104"/>
      <c r="AC333" s="104"/>
      <c r="AD333" s="104"/>
      <c r="AE333" s="104"/>
      <c r="AF333" s="104"/>
      <c r="AG333" s="104"/>
      <c r="AH333" s="104"/>
      <c r="AI333" s="104"/>
      <c r="AJ333" s="104"/>
    </row>
    <row r="334" customFormat="false" ht="12.75" hidden="false" customHeight="false" outlineLevel="0" collapsed="false">
      <c r="A334" s="100"/>
      <c r="D334" s="101"/>
      <c r="E334" s="101"/>
      <c r="F334" s="102"/>
      <c r="G334" s="103"/>
      <c r="H334" s="103"/>
      <c r="I334" s="92" t="e">
        <f aca="false">INDEX(expery,MATCH(A334,exprymonth,0),2)</f>
        <v>#N/A</v>
      </c>
      <c r="J334" s="101"/>
      <c r="K334" s="104"/>
      <c r="L334" s="104"/>
      <c r="M334" s="93"/>
      <c r="N334" s="105"/>
      <c r="O334" s="94"/>
      <c r="P334" s="94"/>
      <c r="Q334" s="94"/>
      <c r="R334" s="94"/>
      <c r="S334" s="3"/>
      <c r="T334" s="3"/>
      <c r="U334" s="3"/>
      <c r="V334" s="3"/>
      <c r="W334" s="104"/>
      <c r="X334" s="104"/>
      <c r="Y334" s="104"/>
      <c r="Z334" s="104"/>
      <c r="AA334" s="104"/>
      <c r="AB334" s="104"/>
      <c r="AC334" s="104"/>
      <c r="AD334" s="104"/>
      <c r="AE334" s="104"/>
      <c r="AF334" s="104"/>
      <c r="AG334" s="104"/>
      <c r="AH334" s="104"/>
      <c r="AI334" s="104"/>
      <c r="AJ334" s="104"/>
    </row>
    <row r="335" customFormat="false" ht="12.75" hidden="false" customHeight="false" outlineLevel="0" collapsed="false">
      <c r="A335" s="100"/>
      <c r="D335" s="101"/>
      <c r="E335" s="101"/>
      <c r="F335" s="102"/>
      <c r="G335" s="103"/>
      <c r="H335" s="103"/>
      <c r="I335" s="92" t="e">
        <f aca="false">INDEX(expery,MATCH(A335,exprymonth,0),2)</f>
        <v>#N/A</v>
      </c>
      <c r="J335" s="101"/>
      <c r="K335" s="104"/>
      <c r="L335" s="104"/>
      <c r="M335" s="93"/>
      <c r="N335" s="105"/>
      <c r="O335" s="94"/>
      <c r="P335" s="94"/>
      <c r="Q335" s="94"/>
      <c r="R335" s="94"/>
      <c r="S335" s="3"/>
      <c r="T335" s="3"/>
      <c r="U335" s="3"/>
      <c r="V335" s="3"/>
      <c r="W335" s="104"/>
      <c r="X335" s="104"/>
      <c r="Y335" s="104"/>
      <c r="Z335" s="104"/>
      <c r="AA335" s="104"/>
      <c r="AB335" s="104"/>
      <c r="AC335" s="104"/>
      <c r="AD335" s="104"/>
      <c r="AE335" s="104"/>
      <c r="AF335" s="104"/>
      <c r="AG335" s="104"/>
      <c r="AH335" s="104"/>
      <c r="AI335" s="104"/>
      <c r="AJ335" s="104"/>
    </row>
    <row r="336" customFormat="false" ht="12.75" hidden="false" customHeight="false" outlineLevel="0" collapsed="false">
      <c r="A336" s="100"/>
      <c r="D336" s="101"/>
      <c r="E336" s="101"/>
      <c r="F336" s="102"/>
      <c r="G336" s="103"/>
      <c r="H336" s="103"/>
      <c r="I336" s="92" t="e">
        <f aca="false">INDEX(expery,MATCH(A336,exprymonth,0),2)</f>
        <v>#N/A</v>
      </c>
      <c r="J336" s="101"/>
      <c r="K336" s="104"/>
      <c r="L336" s="104"/>
      <c r="M336" s="93"/>
      <c r="N336" s="105"/>
      <c r="O336" s="94"/>
      <c r="P336" s="94"/>
      <c r="Q336" s="94"/>
      <c r="R336" s="94"/>
      <c r="S336" s="3"/>
      <c r="T336" s="3"/>
      <c r="U336" s="3"/>
      <c r="V336" s="3"/>
      <c r="W336" s="104"/>
      <c r="X336" s="104"/>
      <c r="Y336" s="104"/>
      <c r="Z336" s="104"/>
      <c r="AA336" s="104"/>
      <c r="AB336" s="104"/>
      <c r="AC336" s="104"/>
      <c r="AD336" s="104"/>
      <c r="AE336" s="104"/>
      <c r="AF336" s="104"/>
      <c r="AG336" s="104"/>
      <c r="AH336" s="104"/>
      <c r="AI336" s="104"/>
      <c r="AJ336" s="104"/>
    </row>
    <row r="337" customFormat="false" ht="12.75" hidden="false" customHeight="false" outlineLevel="0" collapsed="false">
      <c r="A337" s="100"/>
      <c r="D337" s="101"/>
      <c r="E337" s="101"/>
      <c r="F337" s="102"/>
      <c r="G337" s="103"/>
      <c r="H337" s="103"/>
      <c r="I337" s="92" t="e">
        <f aca="false">INDEX(expery,MATCH(A337,exprymonth,0),2)</f>
        <v>#N/A</v>
      </c>
      <c r="J337" s="101"/>
      <c r="K337" s="104"/>
      <c r="L337" s="104"/>
      <c r="M337" s="93"/>
      <c r="N337" s="105"/>
      <c r="O337" s="94"/>
      <c r="P337" s="94"/>
      <c r="Q337" s="94"/>
      <c r="R337" s="94"/>
      <c r="S337" s="3"/>
      <c r="T337" s="3"/>
      <c r="U337" s="3"/>
      <c r="V337" s="3"/>
      <c r="W337" s="104"/>
      <c r="X337" s="104"/>
      <c r="Y337" s="104"/>
      <c r="Z337" s="104"/>
      <c r="AA337" s="104"/>
      <c r="AB337" s="104"/>
      <c r="AC337" s="104"/>
      <c r="AD337" s="104"/>
      <c r="AE337" s="104"/>
      <c r="AF337" s="104"/>
      <c r="AG337" s="104"/>
      <c r="AH337" s="104"/>
      <c r="AI337" s="104"/>
      <c r="AJ337" s="104"/>
    </row>
    <row r="338" customFormat="false" ht="12.75" hidden="false" customHeight="false" outlineLevel="0" collapsed="false">
      <c r="A338" s="100"/>
      <c r="D338" s="101"/>
      <c r="E338" s="101"/>
      <c r="F338" s="102"/>
      <c r="G338" s="103"/>
      <c r="H338" s="103"/>
      <c r="I338" s="92" t="e">
        <f aca="false">INDEX(expery,MATCH(A338,exprymonth,0),2)</f>
        <v>#N/A</v>
      </c>
      <c r="J338" s="101"/>
      <c r="K338" s="104"/>
      <c r="L338" s="104"/>
      <c r="M338" s="93"/>
      <c r="N338" s="105"/>
      <c r="O338" s="94"/>
      <c r="P338" s="94"/>
      <c r="Q338" s="94"/>
      <c r="R338" s="94"/>
      <c r="S338" s="3"/>
      <c r="T338" s="3"/>
      <c r="U338" s="3"/>
      <c r="V338" s="3"/>
      <c r="W338" s="104"/>
      <c r="X338" s="104"/>
      <c r="Y338" s="104"/>
      <c r="Z338" s="104"/>
      <c r="AA338" s="104"/>
      <c r="AB338" s="104"/>
      <c r="AC338" s="104"/>
      <c r="AD338" s="104"/>
      <c r="AE338" s="104"/>
      <c r="AF338" s="104"/>
      <c r="AG338" s="104"/>
      <c r="AH338" s="104"/>
      <c r="AI338" s="104"/>
      <c r="AJ338" s="104"/>
    </row>
    <row r="339" customFormat="false" ht="12.75" hidden="false" customHeight="false" outlineLevel="0" collapsed="false">
      <c r="A339" s="100"/>
      <c r="D339" s="101"/>
      <c r="E339" s="101"/>
      <c r="F339" s="102"/>
      <c r="G339" s="103"/>
      <c r="H339" s="103"/>
      <c r="I339" s="92" t="e">
        <f aca="false">INDEX(expery,MATCH(A339,exprymonth,0),2)</f>
        <v>#N/A</v>
      </c>
      <c r="J339" s="101"/>
      <c r="K339" s="104"/>
      <c r="L339" s="104"/>
      <c r="M339" s="93"/>
      <c r="N339" s="105"/>
      <c r="O339" s="94"/>
      <c r="P339" s="94"/>
      <c r="Q339" s="94"/>
      <c r="R339" s="94"/>
      <c r="S339" s="3"/>
      <c r="T339" s="3"/>
      <c r="U339" s="3"/>
      <c r="V339" s="3"/>
      <c r="W339" s="104"/>
      <c r="X339" s="104"/>
      <c r="Y339" s="104"/>
      <c r="Z339" s="104"/>
      <c r="AA339" s="104"/>
      <c r="AB339" s="104"/>
      <c r="AC339" s="104"/>
      <c r="AD339" s="104"/>
      <c r="AE339" s="104"/>
      <c r="AF339" s="104"/>
      <c r="AG339" s="104"/>
      <c r="AH339" s="104"/>
      <c r="AI339" s="104"/>
      <c r="AJ339" s="104"/>
    </row>
    <row r="340" customFormat="false" ht="12.75" hidden="false" customHeight="false" outlineLevel="0" collapsed="false">
      <c r="A340" s="100"/>
      <c r="D340" s="101"/>
      <c r="E340" s="101"/>
      <c r="F340" s="102"/>
      <c r="G340" s="103"/>
      <c r="H340" s="103"/>
      <c r="I340" s="92" t="e">
        <f aca="false">INDEX(expery,MATCH(A340,exprymonth,0),2)</f>
        <v>#N/A</v>
      </c>
      <c r="J340" s="101"/>
      <c r="K340" s="104"/>
      <c r="L340" s="104"/>
      <c r="M340" s="93"/>
      <c r="N340" s="105"/>
      <c r="O340" s="94"/>
      <c r="P340" s="94"/>
      <c r="Q340" s="94"/>
      <c r="R340" s="94"/>
      <c r="S340" s="3"/>
      <c r="T340" s="3"/>
      <c r="U340" s="3"/>
      <c r="V340" s="3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</row>
    <row r="341" customFormat="false" ht="12.75" hidden="false" customHeight="false" outlineLevel="0" collapsed="false">
      <c r="A341" s="100"/>
      <c r="D341" s="101"/>
      <c r="E341" s="101"/>
      <c r="F341" s="102"/>
      <c r="G341" s="103"/>
      <c r="H341" s="103"/>
      <c r="I341" s="92" t="e">
        <f aca="false">INDEX(expery,MATCH(A341,exprymonth,0),2)</f>
        <v>#N/A</v>
      </c>
      <c r="J341" s="101"/>
      <c r="K341" s="104"/>
      <c r="L341" s="104"/>
      <c r="M341" s="93"/>
      <c r="N341" s="105"/>
      <c r="O341" s="94"/>
      <c r="P341" s="94"/>
      <c r="Q341" s="94"/>
      <c r="R341" s="94"/>
      <c r="S341" s="3"/>
      <c r="T341" s="3"/>
      <c r="U341" s="3"/>
      <c r="V341" s="3"/>
      <c r="W341" s="104"/>
      <c r="X341" s="104"/>
      <c r="Y341" s="104"/>
      <c r="Z341" s="104"/>
      <c r="AA341" s="104"/>
      <c r="AB341" s="104"/>
      <c r="AC341" s="104"/>
      <c r="AD341" s="104"/>
      <c r="AE341" s="104"/>
      <c r="AF341" s="104"/>
      <c r="AG341" s="104"/>
      <c r="AH341" s="104"/>
      <c r="AI341" s="104"/>
      <c r="AJ341" s="104"/>
    </row>
    <row r="342" customFormat="false" ht="12.75" hidden="false" customHeight="false" outlineLevel="0" collapsed="false">
      <c r="A342" s="100"/>
      <c r="D342" s="101"/>
      <c r="E342" s="101"/>
      <c r="F342" s="102"/>
      <c r="G342" s="103"/>
      <c r="H342" s="103"/>
      <c r="I342" s="92" t="e">
        <f aca="false">INDEX(expery,MATCH(A342,exprymonth,0),2)</f>
        <v>#N/A</v>
      </c>
      <c r="J342" s="101"/>
      <c r="K342" s="104"/>
      <c r="L342" s="104"/>
      <c r="M342" s="93"/>
      <c r="N342" s="105"/>
      <c r="O342" s="94"/>
      <c r="P342" s="94"/>
      <c r="Q342" s="94"/>
      <c r="R342" s="94"/>
      <c r="S342" s="3"/>
      <c r="T342" s="3"/>
      <c r="U342" s="3"/>
      <c r="V342" s="3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</row>
    <row r="343" customFormat="false" ht="12.75" hidden="false" customHeight="false" outlineLevel="0" collapsed="false">
      <c r="A343" s="100"/>
      <c r="D343" s="101"/>
      <c r="E343" s="101"/>
      <c r="F343" s="102"/>
      <c r="G343" s="103"/>
      <c r="H343" s="103"/>
      <c r="I343" s="92" t="e">
        <f aca="false">INDEX(expery,MATCH(A343,exprymonth,0),2)</f>
        <v>#N/A</v>
      </c>
      <c r="J343" s="101"/>
      <c r="K343" s="104"/>
      <c r="L343" s="104"/>
      <c r="M343" s="93"/>
      <c r="N343" s="105"/>
      <c r="O343" s="94"/>
      <c r="P343" s="94"/>
      <c r="Q343" s="94"/>
      <c r="R343" s="94"/>
      <c r="S343" s="3"/>
      <c r="T343" s="3"/>
      <c r="U343" s="3"/>
      <c r="V343" s="3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</row>
    <row r="344" customFormat="false" ht="12.75" hidden="false" customHeight="false" outlineLevel="0" collapsed="false">
      <c r="A344" s="100"/>
      <c r="D344" s="101"/>
      <c r="E344" s="101"/>
      <c r="F344" s="102"/>
      <c r="G344" s="103"/>
      <c r="H344" s="103"/>
      <c r="I344" s="92" t="e">
        <f aca="false">INDEX(expery,MATCH(A344,exprymonth,0),2)</f>
        <v>#N/A</v>
      </c>
      <c r="J344" s="101"/>
      <c r="K344" s="104"/>
      <c r="L344" s="104"/>
      <c r="M344" s="93"/>
      <c r="N344" s="105"/>
      <c r="O344" s="94"/>
      <c r="P344" s="94"/>
      <c r="Q344" s="94"/>
      <c r="R344" s="94"/>
      <c r="S344" s="3"/>
      <c r="T344" s="3"/>
      <c r="U344" s="3"/>
      <c r="V344" s="3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</row>
    <row r="345" customFormat="false" ht="12.75" hidden="false" customHeight="false" outlineLevel="0" collapsed="false">
      <c r="A345" s="100"/>
      <c r="D345" s="101"/>
      <c r="E345" s="101"/>
      <c r="F345" s="102"/>
      <c r="G345" s="103"/>
      <c r="H345" s="103"/>
      <c r="I345" s="92" t="e">
        <f aca="false">INDEX(expery,MATCH(A345,exprymonth,0),2)</f>
        <v>#N/A</v>
      </c>
      <c r="J345" s="101"/>
      <c r="K345" s="104"/>
      <c r="L345" s="104"/>
      <c r="M345" s="93"/>
      <c r="N345" s="105"/>
      <c r="O345" s="94"/>
      <c r="P345" s="94"/>
      <c r="Q345" s="94"/>
      <c r="R345" s="94"/>
      <c r="S345" s="3"/>
      <c r="T345" s="3"/>
      <c r="U345" s="3"/>
      <c r="V345" s="3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</row>
    <row r="346" customFormat="false" ht="12.75" hidden="false" customHeight="false" outlineLevel="0" collapsed="false">
      <c r="A346" s="100"/>
      <c r="D346" s="101"/>
      <c r="E346" s="101"/>
      <c r="F346" s="102"/>
      <c r="G346" s="103"/>
      <c r="H346" s="103"/>
      <c r="I346" s="92" t="e">
        <f aca="false">INDEX(expery,MATCH(A346,exprymonth,0),2)</f>
        <v>#N/A</v>
      </c>
      <c r="J346" s="101"/>
      <c r="K346" s="104"/>
      <c r="L346" s="104"/>
      <c r="M346" s="93"/>
      <c r="N346" s="105"/>
      <c r="O346" s="94"/>
      <c r="P346" s="94"/>
      <c r="Q346" s="94"/>
      <c r="R346" s="94"/>
      <c r="S346" s="3"/>
      <c r="T346" s="3"/>
      <c r="U346" s="3"/>
      <c r="V346" s="3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</row>
    <row r="347" customFormat="false" ht="12.75" hidden="false" customHeight="false" outlineLevel="0" collapsed="false">
      <c r="A347" s="100"/>
      <c r="D347" s="101"/>
      <c r="E347" s="101"/>
      <c r="F347" s="102"/>
      <c r="G347" s="103"/>
      <c r="H347" s="103"/>
      <c r="I347" s="92" t="e">
        <f aca="false">INDEX(expery,MATCH(A347,exprymonth,0),2)</f>
        <v>#N/A</v>
      </c>
      <c r="J347" s="101"/>
      <c r="K347" s="104"/>
      <c r="L347" s="104"/>
      <c r="M347" s="93"/>
      <c r="N347" s="105"/>
      <c r="O347" s="94"/>
      <c r="P347" s="94"/>
      <c r="Q347" s="94"/>
      <c r="R347" s="94"/>
      <c r="S347" s="3"/>
      <c r="T347" s="3"/>
      <c r="U347" s="3"/>
      <c r="V347" s="3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</row>
    <row r="348" customFormat="false" ht="12.75" hidden="false" customHeight="false" outlineLevel="0" collapsed="false">
      <c r="A348" s="100"/>
      <c r="D348" s="101"/>
      <c r="E348" s="101"/>
      <c r="F348" s="102"/>
      <c r="G348" s="103"/>
      <c r="H348" s="103"/>
      <c r="I348" s="92" t="e">
        <f aca="false">INDEX(expery,MATCH(A348,exprymonth,0),2)</f>
        <v>#N/A</v>
      </c>
      <c r="J348" s="101"/>
      <c r="K348" s="104"/>
      <c r="L348" s="104"/>
      <c r="M348" s="93"/>
      <c r="N348" s="105"/>
      <c r="O348" s="94"/>
      <c r="P348" s="94"/>
      <c r="Q348" s="94"/>
      <c r="R348" s="94"/>
      <c r="S348" s="3"/>
      <c r="T348" s="3"/>
      <c r="U348" s="3"/>
      <c r="V348" s="3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</row>
    <row r="349" customFormat="false" ht="12.75" hidden="false" customHeight="false" outlineLevel="0" collapsed="false">
      <c r="A349" s="100"/>
      <c r="D349" s="101"/>
      <c r="E349" s="101"/>
      <c r="F349" s="102"/>
      <c r="G349" s="103"/>
      <c r="H349" s="103"/>
      <c r="I349" s="92" t="e">
        <f aca="false">INDEX(expery,MATCH(A349,exprymonth,0),2)</f>
        <v>#N/A</v>
      </c>
      <c r="J349" s="101"/>
      <c r="K349" s="104"/>
      <c r="L349" s="104"/>
      <c r="M349" s="93"/>
      <c r="N349" s="105"/>
      <c r="O349" s="94"/>
      <c r="P349" s="94"/>
      <c r="Q349" s="94"/>
      <c r="R349" s="94"/>
      <c r="S349" s="3"/>
      <c r="T349" s="3"/>
      <c r="U349" s="3"/>
      <c r="V349" s="3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</row>
    <row r="350" customFormat="false" ht="12.75" hidden="false" customHeight="false" outlineLevel="0" collapsed="false">
      <c r="A350" s="100"/>
      <c r="D350" s="101"/>
      <c r="E350" s="101"/>
      <c r="F350" s="102"/>
      <c r="G350" s="103"/>
      <c r="H350" s="103"/>
      <c r="I350" s="92" t="e">
        <f aca="false">INDEX(expery,MATCH(A350,exprymonth,0),2)</f>
        <v>#N/A</v>
      </c>
      <c r="J350" s="101"/>
      <c r="K350" s="104"/>
      <c r="L350" s="104"/>
      <c r="M350" s="93"/>
      <c r="N350" s="105"/>
      <c r="O350" s="94"/>
      <c r="P350" s="94"/>
      <c r="Q350" s="94"/>
      <c r="R350" s="94"/>
      <c r="S350" s="3"/>
      <c r="T350" s="3"/>
      <c r="U350" s="3"/>
      <c r="V350" s="3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</row>
    <row r="351" customFormat="false" ht="12.75" hidden="false" customHeight="false" outlineLevel="0" collapsed="false">
      <c r="A351" s="100"/>
      <c r="D351" s="101"/>
      <c r="E351" s="101"/>
      <c r="F351" s="102"/>
      <c r="G351" s="103"/>
      <c r="H351" s="103"/>
      <c r="I351" s="92" t="e">
        <f aca="false">INDEX(expery,MATCH(A351,exprymonth,0),2)</f>
        <v>#N/A</v>
      </c>
      <c r="J351" s="101"/>
      <c r="K351" s="104"/>
      <c r="L351" s="104"/>
      <c r="M351" s="93"/>
      <c r="N351" s="105"/>
      <c r="O351" s="94"/>
      <c r="P351" s="94"/>
      <c r="Q351" s="94"/>
      <c r="R351" s="94"/>
      <c r="S351" s="3"/>
      <c r="T351" s="3"/>
      <c r="U351" s="3"/>
      <c r="V351" s="3"/>
      <c r="W351" s="104"/>
      <c r="X351" s="104"/>
      <c r="Y351" s="104"/>
      <c r="Z351" s="104"/>
      <c r="AA351" s="104"/>
      <c r="AB351" s="104"/>
      <c r="AC351" s="104"/>
      <c r="AD351" s="104"/>
      <c r="AE351" s="104"/>
      <c r="AF351" s="104"/>
      <c r="AG351" s="104"/>
      <c r="AH351" s="104"/>
      <c r="AI351" s="104"/>
      <c r="AJ351" s="104"/>
    </row>
    <row r="352" customFormat="false" ht="12.75" hidden="false" customHeight="false" outlineLevel="0" collapsed="false">
      <c r="A352" s="100"/>
      <c r="D352" s="101"/>
      <c r="E352" s="101"/>
      <c r="F352" s="102"/>
      <c r="G352" s="103"/>
      <c r="H352" s="103"/>
      <c r="I352" s="92" t="e">
        <f aca="false">INDEX(expery,MATCH(A352,exprymonth,0),2)</f>
        <v>#N/A</v>
      </c>
      <c r="J352" s="101"/>
      <c r="K352" s="104"/>
      <c r="L352" s="104"/>
      <c r="M352" s="93"/>
      <c r="N352" s="105"/>
      <c r="O352" s="94"/>
      <c r="P352" s="94"/>
      <c r="Q352" s="94"/>
      <c r="R352" s="94"/>
      <c r="S352" s="3"/>
      <c r="T352" s="3"/>
      <c r="U352" s="3"/>
      <c r="V352" s="3"/>
      <c r="W352" s="104"/>
      <c r="X352" s="104"/>
      <c r="Y352" s="104"/>
      <c r="Z352" s="104"/>
      <c r="AA352" s="104"/>
      <c r="AB352" s="104"/>
      <c r="AC352" s="104"/>
      <c r="AD352" s="104"/>
      <c r="AE352" s="104"/>
      <c r="AF352" s="104"/>
      <c r="AG352" s="104"/>
      <c r="AH352" s="104"/>
      <c r="AI352" s="104"/>
      <c r="AJ352" s="104"/>
    </row>
    <row r="353" customFormat="false" ht="12.75" hidden="false" customHeight="false" outlineLevel="0" collapsed="false">
      <c r="A353" s="100"/>
      <c r="D353" s="101"/>
      <c r="E353" s="101"/>
      <c r="F353" s="102"/>
      <c r="G353" s="103"/>
      <c r="H353" s="103"/>
      <c r="I353" s="92" t="e">
        <f aca="false">INDEX(expery,MATCH(A353,exprymonth,0),2)</f>
        <v>#N/A</v>
      </c>
      <c r="J353" s="101"/>
      <c r="K353" s="104"/>
      <c r="L353" s="104"/>
      <c r="M353" s="93"/>
      <c r="N353" s="105"/>
      <c r="O353" s="94"/>
      <c r="P353" s="94"/>
      <c r="Q353" s="94"/>
      <c r="R353" s="94"/>
      <c r="S353" s="3"/>
      <c r="T353" s="3"/>
      <c r="U353" s="3"/>
      <c r="V353" s="3"/>
      <c r="W353" s="104"/>
      <c r="X353" s="104"/>
      <c r="Y353" s="104"/>
      <c r="Z353" s="104"/>
      <c r="AA353" s="104"/>
      <c r="AB353" s="104"/>
      <c r="AC353" s="104"/>
      <c r="AD353" s="104"/>
      <c r="AE353" s="104"/>
      <c r="AF353" s="104"/>
      <c r="AG353" s="104"/>
      <c r="AH353" s="104"/>
      <c r="AI353" s="104"/>
      <c r="AJ353" s="104"/>
    </row>
    <row r="354" customFormat="false" ht="12.75" hidden="false" customHeight="false" outlineLevel="0" collapsed="false">
      <c r="A354" s="100"/>
      <c r="D354" s="101"/>
      <c r="E354" s="101"/>
      <c r="F354" s="102"/>
      <c r="G354" s="103"/>
      <c r="H354" s="103"/>
      <c r="I354" s="92" t="e">
        <f aca="false">INDEX(expery,MATCH(A354,exprymonth,0),2)</f>
        <v>#N/A</v>
      </c>
      <c r="J354" s="101"/>
      <c r="K354" s="104"/>
      <c r="L354" s="104"/>
      <c r="M354" s="93"/>
      <c r="N354" s="105"/>
      <c r="O354" s="94"/>
      <c r="P354" s="94"/>
      <c r="Q354" s="94"/>
      <c r="R354" s="94"/>
      <c r="S354" s="3"/>
      <c r="T354" s="3"/>
      <c r="U354" s="3"/>
      <c r="V354" s="3"/>
      <c r="W354" s="104"/>
      <c r="X354" s="104"/>
      <c r="Y354" s="104"/>
      <c r="Z354" s="104"/>
      <c r="AA354" s="104"/>
      <c r="AB354" s="104"/>
      <c r="AC354" s="104"/>
      <c r="AD354" s="104"/>
      <c r="AE354" s="104"/>
      <c r="AF354" s="104"/>
      <c r="AG354" s="104"/>
      <c r="AH354" s="104"/>
      <c r="AI354" s="104"/>
      <c r="AJ354" s="104"/>
    </row>
    <row r="355" customFormat="false" ht="12.75" hidden="false" customHeight="false" outlineLevel="0" collapsed="false">
      <c r="A355" s="100"/>
      <c r="D355" s="101"/>
      <c r="E355" s="101"/>
      <c r="F355" s="102"/>
      <c r="G355" s="103"/>
      <c r="H355" s="103"/>
      <c r="I355" s="92" t="e">
        <f aca="false">INDEX(expery,MATCH(A355,exprymonth,0),2)</f>
        <v>#N/A</v>
      </c>
      <c r="J355" s="101"/>
      <c r="K355" s="104"/>
      <c r="L355" s="104"/>
      <c r="M355" s="93"/>
      <c r="N355" s="105"/>
      <c r="O355" s="94"/>
      <c r="P355" s="94"/>
      <c r="Q355" s="94"/>
      <c r="R355" s="94"/>
      <c r="S355" s="3"/>
      <c r="T355" s="3"/>
      <c r="U355" s="3"/>
      <c r="V355" s="3"/>
      <c r="W355" s="104"/>
      <c r="X355" s="104"/>
      <c r="Y355" s="104"/>
      <c r="Z355" s="104"/>
      <c r="AA355" s="104"/>
      <c r="AB355" s="104"/>
      <c r="AC355" s="104"/>
      <c r="AD355" s="104"/>
      <c r="AE355" s="104"/>
      <c r="AF355" s="104"/>
      <c r="AG355" s="104"/>
      <c r="AH355" s="104"/>
      <c r="AI355" s="104"/>
      <c r="AJ355" s="104"/>
    </row>
    <row r="356" customFormat="false" ht="12.75" hidden="false" customHeight="false" outlineLevel="0" collapsed="false">
      <c r="A356" s="100"/>
      <c r="D356" s="101"/>
      <c r="E356" s="101"/>
      <c r="F356" s="102"/>
      <c r="G356" s="103"/>
      <c r="H356" s="103"/>
      <c r="I356" s="92" t="e">
        <f aca="false">INDEX(expery,MATCH(A356,exprymonth,0),2)</f>
        <v>#N/A</v>
      </c>
      <c r="J356" s="101"/>
      <c r="K356" s="104"/>
      <c r="L356" s="104"/>
      <c r="M356" s="93"/>
      <c r="N356" s="105"/>
      <c r="O356" s="94"/>
      <c r="P356" s="94"/>
      <c r="Q356" s="94"/>
      <c r="R356" s="94"/>
      <c r="S356" s="3"/>
      <c r="T356" s="3"/>
      <c r="U356" s="3"/>
      <c r="V356" s="3"/>
      <c r="W356" s="104"/>
      <c r="X356" s="104"/>
      <c r="Y356" s="104"/>
      <c r="Z356" s="104"/>
      <c r="AA356" s="104"/>
      <c r="AB356" s="104"/>
      <c r="AC356" s="104"/>
      <c r="AD356" s="104"/>
      <c r="AE356" s="104"/>
      <c r="AF356" s="104"/>
      <c r="AG356" s="104"/>
      <c r="AH356" s="104"/>
      <c r="AI356" s="104"/>
      <c r="AJ356" s="104"/>
    </row>
    <row r="357" customFormat="false" ht="12.75" hidden="false" customHeight="false" outlineLevel="0" collapsed="false">
      <c r="A357" s="100"/>
      <c r="D357" s="101"/>
      <c r="E357" s="101"/>
      <c r="F357" s="102"/>
      <c r="G357" s="103"/>
      <c r="H357" s="103"/>
      <c r="I357" s="92" t="e">
        <f aca="false">INDEX(expery,MATCH(A357,exprymonth,0),2)</f>
        <v>#N/A</v>
      </c>
      <c r="J357" s="101"/>
      <c r="K357" s="104"/>
      <c r="L357" s="104"/>
      <c r="M357" s="93"/>
      <c r="N357" s="105"/>
      <c r="O357" s="94"/>
      <c r="P357" s="94"/>
      <c r="Q357" s="94"/>
      <c r="R357" s="94"/>
      <c r="S357" s="3"/>
      <c r="T357" s="3"/>
      <c r="U357" s="3"/>
      <c r="V357" s="3"/>
      <c r="W357" s="104"/>
      <c r="X357" s="104"/>
      <c r="Y357" s="104"/>
      <c r="Z357" s="104"/>
      <c r="AA357" s="104"/>
      <c r="AB357" s="104"/>
      <c r="AC357" s="104"/>
      <c r="AD357" s="104"/>
      <c r="AE357" s="104"/>
      <c r="AF357" s="104"/>
      <c r="AG357" s="104"/>
      <c r="AH357" s="104"/>
      <c r="AI357" s="104"/>
      <c r="AJ357" s="104"/>
    </row>
    <row r="358" customFormat="false" ht="12.75" hidden="false" customHeight="false" outlineLevel="0" collapsed="false">
      <c r="A358" s="100"/>
      <c r="D358" s="101"/>
      <c r="E358" s="101"/>
      <c r="F358" s="102"/>
      <c r="G358" s="103"/>
      <c r="H358" s="103"/>
      <c r="I358" s="92" t="e">
        <f aca="false">INDEX(expery,MATCH(A358,exprymonth,0),2)</f>
        <v>#N/A</v>
      </c>
      <c r="J358" s="101"/>
      <c r="K358" s="104"/>
      <c r="L358" s="104"/>
      <c r="M358" s="93"/>
      <c r="N358" s="105"/>
      <c r="O358" s="94"/>
      <c r="P358" s="94"/>
      <c r="Q358" s="94"/>
      <c r="R358" s="94"/>
      <c r="S358" s="3"/>
      <c r="T358" s="3"/>
      <c r="U358" s="3"/>
      <c r="V358" s="3"/>
      <c r="W358" s="104"/>
      <c r="X358" s="104"/>
      <c r="Y358" s="104"/>
      <c r="Z358" s="104"/>
      <c r="AA358" s="104"/>
      <c r="AB358" s="104"/>
      <c r="AC358" s="104"/>
      <c r="AD358" s="104"/>
      <c r="AE358" s="104"/>
      <c r="AF358" s="104"/>
      <c r="AG358" s="104"/>
      <c r="AH358" s="104"/>
      <c r="AI358" s="104"/>
      <c r="AJ358" s="104"/>
    </row>
    <row r="359" customFormat="false" ht="12.75" hidden="false" customHeight="false" outlineLevel="0" collapsed="false">
      <c r="A359" s="100"/>
      <c r="D359" s="101"/>
      <c r="E359" s="101"/>
      <c r="F359" s="102"/>
      <c r="G359" s="103"/>
      <c r="H359" s="103"/>
      <c r="I359" s="92" t="e">
        <f aca="false">INDEX(expery,MATCH(A359,exprymonth,0),2)</f>
        <v>#N/A</v>
      </c>
      <c r="J359" s="101"/>
      <c r="K359" s="104"/>
      <c r="L359" s="104"/>
      <c r="M359" s="93"/>
      <c r="N359" s="105"/>
      <c r="O359" s="94"/>
      <c r="P359" s="94"/>
      <c r="Q359" s="94"/>
      <c r="R359" s="94"/>
      <c r="S359" s="3"/>
      <c r="T359" s="3"/>
      <c r="U359" s="3"/>
      <c r="V359" s="3"/>
      <c r="W359" s="104"/>
      <c r="X359" s="104"/>
      <c r="Y359" s="104"/>
      <c r="Z359" s="104"/>
      <c r="AA359" s="104"/>
      <c r="AB359" s="104"/>
      <c r="AC359" s="104"/>
      <c r="AD359" s="104"/>
      <c r="AE359" s="104"/>
      <c r="AF359" s="104"/>
      <c r="AG359" s="104"/>
      <c r="AH359" s="104"/>
      <c r="AI359" s="104"/>
      <c r="AJ359" s="104"/>
    </row>
    <row r="360" customFormat="false" ht="12.75" hidden="false" customHeight="false" outlineLevel="0" collapsed="false">
      <c r="A360" s="100"/>
      <c r="D360" s="101"/>
      <c r="E360" s="101"/>
      <c r="F360" s="102"/>
      <c r="G360" s="103"/>
      <c r="H360" s="103"/>
      <c r="I360" s="92" t="e">
        <f aca="false">INDEX(expery,MATCH(A360,exprymonth,0),2)</f>
        <v>#N/A</v>
      </c>
      <c r="J360" s="101"/>
      <c r="K360" s="104"/>
      <c r="L360" s="104"/>
      <c r="M360" s="93"/>
      <c r="N360" s="105"/>
      <c r="O360" s="94"/>
      <c r="P360" s="94"/>
      <c r="Q360" s="94"/>
      <c r="R360" s="94"/>
      <c r="S360" s="3"/>
      <c r="T360" s="3"/>
      <c r="U360" s="3"/>
      <c r="V360" s="3"/>
      <c r="W360" s="104"/>
      <c r="X360" s="104"/>
      <c r="Y360" s="104"/>
      <c r="Z360" s="104"/>
      <c r="AA360" s="104"/>
      <c r="AB360" s="104"/>
      <c r="AC360" s="104"/>
      <c r="AD360" s="104"/>
      <c r="AE360" s="104"/>
      <c r="AF360" s="104"/>
      <c r="AG360" s="104"/>
      <c r="AH360" s="104"/>
      <c r="AI360" s="104"/>
      <c r="AJ360" s="104"/>
    </row>
    <row r="361" customFormat="false" ht="12.75" hidden="false" customHeight="false" outlineLevel="0" collapsed="false">
      <c r="A361" s="100"/>
      <c r="D361" s="101"/>
      <c r="E361" s="101"/>
      <c r="F361" s="102"/>
      <c r="G361" s="103"/>
      <c r="H361" s="103"/>
      <c r="I361" s="92" t="e">
        <f aca="false">INDEX(expery,MATCH(A361,exprymonth,0),2)</f>
        <v>#N/A</v>
      </c>
      <c r="J361" s="101"/>
      <c r="K361" s="104"/>
      <c r="L361" s="104"/>
      <c r="M361" s="93"/>
      <c r="N361" s="105"/>
      <c r="O361" s="94"/>
      <c r="P361" s="94"/>
      <c r="Q361" s="94"/>
      <c r="R361" s="94"/>
      <c r="S361" s="3"/>
      <c r="T361" s="3"/>
      <c r="U361" s="3"/>
      <c r="V361" s="3"/>
      <c r="W361" s="104"/>
      <c r="X361" s="104"/>
      <c r="Y361" s="104"/>
      <c r="Z361" s="104"/>
      <c r="AA361" s="104"/>
      <c r="AB361" s="104"/>
      <c r="AC361" s="104"/>
      <c r="AD361" s="104"/>
      <c r="AE361" s="104"/>
      <c r="AF361" s="104"/>
      <c r="AG361" s="104"/>
      <c r="AH361" s="104"/>
      <c r="AI361" s="104"/>
      <c r="AJ361" s="104"/>
    </row>
    <row r="362" customFormat="false" ht="12.75" hidden="false" customHeight="false" outlineLevel="0" collapsed="false">
      <c r="A362" s="100"/>
      <c r="D362" s="101"/>
      <c r="E362" s="101"/>
      <c r="F362" s="102"/>
      <c r="G362" s="103"/>
      <c r="H362" s="103"/>
      <c r="I362" s="92" t="e">
        <f aca="false">INDEX(expery,MATCH(A362,exprymonth,0),2)</f>
        <v>#N/A</v>
      </c>
      <c r="J362" s="101"/>
      <c r="K362" s="104"/>
      <c r="L362" s="104"/>
      <c r="M362" s="93"/>
      <c r="N362" s="105"/>
      <c r="O362" s="94"/>
      <c r="P362" s="94"/>
      <c r="Q362" s="94"/>
      <c r="R362" s="94"/>
      <c r="S362" s="3"/>
      <c r="T362" s="3"/>
      <c r="U362" s="3"/>
      <c r="V362" s="3"/>
      <c r="W362" s="104"/>
      <c r="X362" s="104"/>
      <c r="Y362" s="104"/>
      <c r="Z362" s="104"/>
      <c r="AA362" s="104"/>
      <c r="AB362" s="104"/>
      <c r="AC362" s="104"/>
      <c r="AD362" s="104"/>
      <c r="AE362" s="104"/>
      <c r="AF362" s="104"/>
      <c r="AG362" s="104"/>
      <c r="AH362" s="104"/>
      <c r="AI362" s="104"/>
      <c r="AJ362" s="104"/>
    </row>
    <row r="363" customFormat="false" ht="12.75" hidden="false" customHeight="false" outlineLevel="0" collapsed="false">
      <c r="A363" s="100"/>
      <c r="D363" s="101"/>
      <c r="E363" s="101"/>
      <c r="F363" s="102"/>
      <c r="G363" s="103"/>
      <c r="H363" s="103"/>
      <c r="I363" s="92" t="e">
        <f aca="false">INDEX(expery,MATCH(A363,exprymonth,0),2)</f>
        <v>#N/A</v>
      </c>
      <c r="J363" s="101"/>
      <c r="K363" s="104"/>
      <c r="L363" s="104"/>
      <c r="M363" s="93"/>
      <c r="N363" s="105"/>
      <c r="O363" s="94"/>
      <c r="P363" s="94"/>
      <c r="Q363" s="94"/>
      <c r="R363" s="94"/>
      <c r="S363" s="3"/>
      <c r="T363" s="3"/>
      <c r="U363" s="3"/>
      <c r="V363" s="3"/>
      <c r="W363" s="104"/>
      <c r="X363" s="104"/>
      <c r="Y363" s="104"/>
      <c r="Z363" s="104"/>
      <c r="AA363" s="104"/>
      <c r="AB363" s="104"/>
      <c r="AC363" s="104"/>
      <c r="AD363" s="104"/>
      <c r="AE363" s="104"/>
      <c r="AF363" s="104"/>
      <c r="AG363" s="104"/>
      <c r="AH363" s="104"/>
      <c r="AI363" s="104"/>
      <c r="AJ363" s="104"/>
    </row>
    <row r="364" customFormat="false" ht="12.75" hidden="false" customHeight="false" outlineLevel="0" collapsed="false">
      <c r="A364" s="100"/>
      <c r="D364" s="101"/>
      <c r="E364" s="101"/>
      <c r="F364" s="102"/>
      <c r="G364" s="103"/>
      <c r="H364" s="103"/>
      <c r="I364" s="92" t="e">
        <f aca="false">INDEX(expery,MATCH(A364,exprymonth,0),2)</f>
        <v>#N/A</v>
      </c>
      <c r="J364" s="101"/>
      <c r="K364" s="104"/>
      <c r="L364" s="104"/>
      <c r="M364" s="93"/>
      <c r="N364" s="105"/>
      <c r="O364" s="94"/>
      <c r="P364" s="94"/>
      <c r="Q364" s="94"/>
      <c r="R364" s="94"/>
      <c r="S364" s="3"/>
      <c r="T364" s="3"/>
      <c r="U364" s="3"/>
      <c r="V364" s="3"/>
      <c r="W364" s="104"/>
      <c r="X364" s="104"/>
      <c r="Y364" s="104"/>
      <c r="Z364" s="104"/>
      <c r="AA364" s="104"/>
      <c r="AB364" s="104"/>
      <c r="AC364" s="104"/>
      <c r="AD364" s="104"/>
      <c r="AE364" s="104"/>
      <c r="AF364" s="104"/>
      <c r="AG364" s="104"/>
      <c r="AH364" s="104"/>
      <c r="AI364" s="104"/>
      <c r="AJ364" s="104"/>
    </row>
    <row r="365" customFormat="false" ht="12.75" hidden="false" customHeight="false" outlineLevel="0" collapsed="false">
      <c r="A365" s="100"/>
      <c r="D365" s="101"/>
      <c r="E365" s="101"/>
      <c r="F365" s="102"/>
      <c r="G365" s="103"/>
      <c r="H365" s="103"/>
      <c r="I365" s="92" t="e">
        <f aca="false">INDEX(expery,MATCH(A365,exprymonth,0),2)</f>
        <v>#N/A</v>
      </c>
      <c r="J365" s="101"/>
      <c r="K365" s="104"/>
      <c r="L365" s="104"/>
      <c r="M365" s="93"/>
      <c r="N365" s="105"/>
      <c r="O365" s="94"/>
      <c r="P365" s="94"/>
      <c r="Q365" s="94"/>
      <c r="R365" s="94"/>
      <c r="S365" s="3"/>
      <c r="T365" s="3"/>
      <c r="U365" s="3"/>
      <c r="V365" s="3"/>
      <c r="W365" s="104"/>
      <c r="X365" s="104"/>
      <c r="Y365" s="104"/>
      <c r="Z365" s="104"/>
      <c r="AA365" s="104"/>
      <c r="AB365" s="104"/>
      <c r="AC365" s="104"/>
      <c r="AD365" s="104"/>
      <c r="AE365" s="104"/>
      <c r="AF365" s="104"/>
      <c r="AG365" s="104"/>
      <c r="AH365" s="104"/>
      <c r="AI365" s="104"/>
      <c r="AJ365" s="104"/>
    </row>
    <row r="366" customFormat="false" ht="12.75" hidden="false" customHeight="false" outlineLevel="0" collapsed="false">
      <c r="A366" s="100"/>
      <c r="D366" s="101"/>
      <c r="E366" s="101"/>
      <c r="F366" s="102"/>
      <c r="G366" s="103"/>
      <c r="H366" s="103"/>
      <c r="I366" s="92" t="e">
        <f aca="false">INDEX(expery,MATCH(A366,exprymonth,0),2)</f>
        <v>#N/A</v>
      </c>
      <c r="J366" s="101"/>
      <c r="K366" s="104"/>
      <c r="L366" s="104"/>
      <c r="M366" s="93"/>
      <c r="N366" s="105"/>
      <c r="O366" s="94"/>
      <c r="P366" s="94"/>
      <c r="Q366" s="94"/>
      <c r="R366" s="94"/>
      <c r="S366" s="3"/>
      <c r="T366" s="3"/>
      <c r="U366" s="3"/>
      <c r="V366" s="3"/>
      <c r="W366" s="104"/>
      <c r="X366" s="104"/>
      <c r="Y366" s="104"/>
      <c r="Z366" s="104"/>
      <c r="AA366" s="104"/>
      <c r="AB366" s="104"/>
      <c r="AC366" s="104"/>
      <c r="AD366" s="104"/>
      <c r="AE366" s="104"/>
      <c r="AF366" s="104"/>
      <c r="AG366" s="104"/>
      <c r="AH366" s="104"/>
      <c r="AI366" s="104"/>
      <c r="AJ366" s="104"/>
    </row>
    <row r="367" customFormat="false" ht="12.75" hidden="false" customHeight="false" outlineLevel="0" collapsed="false">
      <c r="A367" s="100"/>
      <c r="I367" s="92" t="e">
        <f aca="false">INDEX(expery,MATCH(A367,exprymonth,0),2)</f>
        <v>#N/A</v>
      </c>
      <c r="J367" s="101"/>
      <c r="K367" s="104"/>
      <c r="L367" s="104"/>
      <c r="M367" s="93"/>
      <c r="N367" s="105"/>
      <c r="O367" s="94"/>
      <c r="P367" s="94"/>
      <c r="Q367" s="94"/>
      <c r="R367" s="94"/>
      <c r="S367" s="3"/>
      <c r="T367" s="3"/>
      <c r="U367" s="3"/>
      <c r="V367" s="3"/>
      <c r="W367" s="104"/>
      <c r="X367" s="104"/>
      <c r="Y367" s="104"/>
      <c r="Z367" s="104"/>
      <c r="AA367" s="104"/>
      <c r="AB367" s="104"/>
      <c r="AC367" s="104"/>
      <c r="AD367" s="104"/>
      <c r="AE367" s="104"/>
      <c r="AF367" s="104"/>
      <c r="AG367" s="104"/>
      <c r="AH367" s="104"/>
      <c r="AI367" s="104"/>
      <c r="AJ367" s="104"/>
    </row>
    <row r="368" customFormat="false" ht="12.75" hidden="false" customHeight="false" outlineLevel="0" collapsed="false">
      <c r="A368" s="100"/>
      <c r="I368" s="92" t="e">
        <f aca="false">INDEX(expery,MATCH(A368,exprymonth,0),2)</f>
        <v>#N/A</v>
      </c>
      <c r="J368" s="101"/>
      <c r="K368" s="104"/>
      <c r="L368" s="104"/>
      <c r="M368" s="93"/>
      <c r="N368" s="105"/>
      <c r="O368" s="94"/>
      <c r="P368" s="94"/>
      <c r="Q368" s="94"/>
      <c r="R368" s="94"/>
      <c r="S368" s="3"/>
      <c r="T368" s="3"/>
      <c r="U368" s="3"/>
      <c r="V368" s="3"/>
      <c r="W368" s="104"/>
      <c r="X368" s="104"/>
      <c r="Y368" s="104"/>
      <c r="Z368" s="104"/>
      <c r="AA368" s="104"/>
      <c r="AB368" s="104"/>
      <c r="AC368" s="104"/>
      <c r="AD368" s="104"/>
      <c r="AE368" s="104"/>
      <c r="AF368" s="104"/>
      <c r="AG368" s="104"/>
      <c r="AH368" s="104"/>
      <c r="AI368" s="104"/>
      <c r="AJ368" s="104"/>
    </row>
    <row r="369" customFormat="false" ht="12.75" hidden="false" customHeight="false" outlineLevel="0" collapsed="false">
      <c r="A369" s="100"/>
      <c r="I369" s="92" t="e">
        <f aca="false">INDEX(expery,MATCH(A369,exprymonth,0),2)</f>
        <v>#N/A</v>
      </c>
      <c r="J369" s="101"/>
      <c r="K369" s="104"/>
      <c r="L369" s="104"/>
      <c r="M369" s="93"/>
      <c r="N369" s="105"/>
      <c r="O369" s="94"/>
      <c r="P369" s="94"/>
      <c r="Q369" s="94"/>
      <c r="R369" s="94"/>
      <c r="S369" s="3"/>
      <c r="T369" s="3"/>
      <c r="U369" s="3"/>
      <c r="V369" s="3"/>
      <c r="W369" s="104"/>
      <c r="X369" s="104"/>
      <c r="Y369" s="104"/>
      <c r="Z369" s="104"/>
      <c r="AA369" s="104"/>
      <c r="AB369" s="104"/>
      <c r="AC369" s="104"/>
      <c r="AD369" s="104"/>
      <c r="AE369" s="104"/>
      <c r="AF369" s="104"/>
      <c r="AG369" s="104"/>
      <c r="AH369" s="104"/>
      <c r="AI369" s="104"/>
      <c r="AJ369" s="104"/>
    </row>
    <row r="370" customFormat="false" ht="12.75" hidden="false" customHeight="false" outlineLevel="0" collapsed="false">
      <c r="A370" s="100"/>
      <c r="J370" s="101"/>
      <c r="K370" s="104"/>
      <c r="L370" s="104"/>
      <c r="M370" s="93"/>
      <c r="N370" s="105"/>
      <c r="O370" s="94"/>
      <c r="P370" s="94"/>
      <c r="Q370" s="94"/>
      <c r="R370" s="94"/>
      <c r="S370" s="3"/>
      <c r="T370" s="3"/>
      <c r="U370" s="3"/>
      <c r="V370" s="3"/>
      <c r="W370" s="104"/>
      <c r="X370" s="104"/>
      <c r="Y370" s="104"/>
      <c r="Z370" s="104"/>
      <c r="AA370" s="104"/>
      <c r="AB370" s="104"/>
      <c r="AC370" s="104"/>
      <c r="AD370" s="104"/>
      <c r="AE370" s="104"/>
      <c r="AF370" s="104"/>
      <c r="AG370" s="104"/>
      <c r="AH370" s="104"/>
      <c r="AI370" s="104"/>
      <c r="AJ370" s="104"/>
    </row>
    <row r="371" customFormat="false" ht="12.75" hidden="false" customHeight="false" outlineLevel="0" collapsed="false">
      <c r="A371" s="100"/>
      <c r="O371" s="106"/>
      <c r="P371" s="106"/>
      <c r="Q371" s="106"/>
      <c r="R371" s="106"/>
    </row>
    <row r="372" customFormat="false" ht="12.75" hidden="false" customHeight="false" outlineLevel="0" collapsed="false">
      <c r="A372" s="100"/>
      <c r="O372" s="106"/>
      <c r="P372" s="106"/>
      <c r="Q372" s="106"/>
      <c r="R372" s="106"/>
    </row>
    <row r="373" customFormat="false" ht="12.75" hidden="false" customHeight="false" outlineLevel="0" collapsed="false">
      <c r="A373" s="100"/>
      <c r="O373" s="106"/>
      <c r="P373" s="106"/>
      <c r="Q373" s="106"/>
      <c r="R373" s="106"/>
    </row>
    <row r="374" customFormat="false" ht="12.75" hidden="false" customHeight="false" outlineLevel="0" collapsed="false">
      <c r="A374" s="100"/>
      <c r="O374" s="106"/>
      <c r="P374" s="106"/>
      <c r="Q374" s="106"/>
      <c r="R374" s="106"/>
    </row>
    <row r="375" customFormat="false" ht="12.75" hidden="false" customHeight="false" outlineLevel="0" collapsed="false">
      <c r="A375" s="100"/>
      <c r="O375" s="106"/>
      <c r="P375" s="106"/>
      <c r="Q375" s="106"/>
      <c r="R375" s="106"/>
    </row>
    <row r="376" customFormat="false" ht="12.75" hidden="false" customHeight="false" outlineLevel="0" collapsed="false">
      <c r="A376" s="100"/>
      <c r="O376" s="106"/>
      <c r="P376" s="106"/>
      <c r="Q376" s="106"/>
      <c r="R376" s="106"/>
    </row>
    <row r="377" customFormat="false" ht="12.75" hidden="false" customHeight="false" outlineLevel="0" collapsed="false">
      <c r="A377" s="100"/>
      <c r="O377" s="106"/>
      <c r="P377" s="106"/>
      <c r="Q377" s="106"/>
      <c r="R377" s="106"/>
    </row>
    <row r="378" customFormat="false" ht="12.75" hidden="false" customHeight="false" outlineLevel="0" collapsed="false">
      <c r="A378" s="100"/>
      <c r="O378" s="106"/>
      <c r="P378" s="106"/>
      <c r="Q378" s="106"/>
      <c r="R378" s="106"/>
    </row>
    <row r="379" customFormat="false" ht="12.75" hidden="false" customHeight="false" outlineLevel="0" collapsed="false">
      <c r="A379" s="100"/>
      <c r="O379" s="106"/>
      <c r="P379" s="106"/>
      <c r="Q379" s="106"/>
      <c r="R379" s="106"/>
    </row>
    <row r="380" customFormat="false" ht="12.75" hidden="false" customHeight="false" outlineLevel="0" collapsed="false">
      <c r="A380" s="100"/>
      <c r="O380" s="106"/>
      <c r="P380" s="106"/>
      <c r="Q380" s="106"/>
      <c r="R380" s="106"/>
    </row>
    <row r="381" customFormat="false" ht="12.75" hidden="false" customHeight="false" outlineLevel="0" collapsed="false">
      <c r="A381" s="100"/>
      <c r="O381" s="106"/>
      <c r="P381" s="106"/>
      <c r="Q381" s="106"/>
      <c r="R381" s="106"/>
    </row>
    <row r="382" customFormat="false" ht="12.75" hidden="false" customHeight="false" outlineLevel="0" collapsed="false">
      <c r="A382" s="100"/>
      <c r="O382" s="106"/>
      <c r="P382" s="106"/>
      <c r="Q382" s="106"/>
      <c r="R382" s="106"/>
    </row>
    <row r="383" customFormat="false" ht="12.75" hidden="false" customHeight="false" outlineLevel="0" collapsed="false">
      <c r="A383" s="100"/>
      <c r="O383" s="106"/>
      <c r="P383" s="106"/>
      <c r="Q383" s="106"/>
      <c r="R383" s="106"/>
    </row>
    <row r="384" customFormat="false" ht="12.75" hidden="false" customHeight="false" outlineLevel="0" collapsed="false">
      <c r="A384" s="100"/>
      <c r="O384" s="106"/>
      <c r="P384" s="106"/>
      <c r="Q384" s="106"/>
      <c r="R384" s="106"/>
    </row>
    <row r="385" customFormat="false" ht="12.75" hidden="false" customHeight="false" outlineLevel="0" collapsed="false">
      <c r="A385" s="100"/>
      <c r="O385" s="106"/>
      <c r="P385" s="106"/>
      <c r="Q385" s="106"/>
      <c r="R385" s="106"/>
    </row>
    <row r="386" customFormat="false" ht="12.75" hidden="false" customHeight="false" outlineLevel="0" collapsed="false">
      <c r="A386" s="100"/>
      <c r="O386" s="106"/>
      <c r="P386" s="106"/>
      <c r="Q386" s="106"/>
      <c r="R386" s="106"/>
    </row>
    <row r="387" customFormat="false" ht="12.75" hidden="false" customHeight="false" outlineLevel="0" collapsed="false">
      <c r="A387" s="100"/>
      <c r="O387" s="106"/>
      <c r="P387" s="106"/>
      <c r="Q387" s="106"/>
      <c r="R387" s="106"/>
    </row>
    <row r="388" customFormat="false" ht="12.75" hidden="false" customHeight="false" outlineLevel="0" collapsed="false">
      <c r="A388" s="100"/>
      <c r="O388" s="106"/>
      <c r="P388" s="106"/>
      <c r="Q388" s="106"/>
      <c r="R388" s="106"/>
    </row>
    <row r="389" customFormat="false" ht="12.75" hidden="false" customHeight="false" outlineLevel="0" collapsed="false">
      <c r="A389" s="100"/>
      <c r="O389" s="106"/>
      <c r="P389" s="106"/>
      <c r="Q389" s="106"/>
      <c r="R389" s="106"/>
    </row>
    <row r="390" customFormat="false" ht="12.75" hidden="false" customHeight="false" outlineLevel="0" collapsed="false">
      <c r="A390" s="100"/>
      <c r="O390" s="106"/>
      <c r="P390" s="106"/>
      <c r="Q390" s="106"/>
      <c r="R390" s="106"/>
    </row>
    <row r="391" customFormat="false" ht="12.75" hidden="false" customHeight="false" outlineLevel="0" collapsed="false">
      <c r="A391" s="100"/>
      <c r="O391" s="106"/>
      <c r="P391" s="106"/>
      <c r="Q391" s="106"/>
      <c r="R391" s="106"/>
    </row>
    <row r="392" customFormat="false" ht="12.75" hidden="false" customHeight="false" outlineLevel="0" collapsed="false">
      <c r="A392" s="100"/>
      <c r="O392" s="106"/>
      <c r="P392" s="106"/>
      <c r="Q392" s="106"/>
      <c r="R392" s="106"/>
    </row>
    <row r="393" customFormat="false" ht="12.75" hidden="false" customHeight="false" outlineLevel="0" collapsed="false">
      <c r="A393" s="100"/>
      <c r="O393" s="106"/>
      <c r="P393" s="106"/>
      <c r="Q393" s="106"/>
      <c r="R393" s="106"/>
    </row>
    <row r="394" customFormat="false" ht="12.75" hidden="false" customHeight="false" outlineLevel="0" collapsed="false">
      <c r="A394" s="100"/>
      <c r="O394" s="106"/>
      <c r="P394" s="106"/>
      <c r="Q394" s="106"/>
      <c r="R394" s="106"/>
    </row>
    <row r="395" customFormat="false" ht="12.75" hidden="false" customHeight="false" outlineLevel="0" collapsed="false">
      <c r="A395" s="100"/>
      <c r="O395" s="106"/>
      <c r="P395" s="106"/>
      <c r="Q395" s="106"/>
      <c r="R395" s="106"/>
    </row>
    <row r="396" customFormat="false" ht="12.75" hidden="false" customHeight="false" outlineLevel="0" collapsed="false">
      <c r="A396" s="100"/>
      <c r="O396" s="106"/>
      <c r="P396" s="106"/>
      <c r="Q396" s="106"/>
      <c r="R396" s="106"/>
    </row>
    <row r="397" customFormat="false" ht="12.75" hidden="false" customHeight="false" outlineLevel="0" collapsed="false">
      <c r="A397" s="100"/>
      <c r="O397" s="106"/>
      <c r="P397" s="106"/>
      <c r="Q397" s="106"/>
      <c r="R397" s="106"/>
    </row>
    <row r="398" customFormat="false" ht="12.75" hidden="false" customHeight="false" outlineLevel="0" collapsed="false">
      <c r="A398" s="100"/>
      <c r="O398" s="106"/>
      <c r="P398" s="106"/>
      <c r="Q398" s="106"/>
      <c r="R398" s="106"/>
    </row>
    <row r="399" customFormat="false" ht="12.75" hidden="false" customHeight="false" outlineLevel="0" collapsed="false">
      <c r="A399" s="100"/>
      <c r="O399" s="106"/>
      <c r="P399" s="106"/>
      <c r="Q399" s="106"/>
      <c r="R399" s="106"/>
    </row>
    <row r="400" customFormat="false" ht="12.75" hidden="false" customHeight="false" outlineLevel="0" collapsed="false">
      <c r="A400" s="100"/>
      <c r="O400" s="106"/>
      <c r="P400" s="106"/>
      <c r="Q400" s="106"/>
      <c r="R400" s="106"/>
    </row>
    <row r="401" customFormat="false" ht="12.75" hidden="false" customHeight="false" outlineLevel="0" collapsed="false">
      <c r="A401" s="100"/>
      <c r="O401" s="106"/>
      <c r="P401" s="106"/>
      <c r="Q401" s="106"/>
      <c r="R401" s="106"/>
    </row>
    <row r="402" customFormat="false" ht="12.75" hidden="false" customHeight="false" outlineLevel="0" collapsed="false">
      <c r="A402" s="100"/>
      <c r="O402" s="106"/>
      <c r="P402" s="106"/>
      <c r="Q402" s="106"/>
      <c r="R402" s="106"/>
    </row>
    <row r="403" customFormat="false" ht="12.75" hidden="false" customHeight="false" outlineLevel="0" collapsed="false">
      <c r="A403" s="100"/>
      <c r="O403" s="106"/>
      <c r="P403" s="106"/>
      <c r="Q403" s="106"/>
      <c r="R403" s="106"/>
    </row>
    <row r="404" customFormat="false" ht="12.75" hidden="false" customHeight="false" outlineLevel="0" collapsed="false">
      <c r="A404" s="100"/>
      <c r="O404" s="106"/>
      <c r="P404" s="106"/>
      <c r="Q404" s="106"/>
      <c r="R404" s="106"/>
    </row>
    <row r="405" customFormat="false" ht="12.75" hidden="false" customHeight="false" outlineLevel="0" collapsed="false">
      <c r="A405" s="100"/>
      <c r="O405" s="106"/>
      <c r="P405" s="106"/>
      <c r="Q405" s="106"/>
      <c r="R405" s="106"/>
    </row>
    <row r="406" customFormat="false" ht="12.75" hidden="false" customHeight="false" outlineLevel="0" collapsed="false">
      <c r="A406" s="100"/>
      <c r="O406" s="106"/>
      <c r="P406" s="106"/>
      <c r="Q406" s="106"/>
      <c r="R406" s="106"/>
    </row>
    <row r="407" customFormat="false" ht="12.75" hidden="false" customHeight="false" outlineLevel="0" collapsed="false">
      <c r="A407" s="100"/>
      <c r="O407" s="106"/>
      <c r="P407" s="106"/>
      <c r="Q407" s="106"/>
      <c r="R407" s="106"/>
    </row>
    <row r="408" customFormat="false" ht="12.75" hidden="false" customHeight="false" outlineLevel="0" collapsed="false">
      <c r="A408" s="100"/>
      <c r="O408" s="106"/>
      <c r="P408" s="106"/>
      <c r="Q408" s="106"/>
      <c r="R408" s="106"/>
    </row>
    <row r="409" customFormat="false" ht="12.75" hidden="false" customHeight="false" outlineLevel="0" collapsed="false">
      <c r="A409" s="100"/>
      <c r="O409" s="106"/>
      <c r="P409" s="106"/>
      <c r="Q409" s="106"/>
      <c r="R409" s="106"/>
    </row>
    <row r="410" customFormat="false" ht="12.75" hidden="false" customHeight="false" outlineLevel="0" collapsed="false">
      <c r="A410" s="100"/>
      <c r="O410" s="106"/>
      <c r="P410" s="106"/>
      <c r="Q410" s="106"/>
      <c r="R410" s="106"/>
    </row>
    <row r="411" customFormat="false" ht="12.75" hidden="false" customHeight="false" outlineLevel="0" collapsed="false">
      <c r="A411" s="100"/>
      <c r="O411" s="106"/>
      <c r="P411" s="106"/>
      <c r="Q411" s="106"/>
      <c r="R411" s="106"/>
    </row>
    <row r="412" customFormat="false" ht="12.75" hidden="false" customHeight="false" outlineLevel="0" collapsed="false">
      <c r="A412" s="100"/>
      <c r="O412" s="106"/>
      <c r="P412" s="106"/>
      <c r="Q412" s="106"/>
      <c r="R412" s="106"/>
    </row>
    <row r="413" customFormat="false" ht="12.75" hidden="false" customHeight="false" outlineLevel="0" collapsed="false">
      <c r="A413" s="100"/>
      <c r="O413" s="106"/>
      <c r="P413" s="106"/>
      <c r="Q413" s="106"/>
      <c r="R413" s="106"/>
    </row>
    <row r="414" customFormat="false" ht="12.75" hidden="false" customHeight="false" outlineLevel="0" collapsed="false">
      <c r="A414" s="100"/>
      <c r="O414" s="106"/>
      <c r="P414" s="106"/>
      <c r="Q414" s="106"/>
      <c r="R414" s="106"/>
    </row>
    <row r="415" customFormat="false" ht="12.75" hidden="false" customHeight="false" outlineLevel="0" collapsed="false">
      <c r="A415" s="100"/>
      <c r="O415" s="106"/>
      <c r="P415" s="106"/>
      <c r="Q415" s="106"/>
      <c r="R415" s="106"/>
    </row>
    <row r="416" customFormat="false" ht="12.75" hidden="false" customHeight="false" outlineLevel="0" collapsed="false">
      <c r="A416" s="100"/>
      <c r="O416" s="106"/>
      <c r="P416" s="106"/>
      <c r="Q416" s="106"/>
      <c r="R416" s="106"/>
    </row>
    <row r="417" customFormat="false" ht="12.75" hidden="false" customHeight="false" outlineLevel="0" collapsed="false">
      <c r="A417" s="100"/>
      <c r="O417" s="106"/>
      <c r="P417" s="106"/>
      <c r="Q417" s="106"/>
      <c r="R417" s="106"/>
    </row>
    <row r="418" customFormat="false" ht="12.75" hidden="false" customHeight="false" outlineLevel="0" collapsed="false">
      <c r="A418" s="100"/>
      <c r="O418" s="106"/>
      <c r="P418" s="106"/>
      <c r="Q418" s="106"/>
      <c r="R418" s="106"/>
    </row>
    <row r="419" customFormat="false" ht="12.75" hidden="false" customHeight="false" outlineLevel="0" collapsed="false">
      <c r="A419" s="100"/>
      <c r="O419" s="106"/>
      <c r="P419" s="106"/>
      <c r="Q419" s="106"/>
      <c r="R419" s="106"/>
    </row>
    <row r="420" customFormat="false" ht="12.75" hidden="false" customHeight="false" outlineLevel="0" collapsed="false">
      <c r="A420" s="100"/>
      <c r="O420" s="106"/>
      <c r="P420" s="106"/>
      <c r="Q420" s="106"/>
      <c r="R420" s="106"/>
    </row>
    <row r="421" customFormat="false" ht="12.75" hidden="false" customHeight="false" outlineLevel="0" collapsed="false">
      <c r="A421" s="100"/>
      <c r="O421" s="106"/>
      <c r="P421" s="106"/>
      <c r="Q421" s="106"/>
      <c r="R421" s="106"/>
    </row>
    <row r="422" customFormat="false" ht="12.75" hidden="false" customHeight="false" outlineLevel="0" collapsed="false">
      <c r="A422" s="100"/>
      <c r="O422" s="106"/>
      <c r="P422" s="106"/>
      <c r="Q422" s="106"/>
      <c r="R422" s="106"/>
    </row>
    <row r="423" customFormat="false" ht="12.75" hidden="false" customHeight="false" outlineLevel="0" collapsed="false">
      <c r="A423" s="100"/>
      <c r="O423" s="106"/>
      <c r="P423" s="106"/>
      <c r="Q423" s="106"/>
      <c r="R423" s="106"/>
    </row>
    <row r="424" customFormat="false" ht="12.75" hidden="false" customHeight="false" outlineLevel="0" collapsed="false">
      <c r="A424" s="100"/>
      <c r="O424" s="106"/>
      <c r="P424" s="106"/>
      <c r="Q424" s="106"/>
      <c r="R424" s="106"/>
    </row>
    <row r="425" customFormat="false" ht="12.75" hidden="false" customHeight="false" outlineLevel="0" collapsed="false">
      <c r="A425" s="100"/>
      <c r="O425" s="106"/>
      <c r="P425" s="106"/>
      <c r="Q425" s="106"/>
      <c r="R425" s="106"/>
    </row>
    <row r="426" customFormat="false" ht="12.75" hidden="false" customHeight="false" outlineLevel="0" collapsed="false">
      <c r="A426" s="100"/>
      <c r="O426" s="106"/>
      <c r="P426" s="106"/>
      <c r="Q426" s="106"/>
      <c r="R426" s="106"/>
    </row>
    <row r="427" customFormat="false" ht="12.75" hidden="false" customHeight="false" outlineLevel="0" collapsed="false">
      <c r="A427" s="100"/>
      <c r="O427" s="106"/>
      <c r="P427" s="106"/>
      <c r="Q427" s="106"/>
      <c r="R427" s="106"/>
    </row>
    <row r="428" customFormat="false" ht="12.75" hidden="false" customHeight="false" outlineLevel="0" collapsed="false">
      <c r="A428" s="100"/>
      <c r="O428" s="106"/>
      <c r="P428" s="106"/>
      <c r="Q428" s="106"/>
      <c r="R428" s="106"/>
    </row>
    <row r="429" customFormat="false" ht="12.75" hidden="false" customHeight="false" outlineLevel="0" collapsed="false">
      <c r="A429" s="100"/>
      <c r="O429" s="106"/>
      <c r="P429" s="106"/>
      <c r="Q429" s="106"/>
      <c r="R429" s="106"/>
    </row>
    <row r="430" customFormat="false" ht="12.75" hidden="false" customHeight="false" outlineLevel="0" collapsed="false">
      <c r="A430" s="100"/>
      <c r="O430" s="106"/>
      <c r="P430" s="106"/>
      <c r="Q430" s="106"/>
      <c r="R430" s="106"/>
    </row>
    <row r="431" customFormat="false" ht="12.75" hidden="false" customHeight="false" outlineLevel="0" collapsed="false">
      <c r="A431" s="100"/>
      <c r="O431" s="106"/>
      <c r="P431" s="106"/>
      <c r="Q431" s="106"/>
      <c r="R431" s="106"/>
    </row>
    <row r="432" customFormat="false" ht="12.75" hidden="false" customHeight="false" outlineLevel="0" collapsed="false">
      <c r="A432" s="100"/>
      <c r="O432" s="106"/>
      <c r="P432" s="106"/>
      <c r="Q432" s="106"/>
      <c r="R432" s="106"/>
    </row>
    <row r="433" customFormat="false" ht="12.75" hidden="false" customHeight="false" outlineLevel="0" collapsed="false">
      <c r="A433" s="100"/>
      <c r="O433" s="106"/>
      <c r="P433" s="106"/>
      <c r="Q433" s="106"/>
      <c r="R433" s="106"/>
    </row>
    <row r="434" customFormat="false" ht="12.75" hidden="false" customHeight="false" outlineLevel="0" collapsed="false">
      <c r="A434" s="100"/>
      <c r="O434" s="106"/>
      <c r="P434" s="106"/>
      <c r="Q434" s="106"/>
      <c r="R434" s="106"/>
    </row>
    <row r="435" customFormat="false" ht="12.75" hidden="false" customHeight="false" outlineLevel="0" collapsed="false">
      <c r="A435" s="100"/>
      <c r="O435" s="106"/>
      <c r="P435" s="106"/>
      <c r="Q435" s="106"/>
      <c r="R435" s="106"/>
    </row>
    <row r="436" customFormat="false" ht="12.75" hidden="false" customHeight="false" outlineLevel="0" collapsed="false">
      <c r="A436" s="100"/>
      <c r="O436" s="106"/>
      <c r="P436" s="106"/>
      <c r="Q436" s="106"/>
      <c r="R436" s="106"/>
    </row>
    <row r="437" customFormat="false" ht="12.75" hidden="false" customHeight="false" outlineLevel="0" collapsed="false">
      <c r="A437" s="100"/>
      <c r="O437" s="106"/>
      <c r="P437" s="106"/>
      <c r="Q437" s="106"/>
      <c r="R437" s="106"/>
    </row>
    <row r="438" customFormat="false" ht="12.75" hidden="false" customHeight="false" outlineLevel="0" collapsed="false">
      <c r="A438" s="100"/>
      <c r="O438" s="106"/>
      <c r="P438" s="106"/>
      <c r="Q438" s="106"/>
      <c r="R438" s="106"/>
    </row>
    <row r="439" customFormat="false" ht="12.75" hidden="false" customHeight="false" outlineLevel="0" collapsed="false">
      <c r="A439" s="100"/>
      <c r="O439" s="106"/>
      <c r="P439" s="106"/>
      <c r="Q439" s="106"/>
      <c r="R439" s="106"/>
    </row>
    <row r="440" customFormat="false" ht="12.75" hidden="false" customHeight="false" outlineLevel="0" collapsed="false">
      <c r="A440" s="100"/>
      <c r="O440" s="106"/>
      <c r="P440" s="106"/>
      <c r="Q440" s="106"/>
      <c r="R440" s="106"/>
    </row>
    <row r="441" customFormat="false" ht="12.75" hidden="false" customHeight="false" outlineLevel="0" collapsed="false">
      <c r="A441" s="100"/>
      <c r="O441" s="106"/>
      <c r="P441" s="106"/>
      <c r="Q441" s="106"/>
      <c r="R441" s="106"/>
    </row>
    <row r="442" customFormat="false" ht="12.75" hidden="false" customHeight="false" outlineLevel="0" collapsed="false">
      <c r="A442" s="100"/>
      <c r="O442" s="106"/>
      <c r="P442" s="106"/>
      <c r="Q442" s="106"/>
      <c r="R442" s="106"/>
    </row>
    <row r="443" customFormat="false" ht="12.75" hidden="false" customHeight="false" outlineLevel="0" collapsed="false">
      <c r="A443" s="100"/>
      <c r="O443" s="106"/>
      <c r="P443" s="106"/>
      <c r="Q443" s="106"/>
      <c r="R443" s="106"/>
    </row>
    <row r="444" customFormat="false" ht="12.75" hidden="false" customHeight="false" outlineLevel="0" collapsed="false">
      <c r="A444" s="100"/>
      <c r="O444" s="106"/>
      <c r="P444" s="106"/>
      <c r="Q444" s="106"/>
      <c r="R444" s="106"/>
    </row>
    <row r="445" customFormat="false" ht="12.75" hidden="false" customHeight="false" outlineLevel="0" collapsed="false">
      <c r="A445" s="100"/>
      <c r="O445" s="106"/>
      <c r="P445" s="106"/>
      <c r="Q445" s="106"/>
      <c r="R445" s="106"/>
    </row>
    <row r="446" customFormat="false" ht="12.75" hidden="false" customHeight="false" outlineLevel="0" collapsed="false">
      <c r="A446" s="100"/>
      <c r="O446" s="106"/>
      <c r="P446" s="106"/>
      <c r="Q446" s="106"/>
      <c r="R446" s="106"/>
    </row>
    <row r="447" customFormat="false" ht="12.75" hidden="false" customHeight="false" outlineLevel="0" collapsed="false">
      <c r="A447" s="100"/>
      <c r="O447" s="106"/>
      <c r="P447" s="106"/>
      <c r="Q447" s="106"/>
      <c r="R447" s="106"/>
    </row>
    <row r="448" customFormat="false" ht="12.75" hidden="false" customHeight="false" outlineLevel="0" collapsed="false">
      <c r="A448" s="100"/>
      <c r="O448" s="106"/>
      <c r="P448" s="106"/>
      <c r="Q448" s="106"/>
      <c r="R448" s="106"/>
    </row>
    <row r="449" customFormat="false" ht="12.75" hidden="false" customHeight="false" outlineLevel="0" collapsed="false">
      <c r="A449" s="100"/>
      <c r="O449" s="106"/>
      <c r="P449" s="106"/>
      <c r="Q449" s="106"/>
      <c r="R449" s="106"/>
    </row>
    <row r="450" customFormat="false" ht="12.75" hidden="false" customHeight="false" outlineLevel="0" collapsed="false">
      <c r="A450" s="100"/>
      <c r="O450" s="106"/>
      <c r="P450" s="106"/>
      <c r="Q450" s="106"/>
      <c r="R450" s="106"/>
    </row>
    <row r="451" customFormat="false" ht="12.75" hidden="false" customHeight="false" outlineLevel="0" collapsed="false">
      <c r="A451" s="100"/>
      <c r="O451" s="106"/>
      <c r="P451" s="106"/>
      <c r="Q451" s="106"/>
      <c r="R451" s="106"/>
    </row>
    <row r="452" customFormat="false" ht="12.75" hidden="false" customHeight="false" outlineLevel="0" collapsed="false">
      <c r="A452" s="100"/>
      <c r="O452" s="106"/>
      <c r="P452" s="106"/>
      <c r="Q452" s="106"/>
      <c r="R452" s="106"/>
    </row>
    <row r="453" customFormat="false" ht="12.75" hidden="false" customHeight="false" outlineLevel="0" collapsed="false">
      <c r="A453" s="100"/>
      <c r="O453" s="106"/>
      <c r="P453" s="106"/>
      <c r="Q453" s="106"/>
      <c r="R453" s="106"/>
    </row>
    <row r="454" customFormat="false" ht="12.75" hidden="false" customHeight="false" outlineLevel="0" collapsed="false">
      <c r="A454" s="100"/>
      <c r="O454" s="106"/>
      <c r="P454" s="106"/>
      <c r="Q454" s="106"/>
      <c r="R454" s="106"/>
    </row>
    <row r="455" customFormat="false" ht="12.75" hidden="false" customHeight="false" outlineLevel="0" collapsed="false">
      <c r="A455" s="100"/>
      <c r="O455" s="106"/>
      <c r="P455" s="106"/>
      <c r="Q455" s="106"/>
      <c r="R455" s="106"/>
    </row>
    <row r="456" customFormat="false" ht="12.75" hidden="false" customHeight="false" outlineLevel="0" collapsed="false">
      <c r="A456" s="100"/>
      <c r="O456" s="106"/>
      <c r="P456" s="106"/>
      <c r="Q456" s="106"/>
      <c r="R456" s="106"/>
    </row>
    <row r="457" customFormat="false" ht="12.75" hidden="false" customHeight="false" outlineLevel="0" collapsed="false">
      <c r="A457" s="100"/>
      <c r="O457" s="106"/>
      <c r="P457" s="106"/>
      <c r="Q457" s="106"/>
      <c r="R457" s="106"/>
    </row>
    <row r="458" customFormat="false" ht="12.75" hidden="false" customHeight="false" outlineLevel="0" collapsed="false">
      <c r="A458" s="100"/>
      <c r="O458" s="106"/>
      <c r="P458" s="106"/>
      <c r="Q458" s="106"/>
      <c r="R458" s="106"/>
    </row>
    <row r="459" customFormat="false" ht="12.75" hidden="false" customHeight="false" outlineLevel="0" collapsed="false">
      <c r="A459" s="100"/>
      <c r="O459" s="106"/>
      <c r="P459" s="106"/>
      <c r="Q459" s="106"/>
      <c r="R459" s="106"/>
    </row>
    <row r="460" customFormat="false" ht="12.75" hidden="false" customHeight="false" outlineLevel="0" collapsed="false">
      <c r="A460" s="100"/>
      <c r="O460" s="106"/>
      <c r="P460" s="106"/>
      <c r="Q460" s="106"/>
      <c r="R460" s="106"/>
    </row>
    <row r="461" customFormat="false" ht="12.75" hidden="false" customHeight="false" outlineLevel="0" collapsed="false">
      <c r="A461" s="100"/>
      <c r="O461" s="106"/>
      <c r="P461" s="106"/>
      <c r="Q461" s="106"/>
      <c r="R461" s="106"/>
    </row>
    <row r="462" customFormat="false" ht="12.75" hidden="false" customHeight="false" outlineLevel="0" collapsed="false">
      <c r="A462" s="100"/>
      <c r="O462" s="106"/>
      <c r="P462" s="106"/>
      <c r="Q462" s="106"/>
      <c r="R462" s="106"/>
    </row>
    <row r="463" customFormat="false" ht="12.75" hidden="false" customHeight="false" outlineLevel="0" collapsed="false">
      <c r="A463" s="100"/>
      <c r="O463" s="106"/>
      <c r="P463" s="106"/>
      <c r="Q463" s="106"/>
      <c r="R463" s="106"/>
    </row>
    <row r="464" customFormat="false" ht="12.75" hidden="false" customHeight="false" outlineLevel="0" collapsed="false">
      <c r="A464" s="100"/>
      <c r="O464" s="106"/>
      <c r="P464" s="106"/>
      <c r="Q464" s="106"/>
      <c r="R464" s="106"/>
    </row>
    <row r="465" customFormat="false" ht="12.75" hidden="false" customHeight="false" outlineLevel="0" collapsed="false">
      <c r="A465" s="100"/>
      <c r="O465" s="106"/>
      <c r="P465" s="106"/>
      <c r="Q465" s="106"/>
      <c r="R465" s="106"/>
    </row>
    <row r="466" customFormat="false" ht="12.75" hidden="false" customHeight="false" outlineLevel="0" collapsed="false">
      <c r="A466" s="100"/>
      <c r="O466" s="106"/>
      <c r="P466" s="106"/>
      <c r="Q466" s="106"/>
      <c r="R466" s="106"/>
    </row>
    <row r="467" customFormat="false" ht="12.75" hidden="false" customHeight="false" outlineLevel="0" collapsed="false">
      <c r="A467" s="100"/>
      <c r="O467" s="106"/>
      <c r="P467" s="106"/>
      <c r="Q467" s="106"/>
      <c r="R467" s="106"/>
    </row>
    <row r="468" customFormat="false" ht="12.75" hidden="false" customHeight="false" outlineLevel="0" collapsed="false">
      <c r="A468" s="100"/>
      <c r="O468" s="106"/>
      <c r="P468" s="106"/>
      <c r="Q468" s="106"/>
      <c r="R468" s="106"/>
    </row>
    <row r="469" customFormat="false" ht="12.75" hidden="false" customHeight="false" outlineLevel="0" collapsed="false">
      <c r="A469" s="100"/>
      <c r="O469" s="106"/>
      <c r="P469" s="106"/>
      <c r="Q469" s="106"/>
      <c r="R469" s="106"/>
    </row>
    <row r="470" customFormat="false" ht="12.75" hidden="false" customHeight="false" outlineLevel="0" collapsed="false">
      <c r="A470" s="100"/>
      <c r="O470" s="106"/>
      <c r="P470" s="106"/>
      <c r="Q470" s="106"/>
      <c r="R470" s="106"/>
    </row>
    <row r="471" customFormat="false" ht="12.75" hidden="false" customHeight="false" outlineLevel="0" collapsed="false">
      <c r="A471" s="100"/>
      <c r="O471" s="106"/>
      <c r="P471" s="106"/>
      <c r="Q471" s="106"/>
      <c r="R471" s="106"/>
    </row>
    <row r="472" customFormat="false" ht="12.75" hidden="false" customHeight="false" outlineLevel="0" collapsed="false">
      <c r="A472" s="100"/>
      <c r="O472" s="106"/>
      <c r="P472" s="106"/>
      <c r="Q472" s="106"/>
      <c r="R472" s="106"/>
    </row>
    <row r="473" customFormat="false" ht="12.75" hidden="false" customHeight="false" outlineLevel="0" collapsed="false">
      <c r="A473" s="100"/>
      <c r="O473" s="106"/>
      <c r="P473" s="106"/>
      <c r="Q473" s="106"/>
      <c r="R473" s="106"/>
    </row>
    <row r="474" customFormat="false" ht="12.75" hidden="false" customHeight="false" outlineLevel="0" collapsed="false">
      <c r="A474" s="100"/>
      <c r="O474" s="106"/>
      <c r="P474" s="106"/>
      <c r="Q474" s="106"/>
      <c r="R474" s="106"/>
    </row>
    <row r="475" customFormat="false" ht="12.75" hidden="false" customHeight="false" outlineLevel="0" collapsed="false">
      <c r="A475" s="100"/>
      <c r="O475" s="106"/>
      <c r="P475" s="106"/>
      <c r="Q475" s="106"/>
      <c r="R475" s="106"/>
    </row>
    <row r="476" customFormat="false" ht="12.75" hidden="false" customHeight="false" outlineLevel="0" collapsed="false">
      <c r="A476" s="100"/>
      <c r="O476" s="106"/>
      <c r="P476" s="106"/>
      <c r="Q476" s="106"/>
      <c r="R476" s="106"/>
    </row>
    <row r="477" customFormat="false" ht="12.75" hidden="false" customHeight="false" outlineLevel="0" collapsed="false">
      <c r="A477" s="100"/>
      <c r="O477" s="106"/>
      <c r="P477" s="106"/>
      <c r="Q477" s="106"/>
      <c r="R477" s="106"/>
    </row>
    <row r="478" customFormat="false" ht="12.75" hidden="false" customHeight="false" outlineLevel="0" collapsed="false">
      <c r="A478" s="100"/>
      <c r="O478" s="106"/>
      <c r="P478" s="106"/>
      <c r="Q478" s="106"/>
      <c r="R478" s="106"/>
    </row>
    <row r="479" customFormat="false" ht="12.75" hidden="false" customHeight="false" outlineLevel="0" collapsed="false">
      <c r="A479" s="100"/>
      <c r="O479" s="106"/>
      <c r="P479" s="106"/>
      <c r="Q479" s="106"/>
      <c r="R479" s="106"/>
    </row>
    <row r="480" customFormat="false" ht="12.75" hidden="false" customHeight="false" outlineLevel="0" collapsed="false">
      <c r="A480" s="100"/>
      <c r="O480" s="106"/>
      <c r="P480" s="106"/>
      <c r="Q480" s="106"/>
      <c r="R480" s="106"/>
    </row>
    <row r="481" customFormat="false" ht="12.75" hidden="false" customHeight="false" outlineLevel="0" collapsed="false">
      <c r="A481" s="100"/>
      <c r="O481" s="106"/>
      <c r="P481" s="106"/>
      <c r="Q481" s="106"/>
      <c r="R481" s="106"/>
    </row>
    <row r="482" customFormat="false" ht="12.75" hidden="false" customHeight="false" outlineLevel="0" collapsed="false">
      <c r="A482" s="100"/>
      <c r="O482" s="106"/>
      <c r="P482" s="106"/>
      <c r="Q482" s="106"/>
      <c r="R482" s="106"/>
    </row>
    <row r="483" customFormat="false" ht="12.75" hidden="false" customHeight="false" outlineLevel="0" collapsed="false">
      <c r="A483" s="100"/>
      <c r="O483" s="106"/>
      <c r="P483" s="106"/>
      <c r="Q483" s="106"/>
      <c r="R483" s="106"/>
    </row>
    <row r="484" customFormat="false" ht="12.75" hidden="false" customHeight="false" outlineLevel="0" collapsed="false">
      <c r="A484" s="100"/>
      <c r="O484" s="106"/>
      <c r="P484" s="106"/>
      <c r="Q484" s="106"/>
      <c r="R484" s="106"/>
    </row>
    <row r="485" customFormat="false" ht="12.75" hidden="false" customHeight="false" outlineLevel="0" collapsed="false">
      <c r="A485" s="100"/>
      <c r="O485" s="106"/>
      <c r="P485" s="106"/>
      <c r="Q485" s="106"/>
      <c r="R485" s="106"/>
    </row>
    <row r="486" customFormat="false" ht="12.75" hidden="false" customHeight="false" outlineLevel="0" collapsed="false">
      <c r="A486" s="100"/>
      <c r="O486" s="106"/>
      <c r="P486" s="106"/>
      <c r="Q486" s="106"/>
      <c r="R486" s="106"/>
    </row>
    <row r="487" customFormat="false" ht="12.75" hidden="false" customHeight="false" outlineLevel="0" collapsed="false">
      <c r="A487" s="100"/>
      <c r="O487" s="106"/>
      <c r="P487" s="106"/>
      <c r="Q487" s="106"/>
      <c r="R487" s="106"/>
    </row>
    <row r="488" customFormat="false" ht="12.75" hidden="false" customHeight="false" outlineLevel="0" collapsed="false">
      <c r="A488" s="100"/>
      <c r="O488" s="106"/>
      <c r="P488" s="106"/>
      <c r="Q488" s="106"/>
      <c r="R488" s="106"/>
    </row>
    <row r="489" customFormat="false" ht="12.75" hidden="false" customHeight="false" outlineLevel="0" collapsed="false">
      <c r="A489" s="100"/>
      <c r="O489" s="106"/>
      <c r="P489" s="106"/>
      <c r="Q489" s="106"/>
      <c r="R489" s="106"/>
    </row>
    <row r="490" customFormat="false" ht="12.75" hidden="false" customHeight="false" outlineLevel="0" collapsed="false">
      <c r="A490" s="100"/>
      <c r="O490" s="106"/>
      <c r="P490" s="106"/>
      <c r="Q490" s="106"/>
      <c r="R490" s="106"/>
    </row>
    <row r="491" customFormat="false" ht="12.75" hidden="false" customHeight="false" outlineLevel="0" collapsed="false">
      <c r="A491" s="100"/>
      <c r="O491" s="106"/>
      <c r="P491" s="106"/>
      <c r="Q491" s="106"/>
      <c r="R491" s="106"/>
    </row>
    <row r="492" customFormat="false" ht="12.75" hidden="false" customHeight="false" outlineLevel="0" collapsed="false">
      <c r="A492" s="100"/>
      <c r="O492" s="106"/>
      <c r="P492" s="106"/>
      <c r="Q492" s="106"/>
      <c r="R492" s="106"/>
    </row>
    <row r="493" customFormat="false" ht="12.75" hidden="false" customHeight="false" outlineLevel="0" collapsed="false">
      <c r="A493" s="100"/>
      <c r="O493" s="106"/>
      <c r="P493" s="106"/>
      <c r="Q493" s="106"/>
      <c r="R493" s="106"/>
    </row>
    <row r="494" customFormat="false" ht="12.75" hidden="false" customHeight="false" outlineLevel="0" collapsed="false">
      <c r="A494" s="100"/>
      <c r="O494" s="106"/>
      <c r="P494" s="106"/>
      <c r="Q494" s="106"/>
      <c r="R494" s="106"/>
    </row>
    <row r="495" customFormat="false" ht="12.75" hidden="false" customHeight="false" outlineLevel="0" collapsed="false">
      <c r="A495" s="100"/>
      <c r="O495" s="106"/>
      <c r="P495" s="106"/>
      <c r="Q495" s="106"/>
      <c r="R495" s="106"/>
    </row>
    <row r="496" customFormat="false" ht="12.75" hidden="false" customHeight="false" outlineLevel="0" collapsed="false">
      <c r="A496" s="100"/>
      <c r="O496" s="106"/>
      <c r="P496" s="106"/>
      <c r="Q496" s="106"/>
      <c r="R496" s="106"/>
    </row>
    <row r="497" customFormat="false" ht="12.75" hidden="false" customHeight="false" outlineLevel="0" collapsed="false">
      <c r="A497" s="100"/>
      <c r="O497" s="106"/>
      <c r="P497" s="106"/>
      <c r="Q497" s="106"/>
      <c r="R497" s="106"/>
    </row>
    <row r="498" customFormat="false" ht="12.75" hidden="false" customHeight="false" outlineLevel="0" collapsed="false">
      <c r="A498" s="100"/>
      <c r="O498" s="106"/>
      <c r="P498" s="106"/>
      <c r="Q498" s="106"/>
      <c r="R498" s="106"/>
    </row>
    <row r="499" customFormat="false" ht="12.75" hidden="false" customHeight="false" outlineLevel="0" collapsed="false">
      <c r="A499" s="100"/>
      <c r="O499" s="106"/>
      <c r="P499" s="106"/>
      <c r="Q499" s="106"/>
      <c r="R499" s="106"/>
    </row>
    <row r="500" customFormat="false" ht="12.75" hidden="false" customHeight="false" outlineLevel="0" collapsed="false">
      <c r="A500" s="100"/>
      <c r="O500" s="106"/>
      <c r="P500" s="106"/>
      <c r="Q500" s="106"/>
      <c r="R500" s="106"/>
    </row>
    <row r="501" customFormat="false" ht="12.75" hidden="false" customHeight="false" outlineLevel="0" collapsed="false">
      <c r="A501" s="100"/>
      <c r="O501" s="106"/>
      <c r="P501" s="106"/>
      <c r="Q501" s="106"/>
      <c r="R501" s="106"/>
    </row>
    <row r="502" customFormat="false" ht="12.75" hidden="false" customHeight="false" outlineLevel="0" collapsed="false">
      <c r="A502" s="100"/>
      <c r="O502" s="106"/>
      <c r="P502" s="106"/>
      <c r="Q502" s="106"/>
      <c r="R502" s="106"/>
    </row>
    <row r="503" customFormat="false" ht="12.75" hidden="false" customHeight="false" outlineLevel="0" collapsed="false">
      <c r="A503" s="100"/>
      <c r="O503" s="106"/>
      <c r="P503" s="106"/>
      <c r="Q503" s="106"/>
      <c r="R503" s="106"/>
    </row>
    <row r="504" customFormat="false" ht="12.75" hidden="false" customHeight="false" outlineLevel="0" collapsed="false">
      <c r="A504" s="100"/>
      <c r="O504" s="106"/>
      <c r="P504" s="106"/>
      <c r="Q504" s="106"/>
      <c r="R504" s="106"/>
    </row>
    <row r="505" customFormat="false" ht="12.75" hidden="false" customHeight="false" outlineLevel="0" collapsed="false">
      <c r="A505" s="100"/>
      <c r="O505" s="106"/>
      <c r="P505" s="106"/>
      <c r="Q505" s="106"/>
      <c r="R505" s="106"/>
    </row>
    <row r="506" customFormat="false" ht="12.75" hidden="false" customHeight="false" outlineLevel="0" collapsed="false">
      <c r="A506" s="100"/>
      <c r="O506" s="106"/>
      <c r="P506" s="106"/>
      <c r="Q506" s="106"/>
      <c r="R506" s="106"/>
    </row>
    <row r="507" customFormat="false" ht="12.75" hidden="false" customHeight="false" outlineLevel="0" collapsed="false">
      <c r="A507" s="100"/>
      <c r="O507" s="106"/>
      <c r="P507" s="106"/>
      <c r="Q507" s="106"/>
      <c r="R507" s="106"/>
    </row>
    <row r="508" customFormat="false" ht="12.75" hidden="false" customHeight="false" outlineLevel="0" collapsed="false">
      <c r="A508" s="100"/>
      <c r="O508" s="106"/>
      <c r="P508" s="106"/>
      <c r="Q508" s="106"/>
      <c r="R508" s="106"/>
    </row>
    <row r="509" customFormat="false" ht="12.75" hidden="false" customHeight="false" outlineLevel="0" collapsed="false">
      <c r="A509" s="100"/>
      <c r="O509" s="106"/>
      <c r="P509" s="106"/>
      <c r="Q509" s="106"/>
      <c r="R509" s="106"/>
    </row>
    <row r="510" customFormat="false" ht="12.75" hidden="false" customHeight="false" outlineLevel="0" collapsed="false">
      <c r="A510" s="100"/>
      <c r="O510" s="106"/>
      <c r="P510" s="106"/>
      <c r="Q510" s="106"/>
      <c r="R510" s="106"/>
    </row>
    <row r="511" customFormat="false" ht="12.75" hidden="false" customHeight="false" outlineLevel="0" collapsed="false">
      <c r="A511" s="100"/>
      <c r="O511" s="106"/>
      <c r="P511" s="106"/>
      <c r="Q511" s="106"/>
      <c r="R511" s="106"/>
    </row>
    <row r="512" customFormat="false" ht="12.75" hidden="false" customHeight="false" outlineLevel="0" collapsed="false">
      <c r="A512" s="100"/>
      <c r="O512" s="106"/>
      <c r="P512" s="106"/>
      <c r="Q512" s="106"/>
      <c r="R512" s="106"/>
    </row>
    <row r="513" customFormat="false" ht="12.75" hidden="false" customHeight="false" outlineLevel="0" collapsed="false">
      <c r="A513" s="100"/>
      <c r="O513" s="106"/>
      <c r="P513" s="106"/>
      <c r="Q513" s="106"/>
      <c r="R513" s="106"/>
    </row>
    <row r="514" customFormat="false" ht="12.75" hidden="false" customHeight="false" outlineLevel="0" collapsed="false">
      <c r="A514" s="100"/>
      <c r="O514" s="106"/>
      <c r="P514" s="106"/>
      <c r="Q514" s="106"/>
      <c r="R514" s="106"/>
    </row>
    <row r="515" customFormat="false" ht="12.75" hidden="false" customHeight="false" outlineLevel="0" collapsed="false">
      <c r="A515" s="100"/>
      <c r="O515" s="106"/>
      <c r="P515" s="106"/>
      <c r="Q515" s="106"/>
      <c r="R515" s="106"/>
    </row>
    <row r="516" customFormat="false" ht="12.75" hidden="false" customHeight="false" outlineLevel="0" collapsed="false">
      <c r="A516" s="100"/>
      <c r="O516" s="106"/>
      <c r="P516" s="106"/>
      <c r="Q516" s="106"/>
      <c r="R516" s="106"/>
    </row>
    <row r="517" customFormat="false" ht="12.75" hidden="false" customHeight="false" outlineLevel="0" collapsed="false">
      <c r="A517" s="100"/>
      <c r="O517" s="106"/>
      <c r="P517" s="106"/>
      <c r="Q517" s="106"/>
      <c r="R517" s="106"/>
    </row>
    <row r="518" customFormat="false" ht="12.75" hidden="false" customHeight="false" outlineLevel="0" collapsed="false">
      <c r="A518" s="100"/>
      <c r="O518" s="106"/>
      <c r="P518" s="106"/>
      <c r="Q518" s="106"/>
      <c r="R518" s="106"/>
    </row>
    <row r="519" customFormat="false" ht="12.75" hidden="false" customHeight="false" outlineLevel="0" collapsed="false">
      <c r="A519" s="100"/>
      <c r="O519" s="106"/>
      <c r="P519" s="106"/>
      <c r="Q519" s="106"/>
      <c r="R519" s="106"/>
    </row>
    <row r="520" customFormat="false" ht="12.75" hidden="false" customHeight="false" outlineLevel="0" collapsed="false">
      <c r="A520" s="100"/>
      <c r="O520" s="106"/>
      <c r="P520" s="106"/>
      <c r="Q520" s="106"/>
      <c r="R520" s="106"/>
    </row>
    <row r="521" customFormat="false" ht="12.75" hidden="false" customHeight="false" outlineLevel="0" collapsed="false">
      <c r="A521" s="100"/>
      <c r="O521" s="106"/>
      <c r="P521" s="106"/>
      <c r="Q521" s="106"/>
      <c r="R521" s="106"/>
    </row>
    <row r="522" customFormat="false" ht="12.75" hidden="false" customHeight="false" outlineLevel="0" collapsed="false">
      <c r="A522" s="100"/>
      <c r="O522" s="106"/>
      <c r="P522" s="106"/>
      <c r="Q522" s="106"/>
      <c r="R522" s="106"/>
    </row>
    <row r="523" customFormat="false" ht="12.75" hidden="false" customHeight="false" outlineLevel="0" collapsed="false">
      <c r="A523" s="100"/>
      <c r="O523" s="106"/>
      <c r="P523" s="106"/>
      <c r="Q523" s="106"/>
      <c r="R523" s="106"/>
    </row>
    <row r="524" customFormat="false" ht="12.75" hidden="false" customHeight="false" outlineLevel="0" collapsed="false">
      <c r="A524" s="100"/>
      <c r="O524" s="106"/>
      <c r="P524" s="106"/>
      <c r="Q524" s="106"/>
      <c r="R524" s="106"/>
    </row>
    <row r="525" customFormat="false" ht="12.75" hidden="false" customHeight="false" outlineLevel="0" collapsed="false">
      <c r="A525" s="100"/>
      <c r="O525" s="106"/>
      <c r="P525" s="106"/>
      <c r="Q525" s="106"/>
      <c r="R525" s="106"/>
    </row>
    <row r="526" customFormat="false" ht="12.75" hidden="false" customHeight="false" outlineLevel="0" collapsed="false">
      <c r="A526" s="100"/>
      <c r="O526" s="106"/>
      <c r="P526" s="106"/>
      <c r="Q526" s="106"/>
      <c r="R526" s="106"/>
    </row>
    <row r="527" customFormat="false" ht="12.75" hidden="false" customHeight="false" outlineLevel="0" collapsed="false">
      <c r="A527" s="100"/>
      <c r="O527" s="106"/>
      <c r="P527" s="106"/>
      <c r="Q527" s="106"/>
      <c r="R527" s="106"/>
    </row>
    <row r="528" customFormat="false" ht="12.75" hidden="false" customHeight="false" outlineLevel="0" collapsed="false">
      <c r="A528" s="100"/>
      <c r="O528" s="106"/>
      <c r="P528" s="106"/>
      <c r="Q528" s="106"/>
      <c r="R528" s="106"/>
    </row>
    <row r="529" customFormat="false" ht="12.75" hidden="false" customHeight="false" outlineLevel="0" collapsed="false">
      <c r="A529" s="100"/>
      <c r="O529" s="106"/>
      <c r="P529" s="106"/>
      <c r="Q529" s="106"/>
      <c r="R529" s="106"/>
    </row>
    <row r="530" customFormat="false" ht="12.75" hidden="false" customHeight="false" outlineLevel="0" collapsed="false">
      <c r="A530" s="100"/>
      <c r="O530" s="106"/>
      <c r="P530" s="106"/>
      <c r="Q530" s="106"/>
      <c r="R530" s="106"/>
    </row>
    <row r="531" customFormat="false" ht="12.75" hidden="false" customHeight="false" outlineLevel="0" collapsed="false">
      <c r="A531" s="100"/>
      <c r="O531" s="106"/>
      <c r="P531" s="106"/>
      <c r="Q531" s="106"/>
      <c r="R531" s="106"/>
    </row>
    <row r="532" customFormat="false" ht="12.75" hidden="false" customHeight="false" outlineLevel="0" collapsed="false">
      <c r="A532" s="100"/>
      <c r="O532" s="106"/>
      <c r="P532" s="106"/>
      <c r="Q532" s="106"/>
      <c r="R532" s="106"/>
    </row>
    <row r="533" customFormat="false" ht="12.75" hidden="false" customHeight="false" outlineLevel="0" collapsed="false">
      <c r="A533" s="100"/>
      <c r="O533" s="106"/>
      <c r="P533" s="106"/>
      <c r="Q533" s="106"/>
      <c r="R533" s="106"/>
    </row>
    <row r="534" customFormat="false" ht="12.75" hidden="false" customHeight="false" outlineLevel="0" collapsed="false">
      <c r="A534" s="100"/>
      <c r="O534" s="106"/>
      <c r="P534" s="106"/>
      <c r="Q534" s="106"/>
      <c r="R534" s="106"/>
    </row>
    <row r="535" customFormat="false" ht="12.75" hidden="false" customHeight="false" outlineLevel="0" collapsed="false">
      <c r="A535" s="100"/>
      <c r="O535" s="106"/>
      <c r="P535" s="106"/>
      <c r="Q535" s="106"/>
      <c r="R535" s="106"/>
    </row>
    <row r="536" customFormat="false" ht="12.75" hidden="false" customHeight="false" outlineLevel="0" collapsed="false">
      <c r="A536" s="100"/>
      <c r="O536" s="106"/>
      <c r="P536" s="106"/>
      <c r="Q536" s="106"/>
      <c r="R536" s="106"/>
    </row>
    <row r="537" customFormat="false" ht="12.75" hidden="false" customHeight="false" outlineLevel="0" collapsed="false">
      <c r="A537" s="100"/>
      <c r="O537" s="106"/>
      <c r="P537" s="106"/>
      <c r="Q537" s="106"/>
      <c r="R537" s="106"/>
    </row>
    <row r="538" customFormat="false" ht="12.75" hidden="false" customHeight="false" outlineLevel="0" collapsed="false">
      <c r="A538" s="100"/>
      <c r="O538" s="106"/>
      <c r="P538" s="106"/>
      <c r="Q538" s="106"/>
      <c r="R538" s="106"/>
    </row>
    <row r="539" customFormat="false" ht="12.75" hidden="false" customHeight="false" outlineLevel="0" collapsed="false">
      <c r="A539" s="100"/>
      <c r="O539" s="106"/>
      <c r="P539" s="106"/>
      <c r="Q539" s="106"/>
      <c r="R539" s="106"/>
    </row>
    <row r="540" customFormat="false" ht="12.75" hidden="false" customHeight="false" outlineLevel="0" collapsed="false">
      <c r="A540" s="100"/>
      <c r="O540" s="106"/>
      <c r="P540" s="106"/>
      <c r="Q540" s="106"/>
      <c r="R540" s="106"/>
    </row>
    <row r="541" customFormat="false" ht="12.75" hidden="false" customHeight="false" outlineLevel="0" collapsed="false">
      <c r="A541" s="100"/>
      <c r="O541" s="106"/>
      <c r="P541" s="106"/>
      <c r="Q541" s="106"/>
      <c r="R541" s="106"/>
    </row>
    <row r="542" customFormat="false" ht="12.75" hidden="false" customHeight="false" outlineLevel="0" collapsed="false">
      <c r="A542" s="100"/>
      <c r="O542" s="106"/>
      <c r="P542" s="106"/>
      <c r="Q542" s="106"/>
      <c r="R542" s="106"/>
    </row>
    <row r="543" customFormat="false" ht="12.75" hidden="false" customHeight="false" outlineLevel="0" collapsed="false">
      <c r="A543" s="100"/>
      <c r="O543" s="106"/>
      <c r="P543" s="106"/>
      <c r="Q543" s="106"/>
      <c r="R543" s="106"/>
    </row>
    <row r="544" customFormat="false" ht="12.75" hidden="false" customHeight="false" outlineLevel="0" collapsed="false">
      <c r="A544" s="100"/>
      <c r="O544" s="106"/>
      <c r="P544" s="106"/>
      <c r="Q544" s="106"/>
      <c r="R544" s="106"/>
    </row>
    <row r="545" customFormat="false" ht="12.75" hidden="false" customHeight="false" outlineLevel="0" collapsed="false">
      <c r="A545" s="100"/>
      <c r="O545" s="106"/>
      <c r="P545" s="106"/>
      <c r="Q545" s="106"/>
      <c r="R545" s="106"/>
    </row>
    <row r="546" customFormat="false" ht="12.75" hidden="false" customHeight="false" outlineLevel="0" collapsed="false">
      <c r="A546" s="100"/>
      <c r="O546" s="106"/>
      <c r="P546" s="106"/>
      <c r="Q546" s="106"/>
      <c r="R546" s="106"/>
    </row>
    <row r="547" customFormat="false" ht="12.75" hidden="false" customHeight="false" outlineLevel="0" collapsed="false">
      <c r="A547" s="100"/>
      <c r="O547" s="106"/>
      <c r="P547" s="106"/>
      <c r="Q547" s="106"/>
      <c r="R547" s="106"/>
    </row>
    <row r="548" customFormat="false" ht="12.75" hidden="false" customHeight="false" outlineLevel="0" collapsed="false">
      <c r="A548" s="100"/>
      <c r="O548" s="106"/>
      <c r="P548" s="106"/>
      <c r="Q548" s="106"/>
      <c r="R548" s="106"/>
    </row>
    <row r="549" customFormat="false" ht="12.75" hidden="false" customHeight="false" outlineLevel="0" collapsed="false">
      <c r="A549" s="100"/>
      <c r="O549" s="106"/>
      <c r="P549" s="106"/>
      <c r="Q549" s="106"/>
      <c r="R549" s="106"/>
    </row>
    <row r="550" customFormat="false" ht="12.75" hidden="false" customHeight="false" outlineLevel="0" collapsed="false">
      <c r="A550" s="100"/>
      <c r="O550" s="106"/>
      <c r="P550" s="106"/>
      <c r="Q550" s="106"/>
      <c r="R550" s="106"/>
    </row>
    <row r="551" customFormat="false" ht="12.75" hidden="false" customHeight="false" outlineLevel="0" collapsed="false">
      <c r="A551" s="100"/>
      <c r="O551" s="106"/>
      <c r="P551" s="106"/>
      <c r="Q551" s="106"/>
      <c r="R551" s="106"/>
    </row>
    <row r="552" customFormat="false" ht="12.75" hidden="false" customHeight="false" outlineLevel="0" collapsed="false">
      <c r="A552" s="100"/>
      <c r="O552" s="106"/>
      <c r="P552" s="106"/>
      <c r="Q552" s="106"/>
      <c r="R552" s="106"/>
    </row>
    <row r="553" customFormat="false" ht="12.75" hidden="false" customHeight="false" outlineLevel="0" collapsed="false">
      <c r="A553" s="100"/>
      <c r="O553" s="106"/>
      <c r="P553" s="106"/>
      <c r="Q553" s="106"/>
      <c r="R553" s="106"/>
    </row>
    <row r="554" customFormat="false" ht="12.75" hidden="false" customHeight="false" outlineLevel="0" collapsed="false">
      <c r="A554" s="100"/>
      <c r="O554" s="106"/>
      <c r="P554" s="106"/>
      <c r="Q554" s="106"/>
      <c r="R554" s="106"/>
    </row>
    <row r="555" customFormat="false" ht="12.75" hidden="false" customHeight="false" outlineLevel="0" collapsed="false">
      <c r="A555" s="100"/>
      <c r="O555" s="106"/>
      <c r="P555" s="106"/>
      <c r="Q555" s="106"/>
      <c r="R555" s="106"/>
    </row>
    <row r="556" customFormat="false" ht="12.75" hidden="false" customHeight="false" outlineLevel="0" collapsed="false">
      <c r="A556" s="100"/>
      <c r="O556" s="106"/>
      <c r="P556" s="106"/>
      <c r="Q556" s="106"/>
      <c r="R556" s="106"/>
    </row>
    <row r="557" customFormat="false" ht="12.75" hidden="false" customHeight="false" outlineLevel="0" collapsed="false">
      <c r="A557" s="100"/>
      <c r="O557" s="106"/>
      <c r="P557" s="106"/>
      <c r="Q557" s="106"/>
      <c r="R557" s="106"/>
    </row>
    <row r="558" customFormat="false" ht="12.75" hidden="false" customHeight="false" outlineLevel="0" collapsed="false">
      <c r="A558" s="100"/>
      <c r="O558" s="106"/>
      <c r="P558" s="106"/>
      <c r="Q558" s="106"/>
      <c r="R558" s="106"/>
    </row>
    <row r="559" customFormat="false" ht="12.75" hidden="false" customHeight="false" outlineLevel="0" collapsed="false">
      <c r="A559" s="100"/>
      <c r="O559" s="106"/>
      <c r="P559" s="106"/>
      <c r="Q559" s="106"/>
      <c r="R559" s="106"/>
    </row>
    <row r="560" customFormat="false" ht="12.75" hidden="false" customHeight="false" outlineLevel="0" collapsed="false">
      <c r="A560" s="100"/>
      <c r="O560" s="106"/>
      <c r="P560" s="106"/>
      <c r="Q560" s="106"/>
      <c r="R560" s="106"/>
    </row>
    <row r="561" customFormat="false" ht="12.75" hidden="false" customHeight="false" outlineLevel="0" collapsed="false">
      <c r="A561" s="100"/>
      <c r="O561" s="106"/>
      <c r="P561" s="106"/>
      <c r="Q561" s="106"/>
      <c r="R561" s="106"/>
    </row>
    <row r="562" customFormat="false" ht="12.75" hidden="false" customHeight="false" outlineLevel="0" collapsed="false">
      <c r="A562" s="100"/>
      <c r="O562" s="106"/>
      <c r="P562" s="106"/>
      <c r="Q562" s="106"/>
      <c r="R562" s="106"/>
    </row>
    <row r="563" customFormat="false" ht="12.75" hidden="false" customHeight="false" outlineLevel="0" collapsed="false">
      <c r="A563" s="100"/>
      <c r="O563" s="106"/>
      <c r="P563" s="106"/>
      <c r="Q563" s="106"/>
      <c r="R563" s="106"/>
    </row>
    <row r="564" customFormat="false" ht="12.75" hidden="false" customHeight="false" outlineLevel="0" collapsed="false">
      <c r="A564" s="100"/>
      <c r="O564" s="106"/>
      <c r="P564" s="106"/>
      <c r="Q564" s="106"/>
      <c r="R564" s="106"/>
    </row>
    <row r="565" customFormat="false" ht="12.75" hidden="false" customHeight="false" outlineLevel="0" collapsed="false">
      <c r="A565" s="100"/>
      <c r="O565" s="106"/>
      <c r="P565" s="106"/>
      <c r="Q565" s="106"/>
      <c r="R565" s="106"/>
    </row>
    <row r="566" customFormat="false" ht="12.75" hidden="false" customHeight="false" outlineLevel="0" collapsed="false">
      <c r="A566" s="100"/>
      <c r="O566" s="106"/>
      <c r="P566" s="106"/>
      <c r="Q566" s="106"/>
      <c r="R566" s="106"/>
    </row>
    <row r="567" customFormat="false" ht="12.75" hidden="false" customHeight="false" outlineLevel="0" collapsed="false">
      <c r="A567" s="100"/>
      <c r="O567" s="106"/>
      <c r="P567" s="106"/>
      <c r="Q567" s="106"/>
      <c r="R567" s="106"/>
    </row>
    <row r="568" customFormat="false" ht="12.75" hidden="false" customHeight="false" outlineLevel="0" collapsed="false">
      <c r="A568" s="100"/>
      <c r="O568" s="106"/>
      <c r="P568" s="106"/>
      <c r="Q568" s="106"/>
      <c r="R568" s="106"/>
    </row>
    <row r="569" customFormat="false" ht="12.75" hidden="false" customHeight="false" outlineLevel="0" collapsed="false">
      <c r="A569" s="100"/>
      <c r="O569" s="106"/>
      <c r="P569" s="106"/>
      <c r="Q569" s="106"/>
      <c r="R569" s="106"/>
    </row>
    <row r="570" customFormat="false" ht="12.75" hidden="false" customHeight="false" outlineLevel="0" collapsed="false">
      <c r="A570" s="100"/>
      <c r="O570" s="106"/>
      <c r="P570" s="106"/>
      <c r="Q570" s="106"/>
      <c r="R570" s="106"/>
    </row>
    <row r="571" customFormat="false" ht="12.75" hidden="false" customHeight="false" outlineLevel="0" collapsed="false">
      <c r="A571" s="100"/>
      <c r="O571" s="106"/>
      <c r="P571" s="106"/>
      <c r="Q571" s="106"/>
      <c r="R571" s="106"/>
    </row>
    <row r="572" customFormat="false" ht="12.75" hidden="false" customHeight="false" outlineLevel="0" collapsed="false">
      <c r="A572" s="100"/>
      <c r="O572" s="106"/>
      <c r="P572" s="106"/>
      <c r="Q572" s="106"/>
      <c r="R572" s="106"/>
    </row>
    <row r="573" customFormat="false" ht="12.75" hidden="false" customHeight="false" outlineLevel="0" collapsed="false">
      <c r="A573" s="100"/>
      <c r="O573" s="106"/>
      <c r="P573" s="106"/>
      <c r="Q573" s="106"/>
      <c r="R573" s="106"/>
    </row>
    <row r="574" customFormat="false" ht="12.75" hidden="false" customHeight="false" outlineLevel="0" collapsed="false">
      <c r="A574" s="100"/>
      <c r="O574" s="106"/>
      <c r="P574" s="106"/>
      <c r="Q574" s="106"/>
      <c r="R574" s="106"/>
    </row>
    <row r="575" customFormat="false" ht="12.75" hidden="false" customHeight="false" outlineLevel="0" collapsed="false">
      <c r="A575" s="100"/>
      <c r="O575" s="106"/>
      <c r="P575" s="106"/>
      <c r="Q575" s="106"/>
      <c r="R575" s="106"/>
    </row>
    <row r="576" customFormat="false" ht="12.75" hidden="false" customHeight="false" outlineLevel="0" collapsed="false">
      <c r="A576" s="100"/>
      <c r="O576" s="106"/>
      <c r="P576" s="106"/>
      <c r="Q576" s="106"/>
      <c r="R576" s="106"/>
    </row>
    <row r="577" customFormat="false" ht="12.75" hidden="false" customHeight="false" outlineLevel="0" collapsed="false">
      <c r="A577" s="100"/>
      <c r="O577" s="106"/>
      <c r="P577" s="106"/>
      <c r="Q577" s="106"/>
      <c r="R577" s="106"/>
    </row>
    <row r="578" customFormat="false" ht="12.75" hidden="false" customHeight="false" outlineLevel="0" collapsed="false">
      <c r="A578" s="100"/>
      <c r="O578" s="106"/>
      <c r="P578" s="106"/>
      <c r="Q578" s="106"/>
      <c r="R578" s="106"/>
    </row>
    <row r="579" customFormat="false" ht="12.75" hidden="false" customHeight="false" outlineLevel="0" collapsed="false">
      <c r="A579" s="100"/>
      <c r="O579" s="106"/>
      <c r="P579" s="106"/>
      <c r="Q579" s="106"/>
      <c r="R579" s="106"/>
    </row>
    <row r="580" customFormat="false" ht="12.75" hidden="false" customHeight="false" outlineLevel="0" collapsed="false">
      <c r="A580" s="100"/>
      <c r="O580" s="106"/>
      <c r="P580" s="106"/>
      <c r="Q580" s="106"/>
      <c r="R580" s="106"/>
    </row>
    <row r="581" customFormat="false" ht="12.75" hidden="false" customHeight="false" outlineLevel="0" collapsed="false">
      <c r="A581" s="100"/>
      <c r="O581" s="106"/>
      <c r="P581" s="106"/>
      <c r="Q581" s="106"/>
      <c r="R581" s="106"/>
    </row>
    <row r="582" customFormat="false" ht="12.75" hidden="false" customHeight="false" outlineLevel="0" collapsed="false">
      <c r="A582" s="100"/>
      <c r="O582" s="106"/>
      <c r="P582" s="106"/>
      <c r="Q582" s="106"/>
      <c r="R582" s="106"/>
    </row>
    <row r="583" customFormat="false" ht="12.75" hidden="false" customHeight="false" outlineLevel="0" collapsed="false">
      <c r="A583" s="100"/>
      <c r="O583" s="106"/>
      <c r="P583" s="106"/>
      <c r="Q583" s="106"/>
      <c r="R583" s="106"/>
    </row>
    <row r="584" customFormat="false" ht="12.75" hidden="false" customHeight="false" outlineLevel="0" collapsed="false">
      <c r="A584" s="100"/>
      <c r="O584" s="106"/>
      <c r="P584" s="106"/>
      <c r="Q584" s="106"/>
      <c r="R584" s="106"/>
    </row>
    <row r="585" customFormat="false" ht="12.75" hidden="false" customHeight="false" outlineLevel="0" collapsed="false">
      <c r="A585" s="100"/>
      <c r="O585" s="106"/>
      <c r="P585" s="106"/>
      <c r="Q585" s="106"/>
      <c r="R585" s="106"/>
    </row>
    <row r="586" customFormat="false" ht="12.75" hidden="false" customHeight="false" outlineLevel="0" collapsed="false">
      <c r="A586" s="100"/>
      <c r="O586" s="106"/>
      <c r="P586" s="106"/>
      <c r="Q586" s="106"/>
      <c r="R586" s="106"/>
    </row>
    <row r="587" customFormat="false" ht="12.75" hidden="false" customHeight="false" outlineLevel="0" collapsed="false">
      <c r="A587" s="100"/>
      <c r="O587" s="106"/>
      <c r="P587" s="106"/>
      <c r="Q587" s="106"/>
      <c r="R587" s="106"/>
    </row>
    <row r="588" customFormat="false" ht="12.75" hidden="false" customHeight="false" outlineLevel="0" collapsed="false">
      <c r="A588" s="100"/>
      <c r="O588" s="106"/>
      <c r="P588" s="106"/>
      <c r="Q588" s="106"/>
      <c r="R588" s="106"/>
    </row>
    <row r="589" customFormat="false" ht="12.75" hidden="false" customHeight="false" outlineLevel="0" collapsed="false">
      <c r="A589" s="100"/>
      <c r="O589" s="106"/>
      <c r="P589" s="106"/>
      <c r="Q589" s="106"/>
      <c r="R589" s="106"/>
    </row>
    <row r="590" customFormat="false" ht="12.75" hidden="false" customHeight="false" outlineLevel="0" collapsed="false">
      <c r="A590" s="100"/>
      <c r="O590" s="106"/>
      <c r="P590" s="106"/>
      <c r="Q590" s="106"/>
      <c r="R590" s="106"/>
    </row>
    <row r="591" customFormat="false" ht="12.75" hidden="false" customHeight="false" outlineLevel="0" collapsed="false">
      <c r="A591" s="100"/>
      <c r="O591" s="106"/>
      <c r="P591" s="106"/>
      <c r="Q591" s="106"/>
      <c r="R591" s="106"/>
    </row>
    <row r="592" customFormat="false" ht="12.75" hidden="false" customHeight="false" outlineLevel="0" collapsed="false">
      <c r="A592" s="100"/>
      <c r="O592" s="106"/>
      <c r="P592" s="106"/>
      <c r="Q592" s="106"/>
      <c r="R592" s="106"/>
    </row>
    <row r="593" customFormat="false" ht="12.75" hidden="false" customHeight="false" outlineLevel="0" collapsed="false">
      <c r="A593" s="100"/>
      <c r="O593" s="106"/>
      <c r="P593" s="106"/>
      <c r="Q593" s="106"/>
      <c r="R593" s="106"/>
    </row>
    <row r="594" customFormat="false" ht="12.75" hidden="false" customHeight="false" outlineLevel="0" collapsed="false">
      <c r="A594" s="100"/>
      <c r="O594" s="106"/>
      <c r="P594" s="106"/>
      <c r="Q594" s="106"/>
      <c r="R594" s="106"/>
    </row>
    <row r="595" customFormat="false" ht="12.75" hidden="false" customHeight="false" outlineLevel="0" collapsed="false">
      <c r="A595" s="100"/>
      <c r="O595" s="106"/>
      <c r="P595" s="106"/>
      <c r="Q595" s="106"/>
      <c r="R595" s="106"/>
    </row>
    <row r="596" customFormat="false" ht="12.75" hidden="false" customHeight="false" outlineLevel="0" collapsed="false">
      <c r="A596" s="100"/>
      <c r="O596" s="106"/>
      <c r="P596" s="106"/>
      <c r="Q596" s="106"/>
      <c r="R596" s="106"/>
    </row>
    <row r="597" customFormat="false" ht="12.75" hidden="false" customHeight="false" outlineLevel="0" collapsed="false">
      <c r="A597" s="100"/>
      <c r="O597" s="106"/>
      <c r="P597" s="106"/>
      <c r="Q597" s="106"/>
      <c r="R597" s="106"/>
    </row>
    <row r="598" customFormat="false" ht="12.75" hidden="false" customHeight="false" outlineLevel="0" collapsed="false">
      <c r="A598" s="100"/>
      <c r="O598" s="106"/>
      <c r="P598" s="106"/>
      <c r="Q598" s="106"/>
      <c r="R598" s="106"/>
    </row>
    <row r="599" customFormat="false" ht="12.75" hidden="false" customHeight="false" outlineLevel="0" collapsed="false">
      <c r="A599" s="100"/>
      <c r="O599" s="106"/>
      <c r="P599" s="106"/>
      <c r="Q599" s="106"/>
      <c r="R599" s="106"/>
    </row>
    <row r="600" customFormat="false" ht="12.75" hidden="false" customHeight="false" outlineLevel="0" collapsed="false">
      <c r="A600" s="100"/>
      <c r="O600" s="106"/>
      <c r="P600" s="106"/>
      <c r="Q600" s="106"/>
      <c r="R600" s="106"/>
    </row>
    <row r="601" customFormat="false" ht="12.75" hidden="false" customHeight="false" outlineLevel="0" collapsed="false">
      <c r="A601" s="100"/>
      <c r="O601" s="106"/>
      <c r="P601" s="106"/>
      <c r="Q601" s="106"/>
      <c r="R601" s="106"/>
    </row>
    <row r="602" customFormat="false" ht="12.75" hidden="false" customHeight="false" outlineLevel="0" collapsed="false">
      <c r="A602" s="100"/>
      <c r="O602" s="106"/>
      <c r="P602" s="106"/>
      <c r="Q602" s="106"/>
      <c r="R602" s="106"/>
    </row>
    <row r="603" customFormat="false" ht="12.75" hidden="false" customHeight="false" outlineLevel="0" collapsed="false">
      <c r="A603" s="100"/>
      <c r="O603" s="106"/>
      <c r="P603" s="106"/>
      <c r="Q603" s="106"/>
      <c r="R603" s="106"/>
    </row>
    <row r="604" customFormat="false" ht="12.75" hidden="false" customHeight="false" outlineLevel="0" collapsed="false">
      <c r="A604" s="100"/>
      <c r="O604" s="106"/>
      <c r="P604" s="106"/>
      <c r="Q604" s="106"/>
      <c r="R604" s="106"/>
    </row>
    <row r="605" customFormat="false" ht="12.75" hidden="false" customHeight="false" outlineLevel="0" collapsed="false">
      <c r="A605" s="100"/>
      <c r="O605" s="106"/>
      <c r="P605" s="106"/>
      <c r="Q605" s="106"/>
      <c r="R605" s="106"/>
    </row>
    <row r="606" customFormat="false" ht="12.75" hidden="false" customHeight="false" outlineLevel="0" collapsed="false">
      <c r="A606" s="100"/>
      <c r="O606" s="106"/>
      <c r="P606" s="106"/>
      <c r="Q606" s="106"/>
      <c r="R606" s="106"/>
    </row>
    <row r="607" customFormat="false" ht="12.75" hidden="false" customHeight="false" outlineLevel="0" collapsed="false">
      <c r="A607" s="100"/>
      <c r="O607" s="106"/>
      <c r="P607" s="106"/>
      <c r="Q607" s="106"/>
      <c r="R607" s="106"/>
    </row>
    <row r="608" customFormat="false" ht="12.75" hidden="false" customHeight="false" outlineLevel="0" collapsed="false">
      <c r="A608" s="100"/>
      <c r="O608" s="106"/>
      <c r="P608" s="106"/>
      <c r="Q608" s="106"/>
      <c r="R608" s="106"/>
    </row>
    <row r="609" customFormat="false" ht="12.75" hidden="false" customHeight="false" outlineLevel="0" collapsed="false">
      <c r="A609" s="100"/>
      <c r="O609" s="106"/>
      <c r="P609" s="106"/>
      <c r="Q609" s="106"/>
      <c r="R609" s="106"/>
    </row>
    <row r="610" customFormat="false" ht="12.75" hidden="false" customHeight="false" outlineLevel="0" collapsed="false">
      <c r="A610" s="100"/>
      <c r="O610" s="106"/>
      <c r="P610" s="106"/>
      <c r="Q610" s="106"/>
      <c r="R610" s="106"/>
    </row>
    <row r="611" customFormat="false" ht="12.75" hidden="false" customHeight="false" outlineLevel="0" collapsed="false">
      <c r="A611" s="100"/>
      <c r="O611" s="106"/>
      <c r="P611" s="106"/>
      <c r="Q611" s="106"/>
      <c r="R611" s="106"/>
    </row>
    <row r="612" customFormat="false" ht="12.75" hidden="false" customHeight="false" outlineLevel="0" collapsed="false">
      <c r="A612" s="100"/>
      <c r="O612" s="106"/>
      <c r="P612" s="106"/>
      <c r="Q612" s="106"/>
      <c r="R612" s="106"/>
    </row>
    <row r="613" customFormat="false" ht="12.75" hidden="false" customHeight="false" outlineLevel="0" collapsed="false">
      <c r="A613" s="100"/>
      <c r="O613" s="106"/>
      <c r="P613" s="106"/>
      <c r="Q613" s="106"/>
      <c r="R613" s="106"/>
    </row>
    <row r="614" customFormat="false" ht="12.75" hidden="false" customHeight="false" outlineLevel="0" collapsed="false">
      <c r="A614" s="100"/>
      <c r="O614" s="106"/>
      <c r="P614" s="106"/>
      <c r="Q614" s="106"/>
      <c r="R614" s="106"/>
    </row>
    <row r="615" customFormat="false" ht="12.75" hidden="false" customHeight="false" outlineLevel="0" collapsed="false">
      <c r="A615" s="100"/>
      <c r="O615" s="106"/>
      <c r="P615" s="106"/>
      <c r="Q615" s="106"/>
      <c r="R615" s="106"/>
    </row>
    <row r="616" customFormat="false" ht="12.75" hidden="false" customHeight="false" outlineLevel="0" collapsed="false">
      <c r="A616" s="100"/>
      <c r="O616" s="106"/>
      <c r="P616" s="106"/>
      <c r="Q616" s="106"/>
      <c r="R616" s="106"/>
    </row>
    <row r="617" customFormat="false" ht="12.75" hidden="false" customHeight="false" outlineLevel="0" collapsed="false">
      <c r="A617" s="100"/>
      <c r="O617" s="106"/>
      <c r="P617" s="106"/>
      <c r="Q617" s="106"/>
      <c r="R617" s="106"/>
    </row>
    <row r="618" customFormat="false" ht="12.75" hidden="false" customHeight="false" outlineLevel="0" collapsed="false">
      <c r="A618" s="100"/>
      <c r="O618" s="106"/>
      <c r="P618" s="106"/>
      <c r="Q618" s="106"/>
      <c r="R618" s="106"/>
    </row>
    <row r="619" customFormat="false" ht="12.75" hidden="false" customHeight="false" outlineLevel="0" collapsed="false">
      <c r="A619" s="100"/>
      <c r="O619" s="106"/>
      <c r="P619" s="106"/>
      <c r="Q619" s="106"/>
      <c r="R619" s="106"/>
    </row>
    <row r="620" customFormat="false" ht="12.75" hidden="false" customHeight="false" outlineLevel="0" collapsed="false">
      <c r="A620" s="100"/>
      <c r="O620" s="106"/>
      <c r="P620" s="106"/>
      <c r="Q620" s="106"/>
      <c r="R620" s="106"/>
    </row>
    <row r="621" customFormat="false" ht="12.75" hidden="false" customHeight="false" outlineLevel="0" collapsed="false">
      <c r="A621" s="100"/>
      <c r="O621" s="106"/>
      <c r="P621" s="106"/>
      <c r="Q621" s="106"/>
      <c r="R621" s="106"/>
    </row>
    <row r="622" customFormat="false" ht="12.75" hidden="false" customHeight="false" outlineLevel="0" collapsed="false">
      <c r="A622" s="100"/>
      <c r="O622" s="106"/>
      <c r="P622" s="106"/>
      <c r="Q622" s="106"/>
      <c r="R622" s="106"/>
    </row>
    <row r="623" customFormat="false" ht="12.75" hidden="false" customHeight="false" outlineLevel="0" collapsed="false">
      <c r="A623" s="100"/>
    </row>
    <row r="624" customFormat="false" ht="12.75" hidden="false" customHeight="false" outlineLevel="0" collapsed="false">
      <c r="A624" s="100"/>
    </row>
    <row r="625" customFormat="false" ht="12.75" hidden="false" customHeight="false" outlineLevel="0" collapsed="false">
      <c r="A625" s="100"/>
    </row>
    <row r="626" customFormat="false" ht="12.75" hidden="false" customHeight="false" outlineLevel="0" collapsed="false">
      <c r="A626" s="100"/>
    </row>
    <row r="627" customFormat="false" ht="12.75" hidden="false" customHeight="false" outlineLevel="0" collapsed="false">
      <c r="A627" s="100"/>
    </row>
    <row r="628" customFormat="false" ht="12.75" hidden="false" customHeight="false" outlineLevel="0" collapsed="false">
      <c r="A628" s="100"/>
    </row>
    <row r="629" customFormat="false" ht="12.75" hidden="false" customHeight="false" outlineLevel="0" collapsed="false">
      <c r="A629" s="100"/>
    </row>
    <row r="630" customFormat="false" ht="12.75" hidden="false" customHeight="false" outlineLevel="0" collapsed="false">
      <c r="A630" s="100"/>
    </row>
    <row r="631" customFormat="false" ht="12.75" hidden="false" customHeight="false" outlineLevel="0" collapsed="false">
      <c r="A631" s="100"/>
    </row>
    <row r="632" customFormat="false" ht="12.75" hidden="false" customHeight="false" outlineLevel="0" collapsed="false">
      <c r="A632" s="100"/>
    </row>
    <row r="633" customFormat="false" ht="12.75" hidden="false" customHeight="false" outlineLevel="0" collapsed="false">
      <c r="A633" s="100"/>
    </row>
    <row r="634" customFormat="false" ht="12.75" hidden="false" customHeight="false" outlineLevel="0" collapsed="false">
      <c r="A634" s="100"/>
    </row>
    <row r="635" customFormat="false" ht="12.75" hidden="false" customHeight="false" outlineLevel="0" collapsed="false">
      <c r="A635" s="100"/>
    </row>
    <row r="636" customFormat="false" ht="12.75" hidden="false" customHeight="false" outlineLevel="0" collapsed="false">
      <c r="A636" s="100"/>
    </row>
    <row r="637" customFormat="false" ht="12.75" hidden="false" customHeight="false" outlineLevel="0" collapsed="false">
      <c r="A637" s="100"/>
    </row>
    <row r="638" customFormat="false" ht="12.75" hidden="false" customHeight="false" outlineLevel="0" collapsed="false">
      <c r="A638" s="100"/>
    </row>
    <row r="639" customFormat="false" ht="12.75" hidden="false" customHeight="false" outlineLevel="0" collapsed="false">
      <c r="A639" s="100"/>
    </row>
    <row r="640" customFormat="false" ht="12.75" hidden="false" customHeight="false" outlineLevel="0" collapsed="false">
      <c r="A640" s="100"/>
    </row>
    <row r="641" customFormat="false" ht="12.75" hidden="false" customHeight="false" outlineLevel="0" collapsed="false">
      <c r="A641" s="100"/>
    </row>
    <row r="642" customFormat="false" ht="12.75" hidden="false" customHeight="false" outlineLevel="0" collapsed="false">
      <c r="A642" s="100"/>
    </row>
    <row r="643" customFormat="false" ht="12.75" hidden="false" customHeight="false" outlineLevel="0" collapsed="false">
      <c r="A643" s="100"/>
    </row>
    <row r="644" customFormat="false" ht="12.75" hidden="false" customHeight="false" outlineLevel="0" collapsed="false">
      <c r="A644" s="100"/>
    </row>
    <row r="645" customFormat="false" ht="12.75" hidden="false" customHeight="false" outlineLevel="0" collapsed="false">
      <c r="A645" s="100"/>
    </row>
    <row r="646" customFormat="false" ht="12.75" hidden="false" customHeight="false" outlineLevel="0" collapsed="false">
      <c r="A646" s="100"/>
    </row>
    <row r="647" customFormat="false" ht="12.75" hidden="false" customHeight="false" outlineLevel="0" collapsed="false">
      <c r="A647" s="100"/>
    </row>
    <row r="648" customFormat="false" ht="12.75" hidden="false" customHeight="false" outlineLevel="0" collapsed="false">
      <c r="A648" s="100"/>
    </row>
    <row r="649" customFormat="false" ht="12.75" hidden="false" customHeight="false" outlineLevel="0" collapsed="false">
      <c r="A649" s="100"/>
    </row>
    <row r="650" customFormat="false" ht="12.75" hidden="false" customHeight="false" outlineLevel="0" collapsed="false">
      <c r="A650" s="100"/>
    </row>
    <row r="651" customFormat="false" ht="12.75" hidden="false" customHeight="false" outlineLevel="0" collapsed="false">
      <c r="A651" s="100"/>
    </row>
    <row r="652" customFormat="false" ht="12.75" hidden="false" customHeight="false" outlineLevel="0" collapsed="false">
      <c r="A652" s="100"/>
    </row>
    <row r="653" customFormat="false" ht="12.75" hidden="false" customHeight="false" outlineLevel="0" collapsed="false">
      <c r="A653" s="100"/>
    </row>
    <row r="654" customFormat="false" ht="12.75" hidden="false" customHeight="false" outlineLevel="0" collapsed="false">
      <c r="A654" s="100"/>
    </row>
    <row r="655" customFormat="false" ht="12.75" hidden="false" customHeight="false" outlineLevel="0" collapsed="false">
      <c r="A655" s="100"/>
    </row>
    <row r="656" customFormat="false" ht="12.75" hidden="false" customHeight="false" outlineLevel="0" collapsed="false">
      <c r="A656" s="100"/>
    </row>
    <row r="657" customFormat="false" ht="12.75" hidden="false" customHeight="false" outlineLevel="0" collapsed="false">
      <c r="A657" s="100"/>
    </row>
    <row r="658" customFormat="false" ht="12.75" hidden="false" customHeight="false" outlineLevel="0" collapsed="false">
      <c r="A658" s="100"/>
    </row>
    <row r="659" customFormat="false" ht="12.75" hidden="false" customHeight="false" outlineLevel="0" collapsed="false">
      <c r="A659" s="100"/>
    </row>
    <row r="660" customFormat="false" ht="12.75" hidden="false" customHeight="false" outlineLevel="0" collapsed="false">
      <c r="A660" s="100"/>
    </row>
    <row r="661" customFormat="false" ht="12.75" hidden="false" customHeight="false" outlineLevel="0" collapsed="false">
      <c r="A661" s="100"/>
    </row>
    <row r="662" customFormat="false" ht="12.75" hidden="false" customHeight="false" outlineLevel="0" collapsed="false">
      <c r="A662" s="100"/>
    </row>
    <row r="663" customFormat="false" ht="12.75" hidden="false" customHeight="false" outlineLevel="0" collapsed="false">
      <c r="A663" s="100"/>
    </row>
    <row r="664" customFormat="false" ht="12.75" hidden="false" customHeight="false" outlineLevel="0" collapsed="false">
      <c r="A664" s="100"/>
    </row>
    <row r="665" customFormat="false" ht="12.75" hidden="false" customHeight="false" outlineLevel="0" collapsed="false">
      <c r="A665" s="100"/>
    </row>
    <row r="666" customFormat="false" ht="12.75" hidden="false" customHeight="false" outlineLevel="0" collapsed="false">
      <c r="A666" s="100"/>
    </row>
    <row r="667" customFormat="false" ht="12.75" hidden="false" customHeight="false" outlineLevel="0" collapsed="false">
      <c r="A667" s="100"/>
    </row>
    <row r="668" customFormat="false" ht="12.75" hidden="false" customHeight="false" outlineLevel="0" collapsed="false">
      <c r="A668" s="100"/>
    </row>
    <row r="669" customFormat="false" ht="12.75" hidden="false" customHeight="false" outlineLevel="0" collapsed="false">
      <c r="A669" s="100"/>
    </row>
    <row r="670" customFormat="false" ht="12.75" hidden="false" customHeight="false" outlineLevel="0" collapsed="false">
      <c r="A670" s="100"/>
    </row>
    <row r="671" customFormat="false" ht="12.75" hidden="false" customHeight="false" outlineLevel="0" collapsed="false">
      <c r="A671" s="100"/>
    </row>
    <row r="672" customFormat="false" ht="12.75" hidden="false" customHeight="false" outlineLevel="0" collapsed="false">
      <c r="A672" s="100"/>
    </row>
    <row r="673" customFormat="false" ht="12.75" hidden="false" customHeight="false" outlineLevel="0" collapsed="false">
      <c r="A673" s="100"/>
    </row>
    <row r="674" customFormat="false" ht="12.75" hidden="false" customHeight="false" outlineLevel="0" collapsed="false">
      <c r="A674" s="100"/>
    </row>
    <row r="675" customFormat="false" ht="12.75" hidden="false" customHeight="false" outlineLevel="0" collapsed="false">
      <c r="A675" s="100"/>
    </row>
    <row r="676" customFormat="false" ht="12.75" hidden="false" customHeight="false" outlineLevel="0" collapsed="false">
      <c r="A676" s="100"/>
    </row>
    <row r="677" customFormat="false" ht="12.75" hidden="false" customHeight="false" outlineLevel="0" collapsed="false">
      <c r="A677" s="100"/>
    </row>
    <row r="678" customFormat="false" ht="12.75" hidden="false" customHeight="false" outlineLevel="0" collapsed="false">
      <c r="A678" s="100"/>
    </row>
    <row r="679" customFormat="false" ht="12.75" hidden="false" customHeight="false" outlineLevel="0" collapsed="false">
      <c r="A679" s="100"/>
    </row>
    <row r="680" customFormat="false" ht="12.75" hidden="false" customHeight="false" outlineLevel="0" collapsed="false">
      <c r="A680" s="100"/>
    </row>
    <row r="681" customFormat="false" ht="12.75" hidden="false" customHeight="false" outlineLevel="0" collapsed="false">
      <c r="A681" s="100"/>
    </row>
    <row r="682" customFormat="false" ht="12.75" hidden="false" customHeight="false" outlineLevel="0" collapsed="false">
      <c r="A682" s="100"/>
    </row>
    <row r="683" customFormat="false" ht="12.75" hidden="false" customHeight="false" outlineLevel="0" collapsed="false">
      <c r="A683" s="100"/>
    </row>
    <row r="684" customFormat="false" ht="12.75" hidden="false" customHeight="false" outlineLevel="0" collapsed="false">
      <c r="A684" s="100"/>
    </row>
    <row r="685" customFormat="false" ht="12.75" hidden="false" customHeight="false" outlineLevel="0" collapsed="false">
      <c r="A685" s="100"/>
    </row>
    <row r="686" customFormat="false" ht="12.75" hidden="false" customHeight="false" outlineLevel="0" collapsed="false">
      <c r="A686" s="100"/>
    </row>
    <row r="687" customFormat="false" ht="12.75" hidden="false" customHeight="false" outlineLevel="0" collapsed="false">
      <c r="A687" s="100"/>
    </row>
    <row r="688" customFormat="false" ht="12.75" hidden="false" customHeight="false" outlineLevel="0" collapsed="false">
      <c r="A688" s="100"/>
    </row>
    <row r="689" customFormat="false" ht="12.75" hidden="false" customHeight="false" outlineLevel="0" collapsed="false">
      <c r="A689" s="100"/>
    </row>
    <row r="690" customFormat="false" ht="12.75" hidden="false" customHeight="false" outlineLevel="0" collapsed="false">
      <c r="A690" s="100"/>
    </row>
    <row r="691" customFormat="false" ht="12.75" hidden="false" customHeight="false" outlineLevel="0" collapsed="false">
      <c r="A691" s="100"/>
    </row>
    <row r="692" customFormat="false" ht="12.75" hidden="false" customHeight="false" outlineLevel="0" collapsed="false">
      <c r="A692" s="100"/>
    </row>
    <row r="693" customFormat="false" ht="12.75" hidden="false" customHeight="false" outlineLevel="0" collapsed="false">
      <c r="A693" s="100"/>
    </row>
    <row r="694" customFormat="false" ht="12.75" hidden="false" customHeight="false" outlineLevel="0" collapsed="false">
      <c r="A694" s="100"/>
    </row>
    <row r="695" customFormat="false" ht="12.75" hidden="false" customHeight="false" outlineLevel="0" collapsed="false">
      <c r="A695" s="100"/>
    </row>
    <row r="696" customFormat="false" ht="12.75" hidden="false" customHeight="false" outlineLevel="0" collapsed="false">
      <c r="A696" s="100"/>
    </row>
    <row r="697" customFormat="false" ht="12.75" hidden="false" customHeight="false" outlineLevel="0" collapsed="false">
      <c r="A697" s="100"/>
    </row>
    <row r="698" customFormat="false" ht="12.75" hidden="false" customHeight="false" outlineLevel="0" collapsed="false">
      <c r="A698" s="100"/>
    </row>
    <row r="699" customFormat="false" ht="12.75" hidden="false" customHeight="false" outlineLevel="0" collapsed="false">
      <c r="A699" s="100"/>
    </row>
    <row r="700" customFormat="false" ht="12.75" hidden="false" customHeight="false" outlineLevel="0" collapsed="false">
      <c r="A700" s="100"/>
    </row>
    <row r="701" customFormat="false" ht="12.75" hidden="false" customHeight="false" outlineLevel="0" collapsed="false">
      <c r="A701" s="100"/>
    </row>
    <row r="702" customFormat="false" ht="12.75" hidden="false" customHeight="false" outlineLevel="0" collapsed="false">
      <c r="A702" s="100"/>
    </row>
    <row r="703" customFormat="false" ht="12.75" hidden="false" customHeight="false" outlineLevel="0" collapsed="false">
      <c r="A703" s="100"/>
    </row>
    <row r="704" customFormat="false" ht="12.75" hidden="false" customHeight="false" outlineLevel="0" collapsed="false">
      <c r="A704" s="100"/>
    </row>
    <row r="705" customFormat="false" ht="12.75" hidden="false" customHeight="false" outlineLevel="0" collapsed="false">
      <c r="A705" s="100"/>
    </row>
    <row r="706" customFormat="false" ht="12.75" hidden="false" customHeight="false" outlineLevel="0" collapsed="false">
      <c r="A706" s="100"/>
    </row>
    <row r="707" customFormat="false" ht="12.75" hidden="false" customHeight="false" outlineLevel="0" collapsed="false">
      <c r="A707" s="100"/>
    </row>
    <row r="708" customFormat="false" ht="12.75" hidden="false" customHeight="false" outlineLevel="0" collapsed="false">
      <c r="A708" s="100"/>
    </row>
    <row r="709" customFormat="false" ht="12.75" hidden="false" customHeight="false" outlineLevel="0" collapsed="false">
      <c r="A709" s="100"/>
    </row>
    <row r="710" customFormat="false" ht="12.75" hidden="false" customHeight="false" outlineLevel="0" collapsed="false">
      <c r="A710" s="100"/>
    </row>
    <row r="711" customFormat="false" ht="12.75" hidden="false" customHeight="false" outlineLevel="0" collapsed="false">
      <c r="A711" s="100"/>
    </row>
    <row r="712" customFormat="false" ht="12.75" hidden="false" customHeight="false" outlineLevel="0" collapsed="false">
      <c r="A712" s="100"/>
    </row>
    <row r="713" customFormat="false" ht="12.75" hidden="false" customHeight="false" outlineLevel="0" collapsed="false">
      <c r="A713" s="100"/>
    </row>
    <row r="714" customFormat="false" ht="12.75" hidden="false" customHeight="false" outlineLevel="0" collapsed="false">
      <c r="A714" s="100"/>
    </row>
    <row r="715" customFormat="false" ht="12.75" hidden="false" customHeight="false" outlineLevel="0" collapsed="false">
      <c r="A715" s="100"/>
    </row>
    <row r="716" customFormat="false" ht="12.75" hidden="false" customHeight="false" outlineLevel="0" collapsed="false">
      <c r="A716" s="100"/>
    </row>
    <row r="717" customFormat="false" ht="12.75" hidden="false" customHeight="false" outlineLevel="0" collapsed="false">
      <c r="A717" s="100"/>
    </row>
    <row r="718" customFormat="false" ht="12.75" hidden="false" customHeight="false" outlineLevel="0" collapsed="false">
      <c r="A718" s="100"/>
    </row>
    <row r="719" customFormat="false" ht="12.75" hidden="false" customHeight="false" outlineLevel="0" collapsed="false">
      <c r="A719" s="100"/>
    </row>
    <row r="720" customFormat="false" ht="12.75" hidden="false" customHeight="false" outlineLevel="0" collapsed="false">
      <c r="A720" s="100"/>
    </row>
    <row r="721" customFormat="false" ht="12.75" hidden="false" customHeight="false" outlineLevel="0" collapsed="false">
      <c r="A721" s="100"/>
    </row>
    <row r="722" customFormat="false" ht="12.75" hidden="false" customHeight="false" outlineLevel="0" collapsed="false">
      <c r="A722" s="100"/>
    </row>
    <row r="723" customFormat="false" ht="12.75" hidden="false" customHeight="false" outlineLevel="0" collapsed="false">
      <c r="A723" s="100"/>
    </row>
    <row r="724" customFormat="false" ht="12.75" hidden="false" customHeight="false" outlineLevel="0" collapsed="false">
      <c r="A724" s="100"/>
    </row>
    <row r="725" customFormat="false" ht="12.75" hidden="false" customHeight="false" outlineLevel="0" collapsed="false">
      <c r="A725" s="100"/>
    </row>
    <row r="726" customFormat="false" ht="12.75" hidden="false" customHeight="false" outlineLevel="0" collapsed="false">
      <c r="A726" s="100"/>
    </row>
    <row r="727" customFormat="false" ht="12.75" hidden="false" customHeight="false" outlineLevel="0" collapsed="false">
      <c r="A727" s="100"/>
    </row>
    <row r="728" customFormat="false" ht="12.75" hidden="false" customHeight="false" outlineLevel="0" collapsed="false">
      <c r="A728" s="100"/>
    </row>
    <row r="729" customFormat="false" ht="12.75" hidden="false" customHeight="false" outlineLevel="0" collapsed="false">
      <c r="A729" s="100"/>
    </row>
    <row r="730" customFormat="false" ht="12.75" hidden="false" customHeight="false" outlineLevel="0" collapsed="false">
      <c r="A730" s="100"/>
    </row>
    <row r="731" customFormat="false" ht="12.75" hidden="false" customHeight="false" outlineLevel="0" collapsed="false">
      <c r="A731" s="100"/>
    </row>
    <row r="732" customFormat="false" ht="12.75" hidden="false" customHeight="false" outlineLevel="0" collapsed="false">
      <c r="A732" s="100"/>
    </row>
    <row r="733" customFormat="false" ht="12.75" hidden="false" customHeight="false" outlineLevel="0" collapsed="false">
      <c r="A733" s="100"/>
    </row>
    <row r="734" customFormat="false" ht="12.75" hidden="false" customHeight="false" outlineLevel="0" collapsed="false">
      <c r="A734" s="100"/>
    </row>
    <row r="735" customFormat="false" ht="12.75" hidden="false" customHeight="false" outlineLevel="0" collapsed="false">
      <c r="A735" s="100"/>
    </row>
    <row r="736" customFormat="false" ht="12.75" hidden="false" customHeight="false" outlineLevel="0" collapsed="false">
      <c r="A736" s="100"/>
    </row>
    <row r="737" customFormat="false" ht="12.75" hidden="false" customHeight="false" outlineLevel="0" collapsed="false">
      <c r="A737" s="100"/>
    </row>
    <row r="738" customFormat="false" ht="12.75" hidden="false" customHeight="false" outlineLevel="0" collapsed="false">
      <c r="A738" s="100"/>
    </row>
    <row r="739" customFormat="false" ht="12.75" hidden="false" customHeight="false" outlineLevel="0" collapsed="false">
      <c r="A739" s="100"/>
    </row>
    <row r="740" customFormat="false" ht="12.75" hidden="false" customHeight="false" outlineLevel="0" collapsed="false">
      <c r="A740" s="100"/>
    </row>
    <row r="741" customFormat="false" ht="12.75" hidden="false" customHeight="false" outlineLevel="0" collapsed="false">
      <c r="A741" s="100"/>
    </row>
    <row r="742" customFormat="false" ht="12.75" hidden="false" customHeight="false" outlineLevel="0" collapsed="false">
      <c r="A742" s="100"/>
    </row>
    <row r="743" customFormat="false" ht="12.75" hidden="false" customHeight="false" outlineLevel="0" collapsed="false">
      <c r="A743" s="100"/>
    </row>
    <row r="744" customFormat="false" ht="12.75" hidden="false" customHeight="false" outlineLevel="0" collapsed="false">
      <c r="A744" s="100"/>
    </row>
    <row r="745" customFormat="false" ht="12.75" hidden="false" customHeight="false" outlineLevel="0" collapsed="false">
      <c r="A745" s="100"/>
    </row>
    <row r="746" customFormat="false" ht="12.75" hidden="false" customHeight="false" outlineLevel="0" collapsed="false">
      <c r="A746" s="100"/>
    </row>
    <row r="747" customFormat="false" ht="12.75" hidden="false" customHeight="false" outlineLevel="0" collapsed="false">
      <c r="A747" s="100"/>
    </row>
    <row r="748" customFormat="false" ht="12.75" hidden="false" customHeight="false" outlineLevel="0" collapsed="false">
      <c r="A748" s="100"/>
    </row>
    <row r="749" customFormat="false" ht="12.75" hidden="false" customHeight="false" outlineLevel="0" collapsed="false">
      <c r="A749" s="100"/>
    </row>
    <row r="750" customFormat="false" ht="12.75" hidden="false" customHeight="false" outlineLevel="0" collapsed="false">
      <c r="A750" s="100"/>
    </row>
    <row r="751" customFormat="false" ht="12.75" hidden="false" customHeight="false" outlineLevel="0" collapsed="false">
      <c r="A751" s="100"/>
    </row>
    <row r="752" customFormat="false" ht="12.75" hidden="false" customHeight="false" outlineLevel="0" collapsed="false">
      <c r="A752" s="100"/>
    </row>
    <row r="753" customFormat="false" ht="12.75" hidden="false" customHeight="false" outlineLevel="0" collapsed="false">
      <c r="A753" s="100"/>
    </row>
    <row r="754" customFormat="false" ht="12.75" hidden="false" customHeight="false" outlineLevel="0" collapsed="false">
      <c r="A754" s="100"/>
    </row>
    <row r="755" customFormat="false" ht="12.75" hidden="false" customHeight="false" outlineLevel="0" collapsed="false">
      <c r="A755" s="100"/>
    </row>
    <row r="756" customFormat="false" ht="12.75" hidden="false" customHeight="false" outlineLevel="0" collapsed="false">
      <c r="A756" s="100"/>
    </row>
    <row r="757" customFormat="false" ht="12.75" hidden="false" customHeight="false" outlineLevel="0" collapsed="false">
      <c r="A757" s="100"/>
    </row>
    <row r="758" customFormat="false" ht="12.75" hidden="false" customHeight="false" outlineLevel="0" collapsed="false">
      <c r="A758" s="100"/>
    </row>
    <row r="759" customFormat="false" ht="12.75" hidden="false" customHeight="false" outlineLevel="0" collapsed="false">
      <c r="A759" s="100"/>
    </row>
    <row r="760" customFormat="false" ht="12.75" hidden="false" customHeight="false" outlineLevel="0" collapsed="false">
      <c r="A760" s="100"/>
    </row>
    <row r="761" customFormat="false" ht="12.75" hidden="false" customHeight="false" outlineLevel="0" collapsed="false">
      <c r="A761" s="100"/>
    </row>
    <row r="762" customFormat="false" ht="12.75" hidden="false" customHeight="false" outlineLevel="0" collapsed="false">
      <c r="A762" s="100"/>
    </row>
    <row r="763" customFormat="false" ht="12.75" hidden="false" customHeight="false" outlineLevel="0" collapsed="false">
      <c r="A763" s="100"/>
    </row>
    <row r="764" customFormat="false" ht="12.75" hidden="false" customHeight="false" outlineLevel="0" collapsed="false">
      <c r="A764" s="100"/>
    </row>
    <row r="765" customFormat="false" ht="12.75" hidden="false" customHeight="false" outlineLevel="0" collapsed="false">
      <c r="A765" s="100"/>
    </row>
    <row r="766" customFormat="false" ht="12.75" hidden="false" customHeight="false" outlineLevel="0" collapsed="false">
      <c r="A766" s="100"/>
    </row>
    <row r="767" customFormat="false" ht="12.75" hidden="false" customHeight="false" outlineLevel="0" collapsed="false">
      <c r="A767" s="100"/>
    </row>
    <row r="768" customFormat="false" ht="12.75" hidden="false" customHeight="false" outlineLevel="0" collapsed="false">
      <c r="A768" s="100"/>
    </row>
    <row r="769" customFormat="false" ht="12.75" hidden="false" customHeight="false" outlineLevel="0" collapsed="false">
      <c r="A769" s="100"/>
    </row>
    <row r="770" customFormat="false" ht="12.75" hidden="false" customHeight="false" outlineLevel="0" collapsed="false">
      <c r="A770" s="100"/>
    </row>
    <row r="771" customFormat="false" ht="12.75" hidden="false" customHeight="false" outlineLevel="0" collapsed="false">
      <c r="A771" s="100"/>
    </row>
    <row r="772" customFormat="false" ht="12.75" hidden="false" customHeight="false" outlineLevel="0" collapsed="false">
      <c r="A772" s="100"/>
    </row>
    <row r="773" customFormat="false" ht="12.75" hidden="false" customHeight="false" outlineLevel="0" collapsed="false">
      <c r="A773" s="100"/>
    </row>
    <row r="774" customFormat="false" ht="12.75" hidden="false" customHeight="false" outlineLevel="0" collapsed="false">
      <c r="A774" s="100"/>
    </row>
    <row r="775" customFormat="false" ht="12.75" hidden="false" customHeight="false" outlineLevel="0" collapsed="false">
      <c r="A775" s="100"/>
    </row>
    <row r="776" customFormat="false" ht="12.75" hidden="false" customHeight="false" outlineLevel="0" collapsed="false">
      <c r="A776" s="100"/>
    </row>
    <row r="777" customFormat="false" ht="12.75" hidden="false" customHeight="false" outlineLevel="0" collapsed="false">
      <c r="A777" s="100"/>
    </row>
    <row r="778" customFormat="false" ht="12.75" hidden="false" customHeight="false" outlineLevel="0" collapsed="false">
      <c r="A778" s="100"/>
    </row>
    <row r="779" customFormat="false" ht="12.75" hidden="false" customHeight="false" outlineLevel="0" collapsed="false">
      <c r="A779" s="100"/>
    </row>
    <row r="780" customFormat="false" ht="12.75" hidden="false" customHeight="false" outlineLevel="0" collapsed="false">
      <c r="A780" s="100"/>
    </row>
    <row r="781" customFormat="false" ht="12.75" hidden="false" customHeight="false" outlineLevel="0" collapsed="false">
      <c r="A781" s="100"/>
    </row>
    <row r="782" customFormat="false" ht="12.75" hidden="false" customHeight="false" outlineLevel="0" collapsed="false">
      <c r="A782" s="100"/>
    </row>
    <row r="783" customFormat="false" ht="12.75" hidden="false" customHeight="false" outlineLevel="0" collapsed="false">
      <c r="A783" s="100"/>
    </row>
    <row r="784" customFormat="false" ht="12.75" hidden="false" customHeight="false" outlineLevel="0" collapsed="false">
      <c r="A784" s="100"/>
    </row>
    <row r="785" customFormat="false" ht="12.75" hidden="false" customHeight="false" outlineLevel="0" collapsed="false">
      <c r="A785" s="100"/>
    </row>
    <row r="786" customFormat="false" ht="12.75" hidden="false" customHeight="false" outlineLevel="0" collapsed="false">
      <c r="A786" s="100"/>
    </row>
    <row r="787" customFormat="false" ht="12.75" hidden="false" customHeight="false" outlineLevel="0" collapsed="false">
      <c r="A787" s="100"/>
    </row>
    <row r="788" customFormat="false" ht="12.75" hidden="false" customHeight="false" outlineLevel="0" collapsed="false">
      <c r="A788" s="100"/>
    </row>
    <row r="789" customFormat="false" ht="12.75" hidden="false" customHeight="false" outlineLevel="0" collapsed="false">
      <c r="A789" s="100"/>
    </row>
    <row r="790" customFormat="false" ht="12.75" hidden="false" customHeight="false" outlineLevel="0" collapsed="false">
      <c r="A790" s="100"/>
    </row>
    <row r="791" customFormat="false" ht="12.75" hidden="false" customHeight="false" outlineLevel="0" collapsed="false">
      <c r="A791" s="100"/>
    </row>
    <row r="792" customFormat="false" ht="12.75" hidden="false" customHeight="false" outlineLevel="0" collapsed="false">
      <c r="A792" s="100"/>
    </row>
    <row r="793" customFormat="false" ht="12.75" hidden="false" customHeight="false" outlineLevel="0" collapsed="false">
      <c r="A793" s="100"/>
    </row>
    <row r="794" customFormat="false" ht="12.75" hidden="false" customHeight="false" outlineLevel="0" collapsed="false">
      <c r="A794" s="100"/>
    </row>
    <row r="795" customFormat="false" ht="12.75" hidden="false" customHeight="false" outlineLevel="0" collapsed="false">
      <c r="A795" s="100"/>
    </row>
    <row r="796" customFormat="false" ht="12.75" hidden="false" customHeight="false" outlineLevel="0" collapsed="false">
      <c r="A796" s="100"/>
    </row>
    <row r="797" customFormat="false" ht="12.75" hidden="false" customHeight="false" outlineLevel="0" collapsed="false">
      <c r="A797" s="100"/>
    </row>
    <row r="798" customFormat="false" ht="12.75" hidden="false" customHeight="false" outlineLevel="0" collapsed="false">
      <c r="A798" s="100"/>
    </row>
    <row r="799" customFormat="false" ht="12.75" hidden="false" customHeight="false" outlineLevel="0" collapsed="false">
      <c r="A799" s="100"/>
    </row>
    <row r="800" customFormat="false" ht="12.75" hidden="false" customHeight="false" outlineLevel="0" collapsed="false">
      <c r="A800" s="100"/>
    </row>
    <row r="801" customFormat="false" ht="12.75" hidden="false" customHeight="false" outlineLevel="0" collapsed="false">
      <c r="A801" s="100"/>
    </row>
    <row r="802" customFormat="false" ht="12.75" hidden="false" customHeight="false" outlineLevel="0" collapsed="false">
      <c r="A802" s="100"/>
    </row>
    <row r="803" customFormat="false" ht="12.75" hidden="false" customHeight="false" outlineLevel="0" collapsed="false">
      <c r="A803" s="100"/>
    </row>
    <row r="804" customFormat="false" ht="12.75" hidden="false" customHeight="false" outlineLevel="0" collapsed="false">
      <c r="A804" s="100"/>
    </row>
    <row r="805" customFormat="false" ht="12.75" hidden="false" customHeight="false" outlineLevel="0" collapsed="false">
      <c r="A805" s="100"/>
    </row>
    <row r="806" customFormat="false" ht="12.75" hidden="false" customHeight="false" outlineLevel="0" collapsed="false">
      <c r="A806" s="100"/>
    </row>
    <row r="807" customFormat="false" ht="12.75" hidden="false" customHeight="false" outlineLevel="0" collapsed="false">
      <c r="A807" s="100"/>
    </row>
    <row r="808" customFormat="false" ht="12.75" hidden="false" customHeight="false" outlineLevel="0" collapsed="false">
      <c r="A808" s="100"/>
    </row>
    <row r="809" customFormat="false" ht="12.75" hidden="false" customHeight="false" outlineLevel="0" collapsed="false">
      <c r="A809" s="100"/>
    </row>
    <row r="810" customFormat="false" ht="12.75" hidden="false" customHeight="false" outlineLevel="0" collapsed="false">
      <c r="A810" s="100"/>
    </row>
    <row r="811" customFormat="false" ht="12.75" hidden="false" customHeight="false" outlineLevel="0" collapsed="false">
      <c r="A811" s="100"/>
    </row>
    <row r="812" customFormat="false" ht="12.75" hidden="false" customHeight="false" outlineLevel="0" collapsed="false">
      <c r="A812" s="100"/>
    </row>
    <row r="813" customFormat="false" ht="12.75" hidden="false" customHeight="false" outlineLevel="0" collapsed="false">
      <c r="A813" s="100"/>
    </row>
    <row r="814" customFormat="false" ht="12.75" hidden="false" customHeight="false" outlineLevel="0" collapsed="false">
      <c r="A814" s="100"/>
    </row>
    <row r="815" customFormat="false" ht="12.75" hidden="false" customHeight="false" outlineLevel="0" collapsed="false">
      <c r="A815" s="100"/>
    </row>
    <row r="816" customFormat="false" ht="12.75" hidden="false" customHeight="false" outlineLevel="0" collapsed="false">
      <c r="A816" s="100"/>
    </row>
    <row r="817" customFormat="false" ht="12.75" hidden="false" customHeight="false" outlineLevel="0" collapsed="false">
      <c r="A817" s="100"/>
    </row>
    <row r="818" customFormat="false" ht="12.75" hidden="false" customHeight="false" outlineLevel="0" collapsed="false">
      <c r="A818" s="100"/>
    </row>
    <row r="819" customFormat="false" ht="12.75" hidden="false" customHeight="false" outlineLevel="0" collapsed="false">
      <c r="A819" s="100"/>
    </row>
    <row r="820" customFormat="false" ht="12.75" hidden="false" customHeight="false" outlineLevel="0" collapsed="false">
      <c r="A820" s="100"/>
    </row>
    <row r="821" customFormat="false" ht="12.75" hidden="false" customHeight="false" outlineLevel="0" collapsed="false">
      <c r="A821" s="100"/>
    </row>
    <row r="822" customFormat="false" ht="12.75" hidden="false" customHeight="false" outlineLevel="0" collapsed="false">
      <c r="A822" s="100"/>
    </row>
    <row r="823" customFormat="false" ht="12.75" hidden="false" customHeight="false" outlineLevel="0" collapsed="false">
      <c r="A823" s="100"/>
    </row>
    <row r="824" customFormat="false" ht="12.75" hidden="false" customHeight="false" outlineLevel="0" collapsed="false">
      <c r="A824" s="100"/>
    </row>
    <row r="825" customFormat="false" ht="12.75" hidden="false" customHeight="false" outlineLevel="0" collapsed="false">
      <c r="A825" s="100"/>
    </row>
    <row r="826" customFormat="false" ht="12.75" hidden="false" customHeight="false" outlineLevel="0" collapsed="false">
      <c r="A826" s="100"/>
    </row>
    <row r="827" customFormat="false" ht="12.75" hidden="false" customHeight="false" outlineLevel="0" collapsed="false">
      <c r="A827" s="100"/>
    </row>
    <row r="828" customFormat="false" ht="12.75" hidden="false" customHeight="false" outlineLevel="0" collapsed="false">
      <c r="A828" s="100"/>
    </row>
    <row r="829" customFormat="false" ht="12.75" hidden="false" customHeight="false" outlineLevel="0" collapsed="false">
      <c r="A829" s="100"/>
    </row>
    <row r="830" customFormat="false" ht="12.75" hidden="false" customHeight="false" outlineLevel="0" collapsed="false">
      <c r="A830" s="100"/>
    </row>
    <row r="831" customFormat="false" ht="12.75" hidden="false" customHeight="false" outlineLevel="0" collapsed="false">
      <c r="A831" s="100"/>
    </row>
    <row r="832" customFormat="false" ht="12.75" hidden="false" customHeight="false" outlineLevel="0" collapsed="false">
      <c r="A832" s="100"/>
    </row>
    <row r="833" customFormat="false" ht="12.75" hidden="false" customHeight="false" outlineLevel="0" collapsed="false">
      <c r="A833" s="100"/>
    </row>
    <row r="834" customFormat="false" ht="12.75" hidden="false" customHeight="false" outlineLevel="0" collapsed="false">
      <c r="A834" s="100"/>
    </row>
    <row r="835" customFormat="false" ht="12.75" hidden="false" customHeight="false" outlineLevel="0" collapsed="false">
      <c r="A835" s="100"/>
    </row>
    <row r="836" customFormat="false" ht="12.75" hidden="false" customHeight="false" outlineLevel="0" collapsed="false">
      <c r="A836" s="100"/>
    </row>
    <row r="837" customFormat="false" ht="12.75" hidden="false" customHeight="false" outlineLevel="0" collapsed="false">
      <c r="A837" s="100"/>
    </row>
    <row r="838" customFormat="false" ht="12.75" hidden="false" customHeight="false" outlineLevel="0" collapsed="false">
      <c r="A838" s="100"/>
    </row>
    <row r="839" customFormat="false" ht="12.75" hidden="false" customHeight="false" outlineLevel="0" collapsed="false">
      <c r="A839" s="100"/>
    </row>
    <row r="840" customFormat="false" ht="12.75" hidden="false" customHeight="false" outlineLevel="0" collapsed="false">
      <c r="A840" s="100"/>
    </row>
    <row r="841" customFormat="false" ht="12.75" hidden="false" customHeight="false" outlineLevel="0" collapsed="false">
      <c r="A841" s="100"/>
    </row>
    <row r="842" customFormat="false" ht="12.75" hidden="false" customHeight="false" outlineLevel="0" collapsed="false">
      <c r="A842" s="100"/>
    </row>
    <row r="843" customFormat="false" ht="12.75" hidden="false" customHeight="false" outlineLevel="0" collapsed="false">
      <c r="A843" s="100"/>
    </row>
    <row r="844" customFormat="false" ht="12.75" hidden="false" customHeight="false" outlineLevel="0" collapsed="false">
      <c r="A844" s="100"/>
    </row>
    <row r="845" customFormat="false" ht="12.75" hidden="false" customHeight="false" outlineLevel="0" collapsed="false">
      <c r="A845" s="100"/>
    </row>
    <row r="846" customFormat="false" ht="12.75" hidden="false" customHeight="false" outlineLevel="0" collapsed="false">
      <c r="A846" s="100"/>
    </row>
    <row r="847" customFormat="false" ht="12.75" hidden="false" customHeight="false" outlineLevel="0" collapsed="false">
      <c r="A847" s="100"/>
    </row>
    <row r="848" customFormat="false" ht="12.75" hidden="false" customHeight="false" outlineLevel="0" collapsed="false">
      <c r="A848" s="100"/>
    </row>
    <row r="849" customFormat="false" ht="12.75" hidden="false" customHeight="false" outlineLevel="0" collapsed="false">
      <c r="A849" s="100"/>
    </row>
    <row r="850" customFormat="false" ht="12.75" hidden="false" customHeight="false" outlineLevel="0" collapsed="false">
      <c r="A850" s="100"/>
    </row>
    <row r="851" customFormat="false" ht="12.75" hidden="false" customHeight="false" outlineLevel="0" collapsed="false">
      <c r="A851" s="100"/>
    </row>
    <row r="852" customFormat="false" ht="12.75" hidden="false" customHeight="false" outlineLevel="0" collapsed="false">
      <c r="A852" s="100"/>
    </row>
    <row r="853" customFormat="false" ht="12.75" hidden="false" customHeight="false" outlineLevel="0" collapsed="false">
      <c r="A853" s="100"/>
    </row>
    <row r="854" customFormat="false" ht="12.75" hidden="false" customHeight="false" outlineLevel="0" collapsed="false">
      <c r="A854" s="100"/>
    </row>
    <row r="855" customFormat="false" ht="12.75" hidden="false" customHeight="false" outlineLevel="0" collapsed="false">
      <c r="A855" s="100"/>
    </row>
    <row r="856" customFormat="false" ht="12.75" hidden="false" customHeight="false" outlineLevel="0" collapsed="false">
      <c r="A856" s="100"/>
    </row>
    <row r="857" customFormat="false" ht="12.75" hidden="false" customHeight="false" outlineLevel="0" collapsed="false">
      <c r="A857" s="100"/>
    </row>
    <row r="858" customFormat="false" ht="12.75" hidden="false" customHeight="false" outlineLevel="0" collapsed="false">
      <c r="A858" s="100"/>
    </row>
    <row r="859" customFormat="false" ht="12.75" hidden="false" customHeight="false" outlineLevel="0" collapsed="false">
      <c r="A859" s="100"/>
    </row>
    <row r="860" customFormat="false" ht="12.75" hidden="false" customHeight="false" outlineLevel="0" collapsed="false">
      <c r="A860" s="100"/>
    </row>
    <row r="861" customFormat="false" ht="12.75" hidden="false" customHeight="false" outlineLevel="0" collapsed="false">
      <c r="A861" s="100"/>
    </row>
    <row r="862" customFormat="false" ht="12.75" hidden="false" customHeight="false" outlineLevel="0" collapsed="false">
      <c r="A862" s="100"/>
    </row>
    <row r="863" customFormat="false" ht="12.75" hidden="false" customHeight="false" outlineLevel="0" collapsed="false">
      <c r="A863" s="100"/>
    </row>
    <row r="864" customFormat="false" ht="12.75" hidden="false" customHeight="false" outlineLevel="0" collapsed="false">
      <c r="A864" s="100"/>
    </row>
    <row r="865" customFormat="false" ht="12.75" hidden="false" customHeight="false" outlineLevel="0" collapsed="false">
      <c r="A865" s="100"/>
    </row>
    <row r="866" customFormat="false" ht="12.75" hidden="false" customHeight="false" outlineLevel="0" collapsed="false">
      <c r="A866" s="100"/>
    </row>
    <row r="867" customFormat="false" ht="12.75" hidden="false" customHeight="false" outlineLevel="0" collapsed="false">
      <c r="A867" s="100"/>
    </row>
    <row r="868" customFormat="false" ht="12.75" hidden="false" customHeight="false" outlineLevel="0" collapsed="false">
      <c r="A868" s="100"/>
    </row>
    <row r="869" customFormat="false" ht="12.75" hidden="false" customHeight="false" outlineLevel="0" collapsed="false">
      <c r="A869" s="100"/>
    </row>
    <row r="870" customFormat="false" ht="12.75" hidden="false" customHeight="false" outlineLevel="0" collapsed="false">
      <c r="A870" s="100"/>
    </row>
    <row r="871" customFormat="false" ht="12.75" hidden="false" customHeight="false" outlineLevel="0" collapsed="false">
      <c r="A871" s="100"/>
    </row>
    <row r="872" customFormat="false" ht="12.75" hidden="false" customHeight="false" outlineLevel="0" collapsed="false">
      <c r="A872" s="100"/>
    </row>
    <row r="873" customFormat="false" ht="12.75" hidden="false" customHeight="false" outlineLevel="0" collapsed="false">
      <c r="A873" s="100"/>
    </row>
    <row r="874" customFormat="false" ht="12.75" hidden="false" customHeight="false" outlineLevel="0" collapsed="false">
      <c r="A874" s="100"/>
    </row>
    <row r="875" customFormat="false" ht="12.75" hidden="false" customHeight="false" outlineLevel="0" collapsed="false">
      <c r="A875" s="100"/>
    </row>
    <row r="876" customFormat="false" ht="12.75" hidden="false" customHeight="false" outlineLevel="0" collapsed="false">
      <c r="A876" s="100"/>
    </row>
    <row r="877" customFormat="false" ht="12.75" hidden="false" customHeight="false" outlineLevel="0" collapsed="false">
      <c r="A877" s="100"/>
    </row>
    <row r="878" customFormat="false" ht="12.75" hidden="false" customHeight="false" outlineLevel="0" collapsed="false">
      <c r="A878" s="100"/>
    </row>
    <row r="879" customFormat="false" ht="12.75" hidden="false" customHeight="false" outlineLevel="0" collapsed="false">
      <c r="A879" s="100"/>
    </row>
    <row r="880" customFormat="false" ht="12.75" hidden="false" customHeight="false" outlineLevel="0" collapsed="false">
      <c r="A880" s="100"/>
    </row>
    <row r="881" customFormat="false" ht="12.75" hidden="false" customHeight="false" outlineLevel="0" collapsed="false">
      <c r="A881" s="100"/>
    </row>
    <row r="882" customFormat="false" ht="12.75" hidden="false" customHeight="false" outlineLevel="0" collapsed="false">
      <c r="A882" s="100"/>
    </row>
    <row r="883" customFormat="false" ht="12.75" hidden="false" customHeight="false" outlineLevel="0" collapsed="false">
      <c r="A883" s="100"/>
    </row>
    <row r="884" customFormat="false" ht="12.75" hidden="false" customHeight="false" outlineLevel="0" collapsed="false">
      <c r="A884" s="100"/>
    </row>
    <row r="885" customFormat="false" ht="12.75" hidden="false" customHeight="false" outlineLevel="0" collapsed="false">
      <c r="A885" s="100"/>
    </row>
    <row r="886" customFormat="false" ht="12.75" hidden="false" customHeight="false" outlineLevel="0" collapsed="false">
      <c r="A886" s="100"/>
    </row>
    <row r="887" customFormat="false" ht="12.75" hidden="false" customHeight="false" outlineLevel="0" collapsed="false">
      <c r="A887" s="100"/>
    </row>
    <row r="888" customFormat="false" ht="12.75" hidden="false" customHeight="false" outlineLevel="0" collapsed="false">
      <c r="A888" s="100"/>
    </row>
    <row r="889" customFormat="false" ht="12.75" hidden="false" customHeight="false" outlineLevel="0" collapsed="false">
      <c r="A889" s="100"/>
    </row>
    <row r="890" customFormat="false" ht="12.75" hidden="false" customHeight="false" outlineLevel="0" collapsed="false">
      <c r="A890" s="100"/>
    </row>
    <row r="891" customFormat="false" ht="12.75" hidden="false" customHeight="false" outlineLevel="0" collapsed="false">
      <c r="A891" s="100"/>
    </row>
    <row r="892" customFormat="false" ht="12.75" hidden="false" customHeight="false" outlineLevel="0" collapsed="false">
      <c r="A892" s="100"/>
    </row>
    <row r="893" customFormat="false" ht="12.75" hidden="false" customHeight="false" outlineLevel="0" collapsed="false">
      <c r="A893" s="100"/>
    </row>
    <row r="894" customFormat="false" ht="12.75" hidden="false" customHeight="false" outlineLevel="0" collapsed="false">
      <c r="A894" s="100"/>
    </row>
    <row r="895" customFormat="false" ht="12.75" hidden="false" customHeight="false" outlineLevel="0" collapsed="false">
      <c r="A895" s="100"/>
    </row>
    <row r="896" customFormat="false" ht="12.75" hidden="false" customHeight="false" outlineLevel="0" collapsed="false">
      <c r="A896" s="100"/>
    </row>
    <row r="897" customFormat="false" ht="12.75" hidden="false" customHeight="false" outlineLevel="0" collapsed="false">
      <c r="A897" s="100"/>
    </row>
    <row r="898" customFormat="false" ht="12.75" hidden="false" customHeight="false" outlineLevel="0" collapsed="false">
      <c r="A898" s="100"/>
    </row>
    <row r="899" customFormat="false" ht="12.75" hidden="false" customHeight="false" outlineLevel="0" collapsed="false">
      <c r="A899" s="100"/>
    </row>
    <row r="900" customFormat="false" ht="12.75" hidden="false" customHeight="false" outlineLevel="0" collapsed="false">
      <c r="A900" s="100"/>
    </row>
    <row r="901" customFormat="false" ht="12.75" hidden="false" customHeight="false" outlineLevel="0" collapsed="false">
      <c r="A901" s="100"/>
    </row>
    <row r="902" customFormat="false" ht="12.75" hidden="false" customHeight="false" outlineLevel="0" collapsed="false">
      <c r="A902" s="100"/>
    </row>
    <row r="903" customFormat="false" ht="12.75" hidden="false" customHeight="false" outlineLevel="0" collapsed="false">
      <c r="A903" s="100"/>
    </row>
    <row r="904" customFormat="false" ht="12.75" hidden="false" customHeight="false" outlineLevel="0" collapsed="false">
      <c r="A904" s="100"/>
    </row>
    <row r="905" customFormat="false" ht="12.75" hidden="false" customHeight="false" outlineLevel="0" collapsed="false">
      <c r="A905" s="100"/>
    </row>
    <row r="906" customFormat="false" ht="12.75" hidden="false" customHeight="false" outlineLevel="0" collapsed="false">
      <c r="A906" s="100"/>
    </row>
    <row r="907" customFormat="false" ht="12.75" hidden="false" customHeight="false" outlineLevel="0" collapsed="false">
      <c r="A907" s="100"/>
    </row>
    <row r="908" customFormat="false" ht="12.75" hidden="false" customHeight="false" outlineLevel="0" collapsed="false">
      <c r="A908" s="100"/>
    </row>
    <row r="909" customFormat="false" ht="12.75" hidden="false" customHeight="false" outlineLevel="0" collapsed="false">
      <c r="A909" s="100"/>
    </row>
    <row r="910" customFormat="false" ht="12.75" hidden="false" customHeight="false" outlineLevel="0" collapsed="false">
      <c r="A910" s="100"/>
    </row>
    <row r="911" customFormat="false" ht="12.75" hidden="false" customHeight="false" outlineLevel="0" collapsed="false">
      <c r="A911" s="100"/>
    </row>
    <row r="912" customFormat="false" ht="12.75" hidden="false" customHeight="false" outlineLevel="0" collapsed="false">
      <c r="A912" s="100"/>
    </row>
    <row r="913" customFormat="false" ht="12.75" hidden="false" customHeight="false" outlineLevel="0" collapsed="false">
      <c r="A913" s="100"/>
    </row>
    <row r="914" customFormat="false" ht="12.75" hidden="false" customHeight="false" outlineLevel="0" collapsed="false">
      <c r="A914" s="100"/>
    </row>
    <row r="915" customFormat="false" ht="12.75" hidden="false" customHeight="false" outlineLevel="0" collapsed="false">
      <c r="A915" s="100"/>
    </row>
    <row r="916" customFormat="false" ht="12.75" hidden="false" customHeight="false" outlineLevel="0" collapsed="false">
      <c r="A916" s="100"/>
    </row>
    <row r="917" customFormat="false" ht="12.75" hidden="false" customHeight="false" outlineLevel="0" collapsed="false">
      <c r="A917" s="100"/>
    </row>
    <row r="918" customFormat="false" ht="12.75" hidden="false" customHeight="false" outlineLevel="0" collapsed="false">
      <c r="A918" s="100"/>
    </row>
    <row r="919" customFormat="false" ht="12.75" hidden="false" customHeight="false" outlineLevel="0" collapsed="false">
      <c r="A919" s="100"/>
    </row>
    <row r="920" customFormat="false" ht="12.75" hidden="false" customHeight="false" outlineLevel="0" collapsed="false">
      <c r="A920" s="100"/>
    </row>
    <row r="921" customFormat="false" ht="12.75" hidden="false" customHeight="false" outlineLevel="0" collapsed="false">
      <c r="A921" s="100"/>
    </row>
    <row r="922" customFormat="false" ht="12.75" hidden="false" customHeight="false" outlineLevel="0" collapsed="false">
      <c r="A922" s="100"/>
    </row>
    <row r="923" customFormat="false" ht="12.75" hidden="false" customHeight="false" outlineLevel="0" collapsed="false">
      <c r="A923" s="100"/>
    </row>
    <row r="924" customFormat="false" ht="12.75" hidden="false" customHeight="false" outlineLevel="0" collapsed="false">
      <c r="A924" s="100"/>
    </row>
    <row r="925" customFormat="false" ht="12.75" hidden="false" customHeight="false" outlineLevel="0" collapsed="false">
      <c r="A925" s="100"/>
    </row>
    <row r="926" customFormat="false" ht="12.75" hidden="false" customHeight="false" outlineLevel="0" collapsed="false">
      <c r="A926" s="100"/>
    </row>
    <row r="927" customFormat="false" ht="12.75" hidden="false" customHeight="false" outlineLevel="0" collapsed="false">
      <c r="A927" s="100"/>
    </row>
    <row r="928" customFormat="false" ht="12.75" hidden="false" customHeight="false" outlineLevel="0" collapsed="false">
      <c r="A928" s="100"/>
    </row>
    <row r="929" customFormat="false" ht="12.75" hidden="false" customHeight="false" outlineLevel="0" collapsed="false">
      <c r="A929" s="100"/>
    </row>
    <row r="930" customFormat="false" ht="12.75" hidden="false" customHeight="false" outlineLevel="0" collapsed="false">
      <c r="A930" s="100"/>
    </row>
    <row r="931" customFormat="false" ht="12.75" hidden="false" customHeight="false" outlineLevel="0" collapsed="false">
      <c r="A931" s="100"/>
    </row>
    <row r="932" customFormat="false" ht="12.75" hidden="false" customHeight="false" outlineLevel="0" collapsed="false">
      <c r="A932" s="100"/>
    </row>
    <row r="933" customFormat="false" ht="12.75" hidden="false" customHeight="false" outlineLevel="0" collapsed="false">
      <c r="A933" s="100"/>
    </row>
    <row r="934" customFormat="false" ht="12.75" hidden="false" customHeight="false" outlineLevel="0" collapsed="false">
      <c r="A934" s="100"/>
    </row>
    <row r="935" customFormat="false" ht="12.75" hidden="false" customHeight="false" outlineLevel="0" collapsed="false">
      <c r="A935" s="100"/>
    </row>
    <row r="936" customFormat="false" ht="12.75" hidden="false" customHeight="false" outlineLevel="0" collapsed="false">
      <c r="A936" s="100"/>
    </row>
    <row r="937" customFormat="false" ht="12.75" hidden="false" customHeight="false" outlineLevel="0" collapsed="false">
      <c r="A937" s="100"/>
    </row>
    <row r="938" customFormat="false" ht="12.75" hidden="false" customHeight="false" outlineLevel="0" collapsed="false">
      <c r="A938" s="100"/>
    </row>
    <row r="939" customFormat="false" ht="12.75" hidden="false" customHeight="false" outlineLevel="0" collapsed="false">
      <c r="A939" s="100"/>
    </row>
    <row r="940" customFormat="false" ht="12.75" hidden="false" customHeight="false" outlineLevel="0" collapsed="false">
      <c r="A940" s="100"/>
    </row>
    <row r="941" customFormat="false" ht="12.75" hidden="false" customHeight="false" outlineLevel="0" collapsed="false">
      <c r="A941" s="100"/>
    </row>
    <row r="942" customFormat="false" ht="12.75" hidden="false" customHeight="false" outlineLevel="0" collapsed="false">
      <c r="A942" s="100"/>
    </row>
    <row r="943" customFormat="false" ht="12.75" hidden="false" customHeight="false" outlineLevel="0" collapsed="false">
      <c r="A943" s="100"/>
    </row>
    <row r="944" customFormat="false" ht="12.75" hidden="false" customHeight="false" outlineLevel="0" collapsed="false">
      <c r="A944" s="100"/>
    </row>
    <row r="945" customFormat="false" ht="12.75" hidden="false" customHeight="false" outlineLevel="0" collapsed="false">
      <c r="A945" s="100"/>
    </row>
    <row r="946" customFormat="false" ht="12.75" hidden="false" customHeight="false" outlineLevel="0" collapsed="false">
      <c r="A946" s="100"/>
    </row>
    <row r="947" customFormat="false" ht="12.75" hidden="false" customHeight="false" outlineLevel="0" collapsed="false">
      <c r="A947" s="100"/>
    </row>
    <row r="948" customFormat="false" ht="12.75" hidden="false" customHeight="false" outlineLevel="0" collapsed="false">
      <c r="A948" s="100"/>
    </row>
    <row r="949" customFormat="false" ht="12.75" hidden="false" customHeight="false" outlineLevel="0" collapsed="false">
      <c r="A949" s="100"/>
    </row>
    <row r="950" customFormat="false" ht="12.75" hidden="false" customHeight="false" outlineLevel="0" collapsed="false">
      <c r="A950" s="100"/>
    </row>
    <row r="951" customFormat="false" ht="12.75" hidden="false" customHeight="false" outlineLevel="0" collapsed="false">
      <c r="A951" s="100"/>
    </row>
    <row r="952" customFormat="false" ht="12.75" hidden="false" customHeight="false" outlineLevel="0" collapsed="false">
      <c r="A952" s="100"/>
    </row>
    <row r="953" customFormat="false" ht="12.75" hidden="false" customHeight="false" outlineLevel="0" collapsed="false">
      <c r="A953" s="100"/>
    </row>
    <row r="954" customFormat="false" ht="12.75" hidden="false" customHeight="false" outlineLevel="0" collapsed="false">
      <c r="A954" s="100"/>
    </row>
    <row r="955" customFormat="false" ht="12.75" hidden="false" customHeight="false" outlineLevel="0" collapsed="false">
      <c r="A955" s="100"/>
    </row>
    <row r="956" customFormat="false" ht="12.75" hidden="false" customHeight="false" outlineLevel="0" collapsed="false">
      <c r="A956" s="100"/>
    </row>
    <row r="957" customFormat="false" ht="12.75" hidden="false" customHeight="false" outlineLevel="0" collapsed="false">
      <c r="A957" s="100"/>
    </row>
    <row r="958" customFormat="false" ht="12.75" hidden="false" customHeight="false" outlineLevel="0" collapsed="false">
      <c r="A958" s="100"/>
    </row>
    <row r="959" customFormat="false" ht="12.75" hidden="false" customHeight="false" outlineLevel="0" collapsed="false">
      <c r="A959" s="100"/>
    </row>
    <row r="960" customFormat="false" ht="12.75" hidden="false" customHeight="false" outlineLevel="0" collapsed="false">
      <c r="A960" s="100"/>
    </row>
    <row r="961" customFormat="false" ht="12.75" hidden="false" customHeight="false" outlineLevel="0" collapsed="false">
      <c r="A961" s="100"/>
    </row>
    <row r="962" customFormat="false" ht="12.75" hidden="false" customHeight="false" outlineLevel="0" collapsed="false">
      <c r="A962" s="100"/>
    </row>
    <row r="963" customFormat="false" ht="12.75" hidden="false" customHeight="false" outlineLevel="0" collapsed="false">
      <c r="A963" s="100"/>
    </row>
    <row r="964" customFormat="false" ht="12.75" hidden="false" customHeight="false" outlineLevel="0" collapsed="false">
      <c r="A964" s="100"/>
    </row>
    <row r="965" customFormat="false" ht="12.75" hidden="false" customHeight="false" outlineLevel="0" collapsed="false">
      <c r="A965" s="100"/>
    </row>
    <row r="966" customFormat="false" ht="12.75" hidden="false" customHeight="false" outlineLevel="0" collapsed="false">
      <c r="A966" s="100"/>
    </row>
    <row r="967" customFormat="false" ht="12.75" hidden="false" customHeight="false" outlineLevel="0" collapsed="false">
      <c r="A967" s="100"/>
    </row>
    <row r="968" customFormat="false" ht="12.75" hidden="false" customHeight="false" outlineLevel="0" collapsed="false">
      <c r="A968" s="100"/>
    </row>
    <row r="969" customFormat="false" ht="12.75" hidden="false" customHeight="false" outlineLevel="0" collapsed="false">
      <c r="A969" s="100"/>
    </row>
    <row r="970" customFormat="false" ht="12.75" hidden="false" customHeight="false" outlineLevel="0" collapsed="false">
      <c r="A970" s="100"/>
    </row>
    <row r="971" customFormat="false" ht="12.75" hidden="false" customHeight="false" outlineLevel="0" collapsed="false">
      <c r="A971" s="100"/>
    </row>
    <row r="972" customFormat="false" ht="12.75" hidden="false" customHeight="false" outlineLevel="0" collapsed="false">
      <c r="A972" s="100"/>
    </row>
    <row r="973" customFormat="false" ht="12.75" hidden="false" customHeight="false" outlineLevel="0" collapsed="false">
      <c r="A973" s="100"/>
    </row>
    <row r="974" customFormat="false" ht="12.75" hidden="false" customHeight="false" outlineLevel="0" collapsed="false">
      <c r="A974" s="100"/>
    </row>
    <row r="975" customFormat="false" ht="12.75" hidden="false" customHeight="false" outlineLevel="0" collapsed="false">
      <c r="A975" s="100"/>
    </row>
    <row r="976" customFormat="false" ht="12.75" hidden="false" customHeight="false" outlineLevel="0" collapsed="false">
      <c r="A976" s="100"/>
    </row>
    <row r="977" customFormat="false" ht="12.75" hidden="false" customHeight="false" outlineLevel="0" collapsed="false">
      <c r="A977" s="100"/>
    </row>
    <row r="978" customFormat="false" ht="12.75" hidden="false" customHeight="false" outlineLevel="0" collapsed="false">
      <c r="A978" s="100"/>
    </row>
    <row r="979" customFormat="false" ht="12.75" hidden="false" customHeight="false" outlineLevel="0" collapsed="false">
      <c r="A979" s="100"/>
    </row>
    <row r="980" customFormat="false" ht="12.75" hidden="false" customHeight="false" outlineLevel="0" collapsed="false">
      <c r="A980" s="100"/>
    </row>
    <row r="981" customFormat="false" ht="12.75" hidden="false" customHeight="false" outlineLevel="0" collapsed="false">
      <c r="A981" s="100"/>
    </row>
    <row r="982" customFormat="false" ht="12.75" hidden="false" customHeight="false" outlineLevel="0" collapsed="false">
      <c r="A982" s="100"/>
    </row>
    <row r="983" customFormat="false" ht="12.75" hidden="false" customHeight="false" outlineLevel="0" collapsed="false">
      <c r="A983" s="100"/>
    </row>
    <row r="984" customFormat="false" ht="12.75" hidden="false" customHeight="false" outlineLevel="0" collapsed="false">
      <c r="A984" s="100"/>
    </row>
    <row r="985" customFormat="false" ht="12.75" hidden="false" customHeight="false" outlineLevel="0" collapsed="false">
      <c r="A985" s="100"/>
    </row>
    <row r="986" customFormat="false" ht="12.75" hidden="false" customHeight="false" outlineLevel="0" collapsed="false">
      <c r="A986" s="100"/>
    </row>
    <row r="987" customFormat="false" ht="12.75" hidden="false" customHeight="false" outlineLevel="0" collapsed="false">
      <c r="A987" s="100"/>
    </row>
    <row r="988" customFormat="false" ht="12.75" hidden="false" customHeight="false" outlineLevel="0" collapsed="false">
      <c r="A988" s="100"/>
    </row>
    <row r="989" customFormat="false" ht="12.75" hidden="false" customHeight="false" outlineLevel="0" collapsed="false">
      <c r="A989" s="100"/>
    </row>
    <row r="990" customFormat="false" ht="12.75" hidden="false" customHeight="false" outlineLevel="0" collapsed="false">
      <c r="A990" s="100"/>
    </row>
    <row r="991" customFormat="false" ht="12.75" hidden="false" customHeight="false" outlineLevel="0" collapsed="false">
      <c r="A991" s="100"/>
    </row>
    <row r="992" customFormat="false" ht="12.75" hidden="false" customHeight="false" outlineLevel="0" collapsed="false">
      <c r="A992" s="100"/>
    </row>
    <row r="993" customFormat="false" ht="12.75" hidden="false" customHeight="false" outlineLevel="0" collapsed="false">
      <c r="A993" s="100"/>
    </row>
    <row r="994" customFormat="false" ht="12.75" hidden="false" customHeight="false" outlineLevel="0" collapsed="false">
      <c r="A994" s="100"/>
    </row>
    <row r="995" customFormat="false" ht="12.75" hidden="false" customHeight="false" outlineLevel="0" collapsed="false">
      <c r="A995" s="100"/>
    </row>
    <row r="996" customFormat="false" ht="12.75" hidden="false" customHeight="false" outlineLevel="0" collapsed="false">
      <c r="A996" s="100"/>
    </row>
    <row r="997" customFormat="false" ht="12.75" hidden="false" customHeight="false" outlineLevel="0" collapsed="false">
      <c r="A997" s="100"/>
    </row>
    <row r="998" customFormat="false" ht="12.75" hidden="false" customHeight="false" outlineLevel="0" collapsed="false">
      <c r="A998" s="100"/>
    </row>
    <row r="999" customFormat="false" ht="12.75" hidden="false" customHeight="false" outlineLevel="0" collapsed="false">
      <c r="A999" s="100"/>
    </row>
    <row r="1000" customFormat="false" ht="12.75" hidden="false" customHeight="false" outlineLevel="0" collapsed="false">
      <c r="A1000" s="100"/>
    </row>
    <row r="1001" customFormat="false" ht="12.75" hidden="false" customHeight="false" outlineLevel="0" collapsed="false">
      <c r="A1001" s="100"/>
    </row>
    <row r="1002" customFormat="false" ht="12.75" hidden="false" customHeight="false" outlineLevel="0" collapsed="false">
      <c r="A1002" s="100"/>
    </row>
    <row r="1003" customFormat="false" ht="12.75" hidden="false" customHeight="false" outlineLevel="0" collapsed="false">
      <c r="A1003" s="100"/>
    </row>
    <row r="1004" customFormat="false" ht="12.75" hidden="false" customHeight="false" outlineLevel="0" collapsed="false">
      <c r="A1004" s="100"/>
    </row>
    <row r="1005" customFormat="false" ht="12.75" hidden="false" customHeight="false" outlineLevel="0" collapsed="false">
      <c r="A1005" s="100"/>
    </row>
    <row r="1006" customFormat="false" ht="12.75" hidden="false" customHeight="false" outlineLevel="0" collapsed="false">
      <c r="A1006" s="100"/>
    </row>
    <row r="1007" customFormat="false" ht="12.75" hidden="false" customHeight="false" outlineLevel="0" collapsed="false">
      <c r="A1007" s="100"/>
    </row>
    <row r="1008" customFormat="false" ht="12.75" hidden="false" customHeight="false" outlineLevel="0" collapsed="false">
      <c r="A1008" s="100"/>
    </row>
    <row r="1009" customFormat="false" ht="12.75" hidden="false" customHeight="false" outlineLevel="0" collapsed="false">
      <c r="A1009" s="100"/>
    </row>
    <row r="1010" customFormat="false" ht="12.75" hidden="false" customHeight="false" outlineLevel="0" collapsed="false">
      <c r="A1010" s="100"/>
    </row>
    <row r="1011" customFormat="false" ht="12.75" hidden="false" customHeight="false" outlineLevel="0" collapsed="false">
      <c r="A1011" s="100"/>
    </row>
    <row r="1012" customFormat="false" ht="12.75" hidden="false" customHeight="false" outlineLevel="0" collapsed="false">
      <c r="A1012" s="100"/>
    </row>
    <row r="1013" customFormat="false" ht="12.75" hidden="false" customHeight="false" outlineLevel="0" collapsed="false">
      <c r="A1013" s="100"/>
    </row>
    <row r="1014" customFormat="false" ht="12.75" hidden="false" customHeight="false" outlineLevel="0" collapsed="false">
      <c r="A1014" s="100"/>
    </row>
    <row r="1015" customFormat="false" ht="12.75" hidden="false" customHeight="false" outlineLevel="0" collapsed="false">
      <c r="A1015" s="100"/>
    </row>
    <row r="1016" customFormat="false" ht="12.75" hidden="false" customHeight="false" outlineLevel="0" collapsed="false">
      <c r="A1016" s="100"/>
    </row>
    <row r="1017" customFormat="false" ht="12.75" hidden="false" customHeight="false" outlineLevel="0" collapsed="false">
      <c r="A1017" s="100"/>
    </row>
    <row r="1018" customFormat="false" ht="12.75" hidden="false" customHeight="false" outlineLevel="0" collapsed="false">
      <c r="A1018" s="100"/>
    </row>
    <row r="1019" customFormat="false" ht="12.75" hidden="false" customHeight="false" outlineLevel="0" collapsed="false">
      <c r="A1019" s="100"/>
    </row>
    <row r="1020" customFormat="false" ht="12.75" hidden="false" customHeight="false" outlineLevel="0" collapsed="false">
      <c r="A1020" s="100"/>
    </row>
    <row r="1021" customFormat="false" ht="12.75" hidden="false" customHeight="false" outlineLevel="0" collapsed="false">
      <c r="A1021" s="100"/>
    </row>
    <row r="1022" customFormat="false" ht="12.75" hidden="false" customHeight="false" outlineLevel="0" collapsed="false">
      <c r="A1022" s="100"/>
    </row>
    <row r="1023" customFormat="false" ht="12.75" hidden="false" customHeight="false" outlineLevel="0" collapsed="false">
      <c r="A1023" s="100"/>
    </row>
    <row r="1024" customFormat="false" ht="12.75" hidden="false" customHeight="false" outlineLevel="0" collapsed="false">
      <c r="A1024" s="100"/>
    </row>
    <row r="1025" customFormat="false" ht="12.75" hidden="false" customHeight="false" outlineLevel="0" collapsed="false">
      <c r="A1025" s="100"/>
    </row>
    <row r="1026" customFormat="false" ht="12.75" hidden="false" customHeight="false" outlineLevel="0" collapsed="false">
      <c r="A1026" s="100"/>
    </row>
    <row r="1027" customFormat="false" ht="12.75" hidden="false" customHeight="false" outlineLevel="0" collapsed="false">
      <c r="A1027" s="100"/>
    </row>
    <row r="1028" customFormat="false" ht="12.75" hidden="false" customHeight="false" outlineLevel="0" collapsed="false">
      <c r="A1028" s="100"/>
    </row>
    <row r="1029" customFormat="false" ht="12.75" hidden="false" customHeight="false" outlineLevel="0" collapsed="false">
      <c r="A1029" s="100"/>
    </row>
    <row r="1030" customFormat="false" ht="12.75" hidden="false" customHeight="false" outlineLevel="0" collapsed="false">
      <c r="A1030" s="100"/>
    </row>
    <row r="1031" customFormat="false" ht="12.75" hidden="false" customHeight="false" outlineLevel="0" collapsed="false">
      <c r="A1031" s="100"/>
    </row>
    <row r="1032" customFormat="false" ht="12.75" hidden="false" customHeight="false" outlineLevel="0" collapsed="false">
      <c r="A1032" s="100"/>
    </row>
    <row r="1033" customFormat="false" ht="12.75" hidden="false" customHeight="false" outlineLevel="0" collapsed="false">
      <c r="A1033" s="100"/>
    </row>
    <row r="1034" customFormat="false" ht="12.75" hidden="false" customHeight="false" outlineLevel="0" collapsed="false">
      <c r="A1034" s="100"/>
    </row>
    <row r="1035" customFormat="false" ht="12.75" hidden="false" customHeight="false" outlineLevel="0" collapsed="false">
      <c r="A1035" s="100"/>
    </row>
    <row r="1036" customFormat="false" ht="12.75" hidden="false" customHeight="false" outlineLevel="0" collapsed="false">
      <c r="A1036" s="100"/>
    </row>
    <row r="1037" customFormat="false" ht="12.75" hidden="false" customHeight="false" outlineLevel="0" collapsed="false">
      <c r="A1037" s="100"/>
    </row>
    <row r="1038" customFormat="false" ht="12.75" hidden="false" customHeight="false" outlineLevel="0" collapsed="false">
      <c r="A1038" s="100"/>
    </row>
    <row r="1039" customFormat="false" ht="12.75" hidden="false" customHeight="false" outlineLevel="0" collapsed="false">
      <c r="A1039" s="100"/>
    </row>
    <row r="1040" customFormat="false" ht="12.75" hidden="false" customHeight="false" outlineLevel="0" collapsed="false">
      <c r="A1040" s="100"/>
    </row>
    <row r="1041" customFormat="false" ht="12.75" hidden="false" customHeight="false" outlineLevel="0" collapsed="false">
      <c r="A1041" s="100"/>
    </row>
    <row r="1042" customFormat="false" ht="12.75" hidden="false" customHeight="false" outlineLevel="0" collapsed="false">
      <c r="A1042" s="100"/>
    </row>
    <row r="1043" customFormat="false" ht="12.75" hidden="false" customHeight="false" outlineLevel="0" collapsed="false">
      <c r="A1043" s="100"/>
    </row>
    <row r="1044" customFormat="false" ht="12.75" hidden="false" customHeight="false" outlineLevel="0" collapsed="false">
      <c r="A1044" s="100"/>
    </row>
    <row r="1045" customFormat="false" ht="12.75" hidden="false" customHeight="false" outlineLevel="0" collapsed="false">
      <c r="A1045" s="100"/>
    </row>
    <row r="1046" customFormat="false" ht="12.75" hidden="false" customHeight="false" outlineLevel="0" collapsed="false">
      <c r="A1046" s="100"/>
    </row>
    <row r="1047" customFormat="false" ht="12.75" hidden="false" customHeight="false" outlineLevel="0" collapsed="false">
      <c r="A1047" s="100"/>
    </row>
    <row r="1048" customFormat="false" ht="12.75" hidden="false" customHeight="false" outlineLevel="0" collapsed="false">
      <c r="A1048" s="100"/>
    </row>
    <row r="1049" customFormat="false" ht="12.75" hidden="false" customHeight="false" outlineLevel="0" collapsed="false">
      <c r="A1049" s="100"/>
    </row>
    <row r="1050" customFormat="false" ht="12.75" hidden="false" customHeight="false" outlineLevel="0" collapsed="false">
      <c r="A1050" s="100"/>
    </row>
    <row r="1051" customFormat="false" ht="12.75" hidden="false" customHeight="false" outlineLevel="0" collapsed="false">
      <c r="A1051" s="100"/>
    </row>
    <row r="1052" customFormat="false" ht="12.75" hidden="false" customHeight="false" outlineLevel="0" collapsed="false">
      <c r="A1052" s="100"/>
    </row>
    <row r="1053" customFormat="false" ht="12.75" hidden="false" customHeight="false" outlineLevel="0" collapsed="false">
      <c r="A1053" s="100"/>
    </row>
    <row r="1054" customFormat="false" ht="12.75" hidden="false" customHeight="false" outlineLevel="0" collapsed="false">
      <c r="A1054" s="100"/>
    </row>
    <row r="1055" customFormat="false" ht="12.75" hidden="false" customHeight="false" outlineLevel="0" collapsed="false">
      <c r="A1055" s="100"/>
    </row>
    <row r="1056" customFormat="false" ht="12.75" hidden="false" customHeight="false" outlineLevel="0" collapsed="false">
      <c r="A1056" s="100"/>
    </row>
    <row r="1057" customFormat="false" ht="12.75" hidden="false" customHeight="false" outlineLevel="0" collapsed="false">
      <c r="A1057" s="100"/>
    </row>
    <row r="1058" customFormat="false" ht="12.75" hidden="false" customHeight="false" outlineLevel="0" collapsed="false">
      <c r="A1058" s="100"/>
    </row>
    <row r="1059" customFormat="false" ht="12.75" hidden="false" customHeight="false" outlineLevel="0" collapsed="false">
      <c r="A1059" s="100"/>
    </row>
    <row r="1060" customFormat="false" ht="12.75" hidden="false" customHeight="false" outlineLevel="0" collapsed="false">
      <c r="A1060" s="100"/>
    </row>
    <row r="1061" customFormat="false" ht="12.75" hidden="false" customHeight="false" outlineLevel="0" collapsed="false">
      <c r="A1061" s="100"/>
    </row>
    <row r="1062" customFormat="false" ht="12.75" hidden="false" customHeight="false" outlineLevel="0" collapsed="false">
      <c r="A1062" s="100"/>
    </row>
    <row r="1063" customFormat="false" ht="12.75" hidden="false" customHeight="false" outlineLevel="0" collapsed="false">
      <c r="A1063" s="100"/>
    </row>
    <row r="1064" customFormat="false" ht="12.75" hidden="false" customHeight="false" outlineLevel="0" collapsed="false">
      <c r="A1064" s="100"/>
    </row>
    <row r="1065" customFormat="false" ht="12.75" hidden="false" customHeight="false" outlineLevel="0" collapsed="false">
      <c r="A1065" s="100"/>
    </row>
    <row r="1066" customFormat="false" ht="12.75" hidden="false" customHeight="false" outlineLevel="0" collapsed="false">
      <c r="A1066" s="100"/>
    </row>
    <row r="1067" customFormat="false" ht="12.75" hidden="false" customHeight="false" outlineLevel="0" collapsed="false">
      <c r="A1067" s="100"/>
    </row>
    <row r="1068" customFormat="false" ht="12.75" hidden="false" customHeight="false" outlineLevel="0" collapsed="false">
      <c r="A1068" s="100"/>
    </row>
    <row r="1069" customFormat="false" ht="12.75" hidden="false" customHeight="false" outlineLevel="0" collapsed="false">
      <c r="A1069" s="100"/>
    </row>
    <row r="1070" customFormat="false" ht="12.75" hidden="false" customHeight="false" outlineLevel="0" collapsed="false">
      <c r="A1070" s="100"/>
    </row>
    <row r="1071" customFormat="false" ht="12.75" hidden="false" customHeight="false" outlineLevel="0" collapsed="false">
      <c r="A1071" s="100"/>
    </row>
    <row r="1072" customFormat="false" ht="12.75" hidden="false" customHeight="false" outlineLevel="0" collapsed="false">
      <c r="A1072" s="100"/>
    </row>
    <row r="1073" customFormat="false" ht="12.75" hidden="false" customHeight="false" outlineLevel="0" collapsed="false">
      <c r="A1073" s="100"/>
    </row>
    <row r="1074" customFormat="false" ht="12.75" hidden="false" customHeight="false" outlineLevel="0" collapsed="false">
      <c r="A1074" s="100"/>
    </row>
    <row r="1075" customFormat="false" ht="12.75" hidden="false" customHeight="false" outlineLevel="0" collapsed="false">
      <c r="A1075" s="100"/>
    </row>
    <row r="1076" customFormat="false" ht="12.75" hidden="false" customHeight="false" outlineLevel="0" collapsed="false">
      <c r="A1076" s="100"/>
    </row>
    <row r="1077" customFormat="false" ht="12.75" hidden="false" customHeight="false" outlineLevel="0" collapsed="false">
      <c r="A1077" s="100"/>
    </row>
    <row r="1078" customFormat="false" ht="12.75" hidden="false" customHeight="false" outlineLevel="0" collapsed="false">
      <c r="A1078" s="100"/>
    </row>
    <row r="1079" customFormat="false" ht="12.75" hidden="false" customHeight="false" outlineLevel="0" collapsed="false">
      <c r="A1079" s="100"/>
    </row>
    <row r="1080" customFormat="false" ht="12.75" hidden="false" customHeight="false" outlineLevel="0" collapsed="false">
      <c r="A1080" s="100"/>
    </row>
    <row r="1081" customFormat="false" ht="12.75" hidden="false" customHeight="false" outlineLevel="0" collapsed="false">
      <c r="A1081" s="100"/>
    </row>
    <row r="1082" customFormat="false" ht="12.75" hidden="false" customHeight="false" outlineLevel="0" collapsed="false">
      <c r="A1082" s="100"/>
    </row>
    <row r="1083" customFormat="false" ht="12.75" hidden="false" customHeight="false" outlineLevel="0" collapsed="false">
      <c r="A1083" s="100"/>
    </row>
    <row r="1084" customFormat="false" ht="12.75" hidden="false" customHeight="false" outlineLevel="0" collapsed="false">
      <c r="A1084" s="100"/>
    </row>
    <row r="1085" customFormat="false" ht="12.75" hidden="false" customHeight="false" outlineLevel="0" collapsed="false">
      <c r="A1085" s="100"/>
    </row>
    <row r="1086" customFormat="false" ht="12.75" hidden="false" customHeight="false" outlineLevel="0" collapsed="false">
      <c r="A1086" s="100"/>
    </row>
    <row r="1087" customFormat="false" ht="12.75" hidden="false" customHeight="false" outlineLevel="0" collapsed="false">
      <c r="A1087" s="100"/>
    </row>
    <row r="1088" customFormat="false" ht="12.75" hidden="false" customHeight="false" outlineLevel="0" collapsed="false">
      <c r="A1088" s="100"/>
    </row>
    <row r="1089" customFormat="false" ht="12.75" hidden="false" customHeight="false" outlineLevel="0" collapsed="false">
      <c r="A1089" s="100"/>
    </row>
    <row r="1090" customFormat="false" ht="12.75" hidden="false" customHeight="false" outlineLevel="0" collapsed="false">
      <c r="A1090" s="100"/>
    </row>
    <row r="1091" customFormat="false" ht="12.75" hidden="false" customHeight="false" outlineLevel="0" collapsed="false">
      <c r="A1091" s="100"/>
    </row>
    <row r="1092" customFormat="false" ht="12.75" hidden="false" customHeight="false" outlineLevel="0" collapsed="false">
      <c r="A1092" s="100"/>
    </row>
    <row r="1093" customFormat="false" ht="12.75" hidden="false" customHeight="false" outlineLevel="0" collapsed="false">
      <c r="A1093" s="100"/>
    </row>
    <row r="1094" customFormat="false" ht="12.75" hidden="false" customHeight="false" outlineLevel="0" collapsed="false">
      <c r="A1094" s="100"/>
    </row>
    <row r="1095" customFormat="false" ht="12.75" hidden="false" customHeight="false" outlineLevel="0" collapsed="false">
      <c r="A1095" s="100"/>
    </row>
    <row r="1096" customFormat="false" ht="12.75" hidden="false" customHeight="false" outlineLevel="0" collapsed="false">
      <c r="A1096" s="100"/>
    </row>
    <row r="1097" customFormat="false" ht="12.75" hidden="false" customHeight="false" outlineLevel="0" collapsed="false">
      <c r="A1097" s="100"/>
    </row>
    <row r="1098" customFormat="false" ht="12.75" hidden="false" customHeight="false" outlineLevel="0" collapsed="false">
      <c r="A1098" s="100"/>
    </row>
    <row r="1099" customFormat="false" ht="12.75" hidden="false" customHeight="false" outlineLevel="0" collapsed="false">
      <c r="A1099" s="100"/>
    </row>
    <row r="1100" customFormat="false" ht="12.75" hidden="false" customHeight="false" outlineLevel="0" collapsed="false">
      <c r="A1100" s="100"/>
    </row>
    <row r="1101" customFormat="false" ht="12.75" hidden="false" customHeight="false" outlineLevel="0" collapsed="false">
      <c r="A1101" s="100"/>
    </row>
    <row r="1102" customFormat="false" ht="12.75" hidden="false" customHeight="false" outlineLevel="0" collapsed="false">
      <c r="A1102" s="100"/>
    </row>
    <row r="1103" customFormat="false" ht="12.75" hidden="false" customHeight="false" outlineLevel="0" collapsed="false">
      <c r="A1103" s="100"/>
    </row>
    <row r="1104" customFormat="false" ht="12.75" hidden="false" customHeight="false" outlineLevel="0" collapsed="false">
      <c r="A1104" s="100"/>
    </row>
    <row r="1105" customFormat="false" ht="12.75" hidden="false" customHeight="false" outlineLevel="0" collapsed="false">
      <c r="A1105" s="100"/>
    </row>
    <row r="1106" customFormat="false" ht="12.75" hidden="false" customHeight="false" outlineLevel="0" collapsed="false">
      <c r="A1106" s="100"/>
    </row>
    <row r="1107" customFormat="false" ht="12.75" hidden="false" customHeight="false" outlineLevel="0" collapsed="false">
      <c r="A1107" s="100"/>
    </row>
    <row r="1108" customFormat="false" ht="12.75" hidden="false" customHeight="false" outlineLevel="0" collapsed="false">
      <c r="A1108" s="100"/>
    </row>
    <row r="1109" customFormat="false" ht="12.75" hidden="false" customHeight="false" outlineLevel="0" collapsed="false">
      <c r="A1109" s="100"/>
    </row>
    <row r="1110" customFormat="false" ht="12.75" hidden="false" customHeight="false" outlineLevel="0" collapsed="false">
      <c r="A1110" s="100"/>
    </row>
    <row r="1111" customFormat="false" ht="12.75" hidden="false" customHeight="false" outlineLevel="0" collapsed="false">
      <c r="A1111" s="100"/>
    </row>
    <row r="1112" customFormat="false" ht="12.75" hidden="false" customHeight="false" outlineLevel="0" collapsed="false">
      <c r="A1112" s="100"/>
    </row>
    <row r="1113" customFormat="false" ht="12.75" hidden="false" customHeight="false" outlineLevel="0" collapsed="false">
      <c r="A1113" s="100"/>
    </row>
    <row r="1114" customFormat="false" ht="12.75" hidden="false" customHeight="false" outlineLevel="0" collapsed="false">
      <c r="A1114" s="100"/>
    </row>
    <row r="1115" customFormat="false" ht="12.75" hidden="false" customHeight="false" outlineLevel="0" collapsed="false">
      <c r="A1115" s="100"/>
    </row>
    <row r="1116" customFormat="false" ht="12.75" hidden="false" customHeight="false" outlineLevel="0" collapsed="false">
      <c r="A1116" s="100"/>
    </row>
    <row r="1117" customFormat="false" ht="12.75" hidden="false" customHeight="false" outlineLevel="0" collapsed="false">
      <c r="A1117" s="100"/>
    </row>
    <row r="1118" customFormat="false" ht="12.75" hidden="false" customHeight="false" outlineLevel="0" collapsed="false">
      <c r="A1118" s="100"/>
    </row>
    <row r="1119" customFormat="false" ht="12.75" hidden="false" customHeight="false" outlineLevel="0" collapsed="false">
      <c r="A1119" s="100"/>
    </row>
    <row r="1120" customFormat="false" ht="12.75" hidden="false" customHeight="false" outlineLevel="0" collapsed="false">
      <c r="A1120" s="100"/>
    </row>
    <row r="1121" customFormat="false" ht="12.75" hidden="false" customHeight="false" outlineLevel="0" collapsed="false">
      <c r="A1121" s="100"/>
    </row>
    <row r="1122" customFormat="false" ht="12.75" hidden="false" customHeight="false" outlineLevel="0" collapsed="false">
      <c r="A1122" s="100"/>
    </row>
    <row r="1123" customFormat="false" ht="12.75" hidden="false" customHeight="false" outlineLevel="0" collapsed="false">
      <c r="A1123" s="100"/>
    </row>
    <row r="1124" customFormat="false" ht="12.75" hidden="false" customHeight="false" outlineLevel="0" collapsed="false">
      <c r="A1124" s="100"/>
    </row>
    <row r="1125" customFormat="false" ht="12.75" hidden="false" customHeight="false" outlineLevel="0" collapsed="false">
      <c r="A1125" s="100"/>
    </row>
    <row r="1126" customFormat="false" ht="12.75" hidden="false" customHeight="false" outlineLevel="0" collapsed="false">
      <c r="A1126" s="100"/>
    </row>
    <row r="1127" customFormat="false" ht="12.75" hidden="false" customHeight="false" outlineLevel="0" collapsed="false">
      <c r="A1127" s="100"/>
    </row>
    <row r="1128" customFormat="false" ht="12.75" hidden="false" customHeight="false" outlineLevel="0" collapsed="false">
      <c r="A1128" s="100"/>
    </row>
    <row r="1129" customFormat="false" ht="12.75" hidden="false" customHeight="false" outlineLevel="0" collapsed="false">
      <c r="A1129" s="100"/>
    </row>
    <row r="1130" customFormat="false" ht="12.75" hidden="false" customHeight="false" outlineLevel="0" collapsed="false">
      <c r="A1130" s="100"/>
    </row>
    <row r="1131" customFormat="false" ht="12.75" hidden="false" customHeight="false" outlineLevel="0" collapsed="false">
      <c r="A1131" s="100"/>
    </row>
    <row r="1132" customFormat="false" ht="12.75" hidden="false" customHeight="false" outlineLevel="0" collapsed="false">
      <c r="A1132" s="100"/>
    </row>
    <row r="1133" customFormat="false" ht="12.75" hidden="false" customHeight="false" outlineLevel="0" collapsed="false">
      <c r="A1133" s="100"/>
    </row>
    <row r="1134" customFormat="false" ht="12.75" hidden="false" customHeight="false" outlineLevel="0" collapsed="false">
      <c r="A1134" s="100"/>
    </row>
    <row r="1135" customFormat="false" ht="12.75" hidden="false" customHeight="false" outlineLevel="0" collapsed="false">
      <c r="A1135" s="100"/>
    </row>
    <row r="1136" customFormat="false" ht="12.75" hidden="false" customHeight="false" outlineLevel="0" collapsed="false">
      <c r="A1136" s="100"/>
    </row>
    <row r="1137" customFormat="false" ht="12.75" hidden="false" customHeight="false" outlineLevel="0" collapsed="false">
      <c r="A1137" s="100"/>
    </row>
    <row r="1138" customFormat="false" ht="12.75" hidden="false" customHeight="false" outlineLevel="0" collapsed="false">
      <c r="A1138" s="100"/>
    </row>
    <row r="1139" customFormat="false" ht="12.75" hidden="false" customHeight="false" outlineLevel="0" collapsed="false">
      <c r="A1139" s="100"/>
    </row>
    <row r="1140" customFormat="false" ht="12.75" hidden="false" customHeight="false" outlineLevel="0" collapsed="false">
      <c r="A1140" s="100"/>
    </row>
    <row r="1141" customFormat="false" ht="12.75" hidden="false" customHeight="false" outlineLevel="0" collapsed="false">
      <c r="A1141" s="100"/>
    </row>
    <row r="1142" customFormat="false" ht="12.75" hidden="false" customHeight="false" outlineLevel="0" collapsed="false">
      <c r="A1142" s="100"/>
    </row>
    <row r="1143" customFormat="false" ht="12.75" hidden="false" customHeight="false" outlineLevel="0" collapsed="false">
      <c r="A1143" s="100"/>
    </row>
    <row r="1144" customFormat="false" ht="12.75" hidden="false" customHeight="false" outlineLevel="0" collapsed="false">
      <c r="A1144" s="100"/>
    </row>
    <row r="1145" customFormat="false" ht="12.75" hidden="false" customHeight="false" outlineLevel="0" collapsed="false">
      <c r="A1145" s="100"/>
    </row>
    <row r="1146" customFormat="false" ht="12.75" hidden="false" customHeight="false" outlineLevel="0" collapsed="false">
      <c r="A1146" s="100"/>
    </row>
    <row r="1147" customFormat="false" ht="12.75" hidden="false" customHeight="false" outlineLevel="0" collapsed="false">
      <c r="A1147" s="100"/>
    </row>
    <row r="1148" customFormat="false" ht="12.75" hidden="false" customHeight="false" outlineLevel="0" collapsed="false">
      <c r="A1148" s="100"/>
    </row>
    <row r="1149" customFormat="false" ht="12.75" hidden="false" customHeight="false" outlineLevel="0" collapsed="false">
      <c r="A1149" s="100"/>
    </row>
    <row r="1150" customFormat="false" ht="12.75" hidden="false" customHeight="false" outlineLevel="0" collapsed="false">
      <c r="A1150" s="100"/>
    </row>
    <row r="1151" customFormat="false" ht="12.75" hidden="false" customHeight="false" outlineLevel="0" collapsed="false">
      <c r="A1151" s="100"/>
    </row>
    <row r="1152" customFormat="false" ht="12.75" hidden="false" customHeight="false" outlineLevel="0" collapsed="false">
      <c r="A1152" s="100"/>
    </row>
    <row r="1153" customFormat="false" ht="12.75" hidden="false" customHeight="false" outlineLevel="0" collapsed="false">
      <c r="A1153" s="100"/>
    </row>
    <row r="1154" customFormat="false" ht="12.75" hidden="false" customHeight="false" outlineLevel="0" collapsed="false">
      <c r="A1154" s="100"/>
    </row>
    <row r="1155" customFormat="false" ht="12.75" hidden="false" customHeight="false" outlineLevel="0" collapsed="false">
      <c r="A1155" s="100"/>
    </row>
    <row r="1156" customFormat="false" ht="12.75" hidden="false" customHeight="false" outlineLevel="0" collapsed="false">
      <c r="A1156" s="100"/>
    </row>
    <row r="1157" customFormat="false" ht="12.75" hidden="false" customHeight="false" outlineLevel="0" collapsed="false">
      <c r="A1157" s="100"/>
    </row>
    <row r="1158" customFormat="false" ht="12.75" hidden="false" customHeight="false" outlineLevel="0" collapsed="false">
      <c r="A1158" s="100"/>
    </row>
    <row r="1159" customFormat="false" ht="12.75" hidden="false" customHeight="false" outlineLevel="0" collapsed="false">
      <c r="A1159" s="100"/>
    </row>
    <row r="1160" customFormat="false" ht="12.75" hidden="false" customHeight="false" outlineLevel="0" collapsed="false">
      <c r="A1160" s="100"/>
    </row>
    <row r="1161" customFormat="false" ht="12.75" hidden="false" customHeight="false" outlineLevel="0" collapsed="false">
      <c r="A1161" s="100"/>
    </row>
    <row r="1162" customFormat="false" ht="12.75" hidden="false" customHeight="false" outlineLevel="0" collapsed="false">
      <c r="A1162" s="100"/>
    </row>
    <row r="1163" customFormat="false" ht="12.75" hidden="false" customHeight="false" outlineLevel="0" collapsed="false">
      <c r="A1163" s="100"/>
    </row>
    <row r="1164" customFormat="false" ht="12.75" hidden="false" customHeight="false" outlineLevel="0" collapsed="false">
      <c r="A1164" s="100"/>
    </row>
    <row r="1165" customFormat="false" ht="12.75" hidden="false" customHeight="false" outlineLevel="0" collapsed="false">
      <c r="A1165" s="100"/>
    </row>
    <row r="1166" customFormat="false" ht="12.75" hidden="false" customHeight="false" outlineLevel="0" collapsed="false">
      <c r="A1166" s="100"/>
    </row>
    <row r="1167" customFormat="false" ht="12.75" hidden="false" customHeight="false" outlineLevel="0" collapsed="false">
      <c r="A1167" s="100"/>
    </row>
    <row r="1168" customFormat="false" ht="12.75" hidden="false" customHeight="false" outlineLevel="0" collapsed="false">
      <c r="A1168" s="100"/>
    </row>
    <row r="1169" customFormat="false" ht="12.75" hidden="false" customHeight="false" outlineLevel="0" collapsed="false">
      <c r="A1169" s="100"/>
    </row>
    <row r="1170" customFormat="false" ht="12.75" hidden="false" customHeight="false" outlineLevel="0" collapsed="false">
      <c r="A1170" s="100"/>
    </row>
    <row r="1171" customFormat="false" ht="12.75" hidden="false" customHeight="false" outlineLevel="0" collapsed="false">
      <c r="A1171" s="100"/>
    </row>
    <row r="1172" customFormat="false" ht="12.75" hidden="false" customHeight="false" outlineLevel="0" collapsed="false">
      <c r="A1172" s="100"/>
    </row>
    <row r="1173" customFormat="false" ht="12.75" hidden="false" customHeight="false" outlineLevel="0" collapsed="false">
      <c r="A1173" s="100"/>
    </row>
    <row r="1174" customFormat="false" ht="12.75" hidden="false" customHeight="false" outlineLevel="0" collapsed="false">
      <c r="A1174" s="100"/>
    </row>
    <row r="1175" customFormat="false" ht="12.75" hidden="false" customHeight="false" outlineLevel="0" collapsed="false">
      <c r="A1175" s="100"/>
    </row>
    <row r="1176" customFormat="false" ht="12.75" hidden="false" customHeight="false" outlineLevel="0" collapsed="false">
      <c r="A1176" s="100"/>
    </row>
    <row r="1177" customFormat="false" ht="12.75" hidden="false" customHeight="false" outlineLevel="0" collapsed="false">
      <c r="A1177" s="100"/>
    </row>
    <row r="1178" customFormat="false" ht="12.75" hidden="false" customHeight="false" outlineLevel="0" collapsed="false">
      <c r="A1178" s="100"/>
    </row>
    <row r="1179" customFormat="false" ht="12.75" hidden="false" customHeight="false" outlineLevel="0" collapsed="false">
      <c r="A1179" s="100"/>
    </row>
    <row r="1180" customFormat="false" ht="12.75" hidden="false" customHeight="false" outlineLevel="0" collapsed="false">
      <c r="A1180" s="100"/>
    </row>
    <row r="1181" customFormat="false" ht="12.75" hidden="false" customHeight="false" outlineLevel="0" collapsed="false">
      <c r="A1181" s="100"/>
    </row>
    <row r="1182" customFormat="false" ht="12.75" hidden="false" customHeight="false" outlineLevel="0" collapsed="false">
      <c r="A1182" s="100"/>
    </row>
    <row r="1183" customFormat="false" ht="12.75" hidden="false" customHeight="false" outlineLevel="0" collapsed="false">
      <c r="A1183" s="100"/>
    </row>
    <row r="1184" customFormat="false" ht="12.75" hidden="false" customHeight="false" outlineLevel="0" collapsed="false">
      <c r="A1184" s="100"/>
    </row>
    <row r="1185" customFormat="false" ht="12.75" hidden="false" customHeight="false" outlineLevel="0" collapsed="false">
      <c r="A1185" s="100"/>
    </row>
    <row r="1186" customFormat="false" ht="12.75" hidden="false" customHeight="false" outlineLevel="0" collapsed="false">
      <c r="A1186" s="100"/>
    </row>
    <row r="1187" customFormat="false" ht="12.75" hidden="false" customHeight="false" outlineLevel="0" collapsed="false">
      <c r="A1187" s="100"/>
    </row>
    <row r="1188" customFormat="false" ht="12.75" hidden="false" customHeight="false" outlineLevel="0" collapsed="false">
      <c r="A1188" s="100"/>
    </row>
    <row r="1189" customFormat="false" ht="12.75" hidden="false" customHeight="false" outlineLevel="0" collapsed="false">
      <c r="A1189" s="100"/>
    </row>
    <row r="1190" customFormat="false" ht="12.75" hidden="false" customHeight="false" outlineLevel="0" collapsed="false">
      <c r="A1190" s="100"/>
    </row>
    <row r="1191" customFormat="false" ht="12.75" hidden="false" customHeight="false" outlineLevel="0" collapsed="false">
      <c r="A1191" s="100"/>
    </row>
    <row r="1192" customFormat="false" ht="12.75" hidden="false" customHeight="false" outlineLevel="0" collapsed="false">
      <c r="A1192" s="100"/>
    </row>
    <row r="1193" customFormat="false" ht="12.75" hidden="false" customHeight="false" outlineLevel="0" collapsed="false">
      <c r="A1193" s="100"/>
    </row>
    <row r="1194" customFormat="false" ht="12.75" hidden="false" customHeight="false" outlineLevel="0" collapsed="false">
      <c r="A1194" s="100"/>
    </row>
    <row r="1195" customFormat="false" ht="12.75" hidden="false" customHeight="false" outlineLevel="0" collapsed="false">
      <c r="A1195" s="100"/>
    </row>
    <row r="1196" customFormat="false" ht="12.75" hidden="false" customHeight="false" outlineLevel="0" collapsed="false">
      <c r="A1196" s="100"/>
    </row>
    <row r="1197" customFormat="false" ht="12.75" hidden="false" customHeight="false" outlineLevel="0" collapsed="false">
      <c r="A1197" s="100"/>
    </row>
    <row r="1198" customFormat="false" ht="12.75" hidden="false" customHeight="false" outlineLevel="0" collapsed="false">
      <c r="A1198" s="100"/>
    </row>
    <row r="1199" customFormat="false" ht="12.75" hidden="false" customHeight="false" outlineLevel="0" collapsed="false">
      <c r="A1199" s="100"/>
    </row>
    <row r="1200" customFormat="false" ht="12.75" hidden="false" customHeight="false" outlineLevel="0" collapsed="false">
      <c r="A1200" s="100"/>
    </row>
    <row r="1201" customFormat="false" ht="12.75" hidden="false" customHeight="false" outlineLevel="0" collapsed="false">
      <c r="A1201" s="100"/>
    </row>
    <row r="1202" customFormat="false" ht="12.75" hidden="false" customHeight="false" outlineLevel="0" collapsed="false">
      <c r="A1202" s="100"/>
    </row>
    <row r="1203" customFormat="false" ht="12.75" hidden="false" customHeight="false" outlineLevel="0" collapsed="false">
      <c r="A1203" s="100"/>
    </row>
    <row r="1204" customFormat="false" ht="12.75" hidden="false" customHeight="false" outlineLevel="0" collapsed="false">
      <c r="A1204" s="100"/>
    </row>
    <row r="1205" customFormat="false" ht="12.75" hidden="false" customHeight="false" outlineLevel="0" collapsed="false">
      <c r="A1205" s="100"/>
    </row>
    <row r="1206" customFormat="false" ht="12.75" hidden="false" customHeight="false" outlineLevel="0" collapsed="false">
      <c r="A1206" s="100"/>
    </row>
    <row r="1207" customFormat="false" ht="12.75" hidden="false" customHeight="false" outlineLevel="0" collapsed="false">
      <c r="A1207" s="100"/>
    </row>
    <row r="1208" customFormat="false" ht="12.75" hidden="false" customHeight="false" outlineLevel="0" collapsed="false">
      <c r="A1208" s="100"/>
    </row>
    <row r="1209" customFormat="false" ht="12.75" hidden="false" customHeight="false" outlineLevel="0" collapsed="false">
      <c r="A1209" s="100"/>
    </row>
    <row r="1210" customFormat="false" ht="12.75" hidden="false" customHeight="false" outlineLevel="0" collapsed="false">
      <c r="A1210" s="100"/>
    </row>
    <row r="1211" customFormat="false" ht="12.75" hidden="false" customHeight="false" outlineLevel="0" collapsed="false">
      <c r="A1211" s="100"/>
    </row>
    <row r="1212" customFormat="false" ht="12.75" hidden="false" customHeight="false" outlineLevel="0" collapsed="false">
      <c r="A1212" s="100"/>
    </row>
    <row r="1213" customFormat="false" ht="12.75" hidden="false" customHeight="false" outlineLevel="0" collapsed="false">
      <c r="A1213" s="100"/>
    </row>
    <row r="1214" customFormat="false" ht="12.75" hidden="false" customHeight="false" outlineLevel="0" collapsed="false">
      <c r="A1214" s="100"/>
    </row>
    <row r="1215" customFormat="false" ht="12.75" hidden="false" customHeight="false" outlineLevel="0" collapsed="false">
      <c r="A1215" s="100"/>
    </row>
    <row r="1216" customFormat="false" ht="12.75" hidden="false" customHeight="false" outlineLevel="0" collapsed="false">
      <c r="A1216" s="100"/>
    </row>
    <row r="1217" customFormat="false" ht="12.75" hidden="false" customHeight="false" outlineLevel="0" collapsed="false">
      <c r="A1217" s="100"/>
    </row>
    <row r="1218" customFormat="false" ht="12.75" hidden="false" customHeight="false" outlineLevel="0" collapsed="false">
      <c r="A1218" s="100"/>
    </row>
    <row r="1219" customFormat="false" ht="12.75" hidden="false" customHeight="false" outlineLevel="0" collapsed="false">
      <c r="A1219" s="100"/>
    </row>
    <row r="1220" customFormat="false" ht="12.75" hidden="false" customHeight="false" outlineLevel="0" collapsed="false">
      <c r="A1220" s="100"/>
    </row>
    <row r="1221" customFormat="false" ht="12.75" hidden="false" customHeight="false" outlineLevel="0" collapsed="false">
      <c r="A1221" s="100"/>
    </row>
    <row r="1222" customFormat="false" ht="12.75" hidden="false" customHeight="false" outlineLevel="0" collapsed="false">
      <c r="A1222" s="100"/>
    </row>
    <row r="1223" customFormat="false" ht="12.75" hidden="false" customHeight="false" outlineLevel="0" collapsed="false">
      <c r="A1223" s="100"/>
    </row>
    <row r="1224" customFormat="false" ht="12.75" hidden="false" customHeight="false" outlineLevel="0" collapsed="false">
      <c r="A1224" s="100"/>
    </row>
    <row r="1225" customFormat="false" ht="12.75" hidden="false" customHeight="false" outlineLevel="0" collapsed="false">
      <c r="A1225" s="100"/>
    </row>
    <row r="1226" customFormat="false" ht="12.75" hidden="false" customHeight="false" outlineLevel="0" collapsed="false">
      <c r="A1226" s="100"/>
    </row>
    <row r="1227" customFormat="false" ht="12.75" hidden="false" customHeight="false" outlineLevel="0" collapsed="false">
      <c r="A1227" s="100"/>
    </row>
    <row r="1228" customFormat="false" ht="12.75" hidden="false" customHeight="false" outlineLevel="0" collapsed="false">
      <c r="A1228" s="100"/>
    </row>
    <row r="1229" customFormat="false" ht="12.75" hidden="false" customHeight="false" outlineLevel="0" collapsed="false">
      <c r="A1229" s="100"/>
    </row>
    <row r="1230" customFormat="false" ht="12.75" hidden="false" customHeight="false" outlineLevel="0" collapsed="false">
      <c r="A1230" s="100"/>
    </row>
    <row r="1231" customFormat="false" ht="12.75" hidden="false" customHeight="false" outlineLevel="0" collapsed="false">
      <c r="A1231" s="100"/>
    </row>
    <row r="1232" customFormat="false" ht="12.75" hidden="false" customHeight="false" outlineLevel="0" collapsed="false">
      <c r="A1232" s="100"/>
    </row>
    <row r="1233" customFormat="false" ht="12.75" hidden="false" customHeight="false" outlineLevel="0" collapsed="false">
      <c r="A1233" s="100"/>
    </row>
    <row r="1234" customFormat="false" ht="12.75" hidden="false" customHeight="false" outlineLevel="0" collapsed="false">
      <c r="A1234" s="100"/>
    </row>
    <row r="1235" customFormat="false" ht="12.75" hidden="false" customHeight="false" outlineLevel="0" collapsed="false">
      <c r="A1235" s="100"/>
    </row>
    <row r="1236" customFormat="false" ht="12.75" hidden="false" customHeight="false" outlineLevel="0" collapsed="false">
      <c r="A1236" s="100"/>
    </row>
    <row r="1237" customFormat="false" ht="12.75" hidden="false" customHeight="false" outlineLevel="0" collapsed="false">
      <c r="A1237" s="100"/>
    </row>
    <row r="1238" customFormat="false" ht="12.75" hidden="false" customHeight="false" outlineLevel="0" collapsed="false">
      <c r="A1238" s="100"/>
    </row>
    <row r="1239" customFormat="false" ht="12.75" hidden="false" customHeight="false" outlineLevel="0" collapsed="false">
      <c r="A1239" s="100"/>
    </row>
    <row r="1240" customFormat="false" ht="12.75" hidden="false" customHeight="false" outlineLevel="0" collapsed="false">
      <c r="A1240" s="100"/>
    </row>
    <row r="1241" customFormat="false" ht="12.75" hidden="false" customHeight="false" outlineLevel="0" collapsed="false">
      <c r="A1241" s="100"/>
    </row>
    <row r="1242" customFormat="false" ht="12.75" hidden="false" customHeight="false" outlineLevel="0" collapsed="false">
      <c r="A1242" s="100"/>
    </row>
    <row r="1243" customFormat="false" ht="12.75" hidden="false" customHeight="false" outlineLevel="0" collapsed="false">
      <c r="A1243" s="100"/>
    </row>
    <row r="1244" customFormat="false" ht="12.75" hidden="false" customHeight="false" outlineLevel="0" collapsed="false">
      <c r="A1244" s="100"/>
    </row>
    <row r="1245" customFormat="false" ht="12.75" hidden="false" customHeight="false" outlineLevel="0" collapsed="false">
      <c r="A1245" s="100"/>
    </row>
    <row r="1246" customFormat="false" ht="12.75" hidden="false" customHeight="false" outlineLevel="0" collapsed="false">
      <c r="A1246" s="100"/>
    </row>
    <row r="1247" customFormat="false" ht="12.75" hidden="false" customHeight="false" outlineLevel="0" collapsed="false">
      <c r="A1247" s="100"/>
    </row>
    <row r="1248" customFormat="false" ht="12.75" hidden="false" customHeight="false" outlineLevel="0" collapsed="false">
      <c r="A1248" s="100"/>
    </row>
    <row r="1249" customFormat="false" ht="12.75" hidden="false" customHeight="false" outlineLevel="0" collapsed="false">
      <c r="A1249" s="100"/>
    </row>
    <row r="1250" customFormat="false" ht="12.75" hidden="false" customHeight="false" outlineLevel="0" collapsed="false">
      <c r="A1250" s="100"/>
    </row>
    <row r="1251" customFormat="false" ht="12.75" hidden="false" customHeight="false" outlineLevel="0" collapsed="false">
      <c r="A1251" s="100"/>
    </row>
    <row r="1252" customFormat="false" ht="12.75" hidden="false" customHeight="false" outlineLevel="0" collapsed="false">
      <c r="A1252" s="100"/>
    </row>
    <row r="1253" customFormat="false" ht="12.75" hidden="false" customHeight="false" outlineLevel="0" collapsed="false">
      <c r="A1253" s="100"/>
    </row>
    <row r="1254" customFormat="false" ht="12.75" hidden="false" customHeight="false" outlineLevel="0" collapsed="false">
      <c r="A1254" s="100"/>
    </row>
    <row r="1255" customFormat="false" ht="12.75" hidden="false" customHeight="false" outlineLevel="0" collapsed="false">
      <c r="A1255" s="100"/>
    </row>
    <row r="1256" customFormat="false" ht="12.75" hidden="false" customHeight="false" outlineLevel="0" collapsed="false">
      <c r="A1256" s="100"/>
    </row>
    <row r="1257" customFormat="false" ht="12.75" hidden="false" customHeight="false" outlineLevel="0" collapsed="false">
      <c r="A1257" s="100"/>
    </row>
    <row r="1258" customFormat="false" ht="12.75" hidden="false" customHeight="false" outlineLevel="0" collapsed="false">
      <c r="A1258" s="100"/>
    </row>
    <row r="1259" customFormat="false" ht="12.75" hidden="false" customHeight="false" outlineLevel="0" collapsed="false">
      <c r="A1259" s="100"/>
    </row>
    <row r="1260" customFormat="false" ht="12.75" hidden="false" customHeight="false" outlineLevel="0" collapsed="false">
      <c r="A1260" s="100"/>
    </row>
    <row r="1261" customFormat="false" ht="12.75" hidden="false" customHeight="false" outlineLevel="0" collapsed="false">
      <c r="A1261" s="100"/>
    </row>
    <row r="1262" customFormat="false" ht="12.75" hidden="false" customHeight="false" outlineLevel="0" collapsed="false">
      <c r="A1262" s="100"/>
    </row>
    <row r="1263" customFormat="false" ht="12.75" hidden="false" customHeight="false" outlineLevel="0" collapsed="false">
      <c r="A1263" s="100"/>
    </row>
    <row r="1264" customFormat="false" ht="12.75" hidden="false" customHeight="false" outlineLevel="0" collapsed="false">
      <c r="A1264" s="100"/>
    </row>
    <row r="1265" customFormat="false" ht="12.75" hidden="false" customHeight="false" outlineLevel="0" collapsed="false">
      <c r="A1265" s="100"/>
    </row>
    <row r="1266" customFormat="false" ht="12.75" hidden="false" customHeight="false" outlineLevel="0" collapsed="false">
      <c r="A1266" s="100"/>
    </row>
    <row r="1267" customFormat="false" ht="12.75" hidden="false" customHeight="false" outlineLevel="0" collapsed="false">
      <c r="A1267" s="100"/>
    </row>
    <row r="1268" customFormat="false" ht="12.75" hidden="false" customHeight="false" outlineLevel="0" collapsed="false">
      <c r="A1268" s="100"/>
    </row>
    <row r="1269" customFormat="false" ht="12.75" hidden="false" customHeight="false" outlineLevel="0" collapsed="false">
      <c r="A1269" s="100"/>
    </row>
    <row r="1270" customFormat="false" ht="12.75" hidden="false" customHeight="false" outlineLevel="0" collapsed="false">
      <c r="A1270" s="100"/>
    </row>
    <row r="1271" customFormat="false" ht="12.75" hidden="false" customHeight="false" outlineLevel="0" collapsed="false">
      <c r="A1271" s="100"/>
    </row>
    <row r="1272" customFormat="false" ht="12.75" hidden="false" customHeight="false" outlineLevel="0" collapsed="false">
      <c r="A1272" s="100"/>
    </row>
    <row r="1273" customFormat="false" ht="12.75" hidden="false" customHeight="false" outlineLevel="0" collapsed="false">
      <c r="A1273" s="100"/>
    </row>
    <row r="1274" customFormat="false" ht="12.75" hidden="false" customHeight="false" outlineLevel="0" collapsed="false">
      <c r="A1274" s="100"/>
    </row>
    <row r="1275" customFormat="false" ht="12.75" hidden="false" customHeight="false" outlineLevel="0" collapsed="false">
      <c r="A1275" s="100"/>
    </row>
    <row r="1276" customFormat="false" ht="12.75" hidden="false" customHeight="false" outlineLevel="0" collapsed="false">
      <c r="A1276" s="100"/>
    </row>
    <row r="1277" customFormat="false" ht="12.75" hidden="false" customHeight="false" outlineLevel="0" collapsed="false">
      <c r="A1277" s="100"/>
    </row>
    <row r="1278" customFormat="false" ht="12.75" hidden="false" customHeight="false" outlineLevel="0" collapsed="false">
      <c r="A1278" s="100"/>
    </row>
    <row r="1279" customFormat="false" ht="12.75" hidden="false" customHeight="false" outlineLevel="0" collapsed="false">
      <c r="A1279" s="100"/>
    </row>
    <row r="1280" customFormat="false" ht="12.75" hidden="false" customHeight="false" outlineLevel="0" collapsed="false">
      <c r="A1280" s="100"/>
    </row>
    <row r="1281" customFormat="false" ht="12.75" hidden="false" customHeight="false" outlineLevel="0" collapsed="false">
      <c r="A1281" s="100"/>
    </row>
    <row r="1282" customFormat="false" ht="12.75" hidden="false" customHeight="false" outlineLevel="0" collapsed="false">
      <c r="A1282" s="100"/>
    </row>
    <row r="1283" customFormat="false" ht="12.75" hidden="false" customHeight="false" outlineLevel="0" collapsed="false">
      <c r="A1283" s="100"/>
    </row>
    <row r="1284" customFormat="false" ht="12.75" hidden="false" customHeight="false" outlineLevel="0" collapsed="false">
      <c r="A1284" s="100"/>
    </row>
    <row r="1285" customFormat="false" ht="12.75" hidden="false" customHeight="false" outlineLevel="0" collapsed="false">
      <c r="A1285" s="100"/>
    </row>
    <row r="1286" customFormat="false" ht="12.75" hidden="false" customHeight="false" outlineLevel="0" collapsed="false">
      <c r="A1286" s="100"/>
    </row>
    <row r="1287" customFormat="false" ht="12.75" hidden="false" customHeight="false" outlineLevel="0" collapsed="false">
      <c r="A1287" s="100"/>
    </row>
    <row r="1288" customFormat="false" ht="12.75" hidden="false" customHeight="false" outlineLevel="0" collapsed="false">
      <c r="A1288" s="100"/>
    </row>
    <row r="1289" customFormat="false" ht="12.75" hidden="false" customHeight="false" outlineLevel="0" collapsed="false">
      <c r="A1289" s="100"/>
    </row>
    <row r="1290" customFormat="false" ht="12.75" hidden="false" customHeight="false" outlineLevel="0" collapsed="false">
      <c r="A1290" s="100"/>
    </row>
    <row r="1291" customFormat="false" ht="12.75" hidden="false" customHeight="false" outlineLevel="0" collapsed="false">
      <c r="A1291" s="100"/>
    </row>
    <row r="1292" customFormat="false" ht="12.75" hidden="false" customHeight="false" outlineLevel="0" collapsed="false">
      <c r="A1292" s="100"/>
    </row>
    <row r="1293" customFormat="false" ht="12.75" hidden="false" customHeight="false" outlineLevel="0" collapsed="false">
      <c r="A1293" s="100"/>
    </row>
    <row r="1294" customFormat="false" ht="12.75" hidden="false" customHeight="false" outlineLevel="0" collapsed="false">
      <c r="A1294" s="100"/>
    </row>
    <row r="1295" customFormat="false" ht="12.75" hidden="false" customHeight="false" outlineLevel="0" collapsed="false">
      <c r="A1295" s="100"/>
    </row>
    <row r="1296" customFormat="false" ht="12.75" hidden="false" customHeight="false" outlineLevel="0" collapsed="false">
      <c r="A1296" s="100"/>
    </row>
    <row r="1297" customFormat="false" ht="12.75" hidden="false" customHeight="false" outlineLevel="0" collapsed="false">
      <c r="A1297" s="100"/>
    </row>
    <row r="1298" customFormat="false" ht="12.75" hidden="false" customHeight="false" outlineLevel="0" collapsed="false">
      <c r="A1298" s="100"/>
    </row>
    <row r="1299" customFormat="false" ht="12.75" hidden="false" customHeight="false" outlineLevel="0" collapsed="false">
      <c r="A1299" s="100"/>
    </row>
    <row r="1300" customFormat="false" ht="12.75" hidden="false" customHeight="false" outlineLevel="0" collapsed="false">
      <c r="A1300" s="100"/>
    </row>
    <row r="1301" customFormat="false" ht="12.75" hidden="false" customHeight="false" outlineLevel="0" collapsed="false">
      <c r="A1301" s="100"/>
    </row>
    <row r="1302" customFormat="false" ht="12.75" hidden="false" customHeight="false" outlineLevel="0" collapsed="false">
      <c r="A1302" s="100"/>
    </row>
    <row r="1303" customFormat="false" ht="12.75" hidden="false" customHeight="false" outlineLevel="0" collapsed="false">
      <c r="A1303" s="100"/>
    </row>
    <row r="1304" customFormat="false" ht="12.75" hidden="false" customHeight="false" outlineLevel="0" collapsed="false">
      <c r="A1304" s="100"/>
    </row>
    <row r="1305" customFormat="false" ht="12.75" hidden="false" customHeight="false" outlineLevel="0" collapsed="false">
      <c r="A1305" s="100"/>
    </row>
    <row r="1306" customFormat="false" ht="12.75" hidden="false" customHeight="false" outlineLevel="0" collapsed="false">
      <c r="A1306" s="100"/>
    </row>
    <row r="1307" customFormat="false" ht="12.75" hidden="false" customHeight="false" outlineLevel="0" collapsed="false">
      <c r="A1307" s="100"/>
    </row>
    <row r="1308" customFormat="false" ht="12.75" hidden="false" customHeight="false" outlineLevel="0" collapsed="false">
      <c r="A1308" s="100"/>
    </row>
    <row r="1309" customFormat="false" ht="12.75" hidden="false" customHeight="false" outlineLevel="0" collapsed="false">
      <c r="A1309" s="100"/>
    </row>
    <row r="1310" customFormat="false" ht="12.75" hidden="false" customHeight="false" outlineLevel="0" collapsed="false">
      <c r="A1310" s="100"/>
    </row>
    <row r="1311" customFormat="false" ht="12.75" hidden="false" customHeight="false" outlineLevel="0" collapsed="false">
      <c r="A1311" s="100"/>
    </row>
    <row r="1312" customFormat="false" ht="12.75" hidden="false" customHeight="false" outlineLevel="0" collapsed="false">
      <c r="A1312" s="100"/>
    </row>
    <row r="1313" customFormat="false" ht="12.75" hidden="false" customHeight="false" outlineLevel="0" collapsed="false">
      <c r="A1313" s="100"/>
    </row>
    <row r="1314" customFormat="false" ht="12.75" hidden="false" customHeight="false" outlineLevel="0" collapsed="false">
      <c r="A1314" s="100"/>
    </row>
    <row r="1315" customFormat="false" ht="12.75" hidden="false" customHeight="false" outlineLevel="0" collapsed="false">
      <c r="A1315" s="100"/>
    </row>
    <row r="1316" customFormat="false" ht="12.75" hidden="false" customHeight="false" outlineLevel="0" collapsed="false">
      <c r="A1316" s="100"/>
    </row>
    <row r="1317" customFormat="false" ht="12.75" hidden="false" customHeight="false" outlineLevel="0" collapsed="false">
      <c r="A1317" s="100"/>
    </row>
    <row r="1318" customFormat="false" ht="12.75" hidden="false" customHeight="false" outlineLevel="0" collapsed="false">
      <c r="A1318" s="100"/>
    </row>
    <row r="1319" customFormat="false" ht="12.75" hidden="false" customHeight="false" outlineLevel="0" collapsed="false">
      <c r="A1319" s="100"/>
    </row>
    <row r="1320" customFormat="false" ht="12.75" hidden="false" customHeight="false" outlineLevel="0" collapsed="false">
      <c r="A1320" s="100"/>
    </row>
    <row r="1321" customFormat="false" ht="12.75" hidden="false" customHeight="false" outlineLevel="0" collapsed="false">
      <c r="A1321" s="100"/>
    </row>
    <row r="1322" customFormat="false" ht="12.75" hidden="false" customHeight="false" outlineLevel="0" collapsed="false">
      <c r="A1322" s="100"/>
    </row>
    <row r="1323" customFormat="false" ht="12.75" hidden="false" customHeight="false" outlineLevel="0" collapsed="false">
      <c r="A1323" s="100"/>
    </row>
    <row r="1324" customFormat="false" ht="12.75" hidden="false" customHeight="false" outlineLevel="0" collapsed="false">
      <c r="A1324" s="100"/>
    </row>
    <row r="1325" customFormat="false" ht="12.75" hidden="false" customHeight="false" outlineLevel="0" collapsed="false">
      <c r="A1325" s="100"/>
    </row>
    <row r="1326" customFormat="false" ht="12.75" hidden="false" customHeight="false" outlineLevel="0" collapsed="false">
      <c r="A1326" s="100"/>
    </row>
    <row r="1327" customFormat="false" ht="12.75" hidden="false" customHeight="false" outlineLevel="0" collapsed="false">
      <c r="A1327" s="100"/>
    </row>
    <row r="1328" customFormat="false" ht="12.75" hidden="false" customHeight="false" outlineLevel="0" collapsed="false">
      <c r="A1328" s="100"/>
    </row>
    <row r="1329" customFormat="false" ht="12.75" hidden="false" customHeight="false" outlineLevel="0" collapsed="false">
      <c r="A1329" s="100"/>
    </row>
    <row r="1330" customFormat="false" ht="12.75" hidden="false" customHeight="false" outlineLevel="0" collapsed="false">
      <c r="A1330" s="100"/>
    </row>
    <row r="1331" customFormat="false" ht="12.75" hidden="false" customHeight="false" outlineLevel="0" collapsed="false">
      <c r="A1331" s="100"/>
    </row>
    <row r="1332" customFormat="false" ht="12.75" hidden="false" customHeight="false" outlineLevel="0" collapsed="false">
      <c r="A1332" s="100"/>
    </row>
    <row r="1333" customFormat="false" ht="12.75" hidden="false" customHeight="false" outlineLevel="0" collapsed="false">
      <c r="A1333" s="100"/>
    </row>
    <row r="1334" customFormat="false" ht="12.75" hidden="false" customHeight="false" outlineLevel="0" collapsed="false">
      <c r="A1334" s="100"/>
    </row>
    <row r="1335" customFormat="false" ht="12.75" hidden="false" customHeight="false" outlineLevel="0" collapsed="false">
      <c r="A1335" s="100"/>
    </row>
    <row r="1336" customFormat="false" ht="12.75" hidden="false" customHeight="false" outlineLevel="0" collapsed="false">
      <c r="A1336" s="100"/>
    </row>
    <row r="1337" customFormat="false" ht="12.75" hidden="false" customHeight="false" outlineLevel="0" collapsed="false">
      <c r="A1337" s="100"/>
    </row>
    <row r="1338" customFormat="false" ht="12.75" hidden="false" customHeight="false" outlineLevel="0" collapsed="false">
      <c r="A1338" s="100"/>
    </row>
    <row r="1339" customFormat="false" ht="12.75" hidden="false" customHeight="false" outlineLevel="0" collapsed="false">
      <c r="A1339" s="100"/>
    </row>
    <row r="1340" customFormat="false" ht="12.75" hidden="false" customHeight="false" outlineLevel="0" collapsed="false">
      <c r="A1340" s="100"/>
    </row>
    <row r="1341" customFormat="false" ht="12.75" hidden="false" customHeight="false" outlineLevel="0" collapsed="false">
      <c r="A1341" s="100"/>
    </row>
    <row r="1342" customFormat="false" ht="12.75" hidden="false" customHeight="false" outlineLevel="0" collapsed="false">
      <c r="A1342" s="100"/>
    </row>
    <row r="1343" customFormat="false" ht="12.75" hidden="false" customHeight="false" outlineLevel="0" collapsed="false">
      <c r="A1343" s="100"/>
    </row>
    <row r="1344" customFormat="false" ht="12.75" hidden="false" customHeight="false" outlineLevel="0" collapsed="false">
      <c r="A1344" s="100"/>
    </row>
    <row r="1345" customFormat="false" ht="12.75" hidden="false" customHeight="false" outlineLevel="0" collapsed="false">
      <c r="A1345" s="100"/>
    </row>
    <row r="1346" customFormat="false" ht="12.75" hidden="false" customHeight="false" outlineLevel="0" collapsed="false">
      <c r="A1346" s="100"/>
    </row>
    <row r="1347" customFormat="false" ht="12.75" hidden="false" customHeight="false" outlineLevel="0" collapsed="false">
      <c r="A1347" s="100"/>
    </row>
    <row r="1348" customFormat="false" ht="12.75" hidden="false" customHeight="false" outlineLevel="0" collapsed="false">
      <c r="A1348" s="100"/>
    </row>
    <row r="1349" customFormat="false" ht="12.75" hidden="false" customHeight="false" outlineLevel="0" collapsed="false">
      <c r="A1349" s="100"/>
    </row>
    <row r="1350" customFormat="false" ht="12.75" hidden="false" customHeight="false" outlineLevel="0" collapsed="false">
      <c r="A1350" s="100"/>
    </row>
    <row r="1351" customFormat="false" ht="12.75" hidden="false" customHeight="false" outlineLevel="0" collapsed="false">
      <c r="A1351" s="100"/>
    </row>
    <row r="1352" customFormat="false" ht="12.75" hidden="false" customHeight="false" outlineLevel="0" collapsed="false">
      <c r="A1352" s="100"/>
    </row>
    <row r="1353" customFormat="false" ht="12.75" hidden="false" customHeight="false" outlineLevel="0" collapsed="false">
      <c r="A1353" s="100"/>
    </row>
    <row r="1354" customFormat="false" ht="12.75" hidden="false" customHeight="false" outlineLevel="0" collapsed="false">
      <c r="A1354" s="100"/>
    </row>
    <row r="1355" customFormat="false" ht="12.75" hidden="false" customHeight="false" outlineLevel="0" collapsed="false">
      <c r="A1355" s="100"/>
    </row>
    <row r="1356" customFormat="false" ht="12.75" hidden="false" customHeight="false" outlineLevel="0" collapsed="false">
      <c r="A1356" s="100"/>
    </row>
    <row r="1357" customFormat="false" ht="12.75" hidden="false" customHeight="false" outlineLevel="0" collapsed="false">
      <c r="A1357" s="100"/>
    </row>
    <row r="1358" customFormat="false" ht="12.75" hidden="false" customHeight="false" outlineLevel="0" collapsed="false">
      <c r="A1358" s="100"/>
    </row>
    <row r="1359" customFormat="false" ht="12.75" hidden="false" customHeight="false" outlineLevel="0" collapsed="false">
      <c r="A1359" s="100"/>
    </row>
    <row r="1360" customFormat="false" ht="12.75" hidden="false" customHeight="false" outlineLevel="0" collapsed="false">
      <c r="A1360" s="100"/>
    </row>
    <row r="1361" customFormat="false" ht="12.75" hidden="false" customHeight="false" outlineLevel="0" collapsed="false">
      <c r="A1361" s="100"/>
    </row>
    <row r="1362" customFormat="false" ht="12.75" hidden="false" customHeight="false" outlineLevel="0" collapsed="false">
      <c r="A1362" s="100"/>
    </row>
    <row r="1363" customFormat="false" ht="12.75" hidden="false" customHeight="false" outlineLevel="0" collapsed="false">
      <c r="A1363" s="100"/>
    </row>
    <row r="1364" customFormat="false" ht="12.75" hidden="false" customHeight="false" outlineLevel="0" collapsed="false">
      <c r="A1364" s="100"/>
    </row>
    <row r="1365" customFormat="false" ht="12.75" hidden="false" customHeight="false" outlineLevel="0" collapsed="false">
      <c r="A1365" s="100"/>
    </row>
    <row r="1366" customFormat="false" ht="12.75" hidden="false" customHeight="false" outlineLevel="0" collapsed="false">
      <c r="A1366" s="100"/>
    </row>
    <row r="1367" customFormat="false" ht="12.75" hidden="false" customHeight="false" outlineLevel="0" collapsed="false">
      <c r="A1367" s="100"/>
    </row>
    <row r="1368" customFormat="false" ht="12.75" hidden="false" customHeight="false" outlineLevel="0" collapsed="false">
      <c r="A1368" s="100"/>
    </row>
    <row r="1369" customFormat="false" ht="12.75" hidden="false" customHeight="false" outlineLevel="0" collapsed="false">
      <c r="A1369" s="1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70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0" topLeftCell="B1" activePane="topRight" state="frozen"/>
      <selection pane="topLeft" activeCell="A1" activeCellId="0" sqref="A1"/>
      <selection pane="topRight" activeCell="D15" activeCellId="0" sqref="D1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7.85"/>
    <col collapsed="false" customWidth="true" hidden="false" outlineLevel="0" max="2" min="2" style="80" width="3.56"/>
    <col collapsed="false" customWidth="true" hidden="false" outlineLevel="0" max="3" min="3" style="80" width="7.99"/>
    <col collapsed="false" customWidth="true" hidden="false" outlineLevel="0" max="4" min="4" style="80" width="6.99"/>
    <col collapsed="false" customWidth="true" hidden="false" outlineLevel="0" max="5" min="5" style="80" width="9.56"/>
    <col collapsed="false" customWidth="true" hidden="false" outlineLevel="0" max="6" min="6" style="14" width="6.56"/>
    <col collapsed="false" customWidth="true" hidden="false" outlineLevel="0" max="7" min="7" style="107" width="7.14"/>
    <col collapsed="false" customWidth="true" hidden="false" outlineLevel="0" max="9" min="8" style="14" width="7.85"/>
    <col collapsed="false" customWidth="true" hidden="false" outlineLevel="0" max="10" min="10" style="14" width="9.28"/>
    <col collapsed="false" customWidth="true" hidden="false" outlineLevel="0" max="11" min="11" style="14" width="9.7"/>
    <col collapsed="false" customWidth="true" hidden="false" outlineLevel="0" max="12" min="12" style="14" width="8.41"/>
    <col collapsed="false" customWidth="true" hidden="false" outlineLevel="0" max="13" min="13" style="14" width="11.13"/>
    <col collapsed="false" customWidth="true" hidden="false" outlineLevel="0" max="14" min="14" style="14" width="5.85"/>
    <col collapsed="false" customWidth="true" hidden="false" outlineLevel="0" max="15" min="15" style="14" width="8.99"/>
    <col collapsed="false" customWidth="true" hidden="false" outlineLevel="0" max="16" min="16" style="14" width="11.13"/>
    <col collapsed="false" customWidth="true" hidden="false" outlineLevel="0" max="17" min="17" style="14" width="8.28"/>
    <col collapsed="false" customWidth="true" hidden="false" outlineLevel="0" max="18" min="18" style="14" width="9.7"/>
    <col collapsed="false" customWidth="true" hidden="false" outlineLevel="0" max="19" min="19" style="108" width="9.7"/>
    <col collapsed="false" customWidth="true" hidden="false" outlineLevel="0" max="21" min="20" style="14" width="9.7"/>
    <col collapsed="false" customWidth="true" hidden="false" outlineLevel="0" max="22" min="22" style="109" width="9.7"/>
    <col collapsed="false" customWidth="true" hidden="false" outlineLevel="0" max="23" min="23" style="14" width="9.7"/>
    <col collapsed="false" customWidth="true" hidden="false" outlineLevel="0" max="24" min="24" style="107" width="6.99"/>
    <col collapsed="false" customWidth="true" hidden="false" outlineLevel="0" max="25" min="25" style="14" width="10.13"/>
    <col collapsed="false" customWidth="true" hidden="false" outlineLevel="0" max="26" min="26" style="14" width="10.85"/>
    <col collapsed="false" customWidth="true" hidden="false" outlineLevel="0" max="27" min="27" style="14" width="8.56"/>
    <col collapsed="false" customWidth="true" hidden="false" outlineLevel="0" max="28" min="28" style="80" width="8.41"/>
    <col collapsed="false" customWidth="true" hidden="false" outlineLevel="0" max="29" min="29" style="80" width="9.28"/>
    <col collapsed="false" customWidth="true" hidden="false" outlineLevel="0" max="30" min="30" style="110" width="15.99"/>
    <col collapsed="false" customWidth="true" hidden="false" outlineLevel="0" max="31" min="31" style="80" width="15.7"/>
    <col collapsed="false" customWidth="true" hidden="false" outlineLevel="0" max="32" min="32" style="80" width="10.13"/>
    <col collapsed="false" customWidth="false" hidden="false" outlineLevel="0" max="33" min="33" style="80" width="9.14"/>
    <col collapsed="false" customWidth="true" hidden="false" outlineLevel="0" max="35" min="34" style="80" width="9.56"/>
    <col collapsed="false" customWidth="true" hidden="false" outlineLevel="0" max="36" min="36" style="80" width="15.99"/>
    <col collapsed="false" customWidth="true" hidden="false" outlineLevel="0" max="37" min="37" style="80" width="10.41"/>
    <col collapsed="false" customWidth="false" hidden="false" outlineLevel="0" max="39" min="38" style="14" width="9.14"/>
    <col collapsed="false" customWidth="true" hidden="false" outlineLevel="0" max="40" min="40" style="14" width="12.28"/>
    <col collapsed="false" customWidth="true" hidden="false" outlineLevel="0" max="41" min="41" style="14" width="10.56"/>
    <col collapsed="false" customWidth="true" hidden="false" outlineLevel="0" max="42" min="42" style="14" width="9.85"/>
    <col collapsed="false" customWidth="true" hidden="false" outlineLevel="0" max="43" min="43" style="14" width="11.13"/>
    <col collapsed="false" customWidth="true" hidden="false" outlineLevel="0" max="44" min="44" style="14" width="9.85"/>
    <col collapsed="false" customWidth="true" hidden="false" outlineLevel="0" max="45" min="45" style="14" width="12.56"/>
    <col collapsed="false" customWidth="true" hidden="false" outlineLevel="0" max="46" min="46" style="14" width="13.28"/>
    <col collapsed="false" customWidth="true" hidden="false" outlineLevel="0" max="47" min="47" style="14" width="8.99"/>
    <col collapsed="false" customWidth="true" hidden="false" outlineLevel="0" max="48" min="48" style="14" width="9.28"/>
    <col collapsed="false" customWidth="true" hidden="false" outlineLevel="0" max="54" min="49" style="14" width="8.99"/>
    <col collapsed="false" customWidth="false" hidden="false" outlineLevel="0" max="56" min="55" style="14" width="9.14"/>
    <col collapsed="false" customWidth="true" hidden="false" outlineLevel="0" max="57" min="57" style="14" width="12.85"/>
    <col collapsed="false" customWidth="true" hidden="false" outlineLevel="0" max="58" min="58" style="14" width="17.42"/>
    <col collapsed="false" customWidth="true" hidden="false" outlineLevel="0" max="59" min="59" style="14" width="11.85"/>
    <col collapsed="false" customWidth="false" hidden="false" outlineLevel="0" max="60" min="60" style="14" width="9.14"/>
    <col collapsed="false" customWidth="true" hidden="false" outlineLevel="0" max="61" min="61" style="14" width="12.99"/>
    <col collapsed="false" customWidth="false" hidden="false" outlineLevel="0" max="67" min="62" style="14" width="9.14"/>
    <col collapsed="false" customWidth="true" hidden="false" outlineLevel="0" max="68" min="68" style="14" width="14.41"/>
    <col collapsed="false" customWidth="true" hidden="false" outlineLevel="0" max="69" min="69" style="14" width="10.71"/>
    <col collapsed="false" customWidth="true" hidden="false" outlineLevel="0" max="70" min="70" style="14" width="10.85"/>
    <col collapsed="false" customWidth="true" hidden="false" outlineLevel="0" max="71" min="71" style="14" width="13.7"/>
    <col collapsed="false" customWidth="false" hidden="false" outlineLevel="0" max="257" min="72" style="14" width="9.14"/>
  </cols>
  <sheetData>
    <row r="1" customFormat="false" ht="12.75" hidden="false" customHeight="true" outlineLevel="0" collapsed="false">
      <c r="A1" s="111"/>
      <c r="B1" s="111"/>
      <c r="C1" s="112"/>
      <c r="D1" s="113"/>
      <c r="E1" s="113"/>
      <c r="F1" s="114" t="n">
        <f aca="false">DAY(EOMONTH(G1,0))</f>
        <v>31</v>
      </c>
      <c r="G1" s="115" t="n">
        <f aca="false">A11</f>
        <v>37165</v>
      </c>
      <c r="H1" s="116"/>
      <c r="I1" s="117"/>
      <c r="J1" s="118" t="n">
        <v>345</v>
      </c>
      <c r="K1" s="118"/>
      <c r="L1" s="119"/>
      <c r="M1" s="119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 t="s">
        <v>68</v>
      </c>
      <c r="AL1" s="120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 t="s">
        <v>68</v>
      </c>
    </row>
    <row r="2" customFormat="false" ht="12.75" hidden="false" customHeight="true" outlineLevel="0" collapsed="false">
      <c r="A2" s="111"/>
      <c r="B2" s="120"/>
      <c r="C2" s="122"/>
      <c r="D2" s="123"/>
      <c r="E2" s="124" t="n">
        <f aca="false">BE9</f>
        <v>100.23274067</v>
      </c>
      <c r="F2" s="125" t="s">
        <v>69</v>
      </c>
      <c r="G2" s="126" t="s">
        <v>70</v>
      </c>
      <c r="H2" s="127" t="n">
        <v>20.07</v>
      </c>
      <c r="I2" s="128" t="n">
        <f aca="false">-2-1-1-0.5-1.5-2</f>
        <v>-8</v>
      </c>
      <c r="J2" s="128" t="n">
        <f aca="false">J1/31</f>
        <v>11.1290322580645</v>
      </c>
      <c r="K2" s="129" t="n">
        <v>-0.5</v>
      </c>
      <c r="L2" s="119"/>
      <c r="M2" s="130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31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2"/>
      <c r="IW2" s="132"/>
    </row>
    <row r="3" customFormat="false" ht="12.75" hidden="false" customHeight="false" outlineLevel="0" collapsed="false">
      <c r="A3" s="133" t="n">
        <f aca="false">BQ5</f>
        <v>37158</v>
      </c>
      <c r="B3" s="122"/>
      <c r="C3" s="134" t="s">
        <v>71</v>
      </c>
      <c r="D3" s="135" t="n">
        <v>12</v>
      </c>
      <c r="E3" s="136" t="n">
        <f aca="false">BF9</f>
        <v>-17216.14222595</v>
      </c>
      <c r="F3" s="137" t="n">
        <f aca="false">SUM(G3:K3)</f>
        <v>662.47</v>
      </c>
      <c r="G3" s="137" t="n">
        <v>-41.2</v>
      </c>
      <c r="H3" s="137" t="n">
        <f aca="false">$F$1*H2</f>
        <v>622.17</v>
      </c>
      <c r="I3" s="137" t="n">
        <f aca="false">$F$1*I2</f>
        <v>-248</v>
      </c>
      <c r="J3" s="137" t="n">
        <f aca="false">$F$1*J2</f>
        <v>345</v>
      </c>
      <c r="K3" s="137" t="n">
        <f aca="false">$F$1*K2</f>
        <v>-15.5</v>
      </c>
      <c r="L3" s="119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31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</row>
    <row r="4" customFormat="false" ht="12.75" hidden="false" customHeight="false" outlineLevel="0" collapsed="false">
      <c r="A4" s="138" t="str">
        <f aca="false">IF((Today-A3)&gt;4,"Get Rates","")</f>
        <v>Get Rates</v>
      </c>
      <c r="B4" s="122"/>
      <c r="C4" s="139" t="s">
        <v>72</v>
      </c>
      <c r="D4" s="135" t="n">
        <f aca="false">D3*30.5</f>
        <v>366</v>
      </c>
      <c r="E4" s="140" t="n">
        <f aca="false">SUM(D11:D309)</f>
        <v>3816.49999999972</v>
      </c>
      <c r="F4" s="125" t="s">
        <v>73</v>
      </c>
      <c r="G4" s="141"/>
      <c r="H4" s="118"/>
      <c r="I4" s="142"/>
      <c r="J4" s="118"/>
      <c r="K4" s="118"/>
      <c r="L4" s="119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31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43" t="s">
        <v>74</v>
      </c>
      <c r="BQ4" s="144"/>
      <c r="BR4" s="144"/>
      <c r="BS4" s="144"/>
      <c r="BT4" s="120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</row>
    <row r="5" customFormat="false" ht="15.75" hidden="false" customHeight="false" outlineLevel="0" collapsed="false">
      <c r="A5" s="145" t="s">
        <v>75</v>
      </c>
      <c r="B5" s="122"/>
      <c r="C5" s="139" t="s">
        <v>76</v>
      </c>
      <c r="D5" s="135" t="n">
        <f aca="false">D4*12</f>
        <v>4392</v>
      </c>
      <c r="E5" s="140" t="n">
        <f aca="false">settlecheck</f>
        <v>-3.81649999999972</v>
      </c>
      <c r="F5" s="137" t="n">
        <f aca="false">SUM(G5:K5)</f>
        <v>661.67</v>
      </c>
      <c r="G5" s="146" t="n">
        <v>-73</v>
      </c>
      <c r="H5" s="137" t="n">
        <f aca="false">H3</f>
        <v>622.17</v>
      </c>
      <c r="I5" s="146" t="n">
        <f aca="false">F1*I6</f>
        <v>-217</v>
      </c>
      <c r="J5" s="137" t="n">
        <f aca="false">J3</f>
        <v>345</v>
      </c>
      <c r="K5" s="137" t="n">
        <f aca="false">K3</f>
        <v>-15.5</v>
      </c>
      <c r="L5" s="120"/>
      <c r="M5" s="120"/>
      <c r="N5" s="120"/>
      <c r="O5" s="120"/>
      <c r="P5" s="147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48" t="e">
        <f aca="false">AI9/AC9</f>
        <v>#VALUE!</v>
      </c>
      <c r="AJ5" s="149" t="e">
        <f aca="false">AJ9/AE9</f>
        <v>#VALUE!</v>
      </c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31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43" t="s">
        <v>77</v>
      </c>
      <c r="BQ5" s="150" t="n">
        <v>37158</v>
      </c>
      <c r="BR5" s="150" t="n">
        <v>37158</v>
      </c>
      <c r="BS5" s="150" t="n">
        <v>37158</v>
      </c>
      <c r="BT5" s="120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</row>
    <row r="6" customFormat="false" ht="15.75" hidden="false" customHeight="false" outlineLevel="0" collapsed="false">
      <c r="A6" s="120" t="n">
        <v>53611</v>
      </c>
      <c r="B6" s="120"/>
      <c r="C6" s="151" t="s">
        <v>78</v>
      </c>
      <c r="D6" s="152" t="n">
        <f aca="false">E6+E7</f>
        <v>-831.5</v>
      </c>
      <c r="E6" s="153" t="n">
        <f aca="false">SUM(F6:H6)</f>
        <v>-998</v>
      </c>
      <c r="F6" s="153" t="n">
        <v>-1438</v>
      </c>
      <c r="G6" s="153" t="n">
        <f aca="false">5+295+200</f>
        <v>500</v>
      </c>
      <c r="H6" s="153" t="n">
        <v>-60</v>
      </c>
      <c r="I6" s="154" t="n">
        <f aca="false">-2-1-0.5-1.5-2</f>
        <v>-7</v>
      </c>
      <c r="J6" s="153"/>
      <c r="K6" s="120"/>
      <c r="L6" s="120" t="n">
        <f aca="false">19375959-17945200</f>
        <v>1430759</v>
      </c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55"/>
      <c r="AE6" s="155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31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43" t="s">
        <v>79</v>
      </c>
      <c r="BQ6" s="150" t="n">
        <v>37165</v>
      </c>
      <c r="BR6" s="150" t="n">
        <v>37165</v>
      </c>
      <c r="BS6" s="150" t="n">
        <v>37165</v>
      </c>
      <c r="BT6" s="120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</row>
    <row r="7" customFormat="false" ht="16.5" hidden="false" customHeight="true" outlineLevel="0" collapsed="false">
      <c r="A7" s="120" t="s">
        <v>80</v>
      </c>
      <c r="B7" s="120"/>
      <c r="C7" s="156" t="n">
        <v>37165</v>
      </c>
      <c r="D7" s="157" t="n">
        <f aca="false">(INDEX(fly,MATCH(C7,flymonth,0),3)-INDEX(fly,MATCH(C8,flymonth,0),3))-(INDEX(fly,MATCH(C8,flymonth,0),3)-INDEX(fly,MATCH(C9,flymonth,0),3))</f>
        <v>0.0150000000000003</v>
      </c>
      <c r="E7" s="158" t="n">
        <f aca="false">F7/2</f>
        <v>166.5</v>
      </c>
      <c r="F7" s="153" t="n">
        <v>333</v>
      </c>
      <c r="G7" s="153"/>
      <c r="H7" s="120" t="n">
        <f aca="false">0.355+0.3875</f>
        <v>0.7425</v>
      </c>
      <c r="I7" s="159" t="s">
        <v>81</v>
      </c>
      <c r="J7" s="160"/>
      <c r="K7" s="120"/>
      <c r="L7" s="120" t="n">
        <f aca="false">169+169+99+59</f>
        <v>496</v>
      </c>
      <c r="M7" s="120" t="n">
        <f aca="false">169+99+59</f>
        <v>327</v>
      </c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61"/>
      <c r="Z7" s="161"/>
      <c r="AA7" s="161"/>
      <c r="AB7" s="162"/>
      <c r="AC7" s="162"/>
      <c r="AD7" s="163"/>
      <c r="AE7" s="163"/>
      <c r="AF7" s="164"/>
      <c r="AG7" s="165"/>
      <c r="AH7" s="166"/>
      <c r="AI7" s="162"/>
      <c r="AJ7" s="163"/>
      <c r="AK7" s="161"/>
      <c r="AL7" s="120"/>
      <c r="AM7" s="167"/>
      <c r="AN7" s="167"/>
      <c r="AO7" s="168"/>
      <c r="AP7" s="169"/>
      <c r="AQ7" s="169"/>
      <c r="AR7" s="169"/>
      <c r="AS7" s="169"/>
      <c r="AT7" s="169"/>
      <c r="AU7" s="169"/>
      <c r="AV7" s="169"/>
      <c r="AW7" s="169"/>
      <c r="AX7" s="169"/>
      <c r="AY7" s="120"/>
      <c r="AZ7" s="120"/>
      <c r="BA7" s="120"/>
      <c r="BB7" s="131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43" t="s">
        <v>82</v>
      </c>
      <c r="BQ7" s="143" t="s">
        <v>83</v>
      </c>
      <c r="BR7" s="143" t="s">
        <v>83</v>
      </c>
      <c r="BS7" s="143" t="s">
        <v>84</v>
      </c>
      <c r="BT7" s="120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</row>
    <row r="8" customFormat="false" ht="15" hidden="false" customHeight="false" outlineLevel="0" collapsed="false">
      <c r="A8" s="170" t="s">
        <v>85</v>
      </c>
      <c r="B8" s="167"/>
      <c r="C8" s="156" t="n">
        <v>37196</v>
      </c>
      <c r="D8" s="157" t="n">
        <f aca="false">(INDEX(fly,MATCH(C7,flymonth,0),5)-INDEX(fly,MATCH(C8,flymonth,0),5))-(INDEX(fly,MATCH(C8,flymonth,0),5)-INDEX(fly,MATCH(C9,flymonth,0),5))</f>
        <v>0.0130000000000003</v>
      </c>
      <c r="E8" s="171" t="n">
        <f aca="false">E9-E10</f>
        <v>0.044999999999999</v>
      </c>
      <c r="F8" s="171" t="n">
        <f aca="false">F9-F10</f>
        <v>0.0456666666666665</v>
      </c>
      <c r="G8" s="172"/>
      <c r="H8" s="173"/>
      <c r="I8" s="174" t="n">
        <f aca="false">Front!Q3+0.001</f>
        <v>2.82358146708398</v>
      </c>
      <c r="J8" s="159"/>
      <c r="K8" s="175" t="s">
        <v>86</v>
      </c>
      <c r="L8" s="167" t="n">
        <f aca="false">L7/4</f>
        <v>124</v>
      </c>
      <c r="M8" s="167" t="n">
        <f aca="false">M7/3</f>
        <v>109</v>
      </c>
      <c r="N8" s="167"/>
      <c r="O8" s="175"/>
      <c r="P8" s="167"/>
      <c r="Q8" s="167"/>
      <c r="R8" s="167"/>
      <c r="S8" s="175"/>
      <c r="T8" s="167"/>
      <c r="U8" s="167"/>
      <c r="V8" s="167"/>
      <c r="W8" s="175"/>
      <c r="X8" s="167"/>
      <c r="Y8" s="161" t="s">
        <v>87</v>
      </c>
      <c r="Z8" s="161" t="s">
        <v>88</v>
      </c>
      <c r="AA8" s="161" t="s">
        <v>42</v>
      </c>
      <c r="AB8" s="162" t="s">
        <v>89</v>
      </c>
      <c r="AC8" s="162" t="s">
        <v>90</v>
      </c>
      <c r="AD8" s="163" t="s">
        <v>91</v>
      </c>
      <c r="AE8" s="163" t="s">
        <v>92</v>
      </c>
      <c r="AF8" s="164" t="s">
        <v>93</v>
      </c>
      <c r="AG8" s="165" t="s">
        <v>94</v>
      </c>
      <c r="AH8" s="166" t="s">
        <v>46</v>
      </c>
      <c r="AI8" s="162" t="s">
        <v>95</v>
      </c>
      <c r="AJ8" s="163" t="s">
        <v>92</v>
      </c>
      <c r="AK8" s="161" t="s">
        <v>96</v>
      </c>
      <c r="AL8" s="120"/>
      <c r="AM8" s="167"/>
      <c r="AN8" s="167"/>
      <c r="AO8" s="167"/>
      <c r="AP8" s="176"/>
      <c r="AQ8" s="177" t="n">
        <v>-0.01</v>
      </c>
      <c r="AR8" s="177" t="n">
        <v>-0.01</v>
      </c>
      <c r="AS8" s="176"/>
      <c r="AT8" s="176"/>
      <c r="AU8" s="176"/>
      <c r="AV8" s="176"/>
      <c r="AW8" s="176"/>
      <c r="AX8" s="176"/>
      <c r="AY8" s="176"/>
      <c r="AZ8" s="176"/>
      <c r="BA8" s="176"/>
      <c r="BB8" s="120"/>
      <c r="BC8" s="120"/>
      <c r="BD8" s="178"/>
      <c r="BE8" s="178"/>
      <c r="BF8" s="179" t="n">
        <f aca="false">SUM(BF11:BF242)</f>
        <v>-17216.14222595</v>
      </c>
      <c r="BG8" s="178" t="s">
        <v>97</v>
      </c>
      <c r="BH8" s="167"/>
      <c r="BI8" s="167"/>
      <c r="BJ8" s="167"/>
      <c r="BK8" s="167"/>
      <c r="BL8" s="167"/>
      <c r="BM8" s="167"/>
      <c r="BN8" s="167"/>
      <c r="BO8" s="167"/>
      <c r="BP8" s="180" t="s">
        <v>98</v>
      </c>
      <c r="BQ8" s="180" t="s">
        <v>99</v>
      </c>
      <c r="BR8" s="180" t="s">
        <v>100</v>
      </c>
      <c r="BS8" s="180" t="s">
        <v>101</v>
      </c>
      <c r="BT8" s="167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5.75" hidden="false" customHeight="false" outlineLevel="0" collapsed="false">
      <c r="A9" s="182" t="n">
        <v>5034643732</v>
      </c>
      <c r="B9" s="182"/>
      <c r="C9" s="156" t="n">
        <v>37226</v>
      </c>
      <c r="D9" s="157" t="n">
        <f aca="false">D7-D8</f>
        <v>0.002</v>
      </c>
      <c r="E9" s="183" t="n">
        <f aca="false">AVERAGE(E14:E16)</f>
        <v>2.873</v>
      </c>
      <c r="F9" s="183" t="n">
        <f aca="false">AVERAGE(C14:C16)</f>
        <v>2.88266666666667</v>
      </c>
      <c r="G9" s="172"/>
      <c r="H9" s="155"/>
      <c r="I9" s="174" t="n">
        <f aca="false">Front!Q4+0.001</f>
        <v>3.00387194329123</v>
      </c>
      <c r="J9" s="159"/>
      <c r="K9" s="175" t="s">
        <v>102</v>
      </c>
      <c r="L9" s="167"/>
      <c r="M9" s="167"/>
      <c r="N9" s="167"/>
      <c r="O9" s="167"/>
      <c r="P9" s="167"/>
      <c r="Q9" s="172" t="n">
        <f aca="false">-AVERAGE(Q10:Q14)</f>
        <v>-3.419</v>
      </c>
      <c r="R9" s="167"/>
      <c r="S9" s="167"/>
      <c r="T9" s="167"/>
      <c r="U9" s="167"/>
      <c r="V9" s="167"/>
      <c r="W9" s="167"/>
      <c r="X9" s="167"/>
      <c r="Y9" s="184" t="s">
        <v>103</v>
      </c>
      <c r="Z9" s="184" t="s">
        <v>47</v>
      </c>
      <c r="AA9" s="161" t="s">
        <v>62</v>
      </c>
      <c r="AB9" s="185" t="e">
        <f aca="false">SUM(AB11:AB253)</f>
        <v>#VALUE!</v>
      </c>
      <c r="AC9" s="186" t="e">
        <f aca="false">SUM(AC11:AC253)</f>
        <v>#VALUE!</v>
      </c>
      <c r="AD9" s="187" t="n">
        <f aca="false">SUM(AD11:AD253)</f>
        <v>0</v>
      </c>
      <c r="AE9" s="188" t="e">
        <f aca="false">SUM(AE11:AE253)</f>
        <v>#VALUE!</v>
      </c>
      <c r="AF9" s="189" t="n">
        <f aca="false">Today-1-IF(WEEKDAY(Today)&lt;3,WEEKDAY(Today),0)</f>
        <v>45925</v>
      </c>
      <c r="AG9" s="190" t="n">
        <v>0</v>
      </c>
      <c r="AH9" s="178"/>
      <c r="AI9" s="191" t="e">
        <f aca="false">SUM(AI11:AI253)</f>
        <v>#VALUE!</v>
      </c>
      <c r="AJ9" s="192" t="e">
        <f aca="false">SUM(AJ11:AJ253)</f>
        <v>#VALUE!</v>
      </c>
      <c r="AK9" s="193" t="e">
        <f aca="false">SUM(AK11:AK253)</f>
        <v>#VALUE!</v>
      </c>
      <c r="AL9" s="120"/>
      <c r="AM9" s="167"/>
      <c r="AN9" s="194" t="n">
        <f aca="false">SUM(AN11:AN304)</f>
        <v>0</v>
      </c>
      <c r="AO9" s="194" t="n">
        <f aca="false">SUM(AO11:AO304)/10000</f>
        <v>0</v>
      </c>
      <c r="AP9" s="194" t="n">
        <f aca="false">SUM(AP11:AP304)/10000</f>
        <v>0</v>
      </c>
      <c r="AQ9" s="194" t="n">
        <f aca="false">SUM(AQ11:AQ304)/10000</f>
        <v>0</v>
      </c>
      <c r="AR9" s="194" t="n">
        <f aca="false">SUM(AR11:AR304)/10000</f>
        <v>0</v>
      </c>
      <c r="AS9" s="194" t="n">
        <f aca="false">SUM(AS11:AS304)/10000</f>
        <v>0</v>
      </c>
      <c r="AT9" s="194" t="n">
        <f aca="false">SUM(AT11:AT304)/10000</f>
        <v>0</v>
      </c>
      <c r="AU9" s="194" t="n">
        <f aca="false">SUM(AU11:AU304)/10000</f>
        <v>0</v>
      </c>
      <c r="AV9" s="194" t="n">
        <f aca="false">SUM(AV11:AV304)/10000</f>
        <v>0</v>
      </c>
      <c r="AW9" s="194" t="n">
        <f aca="false">SUM(AW11:AW304)/10000</f>
        <v>0</v>
      </c>
      <c r="AX9" s="194" t="n">
        <f aca="false">SUM(AX11:AX304)/10000</f>
        <v>0</v>
      </c>
      <c r="AY9" s="194" t="n">
        <f aca="false">SUM(AY11:AY304)/10000</f>
        <v>0</v>
      </c>
      <c r="AZ9" s="194" t="n">
        <f aca="false">SUM(AZ11:AZ304)/10000</f>
        <v>0</v>
      </c>
      <c r="BA9" s="194" t="n">
        <f aca="false">SUM(BA11:BA304)/10000</f>
        <v>0</v>
      </c>
      <c r="BB9" s="120"/>
      <c r="BC9" s="120"/>
      <c r="BD9" s="195" t="n">
        <f aca="false">SUM(BD11:BD304)</f>
        <v>-3.81649999999972</v>
      </c>
      <c r="BE9" s="196" t="n">
        <f aca="false">SUM(BE11:BE304)</f>
        <v>100.23274067</v>
      </c>
      <c r="BF9" s="179" t="n">
        <f aca="false">SUM(BF11:BF504)</f>
        <v>-17216.14222595</v>
      </c>
      <c r="BG9" s="178" t="s">
        <v>104</v>
      </c>
      <c r="BH9" s="167"/>
      <c r="BI9" s="167"/>
      <c r="BJ9" s="167"/>
      <c r="BK9" s="167"/>
      <c r="BL9" s="167"/>
      <c r="BM9" s="167"/>
      <c r="BN9" s="167"/>
      <c r="BO9" s="167"/>
      <c r="BP9" s="180" t="s">
        <v>105</v>
      </c>
      <c r="BQ9" s="180" t="s">
        <v>106</v>
      </c>
      <c r="BR9" s="180" t="s">
        <v>106</v>
      </c>
      <c r="BS9" s="180" t="s">
        <v>107</v>
      </c>
      <c r="BT9" s="167"/>
      <c r="BU9" s="181"/>
      <c r="BV9" s="181"/>
      <c r="BW9" s="181"/>
      <c r="BX9" s="181"/>
      <c r="BY9" s="181"/>
      <c r="BZ9" s="181"/>
      <c r="CA9" s="181"/>
      <c r="CB9" s="181"/>
      <c r="CC9" s="181"/>
      <c r="CD9" s="181"/>
      <c r="CE9" s="181"/>
      <c r="CF9" s="181"/>
      <c r="CG9" s="181"/>
      <c r="CH9" s="181"/>
      <c r="CI9" s="181"/>
      <c r="CJ9" s="181"/>
      <c r="CK9" s="181"/>
      <c r="CL9" s="181"/>
      <c r="CM9" s="181"/>
      <c r="CN9" s="181"/>
      <c r="CO9" s="181"/>
      <c r="CP9" s="181"/>
      <c r="CQ9" s="181"/>
      <c r="CR9" s="181"/>
      <c r="CS9" s="181"/>
      <c r="CT9" s="181"/>
      <c r="CU9" s="181"/>
      <c r="CV9" s="181"/>
      <c r="CW9" s="181"/>
      <c r="CX9" s="181"/>
      <c r="CY9" s="181"/>
      <c r="CZ9" s="181"/>
      <c r="DA9" s="181"/>
      <c r="DB9" s="181"/>
      <c r="DC9" s="181"/>
      <c r="DD9" s="181"/>
      <c r="DE9" s="181"/>
      <c r="DF9" s="181"/>
      <c r="DG9" s="181"/>
      <c r="DH9" s="181"/>
      <c r="DI9" s="181"/>
      <c r="DJ9" s="181"/>
      <c r="DK9" s="181"/>
      <c r="DL9" s="181"/>
      <c r="DM9" s="181"/>
      <c r="DN9" s="181"/>
      <c r="DO9" s="181"/>
      <c r="DP9" s="181"/>
      <c r="DQ9" s="181"/>
      <c r="DR9" s="181"/>
      <c r="DS9" s="181"/>
      <c r="DT9" s="181"/>
      <c r="DU9" s="181"/>
      <c r="DV9" s="181"/>
      <c r="DW9" s="181"/>
      <c r="DX9" s="181"/>
      <c r="DY9" s="181"/>
      <c r="DZ9" s="181"/>
      <c r="EA9" s="181"/>
      <c r="EB9" s="181"/>
      <c r="EC9" s="181"/>
      <c r="ED9" s="181"/>
      <c r="EE9" s="181"/>
      <c r="EF9" s="181"/>
      <c r="EG9" s="181"/>
      <c r="EH9" s="181"/>
      <c r="EI9" s="181"/>
      <c r="EJ9" s="181"/>
      <c r="EK9" s="181"/>
      <c r="EL9" s="181"/>
      <c r="EM9" s="181"/>
      <c r="EN9" s="181"/>
      <c r="EO9" s="181"/>
      <c r="EP9" s="181"/>
      <c r="EQ9" s="181"/>
      <c r="ER9" s="181"/>
      <c r="ES9" s="181"/>
      <c r="ET9" s="181"/>
      <c r="EU9" s="181"/>
      <c r="EV9" s="181"/>
      <c r="EW9" s="181"/>
      <c r="EX9" s="181"/>
      <c r="EY9" s="181"/>
      <c r="EZ9" s="181"/>
      <c r="FA9" s="181"/>
      <c r="FB9" s="181"/>
      <c r="FC9" s="181"/>
      <c r="FD9" s="181"/>
      <c r="FE9" s="181"/>
      <c r="FF9" s="181"/>
      <c r="FG9" s="181"/>
      <c r="FH9" s="181"/>
      <c r="FI9" s="181"/>
      <c r="FJ9" s="181"/>
      <c r="FK9" s="181"/>
      <c r="FL9" s="181"/>
      <c r="FM9" s="181"/>
      <c r="FN9" s="181"/>
      <c r="FO9" s="181"/>
      <c r="FP9" s="181"/>
      <c r="FQ9" s="181"/>
      <c r="FR9" s="181"/>
      <c r="FS9" s="181"/>
      <c r="FT9" s="181"/>
      <c r="FU9" s="181"/>
      <c r="FV9" s="181"/>
      <c r="FW9" s="181"/>
      <c r="FX9" s="181"/>
      <c r="FY9" s="181"/>
      <c r="FZ9" s="181"/>
      <c r="GA9" s="181"/>
      <c r="GB9" s="181"/>
      <c r="GC9" s="181"/>
      <c r="GD9" s="181"/>
      <c r="GE9" s="181"/>
      <c r="GF9" s="181"/>
      <c r="GG9" s="181"/>
      <c r="GH9" s="181"/>
      <c r="GI9" s="181"/>
      <c r="GJ9" s="181"/>
      <c r="GK9" s="181"/>
      <c r="GL9" s="181"/>
      <c r="GM9" s="181"/>
      <c r="GN9" s="181"/>
      <c r="GO9" s="181"/>
      <c r="GP9" s="181"/>
      <c r="GQ9" s="181"/>
      <c r="GR9" s="181"/>
      <c r="GS9" s="181"/>
      <c r="GT9" s="181"/>
      <c r="GU9" s="181"/>
      <c r="GV9" s="181"/>
      <c r="GW9" s="181"/>
      <c r="GX9" s="181"/>
      <c r="GY9" s="181"/>
      <c r="GZ9" s="181"/>
      <c r="HA9" s="181"/>
      <c r="HB9" s="181"/>
      <c r="HC9" s="181"/>
      <c r="HD9" s="181"/>
      <c r="HE9" s="181"/>
      <c r="HF9" s="181"/>
      <c r="HG9" s="181"/>
      <c r="HH9" s="181"/>
      <c r="HI9" s="181"/>
      <c r="HJ9" s="181"/>
      <c r="HK9" s="181"/>
      <c r="HL9" s="181"/>
      <c r="HM9" s="181"/>
      <c r="HN9" s="181"/>
      <c r="HO9" s="181"/>
      <c r="HP9" s="181"/>
      <c r="HQ9" s="181"/>
      <c r="HR9" s="181"/>
      <c r="HS9" s="181"/>
      <c r="HT9" s="181"/>
      <c r="HU9" s="181"/>
      <c r="HV9" s="181"/>
      <c r="HW9" s="181"/>
      <c r="HX9" s="181"/>
      <c r="HY9" s="181"/>
      <c r="HZ9" s="181"/>
      <c r="IA9" s="181"/>
      <c r="IB9" s="181"/>
      <c r="IC9" s="181"/>
      <c r="ID9" s="181"/>
      <c r="IE9" s="181"/>
      <c r="IF9" s="181"/>
      <c r="IG9" s="181"/>
      <c r="IH9" s="181"/>
      <c r="II9" s="181"/>
      <c r="IJ9" s="181"/>
      <c r="IK9" s="181"/>
      <c r="IL9" s="181"/>
      <c r="IM9" s="181"/>
      <c r="IN9" s="181"/>
      <c r="IO9" s="181"/>
      <c r="IP9" s="181"/>
      <c r="IQ9" s="181"/>
      <c r="IR9" s="181"/>
      <c r="IS9" s="181"/>
      <c r="IT9" s="181"/>
      <c r="IU9" s="181"/>
      <c r="IV9" s="181"/>
      <c r="IW9" s="181"/>
    </row>
    <row r="10" customFormat="false" ht="13.5" hidden="false" customHeight="true" outlineLevel="0" collapsed="false">
      <c r="A10" s="170" t="s">
        <v>108</v>
      </c>
      <c r="B10" s="197"/>
      <c r="C10" s="197"/>
      <c r="D10" s="183"/>
      <c r="E10" s="183" t="n">
        <f aca="false">AVERAGE(E17:E19)</f>
        <v>2.828</v>
      </c>
      <c r="F10" s="183" t="n">
        <f aca="false">AVERAGE(C17:C19)</f>
        <v>2.837</v>
      </c>
      <c r="G10" s="198"/>
      <c r="H10" s="183"/>
      <c r="I10" s="174" t="n">
        <f aca="false">Front!Q5+0.001</f>
        <v>3.16963992689984</v>
      </c>
      <c r="J10" s="159"/>
      <c r="K10" s="175" t="s">
        <v>109</v>
      </c>
      <c r="L10" s="199"/>
      <c r="M10" s="178" t="s">
        <v>110</v>
      </c>
      <c r="N10" s="178"/>
      <c r="O10" s="178"/>
      <c r="P10" s="178"/>
      <c r="Q10" s="200" t="n">
        <v>3.115</v>
      </c>
      <c r="R10" s="201" t="s">
        <v>111</v>
      </c>
      <c r="S10" s="202" t="s">
        <v>62</v>
      </c>
      <c r="T10" s="167"/>
      <c r="U10" s="167"/>
      <c r="V10" s="167"/>
      <c r="W10" s="167"/>
      <c r="X10" s="167"/>
      <c r="Y10" s="203"/>
      <c r="Z10" s="156"/>
      <c r="AA10" s="204"/>
      <c r="AB10" s="205"/>
      <c r="AC10" s="206"/>
      <c r="AD10" s="207"/>
      <c r="AE10" s="208"/>
      <c r="AF10" s="209"/>
      <c r="AG10" s="178"/>
      <c r="AH10" s="210"/>
      <c r="AI10" s="205"/>
      <c r="AJ10" s="208"/>
      <c r="AK10" s="210"/>
      <c r="AL10" s="211"/>
      <c r="AM10" s="212" t="s">
        <v>112</v>
      </c>
      <c r="AN10" s="213" t="s">
        <v>113</v>
      </c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167"/>
      <c r="BC10" s="161" t="s">
        <v>114</v>
      </c>
      <c r="BD10" s="161" t="s">
        <v>115</v>
      </c>
      <c r="BE10" s="214" t="s">
        <v>116</v>
      </c>
      <c r="BF10" s="161" t="s">
        <v>117</v>
      </c>
      <c r="BG10" s="214"/>
      <c r="BH10" s="214"/>
      <c r="BI10" s="214"/>
      <c r="BJ10" s="167"/>
      <c r="BK10" s="167"/>
      <c r="BL10" s="167"/>
      <c r="BM10" s="167"/>
      <c r="BN10" s="167"/>
      <c r="BO10" s="167"/>
      <c r="BP10" s="180" t="s">
        <v>118</v>
      </c>
      <c r="BQ10" s="180" t="s">
        <v>119</v>
      </c>
      <c r="BR10" s="180" t="s">
        <v>120</v>
      </c>
      <c r="BS10" s="180" t="s">
        <v>121</v>
      </c>
      <c r="BT10" s="167"/>
      <c r="BU10" s="181"/>
      <c r="BV10" s="181"/>
      <c r="BW10" s="181"/>
      <c r="BX10" s="181"/>
      <c r="BY10" s="181"/>
      <c r="BZ10" s="181"/>
      <c r="CA10" s="181"/>
      <c r="CB10" s="181"/>
      <c r="CC10" s="181"/>
      <c r="CD10" s="181"/>
      <c r="CE10" s="181"/>
      <c r="CF10" s="181"/>
      <c r="CG10" s="181"/>
      <c r="CH10" s="181"/>
      <c r="CI10" s="181"/>
      <c r="CJ10" s="181"/>
      <c r="CK10" s="181"/>
      <c r="CL10" s="181"/>
      <c r="CM10" s="181"/>
      <c r="CN10" s="181"/>
      <c r="CO10" s="181"/>
      <c r="CP10" s="181"/>
      <c r="CQ10" s="181"/>
      <c r="CR10" s="181"/>
      <c r="CS10" s="181"/>
      <c r="CT10" s="181"/>
      <c r="CU10" s="181"/>
      <c r="CV10" s="181"/>
      <c r="CW10" s="181"/>
      <c r="CX10" s="181"/>
      <c r="CY10" s="181"/>
      <c r="CZ10" s="181"/>
      <c r="DA10" s="181"/>
      <c r="DB10" s="181"/>
      <c r="DC10" s="181"/>
      <c r="DD10" s="181"/>
      <c r="DE10" s="181"/>
      <c r="DF10" s="181"/>
      <c r="DG10" s="181"/>
      <c r="DH10" s="181"/>
      <c r="DI10" s="181"/>
      <c r="DJ10" s="181"/>
      <c r="DK10" s="181"/>
      <c r="DL10" s="181"/>
      <c r="DM10" s="181"/>
      <c r="DN10" s="181"/>
      <c r="DO10" s="181"/>
      <c r="DP10" s="181"/>
      <c r="DQ10" s="181"/>
      <c r="DR10" s="181"/>
      <c r="DS10" s="181"/>
      <c r="DT10" s="181"/>
      <c r="DU10" s="181"/>
      <c r="DV10" s="181"/>
      <c r="DW10" s="181"/>
      <c r="DX10" s="181"/>
      <c r="DY10" s="181"/>
      <c r="DZ10" s="181"/>
      <c r="EA10" s="181"/>
      <c r="EB10" s="181"/>
      <c r="EC10" s="181"/>
      <c r="ED10" s="181"/>
      <c r="EE10" s="181"/>
      <c r="EF10" s="181"/>
      <c r="EG10" s="181"/>
      <c r="EH10" s="181"/>
      <c r="EI10" s="181"/>
      <c r="EJ10" s="181"/>
      <c r="EK10" s="181"/>
      <c r="EL10" s="181"/>
      <c r="EM10" s="181"/>
      <c r="EN10" s="181"/>
      <c r="EO10" s="181"/>
      <c r="EP10" s="181"/>
      <c r="EQ10" s="181"/>
      <c r="ER10" s="181"/>
      <c r="ES10" s="181"/>
      <c r="ET10" s="181"/>
      <c r="EU10" s="181"/>
      <c r="EV10" s="181"/>
      <c r="EW10" s="181"/>
      <c r="EX10" s="181"/>
      <c r="EY10" s="181"/>
      <c r="EZ10" s="181"/>
      <c r="FA10" s="181"/>
      <c r="FB10" s="181"/>
      <c r="FC10" s="181"/>
      <c r="FD10" s="181"/>
      <c r="FE10" s="181"/>
      <c r="FF10" s="181"/>
      <c r="FG10" s="181"/>
      <c r="FH10" s="181"/>
      <c r="FI10" s="181"/>
      <c r="FJ10" s="181"/>
      <c r="FK10" s="181"/>
      <c r="FL10" s="181"/>
      <c r="FM10" s="181"/>
      <c r="FN10" s="181"/>
      <c r="FO10" s="181"/>
      <c r="FP10" s="181"/>
      <c r="FQ10" s="181"/>
      <c r="FR10" s="181"/>
      <c r="FS10" s="181"/>
      <c r="FT10" s="181"/>
      <c r="FU10" s="181"/>
      <c r="FV10" s="181"/>
      <c r="FW10" s="181"/>
      <c r="FX10" s="181"/>
      <c r="FY10" s="181"/>
      <c r="FZ10" s="181"/>
      <c r="GA10" s="181"/>
      <c r="GB10" s="181"/>
      <c r="GC10" s="181"/>
      <c r="GD10" s="181"/>
      <c r="GE10" s="181"/>
      <c r="GF10" s="181"/>
      <c r="GG10" s="181"/>
      <c r="GH10" s="181"/>
      <c r="GI10" s="181"/>
      <c r="GJ10" s="181"/>
      <c r="GK10" s="181"/>
      <c r="GL10" s="181"/>
      <c r="GM10" s="181"/>
      <c r="GN10" s="181"/>
      <c r="GO10" s="181"/>
      <c r="GP10" s="181"/>
      <c r="GQ10" s="181"/>
      <c r="GR10" s="181"/>
      <c r="GS10" s="181"/>
      <c r="GT10" s="181"/>
      <c r="GU10" s="181"/>
      <c r="GV10" s="181"/>
      <c r="GW10" s="181"/>
      <c r="GX10" s="181"/>
      <c r="GY10" s="181"/>
      <c r="GZ10" s="181"/>
      <c r="HA10" s="181"/>
      <c r="HB10" s="181"/>
      <c r="HC10" s="181"/>
      <c r="HD10" s="181"/>
      <c r="HE10" s="181"/>
      <c r="HF10" s="181"/>
      <c r="HG10" s="181"/>
      <c r="HH10" s="181"/>
      <c r="HI10" s="181"/>
      <c r="HJ10" s="181"/>
      <c r="HK10" s="181"/>
      <c r="HL10" s="181"/>
      <c r="HM10" s="181"/>
      <c r="HN10" s="181"/>
      <c r="HO10" s="181"/>
      <c r="HP10" s="181"/>
      <c r="HQ10" s="181"/>
      <c r="HR10" s="181"/>
      <c r="HS10" s="181"/>
      <c r="HT10" s="181"/>
      <c r="HU10" s="181"/>
      <c r="HV10" s="181"/>
      <c r="HW10" s="181"/>
      <c r="HX10" s="181"/>
      <c r="HY10" s="181"/>
      <c r="HZ10" s="181"/>
      <c r="IA10" s="181"/>
      <c r="IB10" s="181"/>
      <c r="IC10" s="181"/>
      <c r="ID10" s="181"/>
      <c r="IE10" s="181"/>
      <c r="IF10" s="181"/>
      <c r="IG10" s="181"/>
      <c r="IH10" s="181"/>
      <c r="II10" s="181"/>
      <c r="IJ10" s="181"/>
      <c r="IK10" s="181"/>
      <c r="IL10" s="181"/>
      <c r="IM10" s="181"/>
      <c r="IN10" s="181"/>
      <c r="IO10" s="181"/>
      <c r="IP10" s="181"/>
      <c r="IQ10" s="181"/>
      <c r="IR10" s="181"/>
      <c r="IS10" s="181"/>
      <c r="IT10" s="181"/>
      <c r="IU10" s="181"/>
      <c r="IV10" s="181"/>
      <c r="IW10" s="181"/>
    </row>
    <row r="11" customFormat="false" ht="15" hidden="false" customHeight="false" outlineLevel="0" collapsed="false">
      <c r="A11" s="156" t="n">
        <v>37165</v>
      </c>
      <c r="B11" s="215" t="n">
        <f aca="false">BD11*1000*-1</f>
        <v>-14.9999999999999</v>
      </c>
      <c r="C11" s="216" t="n">
        <v>1.925</v>
      </c>
      <c r="D11" s="217" t="n">
        <v>-15</v>
      </c>
      <c r="E11" s="218" t="n">
        <f aca="false">C11+D11/1000</f>
        <v>1.91</v>
      </c>
      <c r="F11" s="219"/>
      <c r="G11" s="220"/>
      <c r="H11" s="221" t="n">
        <f aca="false">I15-I11</f>
        <v>0.384182004541415</v>
      </c>
      <c r="I11" s="221" t="n">
        <f aca="false">Front!I4</f>
        <v>2.90051681694122</v>
      </c>
      <c r="J11" s="195" t="n">
        <f aca="false">I11-I12</f>
        <v>-0.191637339728791</v>
      </c>
      <c r="K11" s="222" t="s">
        <v>122</v>
      </c>
      <c r="L11" s="223" t="n">
        <f aca="false">I11-I14</f>
        <v>0.186697647269751</v>
      </c>
      <c r="M11" s="224" t="s">
        <v>123</v>
      </c>
      <c r="N11" s="225" t="n">
        <v>2003</v>
      </c>
      <c r="O11" s="226" t="n">
        <f aca="false">[1]Swap!P17+P11</f>
        <v>0.25</v>
      </c>
      <c r="P11" s="226"/>
      <c r="Q11" s="200" t="n">
        <f aca="false">Q10+O11</f>
        <v>3.365</v>
      </c>
      <c r="R11" s="201" t="s">
        <v>124</v>
      </c>
      <c r="S11" s="202" t="n">
        <v>1</v>
      </c>
      <c r="T11" s="227" t="n">
        <v>0</v>
      </c>
      <c r="U11" s="167"/>
      <c r="V11" s="167"/>
      <c r="W11" s="167"/>
      <c r="X11" s="167"/>
      <c r="Y11" s="228" t="n">
        <f aca="false">DAY(EOMONTH(A11,0))</f>
        <v>31</v>
      </c>
      <c r="Z11" s="229" t="n">
        <v>37007</v>
      </c>
      <c r="AA11" s="230" t="e">
        <f aca="false">IF(AND(A11&gt;=Front!$E$11,A11&lt;=Front!$E$12),A11,"")</f>
        <v>#VALUE!</v>
      </c>
      <c r="AB11" s="231" t="e">
        <f aca="false">IF(AA11="","",VLOOKUP(MONTH(A11),Front!$W$6:$X$17,2)*IF(Front!D$9=0,Swap!Y11,1))</f>
        <v>#VALUE!</v>
      </c>
      <c r="AC11" s="232" t="e">
        <f aca="false">IF(AA11="","",AB11*AH11)</f>
        <v>#VALUE!</v>
      </c>
      <c r="AD11" s="233"/>
      <c r="AE11" s="231" t="e">
        <f aca="false">IF(AA11="","",AD11*AH11)</f>
        <v>#VALUE!</v>
      </c>
      <c r="AF11" s="234" t="n">
        <f aca="false">INDEX(IRTable,MATCH(A11,IRMonth,0),4)</f>
        <v>0.0298710274579821</v>
      </c>
      <c r="AG11" s="235" t="n">
        <f aca="false">AF11+$AG$9</f>
        <v>0.0298710274579821</v>
      </c>
      <c r="AH11" s="235" t="n">
        <f aca="false">1/((1+AG11/2)^(2*((A11-Front!$C$2)/365.25)))</f>
        <v>2.03642906824719</v>
      </c>
      <c r="AI11" s="236" t="e">
        <f aca="false">IF($AA11="","",E11*AC11)</f>
        <v>#VALUE!</v>
      </c>
      <c r="AJ11" s="236" t="e">
        <f aca="false">IF($AA11="","",E11*AE11)</f>
        <v>#VALUE!</v>
      </c>
      <c r="AK11" s="237" t="e">
        <f aca="false">IF($AA11="","",C11*AC11)</f>
        <v>#VALUE!</v>
      </c>
      <c r="AL11" s="160" t="n">
        <f aca="false">(AO11/10000)/30.5</f>
        <v>0</v>
      </c>
      <c r="AM11" s="238" t="n">
        <f aca="false">AD11/10000</f>
        <v>0</v>
      </c>
      <c r="AN11" s="238" t="n">
        <f aca="false">AD11*DAY(EOMONTH(A11,0))/10000</f>
        <v>0</v>
      </c>
      <c r="AO11" s="233"/>
      <c r="AP11" s="233"/>
      <c r="AQ11" s="233"/>
      <c r="AR11" s="239"/>
      <c r="AS11" s="0"/>
      <c r="AT11" s="0"/>
      <c r="AU11" s="0"/>
      <c r="AV11" s="240"/>
      <c r="AW11" s="240"/>
      <c r="AX11" s="0"/>
      <c r="AY11" s="238"/>
      <c r="AZ11" s="233"/>
      <c r="BA11" s="241"/>
      <c r="BB11" s="242"/>
      <c r="BC11" s="243" t="n">
        <v>1.925</v>
      </c>
      <c r="BD11" s="195" t="n">
        <f aca="false">BC11-E11</f>
        <v>0.0149999999999999</v>
      </c>
      <c r="BE11" s="244" t="n">
        <v>238.32073678</v>
      </c>
      <c r="BF11" s="245" t="n">
        <f aca="false">(BE11)*(D11*10)</f>
        <v>-35748.110517</v>
      </c>
      <c r="BG11" s="246" t="n">
        <v>-6070.89586484</v>
      </c>
      <c r="BH11" s="246" t="n">
        <v>9006.49108799</v>
      </c>
      <c r="BI11" s="247"/>
      <c r="BJ11" s="167"/>
      <c r="BK11" s="167"/>
      <c r="BL11" s="167"/>
      <c r="BM11" s="167"/>
      <c r="BN11" s="167"/>
      <c r="BO11" s="167"/>
      <c r="BP11" s="248" t="n">
        <v>37165</v>
      </c>
      <c r="BQ11" s="180" t="n">
        <v>1.91</v>
      </c>
      <c r="BR11" s="180" t="n">
        <v>0.85</v>
      </c>
      <c r="BS11" s="180" t="n">
        <v>0.0298710274579821</v>
      </c>
      <c r="BT11" s="167"/>
      <c r="BU11" s="181"/>
      <c r="BV11" s="181"/>
      <c r="BW11" s="181"/>
      <c r="BX11" s="181"/>
      <c r="BY11" s="181"/>
      <c r="BZ11" s="181"/>
      <c r="CA11" s="181"/>
      <c r="CB11" s="181"/>
      <c r="CC11" s="181"/>
      <c r="CD11" s="181"/>
      <c r="CE11" s="181"/>
      <c r="CF11" s="181"/>
      <c r="CG11" s="181"/>
      <c r="CH11" s="181"/>
      <c r="CI11" s="181"/>
      <c r="CJ11" s="181"/>
      <c r="CK11" s="181"/>
      <c r="CL11" s="181"/>
      <c r="CM11" s="181"/>
      <c r="CN11" s="181"/>
      <c r="CO11" s="181"/>
      <c r="CP11" s="181"/>
      <c r="CQ11" s="181"/>
      <c r="CR11" s="181"/>
      <c r="CS11" s="181"/>
      <c r="CT11" s="181"/>
      <c r="CU11" s="181"/>
      <c r="CV11" s="181"/>
      <c r="CW11" s="181"/>
      <c r="CX11" s="181"/>
      <c r="CY11" s="181"/>
      <c r="CZ11" s="181"/>
      <c r="DA11" s="181"/>
      <c r="DB11" s="181"/>
      <c r="DC11" s="181"/>
      <c r="DD11" s="181"/>
      <c r="DE11" s="181"/>
      <c r="DF11" s="181"/>
      <c r="DG11" s="181"/>
      <c r="DH11" s="181"/>
      <c r="DI11" s="181"/>
      <c r="DJ11" s="181"/>
      <c r="DK11" s="181"/>
      <c r="DL11" s="181"/>
      <c r="DM11" s="181"/>
      <c r="DN11" s="181"/>
      <c r="DO11" s="181"/>
      <c r="DP11" s="181"/>
      <c r="DQ11" s="181"/>
      <c r="DR11" s="181"/>
      <c r="DS11" s="181"/>
      <c r="DT11" s="181"/>
      <c r="DU11" s="181"/>
      <c r="DV11" s="181"/>
      <c r="DW11" s="181"/>
      <c r="DX11" s="181"/>
      <c r="DY11" s="181"/>
      <c r="DZ11" s="181"/>
      <c r="EA11" s="181"/>
      <c r="EB11" s="181"/>
      <c r="EC11" s="181"/>
      <c r="ED11" s="181"/>
      <c r="EE11" s="181"/>
      <c r="EF11" s="181"/>
      <c r="EG11" s="181"/>
      <c r="EH11" s="181"/>
      <c r="EI11" s="181"/>
      <c r="EJ11" s="181"/>
      <c r="EK11" s="181"/>
      <c r="EL11" s="181"/>
      <c r="EM11" s="181"/>
      <c r="EN11" s="181"/>
      <c r="EO11" s="181"/>
      <c r="EP11" s="181"/>
      <c r="EQ11" s="181"/>
      <c r="ER11" s="181"/>
      <c r="ES11" s="181"/>
      <c r="ET11" s="181"/>
      <c r="EU11" s="181"/>
      <c r="EV11" s="181"/>
      <c r="EW11" s="181"/>
      <c r="EX11" s="181"/>
      <c r="EY11" s="181"/>
      <c r="EZ11" s="181"/>
      <c r="FA11" s="181"/>
      <c r="FB11" s="181"/>
      <c r="FC11" s="181"/>
      <c r="FD11" s="181"/>
      <c r="FE11" s="181"/>
      <c r="FF11" s="181"/>
      <c r="FG11" s="181"/>
      <c r="FH11" s="181"/>
      <c r="FI11" s="181"/>
      <c r="FJ11" s="181"/>
      <c r="FK11" s="181"/>
      <c r="FL11" s="181"/>
      <c r="FM11" s="181"/>
      <c r="FN11" s="181"/>
      <c r="FO11" s="181"/>
      <c r="FP11" s="181"/>
      <c r="FQ11" s="181"/>
      <c r="FR11" s="181"/>
      <c r="FS11" s="181"/>
      <c r="FT11" s="181"/>
      <c r="FU11" s="181"/>
      <c r="FV11" s="181"/>
      <c r="FW11" s="181"/>
      <c r="FX11" s="181"/>
      <c r="FY11" s="181"/>
      <c r="FZ11" s="181"/>
      <c r="GA11" s="181"/>
      <c r="GB11" s="181"/>
      <c r="GC11" s="181"/>
      <c r="GD11" s="181"/>
      <c r="GE11" s="181"/>
      <c r="GF11" s="181"/>
      <c r="GG11" s="181"/>
      <c r="GH11" s="181"/>
      <c r="GI11" s="181"/>
      <c r="GJ11" s="181"/>
      <c r="GK11" s="181"/>
      <c r="GL11" s="181"/>
      <c r="GM11" s="181"/>
      <c r="GN11" s="181"/>
      <c r="GO11" s="181"/>
      <c r="GP11" s="181"/>
      <c r="GQ11" s="181"/>
      <c r="GR11" s="181"/>
      <c r="GS11" s="181"/>
      <c r="GT11" s="181"/>
      <c r="GU11" s="181"/>
      <c r="GV11" s="181"/>
      <c r="GW11" s="181"/>
      <c r="GX11" s="181"/>
      <c r="GY11" s="181"/>
      <c r="GZ11" s="181"/>
      <c r="HA11" s="181"/>
      <c r="HB11" s="181"/>
      <c r="HC11" s="181"/>
      <c r="HD11" s="181"/>
      <c r="HE11" s="181"/>
      <c r="HF11" s="181"/>
      <c r="HG11" s="181"/>
      <c r="HH11" s="181"/>
      <c r="HI11" s="181"/>
      <c r="HJ11" s="181"/>
      <c r="HK11" s="181"/>
      <c r="HL11" s="181"/>
      <c r="HM11" s="181"/>
      <c r="HN11" s="181"/>
      <c r="HO11" s="181"/>
      <c r="HP11" s="181"/>
      <c r="HQ11" s="181"/>
      <c r="HR11" s="181"/>
      <c r="HS11" s="181"/>
      <c r="HT11" s="181"/>
      <c r="HU11" s="181"/>
      <c r="HV11" s="181"/>
      <c r="HW11" s="181"/>
      <c r="HX11" s="181"/>
      <c r="HY11" s="181"/>
      <c r="HZ11" s="181"/>
      <c r="IA11" s="181"/>
      <c r="IB11" s="181"/>
      <c r="IC11" s="181"/>
      <c r="ID11" s="181"/>
      <c r="IE11" s="181"/>
      <c r="IF11" s="181"/>
      <c r="IG11" s="181"/>
      <c r="IH11" s="181"/>
      <c r="II11" s="181"/>
      <c r="IJ11" s="181"/>
      <c r="IK11" s="181"/>
      <c r="IL11" s="181"/>
      <c r="IM11" s="181"/>
      <c r="IN11" s="181"/>
      <c r="IO11" s="181"/>
      <c r="IP11" s="181"/>
      <c r="IQ11" s="181"/>
      <c r="IR11" s="181"/>
      <c r="IS11" s="181"/>
      <c r="IT11" s="181"/>
      <c r="IU11" s="181"/>
      <c r="IV11" s="181"/>
      <c r="IW11" s="181"/>
    </row>
    <row r="12" customFormat="false" ht="15" hidden="false" customHeight="false" outlineLevel="0" collapsed="false">
      <c r="A12" s="156" t="n">
        <f aca="false">EOMONTH(A11,0)+1</f>
        <v>37196</v>
      </c>
      <c r="B12" s="215" t="n">
        <f aca="false">BD12*1000*-1</f>
        <v>-12.9999999999999</v>
      </c>
      <c r="C12" s="216" t="n">
        <v>2.3</v>
      </c>
      <c r="D12" s="217" t="n">
        <f aca="false">D11+2</f>
        <v>-13</v>
      </c>
      <c r="E12" s="218" t="n">
        <f aca="false">C12+D12/1000</f>
        <v>2.287</v>
      </c>
      <c r="F12" s="219" t="n">
        <f aca="false">(E12-E11)*1000</f>
        <v>377</v>
      </c>
      <c r="G12" s="220" t="n">
        <f aca="false">(C12-C11)*1000</f>
        <v>375</v>
      </c>
      <c r="H12" s="195" t="n">
        <f aca="false">I16-I12</f>
        <v>0.299113217913277</v>
      </c>
      <c r="I12" s="221" t="n">
        <f aca="false">Front!I5</f>
        <v>3.09215415667001</v>
      </c>
      <c r="J12" s="195" t="n">
        <f aca="false">I12-I13</f>
        <v>-0.0791904192455775</v>
      </c>
      <c r="K12" s="249" t="s">
        <v>125</v>
      </c>
      <c r="L12" s="223" t="n">
        <f aca="false">I12-I15</f>
        <v>-0.192544664812625</v>
      </c>
      <c r="M12" s="224" t="s">
        <v>126</v>
      </c>
      <c r="N12" s="225" t="n">
        <v>2004</v>
      </c>
      <c r="O12" s="226" t="n">
        <f aca="false">[1]Swap!P18+P12</f>
        <v>0.0875</v>
      </c>
      <c r="P12" s="250"/>
      <c r="Q12" s="200" t="n">
        <f aca="false">Q11+O12</f>
        <v>3.4525</v>
      </c>
      <c r="R12" s="201" t="s">
        <v>127</v>
      </c>
      <c r="S12" s="202" t="n">
        <v>2</v>
      </c>
      <c r="T12" s="227" t="n">
        <v>0</v>
      </c>
      <c r="U12" s="167"/>
      <c r="V12" s="167"/>
      <c r="W12" s="167"/>
      <c r="X12" s="167"/>
      <c r="Y12" s="228" t="n">
        <f aca="false">DAY(EOMONTH(A12,0))</f>
        <v>30</v>
      </c>
      <c r="Z12" s="229" t="n">
        <v>37040</v>
      </c>
      <c r="AA12" s="230" t="e">
        <f aca="false">IF(AND(A12&gt;=Front!$E$11,A12&lt;=Front!$E$12),A12,"")</f>
        <v>#VALUE!</v>
      </c>
      <c r="AB12" s="231" t="e">
        <f aca="false">IF(AA12="","",VLOOKUP(MONTH(A11),Front!$W$6:$X$17,2)*IF(Front!D$9=0,Swap!Y12,1))</f>
        <v>#VALUE!</v>
      </c>
      <c r="AC12" s="235" t="e">
        <f aca="false">IF(AA12="","",AB12*AH12)</f>
        <v>#VALUE!</v>
      </c>
      <c r="AD12" s="233"/>
      <c r="AE12" s="231" t="e">
        <f aca="false">IF(AA12="","",AD12*AH12)</f>
        <v>#VALUE!</v>
      </c>
      <c r="AF12" s="243" t="n">
        <f aca="false">INDEX(IRTable,MATCH(A12,IRMonth,0),4)</f>
        <v>0.0270694791268817</v>
      </c>
      <c r="AG12" s="235" t="n">
        <f aca="false">AF12+$AG$9</f>
        <v>0.0270694791268817</v>
      </c>
      <c r="AH12" s="195" t="n">
        <f aca="false">1/((1+AG12/2)^(2*((A12-Front!$C$2)/365.25)))</f>
        <v>1.90153239816271</v>
      </c>
      <c r="AI12" s="236" t="e">
        <f aca="false">IF($AA12="","",E12*AC12)</f>
        <v>#VALUE!</v>
      </c>
      <c r="AJ12" s="236" t="e">
        <f aca="false">IF($AA12="","",E12*AE12)</f>
        <v>#VALUE!</v>
      </c>
      <c r="AK12" s="237" t="e">
        <f aca="false">IF($AA12="","",C12*AC12)</f>
        <v>#VALUE!</v>
      </c>
      <c r="AL12" s="160" t="n">
        <f aca="false">(AO12/10000)/30.5</f>
        <v>0</v>
      </c>
      <c r="AM12" s="238" t="n">
        <f aca="false">AD12/10000</f>
        <v>0</v>
      </c>
      <c r="AN12" s="238" t="n">
        <f aca="false">AD12*DAY(EOMONTH(A12,0))/10000</f>
        <v>0</v>
      </c>
      <c r="AO12" s="233"/>
      <c r="AP12" s="233"/>
      <c r="AQ12" s="233"/>
      <c r="AR12" s="87"/>
      <c r="AS12" s="0"/>
      <c r="AT12" s="0"/>
      <c r="AU12" s="87"/>
      <c r="AV12" s="240"/>
      <c r="AW12" s="240"/>
      <c r="AX12" s="0"/>
      <c r="AY12" s="238"/>
      <c r="AZ12" s="233"/>
      <c r="BA12" s="241"/>
      <c r="BB12" s="242"/>
      <c r="BC12" s="243" t="n">
        <v>2.3</v>
      </c>
      <c r="BD12" s="195" t="n">
        <f aca="false">BC12-E12</f>
        <v>0.0129999999999999</v>
      </c>
      <c r="BE12" s="251" t="n">
        <v>26.80481228</v>
      </c>
      <c r="BF12" s="245" t="n">
        <f aca="false">(BE12)*(D12*10)</f>
        <v>-3484.6255964</v>
      </c>
      <c r="BG12" s="246" t="n">
        <v>-4489.37111385</v>
      </c>
      <c r="BH12" s="246" t="n">
        <v>-2338.33953504</v>
      </c>
      <c r="BI12" s="247"/>
      <c r="BJ12" s="167"/>
      <c r="BK12" s="167"/>
      <c r="BL12" s="167"/>
      <c r="BM12" s="167"/>
      <c r="BN12" s="167"/>
      <c r="BO12" s="167"/>
      <c r="BP12" s="248" t="n">
        <v>37196</v>
      </c>
      <c r="BQ12" s="180" t="n">
        <v>2.275</v>
      </c>
      <c r="BR12" s="180" t="n">
        <v>0.73</v>
      </c>
      <c r="BS12" s="180" t="n">
        <v>0.0270694791268817</v>
      </c>
      <c r="BT12" s="167"/>
      <c r="BU12" s="181"/>
      <c r="BV12" s="181"/>
      <c r="BW12" s="181"/>
      <c r="BX12" s="181"/>
      <c r="BY12" s="181"/>
      <c r="BZ12" s="181"/>
      <c r="CA12" s="181"/>
      <c r="CB12" s="181"/>
      <c r="CC12" s="181"/>
      <c r="CD12" s="181"/>
      <c r="CE12" s="181"/>
      <c r="CF12" s="181"/>
      <c r="CG12" s="181"/>
      <c r="CH12" s="181"/>
      <c r="CI12" s="181"/>
      <c r="CJ12" s="181"/>
      <c r="CK12" s="181"/>
      <c r="CL12" s="181"/>
      <c r="CM12" s="181"/>
      <c r="CN12" s="181"/>
      <c r="CO12" s="181"/>
      <c r="CP12" s="181"/>
      <c r="CQ12" s="181"/>
      <c r="CR12" s="181"/>
      <c r="CS12" s="181"/>
      <c r="CT12" s="181"/>
      <c r="CU12" s="181"/>
      <c r="CV12" s="181"/>
      <c r="CW12" s="181"/>
      <c r="CX12" s="181"/>
      <c r="CY12" s="181"/>
      <c r="CZ12" s="181"/>
      <c r="DA12" s="181"/>
      <c r="DB12" s="181"/>
      <c r="DC12" s="181"/>
      <c r="DD12" s="181"/>
      <c r="DE12" s="181"/>
      <c r="DF12" s="181"/>
      <c r="DG12" s="181"/>
      <c r="DH12" s="181"/>
      <c r="DI12" s="181"/>
      <c r="DJ12" s="181"/>
      <c r="DK12" s="181"/>
      <c r="DL12" s="181"/>
      <c r="DM12" s="181"/>
      <c r="DN12" s="181"/>
      <c r="DO12" s="181"/>
      <c r="DP12" s="181"/>
      <c r="DQ12" s="181"/>
      <c r="DR12" s="181"/>
      <c r="DS12" s="181"/>
      <c r="DT12" s="181"/>
      <c r="DU12" s="181"/>
      <c r="DV12" s="181"/>
      <c r="DW12" s="181"/>
      <c r="DX12" s="181"/>
      <c r="DY12" s="181"/>
      <c r="DZ12" s="181"/>
      <c r="EA12" s="181"/>
      <c r="EB12" s="181"/>
      <c r="EC12" s="181"/>
      <c r="ED12" s="181"/>
      <c r="EE12" s="181"/>
      <c r="EF12" s="181"/>
      <c r="EG12" s="181"/>
      <c r="EH12" s="181"/>
      <c r="EI12" s="181"/>
      <c r="EJ12" s="181"/>
      <c r="EK12" s="181"/>
      <c r="EL12" s="181"/>
      <c r="EM12" s="181"/>
      <c r="EN12" s="181"/>
      <c r="EO12" s="181"/>
      <c r="EP12" s="181"/>
      <c r="EQ12" s="181"/>
      <c r="ER12" s="181"/>
      <c r="ES12" s="181"/>
      <c r="ET12" s="181"/>
      <c r="EU12" s="181"/>
      <c r="EV12" s="181"/>
      <c r="EW12" s="181"/>
      <c r="EX12" s="181"/>
      <c r="EY12" s="181"/>
      <c r="EZ12" s="181"/>
      <c r="FA12" s="181"/>
      <c r="FB12" s="181"/>
      <c r="FC12" s="181"/>
      <c r="FD12" s="181"/>
      <c r="FE12" s="181"/>
      <c r="FF12" s="181"/>
      <c r="FG12" s="181"/>
      <c r="FH12" s="181"/>
      <c r="FI12" s="181"/>
      <c r="FJ12" s="181"/>
      <c r="FK12" s="181"/>
      <c r="FL12" s="181"/>
      <c r="FM12" s="181"/>
      <c r="FN12" s="181"/>
      <c r="FO12" s="181"/>
      <c r="FP12" s="181"/>
      <c r="FQ12" s="181"/>
      <c r="FR12" s="181"/>
      <c r="FS12" s="181"/>
      <c r="FT12" s="181"/>
      <c r="FU12" s="181"/>
      <c r="FV12" s="181"/>
      <c r="FW12" s="181"/>
      <c r="FX12" s="181"/>
      <c r="FY12" s="181"/>
      <c r="FZ12" s="181"/>
      <c r="GA12" s="181"/>
      <c r="GB12" s="181"/>
      <c r="GC12" s="181"/>
      <c r="GD12" s="181"/>
      <c r="GE12" s="181"/>
      <c r="GF12" s="181"/>
      <c r="GG12" s="181"/>
      <c r="GH12" s="181"/>
      <c r="GI12" s="181"/>
      <c r="GJ12" s="181"/>
      <c r="GK12" s="181"/>
      <c r="GL12" s="181"/>
      <c r="GM12" s="181"/>
      <c r="GN12" s="181"/>
      <c r="GO12" s="181"/>
      <c r="GP12" s="181"/>
      <c r="GQ12" s="181"/>
      <c r="GR12" s="181"/>
      <c r="GS12" s="181"/>
      <c r="GT12" s="181"/>
      <c r="GU12" s="181"/>
      <c r="GV12" s="181"/>
      <c r="GW12" s="181"/>
      <c r="GX12" s="181"/>
      <c r="GY12" s="181"/>
      <c r="GZ12" s="181"/>
      <c r="HA12" s="181"/>
      <c r="HB12" s="181"/>
      <c r="HC12" s="181"/>
      <c r="HD12" s="181"/>
      <c r="HE12" s="181"/>
      <c r="HF12" s="181"/>
      <c r="HG12" s="181"/>
      <c r="HH12" s="181"/>
      <c r="HI12" s="181"/>
      <c r="HJ12" s="181"/>
      <c r="HK12" s="181"/>
      <c r="HL12" s="181"/>
      <c r="HM12" s="181"/>
      <c r="HN12" s="181"/>
      <c r="HO12" s="181"/>
      <c r="HP12" s="181"/>
      <c r="HQ12" s="181"/>
      <c r="HR12" s="181"/>
      <c r="HS12" s="181"/>
      <c r="HT12" s="181"/>
      <c r="HU12" s="181"/>
      <c r="HV12" s="181"/>
      <c r="HW12" s="181"/>
      <c r="HX12" s="181"/>
      <c r="HY12" s="181"/>
      <c r="HZ12" s="181"/>
      <c r="IA12" s="181"/>
      <c r="IB12" s="181"/>
      <c r="IC12" s="181"/>
      <c r="ID12" s="181"/>
      <c r="IE12" s="181"/>
      <c r="IF12" s="181"/>
      <c r="IG12" s="181"/>
      <c r="IH12" s="181"/>
      <c r="II12" s="181"/>
      <c r="IJ12" s="181"/>
      <c r="IK12" s="181"/>
      <c r="IL12" s="181"/>
      <c r="IM12" s="181"/>
      <c r="IN12" s="181"/>
      <c r="IO12" s="181"/>
      <c r="IP12" s="181"/>
      <c r="IQ12" s="181"/>
      <c r="IR12" s="181"/>
      <c r="IS12" s="181"/>
      <c r="IT12" s="181"/>
      <c r="IU12" s="181"/>
      <c r="IV12" s="181"/>
      <c r="IW12" s="181"/>
    </row>
    <row r="13" customFormat="false" ht="15" hidden="false" customHeight="false" outlineLevel="0" collapsed="false">
      <c r="A13" s="156" t="n">
        <f aca="false">EOMONTH(A12,0)+1</f>
        <v>37226</v>
      </c>
      <c r="B13" s="215" t="n">
        <f aca="false">BD13*1000*-1</f>
        <v>-12.9999999999999</v>
      </c>
      <c r="C13" s="216" t="n">
        <v>2.69</v>
      </c>
      <c r="D13" s="217" t="n">
        <f aca="false">D12</f>
        <v>-13</v>
      </c>
      <c r="E13" s="218" t="n">
        <f aca="false">C13+D13/1000</f>
        <v>2.677</v>
      </c>
      <c r="F13" s="219" t="n">
        <f aca="false">(E13-E12)*1000</f>
        <v>390</v>
      </c>
      <c r="G13" s="220" t="n">
        <f aca="false">(C13-C12)*1000</f>
        <v>390</v>
      </c>
      <c r="H13" s="195" t="n">
        <f aca="false">I17-I13</f>
        <v>0.310993237802969</v>
      </c>
      <c r="I13" s="221" t="n">
        <f aca="false">Front!I6</f>
        <v>3.17134457591559</v>
      </c>
      <c r="J13" s="195"/>
      <c r="K13" s="252" t="s">
        <v>128</v>
      </c>
      <c r="L13" s="223" t="n">
        <f aca="false">I13-I16</f>
        <v>-0.219922798667699</v>
      </c>
      <c r="M13" s="224" t="s">
        <v>129</v>
      </c>
      <c r="N13" s="225" t="n">
        <v>2005</v>
      </c>
      <c r="O13" s="226" t="n">
        <f aca="false">[1]Swap!P19+P13</f>
        <v>0.085</v>
      </c>
      <c r="P13" s="250"/>
      <c r="Q13" s="200" t="n">
        <f aca="false">Q12+O13</f>
        <v>3.5375</v>
      </c>
      <c r="R13" s="201" t="s">
        <v>130</v>
      </c>
      <c r="S13" s="202" t="n">
        <f aca="false">S12+1</f>
        <v>3</v>
      </c>
      <c r="T13" s="227" t="n">
        <v>0</v>
      </c>
      <c r="U13" s="167"/>
      <c r="V13" s="167"/>
      <c r="W13" s="167"/>
      <c r="X13" s="167"/>
      <c r="Y13" s="228" t="n">
        <f aca="false">DAY(EOMONTH(A13,0))</f>
        <v>31</v>
      </c>
      <c r="Z13" s="229" t="n">
        <v>37069</v>
      </c>
      <c r="AA13" s="230" t="e">
        <f aca="false">IF(AND(A13&gt;=Front!$E$11,A13&lt;=Front!$E$12),A13,"")</f>
        <v>#VALUE!</v>
      </c>
      <c r="AB13" s="231" t="e">
        <f aca="false">IF(AA13="","",VLOOKUP(MONTH(A12),Front!$W$6:$X$17,2)*IF(Front!D$9=0,Swap!Y13,1))</f>
        <v>#VALUE!</v>
      </c>
      <c r="AC13" s="235" t="e">
        <f aca="false">IF(AA13="","",AB13*AH13)</f>
        <v>#VALUE!</v>
      </c>
      <c r="AD13" s="181"/>
      <c r="AE13" s="231" t="e">
        <f aca="false">IF(AA13="","",AD13*AH13)</f>
        <v>#VALUE!</v>
      </c>
      <c r="AF13" s="243" t="n">
        <f aca="false">INDEX(IRTable,MATCH(A13,IRMonth,0),4)</f>
        <v>0.0267536876436849</v>
      </c>
      <c r="AG13" s="235" t="n">
        <f aca="false">AF13+$AG$9</f>
        <v>0.0267536876436849</v>
      </c>
      <c r="AH13" s="195" t="n">
        <f aca="false">1/((1+AG13/2)^(2*((A13-Front!$C$2)/365.25)))</f>
        <v>1.88330755654705</v>
      </c>
      <c r="AI13" s="236" t="e">
        <f aca="false">IF($AA13="","",E13*AC13)</f>
        <v>#VALUE!</v>
      </c>
      <c r="AJ13" s="236" t="e">
        <f aca="false">IF($AA13="","",E13*AE13)</f>
        <v>#VALUE!</v>
      </c>
      <c r="AK13" s="237" t="e">
        <f aca="false">IF($AA13="","",C13*AC13)</f>
        <v>#VALUE!</v>
      </c>
      <c r="AL13" s="160" t="n">
        <f aca="false">(AO13/10000)/30.5</f>
        <v>0</v>
      </c>
      <c r="AM13" s="238" t="n">
        <f aca="false">AD13/10000</f>
        <v>0</v>
      </c>
      <c r="AN13" s="238" t="n">
        <f aca="false">AD13*DAY(EOMONTH(A13,0))/10000</f>
        <v>0</v>
      </c>
      <c r="AO13" s="181"/>
      <c r="AP13" s="233"/>
      <c r="AQ13" s="181"/>
      <c r="AR13" s="87"/>
      <c r="AS13" s="0"/>
      <c r="AT13" s="0"/>
      <c r="AU13" s="87"/>
      <c r="AV13" s="240"/>
      <c r="AW13" s="240"/>
      <c r="AX13" s="0"/>
      <c r="AY13" s="238"/>
      <c r="AZ13" s="233"/>
      <c r="BA13" s="241"/>
      <c r="BB13" s="242"/>
      <c r="BC13" s="243" t="n">
        <v>2.69</v>
      </c>
      <c r="BD13" s="195" t="n">
        <f aca="false">BC13-E13</f>
        <v>0.0129999999999999</v>
      </c>
      <c r="BE13" s="251" t="n">
        <v>-11.0693945</v>
      </c>
      <c r="BF13" s="245" t="n">
        <f aca="false">(BE13)*(D13*10)</f>
        <v>1439.021285</v>
      </c>
      <c r="BG13" s="246" t="n">
        <v>-342.16597482</v>
      </c>
      <c r="BH13" s="246" t="n">
        <v>-879.4871766</v>
      </c>
      <c r="BI13" s="247"/>
      <c r="BJ13" s="167"/>
      <c r="BK13" s="167"/>
      <c r="BL13" s="167"/>
      <c r="BM13" s="167"/>
      <c r="BN13" s="167"/>
      <c r="BO13" s="167"/>
      <c r="BP13" s="248" t="n">
        <v>37226</v>
      </c>
      <c r="BQ13" s="180" t="n">
        <v>2.66</v>
      </c>
      <c r="BR13" s="180" t="n">
        <v>0.63</v>
      </c>
      <c r="BS13" s="180" t="n">
        <v>0.0267536876436849</v>
      </c>
      <c r="BT13" s="167"/>
      <c r="BU13" s="181"/>
      <c r="BV13" s="181"/>
      <c r="BW13" s="181"/>
      <c r="BX13" s="181"/>
      <c r="BY13" s="181"/>
      <c r="BZ13" s="181"/>
      <c r="CA13" s="181"/>
      <c r="CB13" s="181"/>
      <c r="CC13" s="181"/>
      <c r="CD13" s="181"/>
      <c r="CE13" s="181"/>
      <c r="CF13" s="181"/>
      <c r="CG13" s="181"/>
      <c r="CH13" s="181"/>
      <c r="CI13" s="181"/>
      <c r="CJ13" s="181"/>
      <c r="CK13" s="181"/>
      <c r="CL13" s="181"/>
      <c r="CM13" s="181"/>
      <c r="CN13" s="181"/>
      <c r="CO13" s="181"/>
      <c r="CP13" s="181"/>
      <c r="CQ13" s="181"/>
      <c r="CR13" s="181"/>
      <c r="CS13" s="181"/>
      <c r="CT13" s="181"/>
      <c r="CU13" s="181"/>
      <c r="CV13" s="181"/>
      <c r="CW13" s="181"/>
      <c r="CX13" s="181"/>
      <c r="CY13" s="181"/>
      <c r="CZ13" s="181"/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1"/>
      <c r="DM13" s="181"/>
      <c r="DN13" s="181"/>
      <c r="DO13" s="181"/>
      <c r="DP13" s="181"/>
      <c r="DQ13" s="181"/>
      <c r="DR13" s="181"/>
      <c r="DS13" s="181"/>
      <c r="DT13" s="181"/>
      <c r="DU13" s="181"/>
      <c r="DV13" s="181"/>
      <c r="DW13" s="181"/>
      <c r="DX13" s="181"/>
      <c r="DY13" s="181"/>
      <c r="DZ13" s="181"/>
      <c r="EA13" s="181"/>
      <c r="EB13" s="181"/>
      <c r="EC13" s="181"/>
      <c r="ED13" s="181"/>
      <c r="EE13" s="181"/>
      <c r="EF13" s="181"/>
      <c r="EG13" s="181"/>
      <c r="EH13" s="181"/>
      <c r="EI13" s="181"/>
      <c r="EJ13" s="181"/>
      <c r="EK13" s="181"/>
      <c r="EL13" s="181"/>
      <c r="EM13" s="181"/>
      <c r="EN13" s="181"/>
      <c r="EO13" s="181"/>
      <c r="EP13" s="181"/>
      <c r="EQ13" s="181"/>
      <c r="ER13" s="181"/>
      <c r="ES13" s="181"/>
      <c r="ET13" s="181"/>
      <c r="EU13" s="181"/>
      <c r="EV13" s="181"/>
      <c r="EW13" s="181"/>
      <c r="EX13" s="181"/>
      <c r="EY13" s="181"/>
      <c r="EZ13" s="181"/>
      <c r="FA13" s="181"/>
      <c r="FB13" s="181"/>
      <c r="FC13" s="181"/>
      <c r="FD13" s="181"/>
      <c r="FE13" s="181"/>
      <c r="FF13" s="181"/>
      <c r="FG13" s="181"/>
      <c r="FH13" s="181"/>
      <c r="FI13" s="181"/>
      <c r="FJ13" s="181"/>
      <c r="FK13" s="181"/>
      <c r="FL13" s="181"/>
      <c r="FM13" s="181"/>
      <c r="FN13" s="181"/>
      <c r="FO13" s="181"/>
      <c r="FP13" s="181"/>
      <c r="FQ13" s="181"/>
      <c r="FR13" s="181"/>
      <c r="FS13" s="181"/>
      <c r="FT13" s="181"/>
      <c r="FU13" s="181"/>
      <c r="FV13" s="181"/>
      <c r="FW13" s="181"/>
      <c r="FX13" s="181"/>
      <c r="FY13" s="181"/>
      <c r="FZ13" s="181"/>
      <c r="GA13" s="181"/>
      <c r="GB13" s="181"/>
      <c r="GC13" s="181"/>
      <c r="GD13" s="181"/>
      <c r="GE13" s="181"/>
      <c r="GF13" s="181"/>
      <c r="GG13" s="181"/>
      <c r="GH13" s="181"/>
      <c r="GI13" s="181"/>
      <c r="GJ13" s="181"/>
      <c r="GK13" s="181"/>
      <c r="GL13" s="181"/>
      <c r="GM13" s="181"/>
      <c r="GN13" s="181"/>
      <c r="GO13" s="181"/>
      <c r="GP13" s="181"/>
      <c r="GQ13" s="181"/>
      <c r="GR13" s="181"/>
      <c r="GS13" s="181"/>
      <c r="GT13" s="181"/>
      <c r="GU13" s="181"/>
      <c r="GV13" s="181"/>
      <c r="GW13" s="181"/>
      <c r="GX13" s="181"/>
      <c r="GY13" s="181"/>
      <c r="GZ13" s="181"/>
      <c r="HA13" s="181"/>
      <c r="HB13" s="181"/>
      <c r="HC13" s="181"/>
      <c r="HD13" s="181"/>
      <c r="HE13" s="181"/>
      <c r="HF13" s="181"/>
      <c r="HG13" s="181"/>
      <c r="HH13" s="181"/>
      <c r="HI13" s="181"/>
      <c r="HJ13" s="181"/>
      <c r="HK13" s="181"/>
      <c r="HL13" s="181"/>
      <c r="HM13" s="181"/>
      <c r="HN13" s="181"/>
      <c r="HO13" s="181"/>
      <c r="HP13" s="181"/>
      <c r="HQ13" s="181"/>
      <c r="HR13" s="181"/>
      <c r="HS13" s="181"/>
      <c r="HT13" s="181"/>
      <c r="HU13" s="181"/>
      <c r="HV13" s="181"/>
      <c r="HW13" s="181"/>
      <c r="HX13" s="181"/>
      <c r="HY13" s="181"/>
      <c r="HZ13" s="181"/>
      <c r="IA13" s="181"/>
      <c r="IB13" s="181"/>
      <c r="IC13" s="181"/>
      <c r="ID13" s="181"/>
      <c r="IE13" s="181"/>
      <c r="IF13" s="181"/>
      <c r="IG13" s="181"/>
      <c r="IH13" s="181"/>
      <c r="II13" s="181"/>
      <c r="IJ13" s="181"/>
      <c r="IK13" s="181"/>
      <c r="IL13" s="181"/>
      <c r="IM13" s="181"/>
      <c r="IN13" s="181"/>
      <c r="IO13" s="181"/>
      <c r="IP13" s="181"/>
      <c r="IQ13" s="181"/>
      <c r="IR13" s="181"/>
      <c r="IS13" s="181"/>
      <c r="IT13" s="181"/>
      <c r="IU13" s="181"/>
      <c r="IV13" s="181"/>
      <c r="IW13" s="181"/>
    </row>
    <row r="14" customFormat="false" ht="15" hidden="false" customHeight="false" outlineLevel="0" collapsed="false">
      <c r="A14" s="156" t="n">
        <f aca="false">EOMONTH(A13,0)+1</f>
        <v>37257</v>
      </c>
      <c r="B14" s="215" t="n">
        <f aca="false">BD14*1000*-1</f>
        <v>-11.0000000000001</v>
      </c>
      <c r="C14" s="216" t="n">
        <v>2.895</v>
      </c>
      <c r="D14" s="217" t="n">
        <f aca="false">D13+2</f>
        <v>-11</v>
      </c>
      <c r="E14" s="218" t="n">
        <f aca="false">C14+D14/1000</f>
        <v>2.884</v>
      </c>
      <c r="F14" s="219" t="n">
        <f aca="false">(E14-E13)*1000</f>
        <v>207</v>
      </c>
      <c r="G14" s="220" t="n">
        <f aca="false">(C14-C13)*1000</f>
        <v>205</v>
      </c>
      <c r="H14" s="174"/>
      <c r="I14" s="253" t="n">
        <f aca="false">Front!I7</f>
        <v>2.71381916967147</v>
      </c>
      <c r="J14" s="195" t="n">
        <f aca="false">I14-I15</f>
        <v>-0.570879651811167</v>
      </c>
      <c r="K14" s="161" t="s">
        <v>131</v>
      </c>
      <c r="L14" s="195"/>
      <c r="M14" s="224" t="s">
        <v>132</v>
      </c>
      <c r="N14" s="225" t="n">
        <v>2006</v>
      </c>
      <c r="O14" s="226" t="n">
        <f aca="false">[1]Swap!P20+P14</f>
        <v>0.0875</v>
      </c>
      <c r="P14" s="250"/>
      <c r="Q14" s="200" t="n">
        <f aca="false">Q13+O14</f>
        <v>3.625</v>
      </c>
      <c r="R14" s="201" t="s">
        <v>133</v>
      </c>
      <c r="S14" s="202" t="n">
        <f aca="false">S13+1</f>
        <v>4</v>
      </c>
      <c r="T14" s="227" t="n">
        <v>0</v>
      </c>
      <c r="U14" s="167"/>
      <c r="V14" s="167"/>
      <c r="W14" s="167"/>
      <c r="X14" s="167"/>
      <c r="Y14" s="228" t="n">
        <f aca="false">DAY(EOMONTH(A14,0))</f>
        <v>31</v>
      </c>
      <c r="Z14" s="229" t="n">
        <v>37099</v>
      </c>
      <c r="AA14" s="230" t="e">
        <f aca="false">IF(AND(A14&gt;=Front!$E$11,A14&lt;=Front!$E$12),A14,"")</f>
        <v>#VALUE!</v>
      </c>
      <c r="AB14" s="231" t="e">
        <f aca="false">IF(AA14="","",VLOOKUP(MONTH(A13),Front!$W$6:$X$17,2)*IF(Front!D$9=0,Swap!Y14,1))</f>
        <v>#VALUE!</v>
      </c>
      <c r="AC14" s="235" t="e">
        <f aca="false">IF(AA14="","",AB14*AH14)</f>
        <v>#VALUE!</v>
      </c>
      <c r="AD14" s="254"/>
      <c r="AE14" s="231" t="e">
        <f aca="false">IF(AA14="","",AD14*AH14)</f>
        <v>#VALUE!</v>
      </c>
      <c r="AF14" s="243" t="n">
        <f aca="false">INDEX(IRTable,MATCH(A14,IRMonth,0),4)</f>
        <v>0.0264904792406417</v>
      </c>
      <c r="AG14" s="235" t="n">
        <f aca="false">AF14+$AG$9</f>
        <v>0.0264904792406417</v>
      </c>
      <c r="AH14" s="195" t="n">
        <f aca="false">1/((1+AG14/2)^(2*((A14-Front!$C$2)/365.25)))</f>
        <v>1.8675154462144</v>
      </c>
      <c r="AI14" s="236" t="e">
        <f aca="false">IF($AA14="","",E14*AC14)</f>
        <v>#VALUE!</v>
      </c>
      <c r="AJ14" s="236" t="e">
        <f aca="false">IF($AA14="","",E14*AE14)</f>
        <v>#VALUE!</v>
      </c>
      <c r="AK14" s="237" t="e">
        <f aca="false">IF($AA14="","",C14*AC14)</f>
        <v>#VALUE!</v>
      </c>
      <c r="AL14" s="160" t="n">
        <f aca="false">(AO14/10000)/30.5</f>
        <v>0</v>
      </c>
      <c r="AM14" s="238" t="n">
        <f aca="false">AD14/10000</f>
        <v>0</v>
      </c>
      <c r="AN14" s="238" t="n">
        <f aca="false">AD14*DAY(EOMONTH(A14,0))/10000</f>
        <v>0</v>
      </c>
      <c r="AO14" s="254"/>
      <c r="AP14" s="233"/>
      <c r="AQ14" s="254"/>
      <c r="AR14" s="240"/>
      <c r="AS14" s="0"/>
      <c r="AT14" s="0"/>
      <c r="AU14" s="87"/>
      <c r="AV14" s="240"/>
      <c r="AW14" s="240"/>
      <c r="AX14" s="0"/>
      <c r="AY14" s="238"/>
      <c r="AZ14" s="233"/>
      <c r="BA14" s="241"/>
      <c r="BB14" s="242"/>
      <c r="BC14" s="243" t="n">
        <v>2.895</v>
      </c>
      <c r="BD14" s="195" t="n">
        <f aca="false">BC14-E14</f>
        <v>0.0110000000000001</v>
      </c>
      <c r="BE14" s="251" t="n">
        <v>-336.80626008</v>
      </c>
      <c r="BF14" s="245" t="n">
        <f aca="false">(BE14)*(D14*10)</f>
        <v>37048.6886088</v>
      </c>
      <c r="BG14" s="246" t="n">
        <v>752.58901799</v>
      </c>
      <c r="BH14" s="246" t="n">
        <v>-708.89394621</v>
      </c>
      <c r="BI14" s="247"/>
      <c r="BJ14" s="167"/>
      <c r="BK14" s="167"/>
      <c r="BL14" s="167"/>
      <c r="BM14" s="167"/>
      <c r="BN14" s="167"/>
      <c r="BO14" s="167"/>
      <c r="BP14" s="248" t="n">
        <v>37257</v>
      </c>
      <c r="BQ14" s="180" t="n">
        <v>2.853</v>
      </c>
      <c r="BR14" s="180" t="n">
        <v>0.6175</v>
      </c>
      <c r="BS14" s="180" t="n">
        <v>0.0264904792406417</v>
      </c>
      <c r="BT14" s="167"/>
      <c r="BU14" s="181"/>
      <c r="BV14" s="181"/>
      <c r="BW14" s="181"/>
      <c r="BX14" s="181"/>
      <c r="BY14" s="181"/>
      <c r="BZ14" s="181"/>
      <c r="CA14" s="181"/>
      <c r="CB14" s="181"/>
      <c r="CC14" s="181"/>
      <c r="CD14" s="181"/>
      <c r="CE14" s="181"/>
      <c r="CF14" s="181"/>
      <c r="CG14" s="181"/>
      <c r="CH14" s="181"/>
      <c r="CI14" s="181"/>
      <c r="CJ14" s="181"/>
      <c r="CK14" s="181"/>
      <c r="CL14" s="181"/>
      <c r="CM14" s="181"/>
      <c r="CN14" s="181"/>
      <c r="CO14" s="181"/>
      <c r="CP14" s="181"/>
      <c r="CQ14" s="181"/>
      <c r="CR14" s="181"/>
      <c r="CS14" s="181"/>
      <c r="CT14" s="181"/>
      <c r="CU14" s="181"/>
      <c r="CV14" s="181"/>
      <c r="CW14" s="181"/>
      <c r="CX14" s="181"/>
      <c r="CY14" s="181"/>
      <c r="CZ14" s="181"/>
      <c r="DA14" s="181"/>
      <c r="DB14" s="181"/>
      <c r="DC14" s="181"/>
      <c r="DD14" s="181"/>
      <c r="DE14" s="181"/>
      <c r="DF14" s="181"/>
      <c r="DG14" s="181"/>
      <c r="DH14" s="181"/>
      <c r="DI14" s="181"/>
      <c r="DJ14" s="181"/>
      <c r="DK14" s="181"/>
      <c r="DL14" s="181"/>
      <c r="DM14" s="181"/>
      <c r="DN14" s="181"/>
      <c r="DO14" s="181"/>
      <c r="DP14" s="181"/>
      <c r="DQ14" s="181"/>
      <c r="DR14" s="181"/>
      <c r="DS14" s="181"/>
      <c r="DT14" s="181"/>
      <c r="DU14" s="181"/>
      <c r="DV14" s="181"/>
      <c r="DW14" s="181"/>
      <c r="DX14" s="181"/>
      <c r="DY14" s="181"/>
      <c r="DZ14" s="181"/>
      <c r="EA14" s="181"/>
      <c r="EB14" s="181"/>
      <c r="EC14" s="181"/>
      <c r="ED14" s="181"/>
      <c r="EE14" s="181"/>
      <c r="EF14" s="181"/>
      <c r="EG14" s="181"/>
      <c r="EH14" s="181"/>
      <c r="EI14" s="181"/>
      <c r="EJ14" s="181"/>
      <c r="EK14" s="181"/>
      <c r="EL14" s="181"/>
      <c r="EM14" s="181"/>
      <c r="EN14" s="181"/>
      <c r="EO14" s="181"/>
      <c r="EP14" s="181"/>
      <c r="EQ14" s="181"/>
      <c r="ER14" s="181"/>
      <c r="ES14" s="181"/>
      <c r="ET14" s="181"/>
      <c r="EU14" s="181"/>
      <c r="EV14" s="181"/>
      <c r="EW14" s="181"/>
      <c r="EX14" s="181"/>
      <c r="EY14" s="181"/>
      <c r="EZ14" s="181"/>
      <c r="FA14" s="181"/>
      <c r="FB14" s="181"/>
      <c r="FC14" s="181"/>
      <c r="FD14" s="181"/>
      <c r="FE14" s="181"/>
      <c r="FF14" s="181"/>
      <c r="FG14" s="181"/>
      <c r="FH14" s="181"/>
      <c r="FI14" s="181"/>
      <c r="FJ14" s="181"/>
      <c r="FK14" s="181"/>
      <c r="FL14" s="181"/>
      <c r="FM14" s="181"/>
      <c r="FN14" s="181"/>
      <c r="FO14" s="181"/>
      <c r="FP14" s="181"/>
      <c r="FQ14" s="181"/>
      <c r="FR14" s="181"/>
      <c r="FS14" s="181"/>
      <c r="FT14" s="181"/>
      <c r="FU14" s="181"/>
      <c r="FV14" s="181"/>
      <c r="FW14" s="181"/>
      <c r="FX14" s="181"/>
      <c r="FY14" s="181"/>
      <c r="FZ14" s="181"/>
      <c r="GA14" s="181"/>
      <c r="GB14" s="181"/>
      <c r="GC14" s="181"/>
      <c r="GD14" s="181"/>
      <c r="GE14" s="181"/>
      <c r="GF14" s="181"/>
      <c r="GG14" s="181"/>
      <c r="GH14" s="181"/>
      <c r="GI14" s="181"/>
      <c r="GJ14" s="181"/>
      <c r="GK14" s="181"/>
      <c r="GL14" s="181"/>
      <c r="GM14" s="181"/>
      <c r="GN14" s="181"/>
      <c r="GO14" s="181"/>
      <c r="GP14" s="181"/>
      <c r="GQ14" s="181"/>
      <c r="GR14" s="181"/>
      <c r="GS14" s="181"/>
      <c r="GT14" s="181"/>
      <c r="GU14" s="181"/>
      <c r="GV14" s="181"/>
      <c r="GW14" s="181"/>
      <c r="GX14" s="181"/>
      <c r="GY14" s="181"/>
      <c r="GZ14" s="181"/>
      <c r="HA14" s="181"/>
      <c r="HB14" s="181"/>
      <c r="HC14" s="181"/>
      <c r="HD14" s="181"/>
      <c r="HE14" s="181"/>
      <c r="HF14" s="181"/>
      <c r="HG14" s="181"/>
      <c r="HH14" s="181"/>
      <c r="HI14" s="181"/>
      <c r="HJ14" s="181"/>
      <c r="HK14" s="181"/>
      <c r="HL14" s="181"/>
      <c r="HM14" s="181"/>
      <c r="HN14" s="181"/>
      <c r="HO14" s="181"/>
      <c r="HP14" s="181"/>
      <c r="HQ14" s="181"/>
      <c r="HR14" s="181"/>
      <c r="HS14" s="181"/>
      <c r="HT14" s="181"/>
      <c r="HU14" s="181"/>
      <c r="HV14" s="181"/>
      <c r="HW14" s="181"/>
      <c r="HX14" s="181"/>
      <c r="HY14" s="181"/>
      <c r="HZ14" s="181"/>
      <c r="IA14" s="181"/>
      <c r="IB14" s="181"/>
      <c r="IC14" s="181"/>
      <c r="ID14" s="181"/>
      <c r="IE14" s="181"/>
      <c r="IF14" s="181"/>
      <c r="IG14" s="181"/>
      <c r="IH14" s="181"/>
      <c r="II14" s="181"/>
      <c r="IJ14" s="181"/>
      <c r="IK14" s="181"/>
      <c r="IL14" s="181"/>
      <c r="IM14" s="181"/>
      <c r="IN14" s="181"/>
      <c r="IO14" s="181"/>
      <c r="IP14" s="181"/>
      <c r="IQ14" s="181"/>
      <c r="IR14" s="181"/>
      <c r="IS14" s="181"/>
      <c r="IT14" s="181"/>
      <c r="IU14" s="181"/>
      <c r="IV14" s="181"/>
      <c r="IW14" s="181"/>
    </row>
    <row r="15" customFormat="false" ht="15" hidden="false" customHeight="false" outlineLevel="0" collapsed="false">
      <c r="A15" s="156" t="n">
        <f aca="false">EOMONTH(A14,0)+1</f>
        <v>37288</v>
      </c>
      <c r="B15" s="215" t="n">
        <f aca="false">BD15*1000*-1</f>
        <v>-8.9999999999999</v>
      </c>
      <c r="C15" s="216" t="n">
        <v>2.893</v>
      </c>
      <c r="D15" s="217" t="n">
        <f aca="false">D14+2</f>
        <v>-9</v>
      </c>
      <c r="E15" s="218" t="n">
        <f aca="false">C15+D15/1000</f>
        <v>2.884</v>
      </c>
      <c r="F15" s="219" t="n">
        <f aca="false">(E15-E14)*1000</f>
        <v>0</v>
      </c>
      <c r="G15" s="220" t="n">
        <f aca="false">(C15-C14)*1000</f>
        <v>-1.99999999999978</v>
      </c>
      <c r="H15" s="221" t="n">
        <f aca="false">I15*2-I14-I17</f>
        <v>0.373240659575245</v>
      </c>
      <c r="I15" s="221" t="n">
        <f aca="false">Front!I8</f>
        <v>3.28469882148263</v>
      </c>
      <c r="J15" s="195" t="n">
        <f aca="false">I15-I16</f>
        <v>-0.106568553100652</v>
      </c>
      <c r="K15" s="249" t="s">
        <v>134</v>
      </c>
      <c r="L15" s="195"/>
      <c r="M15" s="224" t="s">
        <v>135</v>
      </c>
      <c r="N15" s="225" t="n">
        <v>2007</v>
      </c>
      <c r="O15" s="226" t="n">
        <f aca="false">[1]Swap!P21+P15</f>
        <v>0.09</v>
      </c>
      <c r="P15" s="250"/>
      <c r="Q15" s="200" t="n">
        <f aca="false">Q14+O15</f>
        <v>3.715</v>
      </c>
      <c r="R15" s="201" t="s">
        <v>136</v>
      </c>
      <c r="S15" s="202" t="n">
        <f aca="false">S14+1</f>
        <v>5</v>
      </c>
      <c r="T15" s="227" t="n">
        <v>0</v>
      </c>
      <c r="U15" s="167"/>
      <c r="V15" s="167"/>
      <c r="W15" s="167"/>
      <c r="X15" s="167"/>
      <c r="Y15" s="228" t="n">
        <f aca="false">DAY(EOMONTH(A15,0))</f>
        <v>28</v>
      </c>
      <c r="Z15" s="229" t="n">
        <v>37132</v>
      </c>
      <c r="AA15" s="230" t="e">
        <f aca="false">IF(AND(A15&gt;=Front!$E$11,A15&lt;=Front!$E$12),A15,"")</f>
        <v>#VALUE!</v>
      </c>
      <c r="AB15" s="231" t="e">
        <f aca="false">IF(AA15="","",VLOOKUP(MONTH(A14),Front!$W$6:$X$17,2)*IF(Front!D$9=0,Swap!Y15,1))</f>
        <v>#VALUE!</v>
      </c>
      <c r="AC15" s="235" t="e">
        <f aca="false">IF(AA15="","",AB15*AH15)</f>
        <v>#VALUE!</v>
      </c>
      <c r="AD15" s="254"/>
      <c r="AE15" s="231" t="e">
        <f aca="false">IF(AA15="","",AD15*AH15)</f>
        <v>#VALUE!</v>
      </c>
      <c r="AF15" s="243" t="n">
        <f aca="false">INDEX(IRTable,MATCH(A15,IRMonth,0),4)</f>
        <v>0.0262355389192432</v>
      </c>
      <c r="AG15" s="235" t="n">
        <f aca="false">AF15+$AG$9</f>
        <v>0.0262355389192432</v>
      </c>
      <c r="AH15" s="195" t="n">
        <f aca="false">1/((1+AG15/2)^(2*((A15-Front!$C$2)/365.25)))</f>
        <v>1.85229340091184</v>
      </c>
      <c r="AI15" s="236" t="e">
        <f aca="false">IF($AA15="","",E15*AC15)</f>
        <v>#VALUE!</v>
      </c>
      <c r="AJ15" s="236" t="e">
        <f aca="false">IF($AA15="","",E15*AE15)</f>
        <v>#VALUE!</v>
      </c>
      <c r="AK15" s="237" t="e">
        <f aca="false">IF($AA15="","",C15*AC15)</f>
        <v>#VALUE!</v>
      </c>
      <c r="AL15" s="160" t="n">
        <f aca="false">(AO15/10000)/30.5</f>
        <v>0</v>
      </c>
      <c r="AM15" s="238" t="n">
        <f aca="false">AD15/10000</f>
        <v>0</v>
      </c>
      <c r="AN15" s="238" t="n">
        <f aca="false">AD15*DAY(EOMONTH(A15,0))/10000</f>
        <v>0</v>
      </c>
      <c r="AO15" s="254"/>
      <c r="AP15" s="233"/>
      <c r="AQ15" s="254"/>
      <c r="AR15" s="240"/>
      <c r="AS15" s="0"/>
      <c r="AT15" s="0"/>
      <c r="AU15" s="87"/>
      <c r="AV15" s="240"/>
      <c r="AW15" s="240"/>
      <c r="AX15" s="0"/>
      <c r="AY15" s="238"/>
      <c r="AZ15" s="233"/>
      <c r="BA15" s="241"/>
      <c r="BB15" s="242"/>
      <c r="BC15" s="243" t="n">
        <v>2.893</v>
      </c>
      <c r="BD15" s="195" t="n">
        <f aca="false">BC15-E15</f>
        <v>0.0089999999999999</v>
      </c>
      <c r="BE15" s="251" t="n">
        <v>-72.34869494</v>
      </c>
      <c r="BF15" s="245" t="n">
        <f aca="false">(BE15)*(D15*10)</f>
        <v>6511.3825446</v>
      </c>
      <c r="BG15" s="246" t="n">
        <v>310.15201418</v>
      </c>
      <c r="BH15" s="246" t="n">
        <v>-1121.74392246</v>
      </c>
      <c r="BI15" s="247"/>
      <c r="BJ15" s="167"/>
      <c r="BK15" s="167"/>
      <c r="BL15" s="167"/>
      <c r="BM15" s="167"/>
      <c r="BN15" s="167"/>
      <c r="BO15" s="167"/>
      <c r="BP15" s="248" t="n">
        <v>37288</v>
      </c>
      <c r="BQ15" s="180" t="n">
        <v>2.845</v>
      </c>
      <c r="BR15" s="180" t="n">
        <v>0.595</v>
      </c>
      <c r="BS15" s="180" t="n">
        <v>0.0262355389192432</v>
      </c>
      <c r="BT15" s="167"/>
      <c r="BU15" s="181"/>
      <c r="BV15" s="181"/>
      <c r="BW15" s="181"/>
      <c r="BX15" s="181"/>
      <c r="BY15" s="181"/>
      <c r="BZ15" s="181"/>
      <c r="CA15" s="181"/>
      <c r="CB15" s="181"/>
      <c r="CC15" s="181"/>
      <c r="CD15" s="181"/>
      <c r="CE15" s="181"/>
      <c r="CF15" s="181"/>
      <c r="CG15" s="181"/>
      <c r="CH15" s="181"/>
      <c r="CI15" s="181"/>
      <c r="CJ15" s="181"/>
      <c r="CK15" s="181"/>
      <c r="CL15" s="181"/>
      <c r="CM15" s="181"/>
      <c r="CN15" s="181"/>
      <c r="CO15" s="181"/>
      <c r="CP15" s="181"/>
      <c r="CQ15" s="181"/>
      <c r="CR15" s="181"/>
      <c r="CS15" s="181"/>
      <c r="CT15" s="181"/>
      <c r="CU15" s="181"/>
      <c r="CV15" s="181"/>
      <c r="CW15" s="181"/>
      <c r="CX15" s="181"/>
      <c r="CY15" s="181"/>
      <c r="CZ15" s="181"/>
      <c r="DA15" s="181"/>
      <c r="DB15" s="181"/>
      <c r="DC15" s="181"/>
      <c r="DD15" s="181"/>
      <c r="DE15" s="181"/>
      <c r="DF15" s="181"/>
      <c r="DG15" s="181"/>
      <c r="DH15" s="181"/>
      <c r="DI15" s="181"/>
      <c r="DJ15" s="181"/>
      <c r="DK15" s="181"/>
      <c r="DL15" s="181"/>
      <c r="DM15" s="181"/>
      <c r="DN15" s="181"/>
      <c r="DO15" s="181"/>
      <c r="DP15" s="181"/>
      <c r="DQ15" s="181"/>
      <c r="DR15" s="181"/>
      <c r="DS15" s="181"/>
      <c r="DT15" s="181"/>
      <c r="DU15" s="181"/>
      <c r="DV15" s="181"/>
      <c r="DW15" s="181"/>
      <c r="DX15" s="181"/>
      <c r="DY15" s="181"/>
      <c r="DZ15" s="181"/>
      <c r="EA15" s="181"/>
      <c r="EB15" s="181"/>
      <c r="EC15" s="181"/>
      <c r="ED15" s="181"/>
      <c r="EE15" s="181"/>
      <c r="EF15" s="181"/>
      <c r="EG15" s="181"/>
      <c r="EH15" s="181"/>
      <c r="EI15" s="181"/>
      <c r="EJ15" s="181"/>
      <c r="EK15" s="181"/>
      <c r="EL15" s="181"/>
      <c r="EM15" s="181"/>
      <c r="EN15" s="181"/>
      <c r="EO15" s="181"/>
      <c r="EP15" s="181"/>
      <c r="EQ15" s="181"/>
      <c r="ER15" s="181"/>
      <c r="ES15" s="181"/>
      <c r="ET15" s="181"/>
      <c r="EU15" s="181"/>
      <c r="EV15" s="181"/>
      <c r="EW15" s="181"/>
      <c r="EX15" s="181"/>
      <c r="EY15" s="181"/>
      <c r="EZ15" s="181"/>
      <c r="FA15" s="181"/>
      <c r="FB15" s="181"/>
      <c r="FC15" s="181"/>
      <c r="FD15" s="181"/>
      <c r="FE15" s="181"/>
      <c r="FF15" s="181"/>
      <c r="FG15" s="181"/>
      <c r="FH15" s="181"/>
      <c r="FI15" s="181"/>
      <c r="FJ15" s="181"/>
      <c r="FK15" s="181"/>
      <c r="FL15" s="181"/>
      <c r="FM15" s="181"/>
      <c r="FN15" s="181"/>
      <c r="FO15" s="181"/>
      <c r="FP15" s="181"/>
      <c r="FQ15" s="181"/>
      <c r="FR15" s="181"/>
      <c r="FS15" s="181"/>
      <c r="FT15" s="181"/>
      <c r="FU15" s="181"/>
      <c r="FV15" s="181"/>
      <c r="FW15" s="181"/>
      <c r="FX15" s="181"/>
      <c r="FY15" s="181"/>
      <c r="FZ15" s="181"/>
      <c r="GA15" s="181"/>
      <c r="GB15" s="181"/>
      <c r="GC15" s="181"/>
      <c r="GD15" s="181"/>
      <c r="GE15" s="181"/>
      <c r="GF15" s="181"/>
      <c r="GG15" s="181"/>
      <c r="GH15" s="181"/>
      <c r="GI15" s="181"/>
      <c r="GJ15" s="181"/>
      <c r="GK15" s="181"/>
      <c r="GL15" s="181"/>
      <c r="GM15" s="181"/>
      <c r="GN15" s="181"/>
      <c r="GO15" s="181"/>
      <c r="GP15" s="181"/>
      <c r="GQ15" s="181"/>
      <c r="GR15" s="181"/>
      <c r="GS15" s="181"/>
      <c r="GT15" s="181"/>
      <c r="GU15" s="181"/>
      <c r="GV15" s="181"/>
      <c r="GW15" s="181"/>
      <c r="GX15" s="181"/>
      <c r="GY15" s="181"/>
      <c r="GZ15" s="181"/>
      <c r="HA15" s="181"/>
      <c r="HB15" s="181"/>
      <c r="HC15" s="181"/>
      <c r="HD15" s="181"/>
      <c r="HE15" s="181"/>
      <c r="HF15" s="181"/>
      <c r="HG15" s="181"/>
      <c r="HH15" s="181"/>
      <c r="HI15" s="181"/>
      <c r="HJ15" s="181"/>
      <c r="HK15" s="181"/>
      <c r="HL15" s="181"/>
      <c r="HM15" s="181"/>
      <c r="HN15" s="181"/>
      <c r="HO15" s="181"/>
      <c r="HP15" s="181"/>
      <c r="HQ15" s="181"/>
      <c r="HR15" s="181"/>
      <c r="HS15" s="181"/>
      <c r="HT15" s="181"/>
      <c r="HU15" s="181"/>
      <c r="HV15" s="181"/>
      <c r="HW15" s="181"/>
      <c r="HX15" s="181"/>
      <c r="HY15" s="181"/>
      <c r="HZ15" s="181"/>
      <c r="IA15" s="181"/>
      <c r="IB15" s="181"/>
      <c r="IC15" s="181"/>
      <c r="ID15" s="181"/>
      <c r="IE15" s="181"/>
      <c r="IF15" s="181"/>
      <c r="IG15" s="181"/>
      <c r="IH15" s="181"/>
      <c r="II15" s="181"/>
      <c r="IJ15" s="181"/>
      <c r="IK15" s="181"/>
      <c r="IL15" s="181"/>
      <c r="IM15" s="181"/>
      <c r="IN15" s="181"/>
      <c r="IO15" s="181"/>
      <c r="IP15" s="181"/>
      <c r="IQ15" s="181"/>
      <c r="IR15" s="181"/>
      <c r="IS15" s="181"/>
      <c r="IT15" s="181"/>
      <c r="IU15" s="181"/>
      <c r="IV15" s="181"/>
      <c r="IW15" s="181"/>
    </row>
    <row r="16" customFormat="false" ht="15" hidden="false" customHeight="false" outlineLevel="0" collapsed="false">
      <c r="A16" s="156" t="n">
        <f aca="false">EOMONTH(A15,0)+1</f>
        <v>37316</v>
      </c>
      <c r="B16" s="215" t="n">
        <f aca="false">BD16*1000*-1</f>
        <v>-8.9999999999999</v>
      </c>
      <c r="C16" s="216" t="n">
        <v>2.86</v>
      </c>
      <c r="D16" s="217" t="n">
        <f aca="false">D15</f>
        <v>-9</v>
      </c>
      <c r="E16" s="218" t="n">
        <f aca="false">C16+D16/1000</f>
        <v>2.851</v>
      </c>
      <c r="F16" s="219" t="n">
        <f aca="false">(E16-E15)*1000</f>
        <v>-33.0000000000004</v>
      </c>
      <c r="G16" s="220" t="n">
        <f aca="false">(C16-C15)*1000</f>
        <v>-33.0000000000004</v>
      </c>
      <c r="H16" s="255" t="n">
        <f aca="false">I16-J20</f>
        <v>0.0212673745832865</v>
      </c>
      <c r="I16" s="221" t="n">
        <f aca="false">Front!I9</f>
        <v>3.39126737458329</v>
      </c>
      <c r="J16" s="195" t="n">
        <f aca="false">I16-I17</f>
        <v>-0.0910704391352697</v>
      </c>
      <c r="K16" s="256" t="s">
        <v>137</v>
      </c>
      <c r="L16" s="178"/>
      <c r="M16" s="224" t="s">
        <v>138</v>
      </c>
      <c r="N16" s="225" t="n">
        <v>2008</v>
      </c>
      <c r="O16" s="226" t="n">
        <f aca="false">[1]Swap!P22+P16</f>
        <v>0.0925</v>
      </c>
      <c r="P16" s="250"/>
      <c r="Q16" s="200" t="n">
        <f aca="false">Q15+O16</f>
        <v>3.8075</v>
      </c>
      <c r="R16" s="201" t="s">
        <v>139</v>
      </c>
      <c r="S16" s="202" t="n">
        <f aca="false">S15+1</f>
        <v>6</v>
      </c>
      <c r="T16" s="227" t="n">
        <v>0</v>
      </c>
      <c r="U16" s="167"/>
      <c r="V16" s="167"/>
      <c r="W16" s="167"/>
      <c r="X16" s="167"/>
      <c r="Y16" s="228" t="n">
        <f aca="false">DAY(EOMONTH(A16,0))</f>
        <v>31</v>
      </c>
      <c r="Z16" s="229" t="n">
        <v>37160</v>
      </c>
      <c r="AA16" s="230" t="e">
        <f aca="false">IF(AND(A16&gt;=Front!$E$11,A16&lt;=Front!$E$12),A16,"")</f>
        <v>#VALUE!</v>
      </c>
      <c r="AB16" s="231" t="e">
        <f aca="false">IF(AA16="","",VLOOKUP(MONTH(A15),Front!$W$6:$X$17,2)*IF(Front!D$9=0,Swap!Y16,1))</f>
        <v>#VALUE!</v>
      </c>
      <c r="AC16" s="235" t="e">
        <f aca="false">IF(AA16="","",AB16*AH16)</f>
        <v>#VALUE!</v>
      </c>
      <c r="AD16" s="254"/>
      <c r="AE16" s="231" t="e">
        <f aca="false">IF(AA16="","",AD16*AH16)</f>
        <v>#VALUE!</v>
      </c>
      <c r="AF16" s="243" t="n">
        <f aca="false">INDEX(IRTable,MATCH(A16,IRMonth,0),4)</f>
        <v>0.0260052702607223</v>
      </c>
      <c r="AG16" s="235" t="n">
        <f aca="false">AF16+$AG$9</f>
        <v>0.0260052702607223</v>
      </c>
      <c r="AH16" s="195" t="n">
        <f aca="false">1/((1+AG16/2)^(2*((A16-Front!$C$2)/365.25)))</f>
        <v>1.8387174526638</v>
      </c>
      <c r="AI16" s="236" t="e">
        <f aca="false">IF($AA16="","",E16*AC16)</f>
        <v>#VALUE!</v>
      </c>
      <c r="AJ16" s="236" t="e">
        <f aca="false">IF($AA16="","",E16*AE16)</f>
        <v>#VALUE!</v>
      </c>
      <c r="AK16" s="237" t="e">
        <f aca="false">IF($AA16="","",C16*AC16)</f>
        <v>#VALUE!</v>
      </c>
      <c r="AL16" s="160" t="n">
        <f aca="false">(AO16/10000)/30.5</f>
        <v>0</v>
      </c>
      <c r="AM16" s="238" t="n">
        <f aca="false">AD16/10000</f>
        <v>0</v>
      </c>
      <c r="AN16" s="238" t="n">
        <f aca="false">AD16*DAY(EOMONTH(A16,0))/10000</f>
        <v>0</v>
      </c>
      <c r="AO16" s="254"/>
      <c r="AP16" s="233"/>
      <c r="AQ16" s="254"/>
      <c r="AR16" s="240"/>
      <c r="AS16" s="0"/>
      <c r="AT16" s="0"/>
      <c r="AU16" s="87"/>
      <c r="AV16" s="240"/>
      <c r="AW16" s="240"/>
      <c r="AX16" s="0"/>
      <c r="AY16" s="238"/>
      <c r="AZ16" s="233"/>
      <c r="BA16" s="241"/>
      <c r="BB16" s="242"/>
      <c r="BC16" s="243" t="n">
        <v>2.86</v>
      </c>
      <c r="BD16" s="195" t="n">
        <f aca="false">BC16-E16</f>
        <v>0.0089999999999999</v>
      </c>
      <c r="BE16" s="251" t="n">
        <v>-170.80927969</v>
      </c>
      <c r="BF16" s="245" t="n">
        <f aca="false">(BE16)*(D16*10)</f>
        <v>15372.8351721</v>
      </c>
      <c r="BG16" s="246" t="n">
        <v>-1490.35142715</v>
      </c>
      <c r="BH16" s="246" t="n">
        <v>363.69693088</v>
      </c>
      <c r="BI16" s="247"/>
      <c r="BJ16" s="167"/>
      <c r="BK16" s="167"/>
      <c r="BL16" s="167"/>
      <c r="BM16" s="167"/>
      <c r="BN16" s="167"/>
      <c r="BO16" s="167"/>
      <c r="BP16" s="248" t="n">
        <v>37316</v>
      </c>
      <c r="BQ16" s="180" t="n">
        <v>2.803</v>
      </c>
      <c r="BR16" s="180" t="n">
        <v>0.53</v>
      </c>
      <c r="BS16" s="180" t="n">
        <v>0.0260052702607223</v>
      </c>
      <c r="BT16" s="167"/>
      <c r="BU16" s="181"/>
      <c r="BV16" s="181"/>
      <c r="BW16" s="181"/>
      <c r="BX16" s="181"/>
      <c r="BY16" s="181"/>
      <c r="BZ16" s="181"/>
      <c r="CA16" s="181"/>
      <c r="CB16" s="181"/>
      <c r="CC16" s="181"/>
      <c r="CD16" s="181"/>
      <c r="CE16" s="181"/>
      <c r="CF16" s="181"/>
      <c r="CG16" s="181"/>
      <c r="CH16" s="181"/>
      <c r="CI16" s="181"/>
      <c r="CJ16" s="181"/>
      <c r="CK16" s="181"/>
      <c r="CL16" s="181"/>
      <c r="CM16" s="181"/>
      <c r="CN16" s="181"/>
      <c r="CO16" s="181"/>
      <c r="CP16" s="181"/>
      <c r="CQ16" s="181"/>
      <c r="CR16" s="181"/>
      <c r="CS16" s="181"/>
      <c r="CT16" s="181"/>
      <c r="CU16" s="181"/>
      <c r="CV16" s="181"/>
      <c r="CW16" s="181"/>
      <c r="CX16" s="181"/>
      <c r="CY16" s="181"/>
      <c r="CZ16" s="181"/>
      <c r="DA16" s="181"/>
      <c r="DB16" s="181"/>
      <c r="DC16" s="181"/>
      <c r="DD16" s="181"/>
      <c r="DE16" s="181"/>
      <c r="DF16" s="181"/>
      <c r="DG16" s="181"/>
      <c r="DH16" s="181"/>
      <c r="DI16" s="181"/>
      <c r="DJ16" s="181"/>
      <c r="DK16" s="181"/>
      <c r="DL16" s="181"/>
      <c r="DM16" s="181"/>
      <c r="DN16" s="181"/>
      <c r="DO16" s="181"/>
      <c r="DP16" s="181"/>
      <c r="DQ16" s="181"/>
      <c r="DR16" s="181"/>
      <c r="DS16" s="181"/>
      <c r="DT16" s="181"/>
      <c r="DU16" s="181"/>
      <c r="DV16" s="181"/>
      <c r="DW16" s="181"/>
      <c r="DX16" s="181"/>
      <c r="DY16" s="181"/>
      <c r="DZ16" s="181"/>
      <c r="EA16" s="181"/>
      <c r="EB16" s="181"/>
      <c r="EC16" s="181"/>
      <c r="ED16" s="181"/>
      <c r="EE16" s="181"/>
      <c r="EF16" s="181"/>
      <c r="EG16" s="181"/>
      <c r="EH16" s="181"/>
      <c r="EI16" s="181"/>
      <c r="EJ16" s="181"/>
      <c r="EK16" s="181"/>
      <c r="EL16" s="181"/>
      <c r="EM16" s="181"/>
      <c r="EN16" s="181"/>
      <c r="EO16" s="181"/>
      <c r="EP16" s="181"/>
      <c r="EQ16" s="181"/>
      <c r="ER16" s="181"/>
      <c r="ES16" s="181"/>
      <c r="ET16" s="181"/>
      <c r="EU16" s="181"/>
      <c r="EV16" s="181"/>
      <c r="EW16" s="181"/>
      <c r="EX16" s="181"/>
      <c r="EY16" s="181"/>
      <c r="EZ16" s="181"/>
      <c r="FA16" s="181"/>
      <c r="FB16" s="181"/>
      <c r="FC16" s="181"/>
      <c r="FD16" s="181"/>
      <c r="FE16" s="181"/>
      <c r="FF16" s="181"/>
      <c r="FG16" s="181"/>
      <c r="FH16" s="181"/>
      <c r="FI16" s="181"/>
      <c r="FJ16" s="181"/>
      <c r="FK16" s="181"/>
      <c r="FL16" s="181"/>
      <c r="FM16" s="181"/>
      <c r="FN16" s="181"/>
      <c r="FO16" s="181"/>
      <c r="FP16" s="181"/>
      <c r="FQ16" s="181"/>
      <c r="FR16" s="181"/>
      <c r="FS16" s="181"/>
      <c r="FT16" s="181"/>
      <c r="FU16" s="181"/>
      <c r="FV16" s="181"/>
      <c r="FW16" s="181"/>
      <c r="FX16" s="181"/>
      <c r="FY16" s="181"/>
      <c r="FZ16" s="181"/>
      <c r="GA16" s="181"/>
      <c r="GB16" s="181"/>
      <c r="GC16" s="181"/>
      <c r="GD16" s="181"/>
      <c r="GE16" s="181"/>
      <c r="GF16" s="181"/>
      <c r="GG16" s="181"/>
      <c r="GH16" s="181"/>
      <c r="GI16" s="181"/>
      <c r="GJ16" s="181"/>
      <c r="GK16" s="181"/>
      <c r="GL16" s="181"/>
      <c r="GM16" s="181"/>
      <c r="GN16" s="181"/>
      <c r="GO16" s="181"/>
      <c r="GP16" s="181"/>
      <c r="GQ16" s="181"/>
      <c r="GR16" s="181"/>
      <c r="GS16" s="181"/>
      <c r="GT16" s="181"/>
      <c r="GU16" s="181"/>
      <c r="GV16" s="181"/>
      <c r="GW16" s="181"/>
      <c r="GX16" s="181"/>
      <c r="GY16" s="181"/>
      <c r="GZ16" s="181"/>
      <c r="HA16" s="181"/>
      <c r="HB16" s="181"/>
      <c r="HC16" s="181"/>
      <c r="HD16" s="181"/>
      <c r="HE16" s="181"/>
      <c r="HF16" s="181"/>
      <c r="HG16" s="181"/>
      <c r="HH16" s="181"/>
      <c r="HI16" s="181"/>
      <c r="HJ16" s="181"/>
      <c r="HK16" s="181"/>
      <c r="HL16" s="181"/>
      <c r="HM16" s="181"/>
      <c r="HN16" s="181"/>
      <c r="HO16" s="181"/>
      <c r="HP16" s="181"/>
      <c r="HQ16" s="181"/>
      <c r="HR16" s="181"/>
      <c r="HS16" s="181"/>
      <c r="HT16" s="181"/>
      <c r="HU16" s="181"/>
      <c r="HV16" s="181"/>
      <c r="HW16" s="181"/>
      <c r="HX16" s="181"/>
      <c r="HY16" s="181"/>
      <c r="HZ16" s="181"/>
      <c r="IA16" s="181"/>
      <c r="IB16" s="181"/>
      <c r="IC16" s="181"/>
      <c r="ID16" s="181"/>
      <c r="IE16" s="181"/>
      <c r="IF16" s="181"/>
      <c r="IG16" s="181"/>
      <c r="IH16" s="181"/>
      <c r="II16" s="181"/>
      <c r="IJ16" s="181"/>
      <c r="IK16" s="181"/>
      <c r="IL16" s="181"/>
      <c r="IM16" s="181"/>
      <c r="IN16" s="181"/>
      <c r="IO16" s="181"/>
      <c r="IP16" s="181"/>
      <c r="IQ16" s="181"/>
      <c r="IR16" s="181"/>
      <c r="IS16" s="181"/>
      <c r="IT16" s="181"/>
      <c r="IU16" s="181"/>
      <c r="IV16" s="181"/>
      <c r="IW16" s="181"/>
    </row>
    <row r="17" customFormat="false" ht="15" hidden="false" customHeight="false" outlineLevel="0" collapsed="false">
      <c r="A17" s="156" t="n">
        <f aca="false">EOMONTH(A16,0)+1</f>
        <v>37347</v>
      </c>
      <c r="B17" s="215" t="n">
        <f aca="false">BD17*1000*-1</f>
        <v>-8.9999999999999</v>
      </c>
      <c r="C17" s="216" t="n">
        <v>2.803</v>
      </c>
      <c r="D17" s="217" t="n">
        <f aca="false">D16</f>
        <v>-9</v>
      </c>
      <c r="E17" s="218" t="n">
        <f aca="false">C17+D17/1000</f>
        <v>2.794</v>
      </c>
      <c r="F17" s="219" t="n">
        <f aca="false">(E17-E16)*1000</f>
        <v>-56.9999999999995</v>
      </c>
      <c r="G17" s="220" t="n">
        <f aca="false">(C17-C16)*1000</f>
        <v>-56.9999999999995</v>
      </c>
      <c r="H17" s="235"/>
      <c r="I17" s="221" t="n">
        <f aca="false">Front!I10</f>
        <v>3.48233781371856</v>
      </c>
      <c r="J17" s="195"/>
      <c r="K17" s="257" t="s">
        <v>140</v>
      </c>
      <c r="L17" s="178"/>
      <c r="M17" s="224" t="s">
        <v>141</v>
      </c>
      <c r="N17" s="225" t="n">
        <v>2009</v>
      </c>
      <c r="O17" s="226" t="n">
        <f aca="false">[1]Swap!P23+P17</f>
        <v>0.095</v>
      </c>
      <c r="P17" s="250"/>
      <c r="Q17" s="200" t="n">
        <f aca="false">Q16+O17</f>
        <v>3.9025</v>
      </c>
      <c r="R17" s="201" t="s">
        <v>142</v>
      </c>
      <c r="S17" s="202" t="n">
        <f aca="false">S16+1</f>
        <v>7</v>
      </c>
      <c r="T17" s="227" t="n">
        <v>0</v>
      </c>
      <c r="U17" s="167"/>
      <c r="V17" s="167"/>
      <c r="W17" s="167"/>
      <c r="X17" s="167"/>
      <c r="Y17" s="228" t="n">
        <f aca="false">DAY(EOMONTH(A17,0))</f>
        <v>30</v>
      </c>
      <c r="Z17" s="229" t="n">
        <v>37193</v>
      </c>
      <c r="AA17" s="230" t="e">
        <f aca="false">IF(AND(A17&gt;=Front!$E$11,A17&lt;=Front!$E$12),A17,"")</f>
        <v>#VALUE!</v>
      </c>
      <c r="AB17" s="231" t="e">
        <f aca="false">IF(AA17="","",VLOOKUP(MONTH(A16),Front!$W$6:$X$17,2)*IF(Front!D$9=0,Swap!Y17,1))</f>
        <v>#VALUE!</v>
      </c>
      <c r="AC17" s="235" t="e">
        <f aca="false">IF(AA17="","",AB17*AH17)</f>
        <v>#VALUE!</v>
      </c>
      <c r="AD17" s="254"/>
      <c r="AE17" s="231" t="e">
        <f aca="false">IF(AA17="","",AD17*AH17)</f>
        <v>#VALUE!</v>
      </c>
      <c r="AF17" s="243" t="n">
        <f aca="false">INDEX(IRTable,MATCH(A17,IRMonth,0),4)</f>
        <v>0.0258808763196687</v>
      </c>
      <c r="AG17" s="235" t="n">
        <f aca="false">AF17+$AG$9</f>
        <v>0.0258808763196687</v>
      </c>
      <c r="AH17" s="195" t="n">
        <f aca="false">1/((1+AG17/2)^(2*((A17-Front!$C$2)/365.25)))</f>
        <v>1.8294054256638</v>
      </c>
      <c r="AI17" s="236" t="e">
        <f aca="false">IF($AA17="","",E17*AC17)</f>
        <v>#VALUE!</v>
      </c>
      <c r="AJ17" s="236" t="e">
        <f aca="false">IF($AA17="","",E17*AE17)</f>
        <v>#VALUE!</v>
      </c>
      <c r="AK17" s="237" t="e">
        <f aca="false">IF($AA17="","",C17*AC17)</f>
        <v>#VALUE!</v>
      </c>
      <c r="AL17" s="160" t="n">
        <f aca="false">(AO17/10000)/30.5</f>
        <v>0</v>
      </c>
      <c r="AM17" s="238" t="n">
        <f aca="false">AD17/10000</f>
        <v>0</v>
      </c>
      <c r="AN17" s="238" t="n">
        <f aca="false">AD17*DAY(EOMONTH(A17,0))/10000</f>
        <v>0</v>
      </c>
      <c r="AO17" s="254"/>
      <c r="AP17" s="233"/>
      <c r="AQ17" s="254"/>
      <c r="AR17" s="240"/>
      <c r="AS17" s="0"/>
      <c r="AT17" s="0"/>
      <c r="AU17" s="87"/>
      <c r="AV17" s="240"/>
      <c r="AW17" s="240"/>
      <c r="AX17" s="0"/>
      <c r="AY17" s="238"/>
      <c r="AZ17" s="233"/>
      <c r="BA17" s="241"/>
      <c r="BB17" s="242"/>
      <c r="BC17" s="243" t="n">
        <v>2.803</v>
      </c>
      <c r="BD17" s="195" t="n">
        <f aca="false">BC17-E17</f>
        <v>0.0089999999999999</v>
      </c>
      <c r="BE17" s="251" t="n">
        <v>-667.95335141</v>
      </c>
      <c r="BF17" s="245" t="n">
        <f aca="false">(BE17)*(D17*10)</f>
        <v>60115.8016269</v>
      </c>
      <c r="BG17" s="246" t="n">
        <v>-2036.00576866</v>
      </c>
      <c r="BH17" s="246" t="n">
        <v>-738.16250693</v>
      </c>
      <c r="BI17" s="247"/>
      <c r="BJ17" s="167"/>
      <c r="BK17" s="167"/>
      <c r="BL17" s="167"/>
      <c r="BM17" s="167"/>
      <c r="BN17" s="167"/>
      <c r="BO17" s="167"/>
      <c r="BP17" s="248" t="n">
        <v>37347</v>
      </c>
      <c r="BQ17" s="180" t="n">
        <v>2.74</v>
      </c>
      <c r="BR17" s="180" t="n">
        <v>0.485</v>
      </c>
      <c r="BS17" s="180" t="n">
        <v>0.0258808763196687</v>
      </c>
      <c r="BT17" s="167"/>
      <c r="BU17" s="181"/>
      <c r="BV17" s="181"/>
      <c r="BW17" s="181"/>
      <c r="BX17" s="181"/>
      <c r="BY17" s="181"/>
      <c r="BZ17" s="181"/>
      <c r="CA17" s="181"/>
      <c r="CB17" s="181"/>
      <c r="CC17" s="181"/>
      <c r="CD17" s="181"/>
      <c r="CE17" s="181"/>
      <c r="CF17" s="181"/>
      <c r="CG17" s="181"/>
      <c r="CH17" s="181"/>
      <c r="CI17" s="181"/>
      <c r="CJ17" s="181"/>
      <c r="CK17" s="181"/>
      <c r="CL17" s="181"/>
      <c r="CM17" s="181"/>
      <c r="CN17" s="181"/>
      <c r="CO17" s="181"/>
      <c r="CP17" s="181"/>
      <c r="CQ17" s="181"/>
      <c r="CR17" s="181"/>
      <c r="CS17" s="181"/>
      <c r="CT17" s="181"/>
      <c r="CU17" s="181"/>
      <c r="CV17" s="181"/>
      <c r="CW17" s="181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1"/>
      <c r="DP17" s="181"/>
      <c r="DQ17" s="181"/>
      <c r="DR17" s="181"/>
      <c r="DS17" s="181"/>
      <c r="DT17" s="181"/>
      <c r="DU17" s="181"/>
      <c r="DV17" s="181"/>
      <c r="DW17" s="181"/>
      <c r="DX17" s="181"/>
      <c r="DY17" s="181"/>
      <c r="DZ17" s="181"/>
      <c r="EA17" s="181"/>
      <c r="EB17" s="181"/>
      <c r="EC17" s="181"/>
      <c r="ED17" s="181"/>
      <c r="EE17" s="181"/>
      <c r="EF17" s="181"/>
      <c r="EG17" s="181"/>
      <c r="EH17" s="181"/>
      <c r="EI17" s="181"/>
      <c r="EJ17" s="181"/>
      <c r="EK17" s="181"/>
      <c r="EL17" s="181"/>
      <c r="EM17" s="181"/>
      <c r="EN17" s="181"/>
      <c r="EO17" s="181"/>
      <c r="EP17" s="181"/>
      <c r="EQ17" s="181"/>
      <c r="ER17" s="181"/>
      <c r="ES17" s="181"/>
      <c r="ET17" s="181"/>
      <c r="EU17" s="181"/>
      <c r="EV17" s="181"/>
      <c r="EW17" s="181"/>
      <c r="EX17" s="181"/>
      <c r="EY17" s="181"/>
      <c r="EZ17" s="181"/>
      <c r="FA17" s="181"/>
      <c r="FB17" s="181"/>
      <c r="FC17" s="181"/>
      <c r="FD17" s="181"/>
      <c r="FE17" s="181"/>
      <c r="FF17" s="181"/>
      <c r="FG17" s="181"/>
      <c r="FH17" s="181"/>
      <c r="FI17" s="181"/>
      <c r="FJ17" s="181"/>
      <c r="FK17" s="181"/>
      <c r="FL17" s="181"/>
      <c r="FM17" s="181"/>
      <c r="FN17" s="181"/>
      <c r="FO17" s="181"/>
      <c r="FP17" s="181"/>
      <c r="FQ17" s="181"/>
      <c r="FR17" s="181"/>
      <c r="FS17" s="181"/>
      <c r="FT17" s="181"/>
      <c r="FU17" s="181"/>
      <c r="FV17" s="181"/>
      <c r="FW17" s="181"/>
      <c r="FX17" s="181"/>
      <c r="FY17" s="181"/>
      <c r="FZ17" s="181"/>
      <c r="GA17" s="181"/>
      <c r="GB17" s="181"/>
      <c r="GC17" s="181"/>
      <c r="GD17" s="181"/>
      <c r="GE17" s="181"/>
      <c r="GF17" s="181"/>
      <c r="GG17" s="181"/>
      <c r="GH17" s="181"/>
      <c r="GI17" s="181"/>
      <c r="GJ17" s="181"/>
      <c r="GK17" s="181"/>
      <c r="GL17" s="181"/>
      <c r="GM17" s="181"/>
      <c r="GN17" s="181"/>
      <c r="GO17" s="181"/>
      <c r="GP17" s="181"/>
      <c r="GQ17" s="181"/>
      <c r="GR17" s="181"/>
      <c r="GS17" s="181"/>
      <c r="GT17" s="181"/>
      <c r="GU17" s="181"/>
      <c r="GV17" s="181"/>
      <c r="GW17" s="181"/>
      <c r="GX17" s="181"/>
      <c r="GY17" s="181"/>
      <c r="GZ17" s="181"/>
      <c r="HA17" s="181"/>
      <c r="HB17" s="181"/>
      <c r="HC17" s="181"/>
      <c r="HD17" s="181"/>
      <c r="HE17" s="181"/>
      <c r="HF17" s="181"/>
      <c r="HG17" s="181"/>
      <c r="HH17" s="181"/>
      <c r="HI17" s="181"/>
      <c r="HJ17" s="181"/>
      <c r="HK17" s="181"/>
      <c r="HL17" s="181"/>
      <c r="HM17" s="181"/>
      <c r="HN17" s="181"/>
      <c r="HO17" s="181"/>
      <c r="HP17" s="181"/>
      <c r="HQ17" s="181"/>
      <c r="HR17" s="181"/>
      <c r="HS17" s="181"/>
      <c r="HT17" s="181"/>
      <c r="HU17" s="181"/>
      <c r="HV17" s="181"/>
      <c r="HW17" s="181"/>
      <c r="HX17" s="181"/>
      <c r="HY17" s="181"/>
      <c r="HZ17" s="181"/>
      <c r="IA17" s="181"/>
      <c r="IB17" s="181"/>
      <c r="IC17" s="181"/>
      <c r="ID17" s="181"/>
      <c r="IE17" s="181"/>
      <c r="IF17" s="181"/>
      <c r="IG17" s="181"/>
      <c r="IH17" s="181"/>
      <c r="II17" s="181"/>
      <c r="IJ17" s="181"/>
      <c r="IK17" s="181"/>
      <c r="IL17" s="181"/>
      <c r="IM17" s="181"/>
      <c r="IN17" s="181"/>
      <c r="IO17" s="181"/>
      <c r="IP17" s="181"/>
      <c r="IQ17" s="181"/>
      <c r="IR17" s="181"/>
      <c r="IS17" s="181"/>
      <c r="IT17" s="181"/>
      <c r="IU17" s="181"/>
      <c r="IV17" s="181"/>
      <c r="IW17" s="181"/>
    </row>
    <row r="18" customFormat="false" ht="15" hidden="false" customHeight="false" outlineLevel="0" collapsed="false">
      <c r="A18" s="156" t="n">
        <f aca="false">EOMONTH(A17,0)+1</f>
        <v>37377</v>
      </c>
      <c r="B18" s="215" t="n">
        <f aca="false">BD18*1000*-1</f>
        <v>-8.9999999999999</v>
      </c>
      <c r="C18" s="216" t="n">
        <v>2.828</v>
      </c>
      <c r="D18" s="217" t="n">
        <f aca="false">D17</f>
        <v>-9</v>
      </c>
      <c r="E18" s="218" t="n">
        <f aca="false">C18+D18/1000</f>
        <v>2.819</v>
      </c>
      <c r="F18" s="219" t="n">
        <f aca="false">(E18-E17)*1000</f>
        <v>24.9999999999999</v>
      </c>
      <c r="G18" s="220" t="n">
        <f aca="false">(C18-C17)*1000</f>
        <v>24.9999999999999</v>
      </c>
      <c r="H18" s="235"/>
      <c r="I18" s="258" t="n">
        <v>2.95</v>
      </c>
      <c r="J18" s="259" t="n">
        <f aca="false">I18+K18</f>
        <v>3.1975</v>
      </c>
      <c r="K18" s="243" t="n">
        <v>0.2475</v>
      </c>
      <c r="L18" s="260" t="s">
        <v>143</v>
      </c>
      <c r="M18" s="224" t="s">
        <v>144</v>
      </c>
      <c r="N18" s="225" t="n">
        <v>2010</v>
      </c>
      <c r="O18" s="226" t="n">
        <f aca="false">[1]Swap!P24+P18</f>
        <v>0.0975</v>
      </c>
      <c r="P18" s="250"/>
      <c r="Q18" s="200" t="n">
        <f aca="false">Q17+O18</f>
        <v>4</v>
      </c>
      <c r="R18" s="201" t="s">
        <v>145</v>
      </c>
      <c r="S18" s="202" t="n">
        <f aca="false">S17+1</f>
        <v>8</v>
      </c>
      <c r="T18" s="227" t="n">
        <v>0</v>
      </c>
      <c r="U18" s="167"/>
      <c r="V18" s="167"/>
      <c r="W18" s="167"/>
      <c r="X18" s="167"/>
      <c r="Y18" s="228" t="n">
        <f aca="false">DAY(EOMONTH(A18,0))</f>
        <v>31</v>
      </c>
      <c r="Z18" s="229" t="n">
        <v>37223</v>
      </c>
      <c r="AA18" s="230" t="e">
        <f aca="false">IF(AND(A18&gt;=Front!$E$11,A18&lt;=Front!$E$12),A18,"")</f>
        <v>#VALUE!</v>
      </c>
      <c r="AB18" s="231" t="e">
        <f aca="false">IF(AA18="","",VLOOKUP(MONTH(A17),Front!$W$6:$X$17,2)*IF(Front!D$9=0,Swap!Y18,1))</f>
        <v>#VALUE!</v>
      </c>
      <c r="AC18" s="235" t="e">
        <f aca="false">IF(AA18="","",AB18*AH18)</f>
        <v>#VALUE!</v>
      </c>
      <c r="AD18" s="254"/>
      <c r="AE18" s="231" t="e">
        <f aca="false">IF(AA18="","",AD18*AH18)</f>
        <v>#VALUE!</v>
      </c>
      <c r="AF18" s="243" t="n">
        <f aca="false">INDEX(IRTable,MATCH(A18,IRMonth,0),4)</f>
        <v>0.0259322347193565</v>
      </c>
      <c r="AG18" s="235" t="n">
        <f aca="false">AF18+$AG$9</f>
        <v>0.0259322347193565</v>
      </c>
      <c r="AH18" s="195" t="n">
        <f aca="false">1/((1+AG18/2)^(2*((A18-Front!$C$2)/365.25)))</f>
        <v>1.82771330282044</v>
      </c>
      <c r="AI18" s="236" t="e">
        <f aca="false">IF($AA18="","",E18*AC18)</f>
        <v>#VALUE!</v>
      </c>
      <c r="AJ18" s="236" t="e">
        <f aca="false">IF($AA18="","",E18*AE18)</f>
        <v>#VALUE!</v>
      </c>
      <c r="AK18" s="237" t="e">
        <f aca="false">IF($AA18="","",C18*AC18)</f>
        <v>#VALUE!</v>
      </c>
      <c r="AL18" s="160" t="n">
        <f aca="false">(AO18/10000)/30.5</f>
        <v>0</v>
      </c>
      <c r="AM18" s="238" t="n">
        <f aca="false">AD18/10000</f>
        <v>0</v>
      </c>
      <c r="AN18" s="238" t="n">
        <f aca="false">AD18*DAY(EOMONTH(A18,0))/10000</f>
        <v>0</v>
      </c>
      <c r="AO18" s="254"/>
      <c r="AP18" s="233"/>
      <c r="AQ18" s="254"/>
      <c r="AR18" s="240"/>
      <c r="AS18" s="0"/>
      <c r="AT18" s="0"/>
      <c r="AU18" s="87"/>
      <c r="AV18" s="240"/>
      <c r="AW18" s="240"/>
      <c r="AX18" s="0"/>
      <c r="AY18" s="238"/>
      <c r="AZ18" s="233"/>
      <c r="BA18" s="241"/>
      <c r="BB18" s="242"/>
      <c r="BC18" s="243" t="n">
        <v>2.828</v>
      </c>
      <c r="BD18" s="195" t="n">
        <f aca="false">BC18-E18</f>
        <v>0.0089999999999999</v>
      </c>
      <c r="BE18" s="251" t="n">
        <v>-926.49990109</v>
      </c>
      <c r="BF18" s="245" t="n">
        <f aca="false">(BE18)*(D18*10)</f>
        <v>83384.9910981</v>
      </c>
      <c r="BG18" s="246" t="n">
        <v>11452.5885441</v>
      </c>
      <c r="BH18" s="246" t="n">
        <v>822.312224300002</v>
      </c>
      <c r="BI18" s="247"/>
      <c r="BJ18" s="167"/>
      <c r="BK18" s="167"/>
      <c r="BL18" s="167"/>
      <c r="BM18" s="167"/>
      <c r="BN18" s="167"/>
      <c r="BO18" s="167"/>
      <c r="BP18" s="248" t="n">
        <v>37377</v>
      </c>
      <c r="BQ18" s="180" t="n">
        <v>2.765</v>
      </c>
      <c r="BR18" s="180" t="n">
        <v>0.45</v>
      </c>
      <c r="BS18" s="180" t="n">
        <v>0.0259322347193565</v>
      </c>
      <c r="BT18" s="167"/>
      <c r="BU18" s="181"/>
      <c r="BV18" s="181"/>
      <c r="BW18" s="181"/>
      <c r="BX18" s="181"/>
      <c r="BY18" s="181"/>
      <c r="BZ18" s="181"/>
      <c r="CA18" s="181"/>
      <c r="CB18" s="181"/>
      <c r="CC18" s="181"/>
      <c r="CD18" s="181"/>
      <c r="CE18" s="181"/>
      <c r="CF18" s="181"/>
      <c r="CG18" s="181"/>
      <c r="CH18" s="181"/>
      <c r="CI18" s="181"/>
      <c r="CJ18" s="181"/>
      <c r="CK18" s="181"/>
      <c r="CL18" s="181"/>
      <c r="CM18" s="181"/>
      <c r="CN18" s="181"/>
      <c r="CO18" s="181"/>
      <c r="CP18" s="181"/>
      <c r="CQ18" s="181"/>
      <c r="CR18" s="181"/>
      <c r="CS18" s="181"/>
      <c r="CT18" s="181"/>
      <c r="CU18" s="181"/>
      <c r="CV18" s="181"/>
      <c r="CW18" s="181"/>
      <c r="CX18" s="181"/>
      <c r="CY18" s="181"/>
      <c r="CZ18" s="181"/>
      <c r="DA18" s="181"/>
      <c r="DB18" s="181"/>
      <c r="DC18" s="181"/>
      <c r="DD18" s="181"/>
      <c r="DE18" s="181"/>
      <c r="DF18" s="181"/>
      <c r="DG18" s="181"/>
      <c r="DH18" s="181"/>
      <c r="DI18" s="181"/>
      <c r="DJ18" s="181"/>
      <c r="DK18" s="181"/>
      <c r="DL18" s="181"/>
      <c r="DM18" s="181"/>
      <c r="DN18" s="181"/>
      <c r="DO18" s="181"/>
      <c r="DP18" s="181"/>
      <c r="DQ18" s="181"/>
      <c r="DR18" s="181"/>
      <c r="DS18" s="181"/>
      <c r="DT18" s="181"/>
      <c r="DU18" s="181"/>
      <c r="DV18" s="181"/>
      <c r="DW18" s="181"/>
      <c r="DX18" s="181"/>
      <c r="DY18" s="181"/>
      <c r="DZ18" s="181"/>
      <c r="EA18" s="181"/>
      <c r="EB18" s="181"/>
      <c r="EC18" s="181"/>
      <c r="ED18" s="181"/>
      <c r="EE18" s="181"/>
      <c r="EF18" s="181"/>
      <c r="EG18" s="181"/>
      <c r="EH18" s="181"/>
      <c r="EI18" s="181"/>
      <c r="EJ18" s="181"/>
      <c r="EK18" s="181"/>
      <c r="EL18" s="181"/>
      <c r="EM18" s="181"/>
      <c r="EN18" s="181"/>
      <c r="EO18" s="181"/>
      <c r="EP18" s="181"/>
      <c r="EQ18" s="181"/>
      <c r="ER18" s="181"/>
      <c r="ES18" s="181"/>
      <c r="ET18" s="181"/>
      <c r="EU18" s="181"/>
      <c r="EV18" s="181"/>
      <c r="EW18" s="181"/>
      <c r="EX18" s="181"/>
      <c r="EY18" s="181"/>
      <c r="EZ18" s="181"/>
      <c r="FA18" s="181"/>
      <c r="FB18" s="181"/>
      <c r="FC18" s="181"/>
      <c r="FD18" s="181"/>
      <c r="FE18" s="181"/>
      <c r="FF18" s="181"/>
      <c r="FG18" s="181"/>
      <c r="FH18" s="181"/>
      <c r="FI18" s="181"/>
      <c r="FJ18" s="181"/>
      <c r="FK18" s="181"/>
      <c r="FL18" s="181"/>
      <c r="FM18" s="181"/>
      <c r="FN18" s="181"/>
      <c r="FO18" s="181"/>
      <c r="FP18" s="181"/>
      <c r="FQ18" s="181"/>
      <c r="FR18" s="181"/>
      <c r="FS18" s="181"/>
      <c r="FT18" s="181"/>
      <c r="FU18" s="181"/>
      <c r="FV18" s="181"/>
      <c r="FW18" s="181"/>
      <c r="FX18" s="181"/>
      <c r="FY18" s="181"/>
      <c r="FZ18" s="181"/>
      <c r="GA18" s="181"/>
      <c r="GB18" s="181"/>
      <c r="GC18" s="181"/>
      <c r="GD18" s="181"/>
      <c r="GE18" s="181"/>
      <c r="GF18" s="181"/>
      <c r="GG18" s="181"/>
      <c r="GH18" s="181"/>
      <c r="GI18" s="181"/>
      <c r="GJ18" s="181"/>
      <c r="GK18" s="181"/>
      <c r="GL18" s="181"/>
      <c r="GM18" s="181"/>
      <c r="GN18" s="181"/>
      <c r="GO18" s="181"/>
      <c r="GP18" s="181"/>
      <c r="GQ18" s="181"/>
      <c r="GR18" s="181"/>
      <c r="GS18" s="181"/>
      <c r="GT18" s="181"/>
      <c r="GU18" s="181"/>
      <c r="GV18" s="181"/>
      <c r="GW18" s="181"/>
      <c r="GX18" s="181"/>
      <c r="GY18" s="181"/>
      <c r="GZ18" s="181"/>
      <c r="HA18" s="181"/>
      <c r="HB18" s="181"/>
      <c r="HC18" s="181"/>
      <c r="HD18" s="181"/>
      <c r="HE18" s="181"/>
      <c r="HF18" s="181"/>
      <c r="HG18" s="181"/>
      <c r="HH18" s="181"/>
      <c r="HI18" s="181"/>
      <c r="HJ18" s="181"/>
      <c r="HK18" s="181"/>
      <c r="HL18" s="181"/>
      <c r="HM18" s="181"/>
      <c r="HN18" s="181"/>
      <c r="HO18" s="181"/>
      <c r="HP18" s="181"/>
      <c r="HQ18" s="181"/>
      <c r="HR18" s="181"/>
      <c r="HS18" s="181"/>
      <c r="HT18" s="181"/>
      <c r="HU18" s="181"/>
      <c r="HV18" s="181"/>
      <c r="HW18" s="181"/>
      <c r="HX18" s="181"/>
      <c r="HY18" s="181"/>
      <c r="HZ18" s="181"/>
      <c r="IA18" s="181"/>
      <c r="IB18" s="181"/>
      <c r="IC18" s="181"/>
      <c r="ID18" s="181"/>
      <c r="IE18" s="181"/>
      <c r="IF18" s="181"/>
      <c r="IG18" s="181"/>
      <c r="IH18" s="181"/>
      <c r="II18" s="181"/>
      <c r="IJ18" s="181"/>
      <c r="IK18" s="181"/>
      <c r="IL18" s="181"/>
      <c r="IM18" s="181"/>
      <c r="IN18" s="181"/>
      <c r="IO18" s="181"/>
      <c r="IP18" s="181"/>
      <c r="IQ18" s="181"/>
      <c r="IR18" s="181"/>
      <c r="IS18" s="181"/>
      <c r="IT18" s="181"/>
      <c r="IU18" s="181"/>
      <c r="IV18" s="181"/>
      <c r="IW18" s="181"/>
    </row>
    <row r="19" customFormat="false" ht="15" hidden="false" customHeight="false" outlineLevel="0" collapsed="false">
      <c r="A19" s="156" t="n">
        <f aca="false">EOMONTH(A18,0)+1</f>
        <v>37408</v>
      </c>
      <c r="B19" s="215" t="n">
        <f aca="false">BD19*1000*-1</f>
        <v>-8.9999999999999</v>
      </c>
      <c r="C19" s="216" t="n">
        <v>2.88</v>
      </c>
      <c r="D19" s="217" t="n">
        <f aca="false">D18</f>
        <v>-9</v>
      </c>
      <c r="E19" s="218" t="n">
        <f aca="false">C19+D19/1000</f>
        <v>2.871</v>
      </c>
      <c r="F19" s="219" t="n">
        <f aca="false">(E19-E18)*1000</f>
        <v>51.9999999999996</v>
      </c>
      <c r="G19" s="220" t="n">
        <f aca="false">(C19-C18)*1000</f>
        <v>51.9999999999996</v>
      </c>
      <c r="H19" s="235"/>
      <c r="I19" s="258"/>
      <c r="J19" s="259" t="n">
        <f aca="false">J18+K19</f>
        <v>3.285</v>
      </c>
      <c r="K19" s="243" t="n">
        <v>0.0875</v>
      </c>
      <c r="L19" s="261" t="s">
        <v>146</v>
      </c>
      <c r="M19" s="224" t="s">
        <v>147</v>
      </c>
      <c r="N19" s="225" t="n">
        <v>2011</v>
      </c>
      <c r="O19" s="226" t="n">
        <f aca="false">[1]Swap!P25+P19</f>
        <v>0.1</v>
      </c>
      <c r="P19" s="250"/>
      <c r="Q19" s="200" t="n">
        <f aca="false">Q18+O19</f>
        <v>4.1</v>
      </c>
      <c r="R19" s="201" t="s">
        <v>148</v>
      </c>
      <c r="S19" s="202" t="n">
        <f aca="false">S18+1</f>
        <v>9</v>
      </c>
      <c r="T19" s="227" t="n">
        <v>0</v>
      </c>
      <c r="U19" s="167"/>
      <c r="V19" s="167"/>
      <c r="W19" s="167"/>
      <c r="X19" s="167"/>
      <c r="Y19" s="228" t="n">
        <f aca="false">DAY(EOMONTH(A19,0))</f>
        <v>30</v>
      </c>
      <c r="Z19" s="229" t="n">
        <v>37252</v>
      </c>
      <c r="AA19" s="230" t="e">
        <f aca="false">IF(AND(A19&gt;=Front!$E$11,A19&lt;=Front!$E$12),A19,"")</f>
        <v>#VALUE!</v>
      </c>
      <c r="AB19" s="231" t="e">
        <f aca="false">IF(AA19="","",VLOOKUP(MONTH(A18),Front!$W$6:$X$17,2)*IF(Front!D$9=0,Swap!Y19,1))</f>
        <v>#VALUE!</v>
      </c>
      <c r="AC19" s="231" t="e">
        <f aca="false">IF(AA19="","",AB19*AH19)</f>
        <v>#VALUE!</v>
      </c>
      <c r="AD19" s="254"/>
      <c r="AE19" s="231" t="e">
        <f aca="false">IF(AA19="","",AD19*AH19)</f>
        <v>#VALUE!</v>
      </c>
      <c r="AF19" s="243" t="n">
        <f aca="false">INDEX(IRTable,MATCH(A19,IRMonth,0),4)</f>
        <v>0.0259853050666372</v>
      </c>
      <c r="AG19" s="235" t="n">
        <f aca="false">AF19+$AG$9</f>
        <v>0.0259853050666372</v>
      </c>
      <c r="AH19" s="195" t="n">
        <f aca="false">1/((1+AG19/2)^(2*((A19-Front!$C$2)/365.25)))</f>
        <v>1.82595038575699</v>
      </c>
      <c r="AI19" s="236" t="e">
        <f aca="false">IF($AA19="","",E19*AC19)</f>
        <v>#VALUE!</v>
      </c>
      <c r="AJ19" s="236" t="e">
        <f aca="false">IF($AA19="","",E19*AE19)</f>
        <v>#VALUE!</v>
      </c>
      <c r="AK19" s="237" t="e">
        <f aca="false">IF($AA19="","",C19*AC19)</f>
        <v>#VALUE!</v>
      </c>
      <c r="AL19" s="160" t="n">
        <f aca="false">(AO19/10000)/30.5</f>
        <v>0</v>
      </c>
      <c r="AM19" s="238" t="n">
        <f aca="false">AD19/10000</f>
        <v>0</v>
      </c>
      <c r="AN19" s="238" t="n">
        <f aca="false">AD19*DAY(EOMONTH(A19,0))/10000</f>
        <v>0</v>
      </c>
      <c r="AO19" s="254"/>
      <c r="AP19" s="233"/>
      <c r="AQ19" s="254"/>
      <c r="AR19" s="240"/>
      <c r="AS19" s="87"/>
      <c r="AT19" s="0"/>
      <c r="AU19" s="87"/>
      <c r="AV19" s="240"/>
      <c r="AW19" s="240"/>
      <c r="AX19" s="0"/>
      <c r="AY19" s="238"/>
      <c r="AZ19" s="233"/>
      <c r="BA19" s="241"/>
      <c r="BB19" s="242"/>
      <c r="BC19" s="243" t="n">
        <v>2.88</v>
      </c>
      <c r="BD19" s="195" t="n">
        <f aca="false">BC19-E19</f>
        <v>0.0089999999999999</v>
      </c>
      <c r="BE19" s="251" t="n">
        <v>188.80538654</v>
      </c>
      <c r="BF19" s="245" t="n">
        <f aca="false">(BE19)*(D19*10)</f>
        <v>-16992.4847886</v>
      </c>
      <c r="BG19" s="246" t="n">
        <v>-4083.23752403</v>
      </c>
      <c r="BH19" s="246" t="n">
        <v>1824.54630088</v>
      </c>
      <c r="BI19" s="247"/>
      <c r="BJ19" s="167"/>
      <c r="BK19" s="167"/>
      <c r="BL19" s="167"/>
      <c r="BM19" s="167"/>
      <c r="BN19" s="167"/>
      <c r="BO19" s="167"/>
      <c r="BP19" s="248" t="n">
        <v>37408</v>
      </c>
      <c r="BQ19" s="180" t="n">
        <v>2.815</v>
      </c>
      <c r="BR19" s="180" t="n">
        <v>0.4425</v>
      </c>
      <c r="BS19" s="180" t="n">
        <v>0.0259853050666372</v>
      </c>
      <c r="BT19" s="167"/>
      <c r="BU19" s="181"/>
      <c r="BV19" s="181"/>
      <c r="BW19" s="181"/>
      <c r="BX19" s="181"/>
      <c r="BY19" s="181"/>
      <c r="BZ19" s="181"/>
      <c r="CA19" s="181"/>
      <c r="CB19" s="181"/>
      <c r="CC19" s="181"/>
      <c r="CD19" s="181"/>
      <c r="CE19" s="181"/>
      <c r="CF19" s="181"/>
      <c r="CG19" s="181"/>
      <c r="CH19" s="181"/>
      <c r="CI19" s="181"/>
      <c r="CJ19" s="181"/>
      <c r="CK19" s="181"/>
      <c r="CL19" s="181"/>
      <c r="CM19" s="181"/>
      <c r="CN19" s="181"/>
      <c r="CO19" s="181"/>
      <c r="CP19" s="181"/>
      <c r="CQ19" s="181"/>
      <c r="CR19" s="181"/>
      <c r="CS19" s="181"/>
      <c r="CT19" s="181"/>
      <c r="CU19" s="181"/>
      <c r="CV19" s="181"/>
      <c r="CW19" s="181"/>
      <c r="CX19" s="181"/>
      <c r="CY19" s="181"/>
      <c r="CZ19" s="181"/>
      <c r="DA19" s="181"/>
      <c r="DB19" s="181"/>
      <c r="DC19" s="181"/>
      <c r="DD19" s="181"/>
      <c r="DE19" s="181"/>
      <c r="DF19" s="181"/>
      <c r="DG19" s="181"/>
      <c r="DH19" s="181"/>
      <c r="DI19" s="181"/>
      <c r="DJ19" s="181"/>
      <c r="DK19" s="181"/>
      <c r="DL19" s="181"/>
      <c r="DM19" s="181"/>
      <c r="DN19" s="181"/>
      <c r="DO19" s="181"/>
      <c r="DP19" s="181"/>
      <c r="DQ19" s="181"/>
      <c r="DR19" s="181"/>
      <c r="DS19" s="181"/>
      <c r="DT19" s="181"/>
      <c r="DU19" s="181"/>
      <c r="DV19" s="181"/>
      <c r="DW19" s="181"/>
      <c r="DX19" s="181"/>
      <c r="DY19" s="181"/>
      <c r="DZ19" s="181"/>
      <c r="EA19" s="181"/>
      <c r="EB19" s="181"/>
      <c r="EC19" s="181"/>
      <c r="ED19" s="181"/>
      <c r="EE19" s="181"/>
      <c r="EF19" s="181"/>
      <c r="EG19" s="181"/>
      <c r="EH19" s="181"/>
      <c r="EI19" s="181"/>
      <c r="EJ19" s="181"/>
      <c r="EK19" s="181"/>
      <c r="EL19" s="181"/>
      <c r="EM19" s="181"/>
      <c r="EN19" s="181"/>
      <c r="EO19" s="181"/>
      <c r="EP19" s="181"/>
      <c r="EQ19" s="181"/>
      <c r="ER19" s="181"/>
      <c r="ES19" s="181"/>
      <c r="ET19" s="181"/>
      <c r="EU19" s="181"/>
      <c r="EV19" s="181"/>
      <c r="EW19" s="181"/>
      <c r="EX19" s="181"/>
      <c r="EY19" s="181"/>
      <c r="EZ19" s="181"/>
      <c r="FA19" s="181"/>
      <c r="FB19" s="181"/>
      <c r="FC19" s="181"/>
      <c r="FD19" s="181"/>
      <c r="FE19" s="181"/>
      <c r="FF19" s="181"/>
      <c r="FG19" s="181"/>
      <c r="FH19" s="181"/>
      <c r="FI19" s="181"/>
      <c r="FJ19" s="181"/>
      <c r="FK19" s="181"/>
      <c r="FL19" s="181"/>
      <c r="FM19" s="181"/>
      <c r="FN19" s="181"/>
      <c r="FO19" s="181"/>
      <c r="FP19" s="181"/>
      <c r="FQ19" s="181"/>
      <c r="FR19" s="181"/>
      <c r="FS19" s="181"/>
      <c r="FT19" s="181"/>
      <c r="FU19" s="181"/>
      <c r="FV19" s="181"/>
      <c r="FW19" s="181"/>
      <c r="FX19" s="181"/>
      <c r="FY19" s="181"/>
      <c r="FZ19" s="181"/>
      <c r="GA19" s="181"/>
      <c r="GB19" s="181"/>
      <c r="GC19" s="181"/>
      <c r="GD19" s="181"/>
      <c r="GE19" s="181"/>
      <c r="GF19" s="181"/>
      <c r="GG19" s="181"/>
      <c r="GH19" s="181"/>
      <c r="GI19" s="181"/>
      <c r="GJ19" s="181"/>
      <c r="GK19" s="181"/>
      <c r="GL19" s="181"/>
      <c r="GM19" s="181"/>
      <c r="GN19" s="181"/>
      <c r="GO19" s="181"/>
      <c r="GP19" s="181"/>
      <c r="GQ19" s="181"/>
      <c r="GR19" s="181"/>
      <c r="GS19" s="181"/>
      <c r="GT19" s="181"/>
      <c r="GU19" s="181"/>
      <c r="GV19" s="181"/>
      <c r="GW19" s="181"/>
      <c r="GX19" s="181"/>
      <c r="GY19" s="181"/>
      <c r="GZ19" s="181"/>
      <c r="HA19" s="181"/>
      <c r="HB19" s="181"/>
      <c r="HC19" s="181"/>
      <c r="HD19" s="181"/>
      <c r="HE19" s="181"/>
      <c r="HF19" s="181"/>
      <c r="HG19" s="181"/>
      <c r="HH19" s="181"/>
      <c r="HI19" s="181"/>
      <c r="HJ19" s="181"/>
      <c r="HK19" s="181"/>
      <c r="HL19" s="181"/>
      <c r="HM19" s="181"/>
      <c r="HN19" s="181"/>
      <c r="HO19" s="181"/>
      <c r="HP19" s="181"/>
      <c r="HQ19" s="181"/>
      <c r="HR19" s="181"/>
      <c r="HS19" s="181"/>
      <c r="HT19" s="181"/>
      <c r="HU19" s="181"/>
      <c r="HV19" s="181"/>
      <c r="HW19" s="181"/>
      <c r="HX19" s="181"/>
      <c r="HY19" s="181"/>
      <c r="HZ19" s="181"/>
      <c r="IA19" s="181"/>
      <c r="IB19" s="181"/>
      <c r="IC19" s="181"/>
      <c r="ID19" s="181"/>
      <c r="IE19" s="181"/>
      <c r="IF19" s="181"/>
      <c r="IG19" s="181"/>
      <c r="IH19" s="181"/>
      <c r="II19" s="181"/>
      <c r="IJ19" s="181"/>
      <c r="IK19" s="181"/>
      <c r="IL19" s="181"/>
      <c r="IM19" s="181"/>
      <c r="IN19" s="181"/>
      <c r="IO19" s="181"/>
      <c r="IP19" s="181"/>
      <c r="IQ19" s="181"/>
      <c r="IR19" s="181"/>
      <c r="IS19" s="181"/>
      <c r="IT19" s="181"/>
      <c r="IU19" s="181"/>
      <c r="IV19" s="181"/>
      <c r="IW19" s="181"/>
    </row>
    <row r="20" customFormat="false" ht="15" hidden="false" customHeight="false" outlineLevel="0" collapsed="false">
      <c r="A20" s="156" t="n">
        <f aca="false">EOMONTH(A19,0)+1</f>
        <v>37438</v>
      </c>
      <c r="B20" s="215" t="n">
        <f aca="false">BD20*1000*-1</f>
        <v>-8.9999999999999</v>
      </c>
      <c r="C20" s="216" t="n">
        <v>2.926</v>
      </c>
      <c r="D20" s="217" t="n">
        <f aca="false">D19</f>
        <v>-9</v>
      </c>
      <c r="E20" s="218" t="n">
        <f aca="false">C20+D20/1000</f>
        <v>2.917</v>
      </c>
      <c r="F20" s="219" t="n">
        <f aca="false">(E20-E19)*1000</f>
        <v>46.0000000000003</v>
      </c>
      <c r="G20" s="220" t="n">
        <f aca="false">(C20-C19)*1000</f>
        <v>46.0000000000003</v>
      </c>
      <c r="H20" s="178"/>
      <c r="I20" s="195"/>
      <c r="J20" s="259" t="n">
        <f aca="false">J19+K20</f>
        <v>3.37</v>
      </c>
      <c r="K20" s="243" t="n">
        <v>0.085</v>
      </c>
      <c r="L20" s="261" t="s">
        <v>149</v>
      </c>
      <c r="M20" s="224" t="s">
        <v>150</v>
      </c>
      <c r="N20" s="225" t="n">
        <v>2012</v>
      </c>
      <c r="O20" s="226" t="n">
        <f aca="false">[1]Swap!P26+P20</f>
        <v>0.1025</v>
      </c>
      <c r="P20" s="250"/>
      <c r="Q20" s="200" t="n">
        <f aca="false">Q19+O20</f>
        <v>4.2025</v>
      </c>
      <c r="R20" s="201" t="s">
        <v>151</v>
      </c>
      <c r="S20" s="202" t="n">
        <f aca="false">S19+1</f>
        <v>10</v>
      </c>
      <c r="T20" s="227" t="n">
        <v>0</v>
      </c>
      <c r="U20" s="167"/>
      <c r="V20" s="167"/>
      <c r="W20" s="167"/>
      <c r="X20" s="167"/>
      <c r="Y20" s="228" t="n">
        <f aca="false">DAY(EOMONTH(A20,0))</f>
        <v>31</v>
      </c>
      <c r="Z20" s="229" t="n">
        <v>37285</v>
      </c>
      <c r="AA20" s="230" t="e">
        <f aca="false">IF(AND(A20&gt;=Front!$E$11,A20&lt;=Front!$E$12),A20,"")</f>
        <v>#VALUE!</v>
      </c>
      <c r="AB20" s="231" t="e">
        <f aca="false">IF(AA20="","",VLOOKUP(MONTH(A19),Front!$W$6:$X$17,2)*IF(Front!D$9=0,Swap!Y20,1))</f>
        <v>#VALUE!</v>
      </c>
      <c r="AC20" s="231" t="e">
        <f aca="false">IF(AA20="","",AB20*AH20)</f>
        <v>#VALUE!</v>
      </c>
      <c r="AD20" s="254"/>
      <c r="AE20" s="231" t="e">
        <f aca="false">IF(AA20="","",AD20*AH20)</f>
        <v>#VALUE!</v>
      </c>
      <c r="AF20" s="243" t="n">
        <f aca="false">INDEX(IRTable,MATCH(A20,IRMonth,0),4)</f>
        <v>0.0261676197601344</v>
      </c>
      <c r="AG20" s="235" t="n">
        <f aca="false">AF20+$AG$9</f>
        <v>0.0261676197601344</v>
      </c>
      <c r="AH20" s="195" t="n">
        <f aca="false">1/((1+AG20/2)^(2*((A20-Front!$C$2)/365.25)))</f>
        <v>1.82971881127552</v>
      </c>
      <c r="AI20" s="236" t="e">
        <f aca="false">IF($AA20="","",E20*AC20)</f>
        <v>#VALUE!</v>
      </c>
      <c r="AJ20" s="236" t="e">
        <f aca="false">IF($AA20="","",E20*AE20)</f>
        <v>#VALUE!</v>
      </c>
      <c r="AK20" s="237" t="e">
        <f aca="false">IF($AA20="","",C20*AC20)</f>
        <v>#VALUE!</v>
      </c>
      <c r="AL20" s="160" t="n">
        <f aca="false">(AO20/10000)/30.5</f>
        <v>0</v>
      </c>
      <c r="AM20" s="238" t="n">
        <f aca="false">AD20/10000</f>
        <v>0</v>
      </c>
      <c r="AN20" s="238" t="n">
        <f aca="false">AD20*DAY(EOMONTH(A20,0))/10000</f>
        <v>0</v>
      </c>
      <c r="AO20" s="254"/>
      <c r="AP20" s="233"/>
      <c r="AQ20" s="254"/>
      <c r="AR20" s="240"/>
      <c r="AS20" s="87"/>
      <c r="AT20" s="0"/>
      <c r="AU20" s="87"/>
      <c r="AV20" s="240"/>
      <c r="AW20" s="240"/>
      <c r="AX20" s="0"/>
      <c r="AY20" s="238"/>
      <c r="AZ20" s="233"/>
      <c r="BA20" s="241"/>
      <c r="BB20" s="242"/>
      <c r="BC20" s="243" t="n">
        <v>2.926</v>
      </c>
      <c r="BD20" s="195" t="n">
        <f aca="false">BC20-E20</f>
        <v>0.0089999999999999</v>
      </c>
      <c r="BE20" s="251" t="n">
        <v>50.92282936</v>
      </c>
      <c r="BF20" s="245" t="n">
        <f aca="false">(BE20)*(D20*10)</f>
        <v>-4583.0546424</v>
      </c>
      <c r="BG20" s="246" t="n">
        <v>-2171.58347015</v>
      </c>
      <c r="BH20" s="246" t="n">
        <v>1509.76911161</v>
      </c>
      <c r="BI20" s="247"/>
      <c r="BJ20" s="167"/>
      <c r="BK20" s="167"/>
      <c r="BL20" s="167"/>
      <c r="BM20" s="167"/>
      <c r="BN20" s="167"/>
      <c r="BO20" s="167"/>
      <c r="BP20" s="248" t="n">
        <v>37438</v>
      </c>
      <c r="BQ20" s="180" t="n">
        <v>2.859</v>
      </c>
      <c r="BR20" s="180" t="n">
        <v>0.4425</v>
      </c>
      <c r="BS20" s="180" t="n">
        <v>0.0261676197601344</v>
      </c>
      <c r="BT20" s="167"/>
      <c r="BU20" s="181"/>
      <c r="BV20" s="181"/>
      <c r="BW20" s="181"/>
      <c r="BX20" s="181"/>
      <c r="BY20" s="181"/>
      <c r="BZ20" s="181"/>
      <c r="CA20" s="181"/>
      <c r="CB20" s="181"/>
      <c r="CC20" s="181"/>
      <c r="CD20" s="181"/>
      <c r="CE20" s="181"/>
      <c r="CF20" s="181"/>
      <c r="CG20" s="181"/>
      <c r="CH20" s="181"/>
      <c r="CI20" s="181"/>
      <c r="CJ20" s="181"/>
      <c r="CK20" s="181"/>
      <c r="CL20" s="181"/>
      <c r="CM20" s="181"/>
      <c r="CN20" s="181"/>
      <c r="CO20" s="181"/>
      <c r="CP20" s="181"/>
      <c r="CQ20" s="181"/>
      <c r="CR20" s="181"/>
      <c r="CS20" s="181"/>
      <c r="CT20" s="181"/>
      <c r="CU20" s="181"/>
      <c r="CV20" s="181"/>
      <c r="CW20" s="181"/>
      <c r="CX20" s="181"/>
      <c r="CY20" s="181"/>
      <c r="CZ20" s="181"/>
      <c r="DA20" s="181"/>
      <c r="DB20" s="181"/>
      <c r="DC20" s="181"/>
      <c r="DD20" s="181"/>
      <c r="DE20" s="181"/>
      <c r="DF20" s="181"/>
      <c r="DG20" s="181"/>
      <c r="DH20" s="181"/>
      <c r="DI20" s="181"/>
      <c r="DJ20" s="181"/>
      <c r="DK20" s="181"/>
      <c r="DL20" s="181"/>
      <c r="DM20" s="181"/>
      <c r="DN20" s="181"/>
      <c r="DO20" s="181"/>
      <c r="DP20" s="181"/>
      <c r="DQ20" s="181"/>
      <c r="DR20" s="181"/>
      <c r="DS20" s="181"/>
      <c r="DT20" s="181"/>
      <c r="DU20" s="181"/>
      <c r="DV20" s="181"/>
      <c r="DW20" s="181"/>
      <c r="DX20" s="181"/>
      <c r="DY20" s="181"/>
      <c r="DZ20" s="181"/>
      <c r="EA20" s="181"/>
      <c r="EB20" s="181"/>
      <c r="EC20" s="181"/>
      <c r="ED20" s="181"/>
      <c r="EE20" s="181"/>
      <c r="EF20" s="181"/>
      <c r="EG20" s="181"/>
      <c r="EH20" s="181"/>
      <c r="EI20" s="181"/>
      <c r="EJ20" s="181"/>
      <c r="EK20" s="181"/>
      <c r="EL20" s="181"/>
      <c r="EM20" s="181"/>
      <c r="EN20" s="181"/>
      <c r="EO20" s="181"/>
      <c r="EP20" s="181"/>
      <c r="EQ20" s="181"/>
      <c r="ER20" s="181"/>
      <c r="ES20" s="181"/>
      <c r="ET20" s="181"/>
      <c r="EU20" s="181"/>
      <c r="EV20" s="181"/>
      <c r="EW20" s="181"/>
      <c r="EX20" s="181"/>
      <c r="EY20" s="181"/>
      <c r="EZ20" s="181"/>
      <c r="FA20" s="181"/>
      <c r="FB20" s="181"/>
      <c r="FC20" s="181"/>
      <c r="FD20" s="181"/>
      <c r="FE20" s="181"/>
      <c r="FF20" s="181"/>
      <c r="FG20" s="181"/>
      <c r="FH20" s="181"/>
      <c r="FI20" s="181"/>
      <c r="FJ20" s="181"/>
      <c r="FK20" s="181"/>
      <c r="FL20" s="181"/>
      <c r="FM20" s="181"/>
      <c r="FN20" s="181"/>
      <c r="FO20" s="181"/>
      <c r="FP20" s="181"/>
      <c r="FQ20" s="181"/>
      <c r="FR20" s="181"/>
      <c r="FS20" s="181"/>
      <c r="FT20" s="181"/>
      <c r="FU20" s="181"/>
      <c r="FV20" s="181"/>
      <c r="FW20" s="181"/>
      <c r="FX20" s="181"/>
      <c r="FY20" s="181"/>
      <c r="FZ20" s="181"/>
      <c r="GA20" s="181"/>
      <c r="GB20" s="181"/>
      <c r="GC20" s="181"/>
      <c r="GD20" s="181"/>
      <c r="GE20" s="181"/>
      <c r="GF20" s="181"/>
      <c r="GG20" s="181"/>
      <c r="GH20" s="181"/>
      <c r="GI20" s="181"/>
      <c r="GJ20" s="181"/>
      <c r="GK20" s="181"/>
      <c r="GL20" s="181"/>
      <c r="GM20" s="181"/>
      <c r="GN20" s="181"/>
      <c r="GO20" s="181"/>
      <c r="GP20" s="181"/>
      <c r="GQ20" s="181"/>
      <c r="GR20" s="181"/>
      <c r="GS20" s="181"/>
      <c r="GT20" s="181"/>
      <c r="GU20" s="181"/>
      <c r="GV20" s="181"/>
      <c r="GW20" s="181"/>
      <c r="GX20" s="181"/>
      <c r="GY20" s="181"/>
      <c r="GZ20" s="181"/>
      <c r="HA20" s="181"/>
      <c r="HB20" s="181"/>
      <c r="HC20" s="181"/>
      <c r="HD20" s="181"/>
      <c r="HE20" s="181"/>
      <c r="HF20" s="181"/>
      <c r="HG20" s="181"/>
      <c r="HH20" s="181"/>
      <c r="HI20" s="181"/>
      <c r="HJ20" s="181"/>
      <c r="HK20" s="181"/>
      <c r="HL20" s="181"/>
      <c r="HM20" s="181"/>
      <c r="HN20" s="181"/>
      <c r="HO20" s="181"/>
      <c r="HP20" s="181"/>
      <c r="HQ20" s="181"/>
      <c r="HR20" s="181"/>
      <c r="HS20" s="181"/>
      <c r="HT20" s="181"/>
      <c r="HU20" s="181"/>
      <c r="HV20" s="181"/>
      <c r="HW20" s="181"/>
      <c r="HX20" s="181"/>
      <c r="HY20" s="181"/>
      <c r="HZ20" s="181"/>
      <c r="IA20" s="181"/>
      <c r="IB20" s="181"/>
      <c r="IC20" s="181"/>
      <c r="ID20" s="181"/>
      <c r="IE20" s="181"/>
      <c r="IF20" s="181"/>
      <c r="IG20" s="181"/>
      <c r="IH20" s="181"/>
      <c r="II20" s="181"/>
      <c r="IJ20" s="181"/>
      <c r="IK20" s="181"/>
      <c r="IL20" s="181"/>
      <c r="IM20" s="181"/>
      <c r="IN20" s="181"/>
      <c r="IO20" s="181"/>
      <c r="IP20" s="181"/>
      <c r="IQ20" s="181"/>
      <c r="IR20" s="181"/>
      <c r="IS20" s="181"/>
      <c r="IT20" s="181"/>
      <c r="IU20" s="181"/>
      <c r="IV20" s="181"/>
      <c r="IW20" s="181"/>
    </row>
    <row r="21" customFormat="false" ht="15" hidden="false" customHeight="false" outlineLevel="0" collapsed="false">
      <c r="A21" s="156" t="n">
        <f aca="false">EOMONTH(A20,0)+1</f>
        <v>37469</v>
      </c>
      <c r="B21" s="215" t="n">
        <f aca="false">BD21*1000*-1</f>
        <v>-8.9999999999999</v>
      </c>
      <c r="C21" s="216" t="n">
        <v>2.968</v>
      </c>
      <c r="D21" s="217" t="n">
        <f aca="false">D20</f>
        <v>-9</v>
      </c>
      <c r="E21" s="218" t="n">
        <f aca="false">C21+D21/1000</f>
        <v>2.959</v>
      </c>
      <c r="F21" s="219" t="n">
        <f aca="false">(E21-E20)*1000</f>
        <v>41.9999999999998</v>
      </c>
      <c r="G21" s="220" t="n">
        <f aca="false">(C21-C20)*1000</f>
        <v>41.9999999999998</v>
      </c>
      <c r="H21" s="178"/>
      <c r="I21" s="262"/>
      <c r="J21" s="259" t="n">
        <f aca="false">J20+K21</f>
        <v>3.4575</v>
      </c>
      <c r="K21" s="243" t="n">
        <f aca="false">K20+0.0025</f>
        <v>0.0875</v>
      </c>
      <c r="L21" s="261" t="s">
        <v>152</v>
      </c>
      <c r="M21" s="224" t="s">
        <v>153</v>
      </c>
      <c r="N21" s="225" t="n">
        <v>2013</v>
      </c>
      <c r="O21" s="226" t="n">
        <f aca="false">[1]Swap!P27+P21</f>
        <v>0.105</v>
      </c>
      <c r="P21" s="250"/>
      <c r="Q21" s="200" t="n">
        <f aca="false">Q20+O21</f>
        <v>4.3075</v>
      </c>
      <c r="R21" s="201" t="s">
        <v>154</v>
      </c>
      <c r="S21" s="202" t="n">
        <f aca="false">S20+1</f>
        <v>11</v>
      </c>
      <c r="T21" s="227" t="n">
        <v>0</v>
      </c>
      <c r="U21" s="167"/>
      <c r="V21" s="167"/>
      <c r="W21" s="167"/>
      <c r="X21" s="167"/>
      <c r="Y21" s="228" t="n">
        <f aca="false">DAY(EOMONTH(A21,0))</f>
        <v>31</v>
      </c>
      <c r="Z21" s="229" t="n">
        <v>37313</v>
      </c>
      <c r="AA21" s="230" t="e">
        <f aca="false">IF(AND(A21&gt;=Front!$E$11,A21&lt;=Front!$E$12),A21,"")</f>
        <v>#VALUE!</v>
      </c>
      <c r="AB21" s="231" t="e">
        <f aca="false">IF(AA21="","",VLOOKUP(MONTH(A20),Front!$W$6:$X$17,2)*IF(Front!D$9=0,Swap!Y21,1))</f>
        <v>#VALUE!</v>
      </c>
      <c r="AC21" s="231" t="e">
        <f aca="false">IF(AA21="","",AB21*AH21)</f>
        <v>#VALUE!</v>
      </c>
      <c r="AD21" s="254"/>
      <c r="AE21" s="231" t="e">
        <f aca="false">IF(AA21="","",AD21*AH21)</f>
        <v>#VALUE!</v>
      </c>
      <c r="AF21" s="243" t="n">
        <f aca="false">INDEX(IRTable,MATCH(A21,IRMonth,0),4)</f>
        <v>0.0265684845285201</v>
      </c>
      <c r="AG21" s="235" t="n">
        <f aca="false">AF21+$AG$9</f>
        <v>0.0265684845285201</v>
      </c>
      <c r="AH21" s="195" t="n">
        <f aca="false">1/((1+AG21/2)^(2*((A21-Front!$C$2)/365.25)))</f>
        <v>1.8424876037852</v>
      </c>
      <c r="AI21" s="236" t="e">
        <f aca="false">IF($AA21="","",E21*AC21)</f>
        <v>#VALUE!</v>
      </c>
      <c r="AJ21" s="236" t="e">
        <f aca="false">IF($AA21="","",E21*AE21)</f>
        <v>#VALUE!</v>
      </c>
      <c r="AK21" s="237" t="e">
        <f aca="false">IF($AA21="","",C21*AC21)</f>
        <v>#VALUE!</v>
      </c>
      <c r="AL21" s="160" t="n">
        <f aca="false">(AO21/10000)/30.5</f>
        <v>0</v>
      </c>
      <c r="AM21" s="238" t="n">
        <f aca="false">AD21/10000</f>
        <v>0</v>
      </c>
      <c r="AN21" s="238" t="n">
        <f aca="false">AD21*DAY(EOMONTH(A21,0))/10000</f>
        <v>0</v>
      </c>
      <c r="AO21" s="254"/>
      <c r="AP21" s="233"/>
      <c r="AQ21" s="254"/>
      <c r="AR21" s="240"/>
      <c r="AS21" s="87"/>
      <c r="AT21" s="0"/>
      <c r="AU21" s="87"/>
      <c r="AV21" s="240"/>
      <c r="AW21" s="240"/>
      <c r="AX21" s="0"/>
      <c r="AY21" s="238"/>
      <c r="AZ21" s="233"/>
      <c r="BA21" s="241"/>
      <c r="BB21" s="242"/>
      <c r="BC21" s="243" t="n">
        <v>2.968</v>
      </c>
      <c r="BD21" s="195" t="n">
        <f aca="false">BC21-E21</f>
        <v>0.0089999999999999</v>
      </c>
      <c r="BE21" s="251" t="n">
        <v>96.8861903</v>
      </c>
      <c r="BF21" s="245" t="n">
        <f aca="false">(BE21)*(D21*10)</f>
        <v>-8719.757127</v>
      </c>
      <c r="BG21" s="246" t="n">
        <v>1879.04488679</v>
      </c>
      <c r="BH21" s="246" t="n">
        <v>-430.39012544</v>
      </c>
      <c r="BI21" s="247"/>
      <c r="BJ21" s="167"/>
      <c r="BK21" s="167"/>
      <c r="BL21" s="167"/>
      <c r="BM21" s="167"/>
      <c r="BN21" s="167"/>
      <c r="BO21" s="167"/>
      <c r="BP21" s="248" t="n">
        <v>37469</v>
      </c>
      <c r="BQ21" s="180" t="n">
        <v>2.901</v>
      </c>
      <c r="BR21" s="180" t="n">
        <v>0.4425</v>
      </c>
      <c r="BS21" s="180" t="n">
        <v>0.0265684845285201</v>
      </c>
      <c r="BT21" s="167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  <c r="IL21" s="181"/>
      <c r="IM21" s="181"/>
      <c r="IN21" s="181"/>
      <c r="IO21" s="181"/>
      <c r="IP21" s="181"/>
      <c r="IQ21" s="181"/>
      <c r="IR21" s="181"/>
      <c r="IS21" s="181"/>
      <c r="IT21" s="181"/>
      <c r="IU21" s="181"/>
      <c r="IV21" s="181"/>
      <c r="IW21" s="181"/>
    </row>
    <row r="22" customFormat="false" ht="15" hidden="false" customHeight="false" outlineLevel="0" collapsed="false">
      <c r="A22" s="156" t="n">
        <f aca="false">EOMONTH(A21,0)+1</f>
        <v>37500</v>
      </c>
      <c r="B22" s="215" t="n">
        <f aca="false">BD22*1000*-1</f>
        <v>-8.9999999999999</v>
      </c>
      <c r="C22" s="216" t="n">
        <v>2.968</v>
      </c>
      <c r="D22" s="217" t="n">
        <f aca="false">D21</f>
        <v>-9</v>
      </c>
      <c r="E22" s="218" t="n">
        <f aca="false">C22+D22/1000</f>
        <v>2.959</v>
      </c>
      <c r="F22" s="219" t="n">
        <f aca="false">(E22-E21)*1000</f>
        <v>0</v>
      </c>
      <c r="G22" s="220" t="n">
        <f aca="false">(C22-C21)*1000</f>
        <v>0</v>
      </c>
      <c r="H22" s="263"/>
      <c r="I22" s="264"/>
      <c r="J22" s="259" t="n">
        <f aca="false">J21+K22</f>
        <v>3.5475</v>
      </c>
      <c r="K22" s="243" t="n">
        <f aca="false">K21+0.0025</f>
        <v>0.09</v>
      </c>
      <c r="L22" s="261" t="s">
        <v>155</v>
      </c>
      <c r="M22" s="224" t="s">
        <v>156</v>
      </c>
      <c r="N22" s="225" t="n">
        <v>2014</v>
      </c>
      <c r="O22" s="226" t="n">
        <f aca="false">[1]Swap!P28+P22</f>
        <v>0.1075</v>
      </c>
      <c r="P22" s="250"/>
      <c r="Q22" s="200" t="n">
        <f aca="false">Q21+O22</f>
        <v>4.415</v>
      </c>
      <c r="R22" s="201" t="s">
        <v>157</v>
      </c>
      <c r="S22" s="202" t="n">
        <f aca="false">S21+1</f>
        <v>12</v>
      </c>
      <c r="T22" s="227" t="n">
        <v>0</v>
      </c>
      <c r="U22" s="167"/>
      <c r="V22" s="167"/>
      <c r="W22" s="167"/>
      <c r="X22" s="167"/>
      <c r="Y22" s="228" t="n">
        <f aca="false">DAY(EOMONTH(A22,0))</f>
        <v>30</v>
      </c>
      <c r="Z22" s="229" t="n">
        <v>37341</v>
      </c>
      <c r="AA22" s="230" t="e">
        <f aca="false">IF(AND(A22&gt;=Front!$E$11,A22&lt;=Front!$E$12),A22,"")</f>
        <v>#VALUE!</v>
      </c>
      <c r="AB22" s="231" t="e">
        <f aca="false">IF(AA22="","",VLOOKUP(MONTH(A21),Front!$W$6:$X$17,2)*IF(Front!D$9=0,Swap!Y22,1))</f>
        <v>#VALUE!</v>
      </c>
      <c r="AC22" s="231" t="e">
        <f aca="false">IF(AA22="","",AB22*AH22)</f>
        <v>#VALUE!</v>
      </c>
      <c r="AD22" s="254"/>
      <c r="AE22" s="231" t="e">
        <f aca="false">IF(AA22="","",AD22*AH22)</f>
        <v>#VALUE!</v>
      </c>
      <c r="AF22" s="243" t="n">
        <f aca="false">INDEX(IRTable,MATCH(A22,IRMonth,0),4)</f>
        <v>0.0269693493511789</v>
      </c>
      <c r="AG22" s="235" t="n">
        <f aca="false">AF22+$AG$9</f>
        <v>0.0269693493511789</v>
      </c>
      <c r="AH22" s="195" t="n">
        <f aca="false">1/((1+AG22/2)^(2*((A22-Front!$C$2)/365.25)))</f>
        <v>1.85521755627415</v>
      </c>
      <c r="AI22" s="236" t="e">
        <f aca="false">IF($AA22="","",E22*AC22)</f>
        <v>#VALUE!</v>
      </c>
      <c r="AJ22" s="236" t="e">
        <f aca="false">IF($AA22="","",E22*AE22)</f>
        <v>#VALUE!</v>
      </c>
      <c r="AK22" s="237" t="e">
        <f aca="false">IF($AA22="","",C22*AC22)</f>
        <v>#VALUE!</v>
      </c>
      <c r="AL22" s="160" t="n">
        <f aca="false">(AO22/10000)/30.5</f>
        <v>0</v>
      </c>
      <c r="AM22" s="238" t="n">
        <f aca="false">AD22/10000</f>
        <v>0</v>
      </c>
      <c r="AN22" s="238" t="n">
        <f aca="false">AD22*DAY(EOMONTH(A22,0))/10000</f>
        <v>0</v>
      </c>
      <c r="AO22" s="254"/>
      <c r="AP22" s="233"/>
      <c r="AQ22" s="254"/>
      <c r="AR22" s="240"/>
      <c r="AS22" s="87"/>
      <c r="AT22" s="0"/>
      <c r="AU22" s="87"/>
      <c r="AV22" s="240"/>
      <c r="AW22" s="240"/>
      <c r="AX22" s="0"/>
      <c r="AY22" s="238"/>
      <c r="AZ22" s="233"/>
      <c r="BA22" s="241"/>
      <c r="BB22" s="242"/>
      <c r="BC22" s="243" t="n">
        <v>2.968</v>
      </c>
      <c r="BD22" s="195" t="n">
        <f aca="false">BC22-E22</f>
        <v>0.0089999999999999</v>
      </c>
      <c r="BE22" s="251" t="n">
        <v>572.8243232</v>
      </c>
      <c r="BF22" s="245" t="n">
        <f aca="false">(BE22)*(D22*10)</f>
        <v>-51554.189088</v>
      </c>
      <c r="BG22" s="246" t="n">
        <v>1978.33515032</v>
      </c>
      <c r="BH22" s="246" t="n">
        <v>220.95657894</v>
      </c>
      <c r="BI22" s="247"/>
      <c r="BJ22" s="167"/>
      <c r="BK22" s="167"/>
      <c r="BL22" s="167"/>
      <c r="BM22" s="167"/>
      <c r="BN22" s="167"/>
      <c r="BO22" s="167"/>
      <c r="BP22" s="248" t="n">
        <v>37500</v>
      </c>
      <c r="BQ22" s="180" t="n">
        <v>2.905</v>
      </c>
      <c r="BR22" s="180" t="n">
        <v>0.445</v>
      </c>
      <c r="BS22" s="180" t="n">
        <v>0.0269693493511789</v>
      </c>
      <c r="BT22" s="167"/>
      <c r="BU22" s="181"/>
      <c r="BV22" s="181"/>
      <c r="BW22" s="181"/>
      <c r="BX22" s="181"/>
      <c r="BY22" s="181"/>
      <c r="BZ22" s="181"/>
      <c r="CA22" s="181"/>
      <c r="CB22" s="181"/>
      <c r="CC22" s="181"/>
      <c r="CD22" s="181"/>
      <c r="CE22" s="181"/>
      <c r="CF22" s="181"/>
      <c r="CG22" s="181"/>
      <c r="CH22" s="181"/>
      <c r="CI22" s="181"/>
      <c r="CJ22" s="181"/>
      <c r="CK22" s="181"/>
      <c r="CL22" s="181"/>
      <c r="CM22" s="181"/>
      <c r="CN22" s="181"/>
      <c r="CO22" s="181"/>
      <c r="CP22" s="181"/>
      <c r="CQ22" s="181"/>
      <c r="CR22" s="181"/>
      <c r="CS22" s="181"/>
      <c r="CT22" s="181"/>
      <c r="CU22" s="181"/>
      <c r="CV22" s="181"/>
      <c r="CW22" s="181"/>
      <c r="CX22" s="181"/>
      <c r="CY22" s="181"/>
      <c r="CZ22" s="181"/>
      <c r="DA22" s="181"/>
      <c r="DB22" s="181"/>
      <c r="DC22" s="181"/>
      <c r="DD22" s="181"/>
      <c r="DE22" s="181"/>
      <c r="DF22" s="181"/>
      <c r="DG22" s="181"/>
      <c r="DH22" s="181"/>
      <c r="DI22" s="181"/>
      <c r="DJ22" s="181"/>
      <c r="DK22" s="181"/>
      <c r="DL22" s="181"/>
      <c r="DM22" s="181"/>
      <c r="DN22" s="181"/>
      <c r="DO22" s="181"/>
      <c r="DP22" s="181"/>
      <c r="DQ22" s="181"/>
      <c r="DR22" s="181"/>
      <c r="DS22" s="181"/>
      <c r="DT22" s="181"/>
      <c r="DU22" s="181"/>
      <c r="DV22" s="181"/>
      <c r="DW22" s="181"/>
      <c r="DX22" s="181"/>
      <c r="DY22" s="181"/>
      <c r="DZ22" s="181"/>
      <c r="EA22" s="181"/>
      <c r="EB22" s="181"/>
      <c r="EC22" s="181"/>
      <c r="ED22" s="181"/>
      <c r="EE22" s="181"/>
      <c r="EF22" s="181"/>
      <c r="EG22" s="181"/>
      <c r="EH22" s="181"/>
      <c r="EI22" s="181"/>
      <c r="EJ22" s="181"/>
      <c r="EK22" s="181"/>
      <c r="EL22" s="181"/>
      <c r="EM22" s="181"/>
      <c r="EN22" s="181"/>
      <c r="EO22" s="181"/>
      <c r="EP22" s="181"/>
      <c r="EQ22" s="181"/>
      <c r="ER22" s="181"/>
      <c r="ES22" s="181"/>
      <c r="ET22" s="181"/>
      <c r="EU22" s="181"/>
      <c r="EV22" s="181"/>
      <c r="EW22" s="181"/>
      <c r="EX22" s="181"/>
      <c r="EY22" s="181"/>
      <c r="EZ22" s="181"/>
      <c r="FA22" s="181"/>
      <c r="FB22" s="181"/>
      <c r="FC22" s="181"/>
      <c r="FD22" s="181"/>
      <c r="FE22" s="181"/>
      <c r="FF22" s="181"/>
      <c r="FG22" s="181"/>
      <c r="FH22" s="181"/>
      <c r="FI22" s="181"/>
      <c r="FJ22" s="181"/>
      <c r="FK22" s="181"/>
      <c r="FL22" s="181"/>
      <c r="FM22" s="181"/>
      <c r="FN22" s="181"/>
      <c r="FO22" s="181"/>
      <c r="FP22" s="181"/>
      <c r="FQ22" s="181"/>
      <c r="FR22" s="181"/>
      <c r="FS22" s="181"/>
      <c r="FT22" s="181"/>
      <c r="FU22" s="181"/>
      <c r="FV22" s="181"/>
      <c r="FW22" s="181"/>
      <c r="FX22" s="181"/>
      <c r="FY22" s="181"/>
      <c r="FZ22" s="181"/>
      <c r="GA22" s="181"/>
      <c r="GB22" s="181"/>
      <c r="GC22" s="181"/>
      <c r="GD22" s="181"/>
      <c r="GE22" s="181"/>
      <c r="GF22" s="181"/>
      <c r="GG22" s="181"/>
      <c r="GH22" s="181"/>
      <c r="GI22" s="181"/>
      <c r="GJ22" s="181"/>
      <c r="GK22" s="181"/>
      <c r="GL22" s="181"/>
      <c r="GM22" s="181"/>
      <c r="GN22" s="181"/>
      <c r="GO22" s="181"/>
      <c r="GP22" s="181"/>
      <c r="GQ22" s="181"/>
      <c r="GR22" s="181"/>
      <c r="GS22" s="181"/>
      <c r="GT22" s="181"/>
      <c r="GU22" s="181"/>
      <c r="GV22" s="181"/>
      <c r="GW22" s="181"/>
      <c r="GX22" s="181"/>
      <c r="GY22" s="181"/>
      <c r="GZ22" s="181"/>
      <c r="HA22" s="181"/>
      <c r="HB22" s="181"/>
      <c r="HC22" s="181"/>
      <c r="HD22" s="181"/>
      <c r="HE22" s="181"/>
      <c r="HF22" s="181"/>
      <c r="HG22" s="181"/>
      <c r="HH22" s="181"/>
      <c r="HI22" s="181"/>
      <c r="HJ22" s="181"/>
      <c r="HK22" s="181"/>
      <c r="HL22" s="181"/>
      <c r="HM22" s="181"/>
      <c r="HN22" s="181"/>
      <c r="HO22" s="181"/>
      <c r="HP22" s="181"/>
      <c r="HQ22" s="181"/>
      <c r="HR22" s="181"/>
      <c r="HS22" s="181"/>
      <c r="HT22" s="181"/>
      <c r="HU22" s="181"/>
      <c r="HV22" s="181"/>
      <c r="HW22" s="181"/>
      <c r="HX22" s="181"/>
      <c r="HY22" s="181"/>
      <c r="HZ22" s="181"/>
      <c r="IA22" s="181"/>
      <c r="IB22" s="181"/>
      <c r="IC22" s="181"/>
      <c r="ID22" s="181"/>
      <c r="IE22" s="181"/>
      <c r="IF22" s="181"/>
      <c r="IG22" s="181"/>
      <c r="IH22" s="181"/>
      <c r="II22" s="181"/>
      <c r="IJ22" s="181"/>
      <c r="IK22" s="181"/>
      <c r="IL22" s="181"/>
      <c r="IM22" s="181"/>
      <c r="IN22" s="181"/>
      <c r="IO22" s="181"/>
      <c r="IP22" s="181"/>
      <c r="IQ22" s="181"/>
      <c r="IR22" s="181"/>
      <c r="IS22" s="181"/>
      <c r="IT22" s="181"/>
      <c r="IU22" s="181"/>
      <c r="IV22" s="181"/>
      <c r="IW22" s="181"/>
    </row>
    <row r="23" customFormat="false" ht="15" hidden="false" customHeight="false" outlineLevel="0" collapsed="false">
      <c r="A23" s="265" t="n">
        <f aca="false">EOMONTH(A22,0)+1</f>
        <v>37530</v>
      </c>
      <c r="B23" s="215" t="n">
        <f aca="false">BD23*1000*-1</f>
        <v>-8.9999999999999</v>
      </c>
      <c r="C23" s="216" t="n">
        <v>2.988</v>
      </c>
      <c r="D23" s="217" t="n">
        <f aca="false">D22</f>
        <v>-9</v>
      </c>
      <c r="E23" s="218" t="n">
        <f aca="false">C23+D23/1000</f>
        <v>2.979</v>
      </c>
      <c r="F23" s="219" t="n">
        <f aca="false">(E23-E22)*1000</f>
        <v>20</v>
      </c>
      <c r="G23" s="220" t="n">
        <f aca="false">(C23-C22)*1000</f>
        <v>20</v>
      </c>
      <c r="H23" s="266" t="n">
        <f aca="false">E11-E23</f>
        <v>-1.069</v>
      </c>
      <c r="I23" s="267" t="n">
        <f aca="false">C11-C23</f>
        <v>-1.063</v>
      </c>
      <c r="J23" s="259" t="n">
        <f aca="false">J22+K23</f>
        <v>3.64</v>
      </c>
      <c r="K23" s="243" t="n">
        <f aca="false">K22+0.0025</f>
        <v>0.0925</v>
      </c>
      <c r="L23" s="261" t="s">
        <v>158</v>
      </c>
      <c r="M23" s="224" t="s">
        <v>159</v>
      </c>
      <c r="N23" s="225" t="n">
        <v>2015</v>
      </c>
      <c r="O23" s="226" t="n">
        <f aca="false">[1]Swap!P29+P23</f>
        <v>0.1075</v>
      </c>
      <c r="P23" s="250"/>
      <c r="Q23" s="200" t="n">
        <f aca="false">Q22+O23</f>
        <v>4.5225</v>
      </c>
      <c r="R23" s="201" t="s">
        <v>160</v>
      </c>
      <c r="S23" s="167"/>
      <c r="T23" s="167"/>
      <c r="U23" s="167"/>
      <c r="V23" s="167"/>
      <c r="W23" s="167"/>
      <c r="X23" s="167"/>
      <c r="Y23" s="228" t="n">
        <f aca="false">DAY(EOMONTH(A23,0))</f>
        <v>31</v>
      </c>
      <c r="Z23" s="229" t="n">
        <v>37372</v>
      </c>
      <c r="AA23" s="230" t="e">
        <f aca="false">IF(AND(A23&gt;=Front!$E$11,A23&lt;=Front!$E$12),A23,"")</f>
        <v>#VALUE!</v>
      </c>
      <c r="AB23" s="231" t="e">
        <f aca="false">IF(AA23="","",VLOOKUP(MONTH(A22),Front!$W$6:$X$17,2)*IF(Front!D$9=0,Swap!Y23,1))</f>
        <v>#VALUE!</v>
      </c>
      <c r="AC23" s="231" t="e">
        <f aca="false">IF(AA23="","",AB23*AH23)</f>
        <v>#VALUE!</v>
      </c>
      <c r="AD23" s="254"/>
      <c r="AE23" s="231" t="e">
        <f aca="false">IF(AA23="","",AD23*AH23)</f>
        <v>#VALUE!</v>
      </c>
      <c r="AF23" s="243" t="n">
        <f aca="false">INDEX(IRTable,MATCH(A23,IRMonth,0),4)</f>
        <v>0.0274303975201287</v>
      </c>
      <c r="AG23" s="235" t="n">
        <f aca="false">AF23+$AG$9</f>
        <v>0.0274303975201287</v>
      </c>
      <c r="AH23" s="195" t="n">
        <f aca="false">1/((1+AG23/2)^(2*((A23-Front!$C$2)/365.25)))</f>
        <v>1.87059683533117</v>
      </c>
      <c r="AI23" s="236" t="e">
        <f aca="false">IF($AA23="","",E23*AC23)</f>
        <v>#VALUE!</v>
      </c>
      <c r="AJ23" s="236" t="e">
        <f aca="false">IF($AA23="","",E23*AE23)</f>
        <v>#VALUE!</v>
      </c>
      <c r="AK23" s="237" t="e">
        <f aca="false">IF($AA23="","",C23*AC23)</f>
        <v>#VALUE!</v>
      </c>
      <c r="AL23" s="160" t="n">
        <f aca="false">(AO23/10000)/30.5</f>
        <v>0</v>
      </c>
      <c r="AM23" s="238" t="n">
        <f aca="false">AD23/10000</f>
        <v>0</v>
      </c>
      <c r="AN23" s="238" t="n">
        <f aca="false">AD23*DAY(EOMONTH(A23,0))/10000</f>
        <v>0</v>
      </c>
      <c r="AO23" s="254"/>
      <c r="AP23" s="233"/>
      <c r="AQ23" s="254"/>
      <c r="AR23" s="240"/>
      <c r="AS23" s="87"/>
      <c r="AT23" s="0"/>
      <c r="AU23" s="87"/>
      <c r="AV23" s="240"/>
      <c r="AW23" s="240"/>
      <c r="AX23" s="0"/>
      <c r="AY23" s="238"/>
      <c r="AZ23" s="233"/>
      <c r="BA23" s="241"/>
      <c r="BB23" s="242"/>
      <c r="BC23" s="243" t="n">
        <v>2.988</v>
      </c>
      <c r="BD23" s="195" t="n">
        <f aca="false">BC23-E23</f>
        <v>0.0089999999999999</v>
      </c>
      <c r="BE23" s="251" t="n">
        <v>526.98066047</v>
      </c>
      <c r="BF23" s="245" t="n">
        <f aca="false">(BE23)*(D23*10)</f>
        <v>-47428.2594423</v>
      </c>
      <c r="BG23" s="246" t="n">
        <v>4854.9511535</v>
      </c>
      <c r="BH23" s="246" t="n">
        <v>221.95401901</v>
      </c>
      <c r="BI23" s="247"/>
      <c r="BJ23" s="167"/>
      <c r="BK23" s="167"/>
      <c r="BL23" s="167"/>
      <c r="BM23" s="167"/>
      <c r="BN23" s="167"/>
      <c r="BO23" s="167"/>
      <c r="BP23" s="248" t="n">
        <v>37530</v>
      </c>
      <c r="BQ23" s="180" t="n">
        <v>2.925</v>
      </c>
      <c r="BR23" s="180" t="n">
        <v>0.4425</v>
      </c>
      <c r="BS23" s="180" t="n">
        <v>0.0274303975201287</v>
      </c>
      <c r="BT23" s="167"/>
      <c r="BU23" s="181"/>
      <c r="BV23" s="181"/>
      <c r="BW23" s="181"/>
      <c r="BX23" s="181"/>
      <c r="BY23" s="181"/>
      <c r="BZ23" s="181"/>
      <c r="CA23" s="181"/>
      <c r="CB23" s="181"/>
      <c r="CC23" s="181"/>
      <c r="CD23" s="181"/>
      <c r="CE23" s="181"/>
      <c r="CF23" s="181"/>
      <c r="CG23" s="181"/>
      <c r="CH23" s="181"/>
      <c r="CI23" s="181"/>
      <c r="CJ23" s="181"/>
      <c r="CK23" s="181"/>
      <c r="CL23" s="181"/>
      <c r="CM23" s="181"/>
      <c r="CN23" s="181"/>
      <c r="CO23" s="181"/>
      <c r="CP23" s="181"/>
      <c r="CQ23" s="181"/>
      <c r="CR23" s="181"/>
      <c r="CS23" s="181"/>
      <c r="CT23" s="181"/>
      <c r="CU23" s="181"/>
      <c r="CV23" s="181"/>
      <c r="CW23" s="181"/>
      <c r="CX23" s="181"/>
      <c r="CY23" s="181"/>
      <c r="CZ23" s="181"/>
      <c r="DA23" s="181"/>
      <c r="DB23" s="181"/>
      <c r="DC23" s="181"/>
      <c r="DD23" s="181"/>
      <c r="DE23" s="181"/>
      <c r="DF23" s="181"/>
      <c r="DG23" s="181"/>
      <c r="DH23" s="181"/>
      <c r="DI23" s="181"/>
      <c r="DJ23" s="181"/>
      <c r="DK23" s="181"/>
      <c r="DL23" s="181"/>
      <c r="DM23" s="181"/>
      <c r="DN23" s="181"/>
      <c r="DO23" s="181"/>
      <c r="DP23" s="181"/>
      <c r="DQ23" s="181"/>
      <c r="DR23" s="181"/>
      <c r="DS23" s="181"/>
      <c r="DT23" s="181"/>
      <c r="DU23" s="181"/>
      <c r="DV23" s="181"/>
      <c r="DW23" s="181"/>
      <c r="DX23" s="181"/>
      <c r="DY23" s="181"/>
      <c r="DZ23" s="181"/>
      <c r="EA23" s="181"/>
      <c r="EB23" s="181"/>
      <c r="EC23" s="181"/>
      <c r="ED23" s="181"/>
      <c r="EE23" s="181"/>
      <c r="EF23" s="181"/>
      <c r="EG23" s="181"/>
      <c r="EH23" s="181"/>
      <c r="EI23" s="181"/>
      <c r="EJ23" s="181"/>
      <c r="EK23" s="181"/>
      <c r="EL23" s="181"/>
      <c r="EM23" s="181"/>
      <c r="EN23" s="181"/>
      <c r="EO23" s="181"/>
      <c r="EP23" s="181"/>
      <c r="EQ23" s="181"/>
      <c r="ER23" s="181"/>
      <c r="ES23" s="181"/>
      <c r="ET23" s="181"/>
      <c r="EU23" s="181"/>
      <c r="EV23" s="181"/>
      <c r="EW23" s="181"/>
      <c r="EX23" s="181"/>
      <c r="EY23" s="181"/>
      <c r="EZ23" s="181"/>
      <c r="FA23" s="181"/>
      <c r="FB23" s="181"/>
      <c r="FC23" s="181"/>
      <c r="FD23" s="181"/>
      <c r="FE23" s="181"/>
      <c r="FF23" s="181"/>
      <c r="FG23" s="181"/>
      <c r="FH23" s="181"/>
      <c r="FI23" s="181"/>
      <c r="FJ23" s="181"/>
      <c r="FK23" s="181"/>
      <c r="FL23" s="181"/>
      <c r="FM23" s="181"/>
      <c r="FN23" s="181"/>
      <c r="FO23" s="181"/>
      <c r="FP23" s="181"/>
      <c r="FQ23" s="181"/>
      <c r="FR23" s="181"/>
      <c r="FS23" s="181"/>
      <c r="FT23" s="181"/>
      <c r="FU23" s="181"/>
      <c r="FV23" s="181"/>
      <c r="FW23" s="181"/>
      <c r="FX23" s="181"/>
      <c r="FY23" s="181"/>
      <c r="FZ23" s="181"/>
      <c r="GA23" s="181"/>
      <c r="GB23" s="181"/>
      <c r="GC23" s="181"/>
      <c r="GD23" s="181"/>
      <c r="GE23" s="181"/>
      <c r="GF23" s="181"/>
      <c r="GG23" s="181"/>
      <c r="GH23" s="181"/>
      <c r="GI23" s="181"/>
      <c r="GJ23" s="181"/>
      <c r="GK23" s="181"/>
      <c r="GL23" s="181"/>
      <c r="GM23" s="181"/>
      <c r="GN23" s="181"/>
      <c r="GO23" s="181"/>
      <c r="GP23" s="181"/>
      <c r="GQ23" s="181"/>
      <c r="GR23" s="181"/>
      <c r="GS23" s="181"/>
      <c r="GT23" s="181"/>
      <c r="GU23" s="181"/>
      <c r="GV23" s="181"/>
      <c r="GW23" s="181"/>
      <c r="GX23" s="181"/>
      <c r="GY23" s="181"/>
      <c r="GZ23" s="181"/>
      <c r="HA23" s="181"/>
      <c r="HB23" s="181"/>
      <c r="HC23" s="181"/>
      <c r="HD23" s="181"/>
      <c r="HE23" s="181"/>
      <c r="HF23" s="181"/>
      <c r="HG23" s="181"/>
      <c r="HH23" s="181"/>
      <c r="HI23" s="181"/>
      <c r="HJ23" s="181"/>
      <c r="HK23" s="181"/>
      <c r="HL23" s="181"/>
      <c r="HM23" s="181"/>
      <c r="HN23" s="181"/>
      <c r="HO23" s="181"/>
      <c r="HP23" s="181"/>
      <c r="HQ23" s="181"/>
      <c r="HR23" s="181"/>
      <c r="HS23" s="181"/>
      <c r="HT23" s="181"/>
      <c r="HU23" s="181"/>
      <c r="HV23" s="181"/>
      <c r="HW23" s="181"/>
      <c r="HX23" s="181"/>
      <c r="HY23" s="181"/>
      <c r="HZ23" s="181"/>
      <c r="IA23" s="181"/>
      <c r="IB23" s="181"/>
      <c r="IC23" s="181"/>
      <c r="ID23" s="181"/>
      <c r="IE23" s="181"/>
      <c r="IF23" s="181"/>
      <c r="IG23" s="181"/>
      <c r="IH23" s="181"/>
      <c r="II23" s="181"/>
      <c r="IJ23" s="181"/>
      <c r="IK23" s="181"/>
      <c r="IL23" s="181"/>
      <c r="IM23" s="181"/>
      <c r="IN23" s="181"/>
      <c r="IO23" s="181"/>
      <c r="IP23" s="181"/>
      <c r="IQ23" s="181"/>
      <c r="IR23" s="181"/>
      <c r="IS23" s="181"/>
      <c r="IT23" s="181"/>
      <c r="IU23" s="181"/>
      <c r="IV23" s="181"/>
      <c r="IW23" s="181"/>
    </row>
    <row r="24" customFormat="false" ht="15" hidden="false" customHeight="false" outlineLevel="0" collapsed="false">
      <c r="A24" s="265" t="n">
        <f aca="false">EOMONTH(A23,0)+1</f>
        <v>37561</v>
      </c>
      <c r="B24" s="215" t="n">
        <f aca="false">BD24*1000*-1</f>
        <v>-8.9999999999999</v>
      </c>
      <c r="C24" s="216" t="n">
        <v>3.153</v>
      </c>
      <c r="D24" s="217" t="n">
        <f aca="false">D23</f>
        <v>-9</v>
      </c>
      <c r="E24" s="218" t="n">
        <f aca="false">C24+D24/1000</f>
        <v>3.144</v>
      </c>
      <c r="F24" s="219" t="n">
        <f aca="false">(E24-E23)*1000</f>
        <v>165</v>
      </c>
      <c r="G24" s="220" t="n">
        <f aca="false">(C24-C23)*1000</f>
        <v>165</v>
      </c>
      <c r="H24" s="266" t="n">
        <f aca="false">E12-E24</f>
        <v>-0.857</v>
      </c>
      <c r="I24" s="267" t="n">
        <f aca="false">C12-C24</f>
        <v>-0.853</v>
      </c>
      <c r="J24" s="259" t="n">
        <f aca="false">J23+K24</f>
        <v>3.735</v>
      </c>
      <c r="K24" s="243" t="n">
        <f aca="false">K23+0.0025</f>
        <v>0.095</v>
      </c>
      <c r="L24" s="261" t="s">
        <v>161</v>
      </c>
      <c r="M24" s="224" t="s">
        <v>162</v>
      </c>
      <c r="N24" s="225" t="n">
        <v>2016</v>
      </c>
      <c r="O24" s="226" t="n">
        <f aca="false">[1]Swap!P30+P24</f>
        <v>0.1075</v>
      </c>
      <c r="P24" s="250"/>
      <c r="Q24" s="200" t="n">
        <f aca="false">Q23+O24</f>
        <v>4.63</v>
      </c>
      <c r="R24" s="201" t="s">
        <v>163</v>
      </c>
      <c r="S24" s="167"/>
      <c r="T24" s="167"/>
      <c r="U24" s="167"/>
      <c r="V24" s="167"/>
      <c r="W24" s="167"/>
      <c r="X24" s="167"/>
      <c r="Y24" s="228" t="n">
        <f aca="false">DAY(EOMONTH(A24,0))</f>
        <v>30</v>
      </c>
      <c r="Z24" s="229" t="n">
        <v>37405</v>
      </c>
      <c r="AA24" s="230" t="e">
        <f aca="false">IF(AND(A24&gt;=Front!$E$11,A24&lt;=Front!$E$12),A24,"")</f>
        <v>#VALUE!</v>
      </c>
      <c r="AB24" s="231" t="e">
        <f aca="false">IF(AA24="","",VLOOKUP(MONTH(A23),Front!$W$6:$X$17,2)*IF(Front!D$9=0,Swap!Y24,1))</f>
        <v>#VALUE!</v>
      </c>
      <c r="AC24" s="231" t="e">
        <f aca="false">IF(AA24="","",AB24*AH24)</f>
        <v>#VALUE!</v>
      </c>
      <c r="AD24" s="254"/>
      <c r="AE24" s="231" t="e">
        <f aca="false">IF(AA24="","",AD24*AH24)</f>
        <v>#VALUE!</v>
      </c>
      <c r="AF24" s="243" t="n">
        <f aca="false">INDEX(IRTable,MATCH(A24,IRMonth,0),4)</f>
        <v>0.0280107872052118</v>
      </c>
      <c r="AG24" s="235" t="n">
        <f aca="false">AF24+$AG$9</f>
        <v>0.0280107872052118</v>
      </c>
      <c r="AH24" s="195" t="n">
        <f aca="false">1/((1+AG24/2)^(2*((A24-Front!$C$2)/365.25)))</f>
        <v>1.8909052721266</v>
      </c>
      <c r="AI24" s="236" t="e">
        <f aca="false">IF($AA24="","",E24*AC24)</f>
        <v>#VALUE!</v>
      </c>
      <c r="AJ24" s="236" t="e">
        <f aca="false">IF($AA24="","",E24*AE24)</f>
        <v>#VALUE!</v>
      </c>
      <c r="AK24" s="237" t="e">
        <f aca="false">IF($AA24="","",C24*AC24)</f>
        <v>#VALUE!</v>
      </c>
      <c r="AL24" s="160" t="n">
        <f aca="false">(AO24/10000)/30.5</f>
        <v>0</v>
      </c>
      <c r="AM24" s="238" t="n">
        <f aca="false">AD24/10000</f>
        <v>0</v>
      </c>
      <c r="AN24" s="238" t="n">
        <f aca="false">AD24*DAY(EOMONTH(A24,0))/10000</f>
        <v>0</v>
      </c>
      <c r="AO24" s="254"/>
      <c r="AP24" s="233"/>
      <c r="AQ24" s="254"/>
      <c r="AR24" s="240"/>
      <c r="AS24" s="240"/>
      <c r="AT24" s="0"/>
      <c r="AU24" s="12"/>
      <c r="AV24" s="240"/>
      <c r="AW24" s="240"/>
      <c r="AX24" s="0"/>
      <c r="AY24" s="238"/>
      <c r="AZ24" s="233"/>
      <c r="BA24" s="241"/>
      <c r="BB24" s="242"/>
      <c r="BC24" s="243" t="n">
        <v>3.153</v>
      </c>
      <c r="BD24" s="195" t="n">
        <f aca="false">BC24-E24</f>
        <v>0.0089999999999999</v>
      </c>
      <c r="BE24" s="251" t="n">
        <v>222.42842389</v>
      </c>
      <c r="BF24" s="245" t="n">
        <f aca="false">(BE24)*(D24*10)</f>
        <v>-20018.5581501</v>
      </c>
      <c r="BG24" s="246" t="n">
        <v>-1571.64001349</v>
      </c>
      <c r="BH24" s="246" t="n">
        <v>-554.58573016</v>
      </c>
      <c r="BI24" s="247"/>
      <c r="BJ24" s="167"/>
      <c r="BK24" s="167"/>
      <c r="BL24" s="167"/>
      <c r="BM24" s="167"/>
      <c r="BN24" s="167"/>
      <c r="BO24" s="167"/>
      <c r="BP24" s="248" t="n">
        <v>37561</v>
      </c>
      <c r="BQ24" s="180" t="n">
        <v>3.09</v>
      </c>
      <c r="BR24" s="180" t="n">
        <v>0.435</v>
      </c>
      <c r="BS24" s="180" t="n">
        <v>0.0280107872052118</v>
      </c>
      <c r="BT24" s="167"/>
      <c r="BU24" s="181"/>
      <c r="BV24" s="181"/>
      <c r="BW24" s="181"/>
      <c r="BX24" s="181"/>
      <c r="BY24" s="181"/>
      <c r="BZ24" s="181"/>
      <c r="CA24" s="181"/>
      <c r="CB24" s="181"/>
      <c r="CC24" s="181"/>
      <c r="CD24" s="181"/>
      <c r="CE24" s="181"/>
      <c r="CF24" s="181"/>
      <c r="CG24" s="181"/>
      <c r="CH24" s="181"/>
      <c r="CI24" s="181"/>
      <c r="CJ24" s="181"/>
      <c r="CK24" s="181"/>
      <c r="CL24" s="181"/>
      <c r="CM24" s="181"/>
      <c r="CN24" s="181"/>
      <c r="CO24" s="181"/>
      <c r="CP24" s="181"/>
      <c r="CQ24" s="181"/>
      <c r="CR24" s="181"/>
      <c r="CS24" s="181"/>
      <c r="CT24" s="181"/>
      <c r="CU24" s="181"/>
      <c r="CV24" s="181"/>
      <c r="CW24" s="181"/>
      <c r="CX24" s="181"/>
      <c r="CY24" s="181"/>
      <c r="CZ24" s="181"/>
      <c r="DA24" s="181"/>
      <c r="DB24" s="181"/>
      <c r="DC24" s="181"/>
      <c r="DD24" s="181"/>
      <c r="DE24" s="181"/>
      <c r="DF24" s="181"/>
      <c r="DG24" s="181"/>
      <c r="DH24" s="181"/>
      <c r="DI24" s="181"/>
      <c r="DJ24" s="181"/>
      <c r="DK24" s="181"/>
      <c r="DL24" s="181"/>
      <c r="DM24" s="181"/>
      <c r="DN24" s="181"/>
      <c r="DO24" s="181"/>
      <c r="DP24" s="181"/>
      <c r="DQ24" s="181"/>
      <c r="DR24" s="181"/>
      <c r="DS24" s="181"/>
      <c r="DT24" s="181"/>
      <c r="DU24" s="181"/>
      <c r="DV24" s="181"/>
      <c r="DW24" s="181"/>
      <c r="DX24" s="181"/>
      <c r="DY24" s="181"/>
      <c r="DZ24" s="181"/>
      <c r="EA24" s="181"/>
      <c r="EB24" s="181"/>
      <c r="EC24" s="181"/>
      <c r="ED24" s="181"/>
      <c r="EE24" s="181"/>
      <c r="EF24" s="181"/>
      <c r="EG24" s="181"/>
      <c r="EH24" s="181"/>
      <c r="EI24" s="181"/>
      <c r="EJ24" s="181"/>
      <c r="EK24" s="181"/>
      <c r="EL24" s="181"/>
      <c r="EM24" s="181"/>
      <c r="EN24" s="181"/>
      <c r="EO24" s="181"/>
      <c r="EP24" s="181"/>
      <c r="EQ24" s="181"/>
      <c r="ER24" s="181"/>
      <c r="ES24" s="181"/>
      <c r="ET24" s="181"/>
      <c r="EU24" s="181"/>
      <c r="EV24" s="181"/>
      <c r="EW24" s="181"/>
      <c r="EX24" s="181"/>
      <c r="EY24" s="181"/>
      <c r="EZ24" s="181"/>
      <c r="FA24" s="181"/>
      <c r="FB24" s="181"/>
      <c r="FC24" s="181"/>
      <c r="FD24" s="181"/>
      <c r="FE24" s="181"/>
      <c r="FF24" s="181"/>
      <c r="FG24" s="181"/>
      <c r="FH24" s="181"/>
      <c r="FI24" s="181"/>
      <c r="FJ24" s="181"/>
      <c r="FK24" s="181"/>
      <c r="FL24" s="181"/>
      <c r="FM24" s="181"/>
      <c r="FN24" s="181"/>
      <c r="FO24" s="181"/>
      <c r="FP24" s="181"/>
      <c r="FQ24" s="181"/>
      <c r="FR24" s="181"/>
      <c r="FS24" s="181"/>
      <c r="FT24" s="181"/>
      <c r="FU24" s="181"/>
      <c r="FV24" s="181"/>
      <c r="FW24" s="181"/>
      <c r="FX24" s="181"/>
      <c r="FY24" s="181"/>
      <c r="FZ24" s="181"/>
      <c r="GA24" s="181"/>
      <c r="GB24" s="181"/>
      <c r="GC24" s="181"/>
      <c r="GD24" s="181"/>
      <c r="GE24" s="181"/>
      <c r="GF24" s="181"/>
      <c r="GG24" s="181"/>
      <c r="GH24" s="181"/>
      <c r="GI24" s="181"/>
      <c r="GJ24" s="181"/>
      <c r="GK24" s="181"/>
      <c r="GL24" s="181"/>
      <c r="GM24" s="181"/>
      <c r="GN24" s="181"/>
      <c r="GO24" s="181"/>
      <c r="GP24" s="181"/>
      <c r="GQ24" s="181"/>
      <c r="GR24" s="181"/>
      <c r="GS24" s="181"/>
      <c r="GT24" s="181"/>
      <c r="GU24" s="181"/>
      <c r="GV24" s="181"/>
      <c r="GW24" s="181"/>
      <c r="GX24" s="181"/>
      <c r="GY24" s="181"/>
      <c r="GZ24" s="181"/>
      <c r="HA24" s="181"/>
      <c r="HB24" s="181"/>
      <c r="HC24" s="181"/>
      <c r="HD24" s="181"/>
      <c r="HE24" s="181"/>
      <c r="HF24" s="181"/>
      <c r="HG24" s="181"/>
      <c r="HH24" s="181"/>
      <c r="HI24" s="181"/>
      <c r="HJ24" s="181"/>
      <c r="HK24" s="181"/>
      <c r="HL24" s="181"/>
      <c r="HM24" s="181"/>
      <c r="HN24" s="181"/>
      <c r="HO24" s="181"/>
      <c r="HP24" s="181"/>
      <c r="HQ24" s="181"/>
      <c r="HR24" s="181"/>
      <c r="HS24" s="181"/>
      <c r="HT24" s="181"/>
      <c r="HU24" s="181"/>
      <c r="HV24" s="181"/>
      <c r="HW24" s="181"/>
      <c r="HX24" s="181"/>
      <c r="HY24" s="181"/>
      <c r="HZ24" s="181"/>
      <c r="IA24" s="181"/>
      <c r="IB24" s="181"/>
      <c r="IC24" s="181"/>
      <c r="ID24" s="181"/>
      <c r="IE24" s="181"/>
      <c r="IF24" s="181"/>
      <c r="IG24" s="181"/>
      <c r="IH24" s="181"/>
      <c r="II24" s="181"/>
      <c r="IJ24" s="181"/>
      <c r="IK24" s="181"/>
      <c r="IL24" s="181"/>
      <c r="IM24" s="181"/>
      <c r="IN24" s="181"/>
      <c r="IO24" s="181"/>
      <c r="IP24" s="181"/>
      <c r="IQ24" s="181"/>
      <c r="IR24" s="181"/>
      <c r="IS24" s="181"/>
      <c r="IT24" s="181"/>
      <c r="IU24" s="181"/>
      <c r="IV24" s="181"/>
      <c r="IW24" s="181"/>
    </row>
    <row r="25" customFormat="false" ht="15" hidden="false" customHeight="false" outlineLevel="0" collapsed="false">
      <c r="A25" s="265" t="n">
        <f aca="false">EOMONTH(A24,0)+1</f>
        <v>37591</v>
      </c>
      <c r="B25" s="215" t="n">
        <f aca="false">BD25*1000*-1</f>
        <v>-8.9999999999999</v>
      </c>
      <c r="C25" s="216" t="n">
        <v>3.343</v>
      </c>
      <c r="D25" s="217" t="n">
        <f aca="false">D24</f>
        <v>-9</v>
      </c>
      <c r="E25" s="218" t="n">
        <f aca="false">C25+D25/1000</f>
        <v>3.334</v>
      </c>
      <c r="F25" s="219" t="n">
        <f aca="false">(E25-E24)*1000</f>
        <v>190</v>
      </c>
      <c r="G25" s="220" t="n">
        <f aca="false">(C25-C24)*1000</f>
        <v>190</v>
      </c>
      <c r="H25" s="266" t="n">
        <f aca="false">E13-E25</f>
        <v>-0.657</v>
      </c>
      <c r="I25" s="267" t="n">
        <f aca="false">C13-C25</f>
        <v>-0.653</v>
      </c>
      <c r="J25" s="259" t="n">
        <f aca="false">J24+K25</f>
        <v>3.8325</v>
      </c>
      <c r="K25" s="243" t="n">
        <f aca="false">K24+0.0025</f>
        <v>0.0975</v>
      </c>
      <c r="L25" s="261" t="s">
        <v>164</v>
      </c>
      <c r="M25" s="224" t="s">
        <v>165</v>
      </c>
      <c r="N25" s="225" t="n">
        <v>2017</v>
      </c>
      <c r="O25" s="226" t="n">
        <f aca="false">[1]Swap!P31+P25</f>
        <v>0.1075</v>
      </c>
      <c r="P25" s="250"/>
      <c r="Q25" s="200" t="n">
        <f aca="false">Q24+O25</f>
        <v>4.7375</v>
      </c>
      <c r="R25" s="201" t="s">
        <v>166</v>
      </c>
      <c r="S25" s="167"/>
      <c r="T25" s="167"/>
      <c r="U25" s="167"/>
      <c r="V25" s="167"/>
      <c r="W25" s="167"/>
      <c r="X25" s="167"/>
      <c r="Y25" s="228" t="n">
        <f aca="false">DAY(EOMONTH(A25,0))</f>
        <v>31</v>
      </c>
      <c r="Z25" s="229" t="n">
        <v>37433</v>
      </c>
      <c r="AA25" s="230" t="e">
        <f aca="false">IF(AND(A25&gt;=Front!$E$11,A25&lt;=Front!$E$12),A25,"")</f>
        <v>#VALUE!</v>
      </c>
      <c r="AB25" s="231" t="e">
        <f aca="false">IF(AA25="","",VLOOKUP(MONTH(A24),Front!$W$6:$X$17,2)*IF(Front!D$9=0,Swap!Y25,1))</f>
        <v>#VALUE!</v>
      </c>
      <c r="AC25" s="231" t="e">
        <f aca="false">IF(AA25="","",AB25*AH25)</f>
        <v>#VALUE!</v>
      </c>
      <c r="AD25" s="254"/>
      <c r="AE25" s="231" t="e">
        <f aca="false">IF(AA25="","",AD25*AH25)</f>
        <v>#VALUE!</v>
      </c>
      <c r="AF25" s="243" t="n">
        <f aca="false">INDEX(IRTable,MATCH(A25,IRMonth,0),4)</f>
        <v>0.0285724547506367</v>
      </c>
      <c r="AG25" s="235" t="n">
        <f aca="false">AF25+$AG$9</f>
        <v>0.0285724547506367</v>
      </c>
      <c r="AH25" s="195" t="n">
        <f aca="false">1/((1+AG25/2)^(2*((A25-Front!$C$2)/365.25)))</f>
        <v>1.91058492808529</v>
      </c>
      <c r="AI25" s="236" t="e">
        <f aca="false">IF($AA25="","",E25*AC25)</f>
        <v>#VALUE!</v>
      </c>
      <c r="AJ25" s="236" t="e">
        <f aca="false">IF($AA25="","",E25*AE25)</f>
        <v>#VALUE!</v>
      </c>
      <c r="AK25" s="237" t="e">
        <f aca="false">IF($AA25="","",C25*AC25)</f>
        <v>#VALUE!</v>
      </c>
      <c r="AL25" s="160" t="n">
        <f aca="false">(AO25/10000)/30.5</f>
        <v>0</v>
      </c>
      <c r="AM25" s="238" t="n">
        <f aca="false">AD25/10000</f>
        <v>0</v>
      </c>
      <c r="AN25" s="238" t="n">
        <f aca="false">AD25*DAY(EOMONTH(A25,0))/10000</f>
        <v>0</v>
      </c>
      <c r="AO25" s="254"/>
      <c r="AP25" s="233"/>
      <c r="AQ25" s="254"/>
      <c r="AR25" s="240"/>
      <c r="AS25" s="240"/>
      <c r="AT25" s="0"/>
      <c r="AU25" s="12"/>
      <c r="AV25" s="240"/>
      <c r="AW25" s="240"/>
      <c r="AX25" s="0"/>
      <c r="AY25" s="238"/>
      <c r="AZ25" s="233"/>
      <c r="BA25" s="241"/>
      <c r="BB25" s="242"/>
      <c r="BC25" s="243" t="n">
        <v>3.343</v>
      </c>
      <c r="BD25" s="195" t="n">
        <f aca="false">BC25-E25</f>
        <v>0.0089999999999999</v>
      </c>
      <c r="BE25" s="251" t="n">
        <v>224.81450085</v>
      </c>
      <c r="BF25" s="245" t="n">
        <f aca="false">(BE25)*(D25*10)</f>
        <v>-20233.3050765</v>
      </c>
      <c r="BG25" s="246" t="n">
        <v>-3681.20362472</v>
      </c>
      <c r="BH25" s="246" t="n">
        <v>-207.05846088</v>
      </c>
      <c r="BI25" s="247"/>
      <c r="BJ25" s="167"/>
      <c r="BK25" s="167"/>
      <c r="BL25" s="167"/>
      <c r="BM25" s="167"/>
      <c r="BN25" s="167"/>
      <c r="BO25" s="167"/>
      <c r="BP25" s="248" t="n">
        <v>37591</v>
      </c>
      <c r="BQ25" s="180" t="n">
        <v>3.265</v>
      </c>
      <c r="BR25" s="180" t="n">
        <v>0.435</v>
      </c>
      <c r="BS25" s="180" t="n">
        <v>0.0285724547506367</v>
      </c>
      <c r="BT25" s="167"/>
      <c r="BU25" s="181"/>
      <c r="BV25" s="181"/>
      <c r="BW25" s="181"/>
      <c r="BX25" s="181"/>
      <c r="BY25" s="181"/>
      <c r="BZ25" s="181"/>
      <c r="CA25" s="181"/>
      <c r="CB25" s="181"/>
      <c r="CC25" s="181"/>
      <c r="CD25" s="181"/>
      <c r="CE25" s="181"/>
      <c r="CF25" s="181"/>
      <c r="CG25" s="181"/>
      <c r="CH25" s="181"/>
      <c r="CI25" s="181"/>
      <c r="CJ25" s="181"/>
      <c r="CK25" s="181"/>
      <c r="CL25" s="181"/>
      <c r="CM25" s="181"/>
      <c r="CN25" s="181"/>
      <c r="CO25" s="181"/>
      <c r="CP25" s="181"/>
      <c r="CQ25" s="181"/>
      <c r="CR25" s="181"/>
      <c r="CS25" s="181"/>
      <c r="CT25" s="181"/>
      <c r="CU25" s="181"/>
      <c r="CV25" s="181"/>
      <c r="CW25" s="181"/>
      <c r="CX25" s="181"/>
      <c r="CY25" s="181"/>
      <c r="CZ25" s="181"/>
      <c r="DA25" s="181"/>
      <c r="DB25" s="181"/>
      <c r="DC25" s="181"/>
      <c r="DD25" s="181"/>
      <c r="DE25" s="181"/>
      <c r="DF25" s="181"/>
      <c r="DG25" s="181"/>
      <c r="DH25" s="181"/>
      <c r="DI25" s="181"/>
      <c r="DJ25" s="181"/>
      <c r="DK25" s="181"/>
      <c r="DL25" s="181"/>
      <c r="DM25" s="181"/>
      <c r="DN25" s="181"/>
      <c r="DO25" s="181"/>
      <c r="DP25" s="181"/>
      <c r="DQ25" s="181"/>
      <c r="DR25" s="181"/>
      <c r="DS25" s="181"/>
      <c r="DT25" s="181"/>
      <c r="DU25" s="181"/>
      <c r="DV25" s="181"/>
      <c r="DW25" s="181"/>
      <c r="DX25" s="181"/>
      <c r="DY25" s="181"/>
      <c r="DZ25" s="181"/>
      <c r="EA25" s="181"/>
      <c r="EB25" s="181"/>
      <c r="EC25" s="181"/>
      <c r="ED25" s="181"/>
      <c r="EE25" s="181"/>
      <c r="EF25" s="181"/>
      <c r="EG25" s="181"/>
      <c r="EH25" s="181"/>
      <c r="EI25" s="181"/>
      <c r="EJ25" s="181"/>
      <c r="EK25" s="181"/>
      <c r="EL25" s="181"/>
      <c r="EM25" s="181"/>
      <c r="EN25" s="181"/>
      <c r="EO25" s="181"/>
      <c r="EP25" s="181"/>
      <c r="EQ25" s="181"/>
      <c r="ER25" s="181"/>
      <c r="ES25" s="181"/>
      <c r="ET25" s="181"/>
      <c r="EU25" s="181"/>
      <c r="EV25" s="181"/>
      <c r="EW25" s="181"/>
      <c r="EX25" s="181"/>
      <c r="EY25" s="181"/>
      <c r="EZ25" s="181"/>
      <c r="FA25" s="181"/>
      <c r="FB25" s="181"/>
      <c r="FC25" s="181"/>
      <c r="FD25" s="181"/>
      <c r="FE25" s="181"/>
      <c r="FF25" s="181"/>
      <c r="FG25" s="181"/>
      <c r="FH25" s="181"/>
      <c r="FI25" s="181"/>
      <c r="FJ25" s="181"/>
      <c r="FK25" s="181"/>
      <c r="FL25" s="181"/>
      <c r="FM25" s="181"/>
      <c r="FN25" s="181"/>
      <c r="FO25" s="181"/>
      <c r="FP25" s="181"/>
      <c r="FQ25" s="181"/>
      <c r="FR25" s="181"/>
      <c r="FS25" s="181"/>
      <c r="FT25" s="181"/>
      <c r="FU25" s="181"/>
      <c r="FV25" s="181"/>
      <c r="FW25" s="181"/>
      <c r="FX25" s="181"/>
      <c r="FY25" s="181"/>
      <c r="FZ25" s="181"/>
      <c r="GA25" s="181"/>
      <c r="GB25" s="181"/>
      <c r="GC25" s="181"/>
      <c r="GD25" s="181"/>
      <c r="GE25" s="181"/>
      <c r="GF25" s="181"/>
      <c r="GG25" s="181"/>
      <c r="GH25" s="181"/>
      <c r="GI25" s="181"/>
      <c r="GJ25" s="181"/>
      <c r="GK25" s="181"/>
      <c r="GL25" s="181"/>
      <c r="GM25" s="181"/>
      <c r="GN25" s="181"/>
      <c r="GO25" s="181"/>
      <c r="GP25" s="181"/>
      <c r="GQ25" s="181"/>
      <c r="GR25" s="181"/>
      <c r="GS25" s="181"/>
      <c r="GT25" s="181"/>
      <c r="GU25" s="181"/>
      <c r="GV25" s="181"/>
      <c r="GW25" s="181"/>
      <c r="GX25" s="181"/>
      <c r="GY25" s="181"/>
      <c r="GZ25" s="181"/>
      <c r="HA25" s="181"/>
      <c r="HB25" s="181"/>
      <c r="HC25" s="181"/>
      <c r="HD25" s="181"/>
      <c r="HE25" s="181"/>
      <c r="HF25" s="181"/>
      <c r="HG25" s="181"/>
      <c r="HH25" s="181"/>
      <c r="HI25" s="181"/>
      <c r="HJ25" s="181"/>
      <c r="HK25" s="181"/>
      <c r="HL25" s="181"/>
      <c r="HM25" s="181"/>
      <c r="HN25" s="181"/>
      <c r="HO25" s="181"/>
      <c r="HP25" s="181"/>
      <c r="HQ25" s="181"/>
      <c r="HR25" s="181"/>
      <c r="HS25" s="181"/>
      <c r="HT25" s="181"/>
      <c r="HU25" s="181"/>
      <c r="HV25" s="181"/>
      <c r="HW25" s="181"/>
      <c r="HX25" s="181"/>
      <c r="HY25" s="181"/>
      <c r="HZ25" s="181"/>
      <c r="IA25" s="181"/>
      <c r="IB25" s="181"/>
      <c r="IC25" s="181"/>
      <c r="ID25" s="181"/>
      <c r="IE25" s="181"/>
      <c r="IF25" s="181"/>
      <c r="IG25" s="181"/>
      <c r="IH25" s="181"/>
      <c r="II25" s="181"/>
      <c r="IJ25" s="181"/>
      <c r="IK25" s="181"/>
      <c r="IL25" s="181"/>
      <c r="IM25" s="181"/>
      <c r="IN25" s="181"/>
      <c r="IO25" s="181"/>
      <c r="IP25" s="181"/>
      <c r="IQ25" s="181"/>
      <c r="IR25" s="181"/>
      <c r="IS25" s="181"/>
      <c r="IT25" s="181"/>
      <c r="IU25" s="181"/>
      <c r="IV25" s="181"/>
      <c r="IW25" s="181"/>
    </row>
    <row r="26" customFormat="false" ht="15" hidden="false" customHeight="false" outlineLevel="0" collapsed="false">
      <c r="A26" s="265" t="n">
        <f aca="false">EOMONTH(A25,0)+1</f>
        <v>37622</v>
      </c>
      <c r="B26" s="215" t="n">
        <f aca="false">BD26*1000*-1</f>
        <v>-8.9999999999999</v>
      </c>
      <c r="C26" s="216" t="n">
        <v>3.43</v>
      </c>
      <c r="D26" s="217" t="n">
        <f aca="false">D25</f>
        <v>-9</v>
      </c>
      <c r="E26" s="218" t="n">
        <f aca="false">C26+D26/1000</f>
        <v>3.421</v>
      </c>
      <c r="F26" s="219" t="n">
        <f aca="false">(E26-E25)*1000</f>
        <v>87.0000000000002</v>
      </c>
      <c r="G26" s="220" t="n">
        <f aca="false">(C26-C25)*1000</f>
        <v>87.0000000000002</v>
      </c>
      <c r="H26" s="266" t="n">
        <f aca="false">E14-E26</f>
        <v>-0.537</v>
      </c>
      <c r="I26" s="267" t="n">
        <f aca="false">C14-C26</f>
        <v>-0.535</v>
      </c>
      <c r="J26" s="259" t="n">
        <f aca="false">J25+K26</f>
        <v>3.9325</v>
      </c>
      <c r="K26" s="243" t="n">
        <f aca="false">K25+0.0025</f>
        <v>0.1</v>
      </c>
      <c r="L26" s="261" t="s">
        <v>167</v>
      </c>
      <c r="M26" s="224" t="s">
        <v>168</v>
      </c>
      <c r="N26" s="225" t="n">
        <v>2018</v>
      </c>
      <c r="O26" s="226" t="n">
        <f aca="false">[1]Swap!P32+P26</f>
        <v>0.1075</v>
      </c>
      <c r="P26" s="250"/>
      <c r="Q26" s="200" t="n">
        <f aca="false">Q25+O26</f>
        <v>4.845</v>
      </c>
      <c r="R26" s="201" t="s">
        <v>169</v>
      </c>
      <c r="S26" s="167"/>
      <c r="T26" s="167"/>
      <c r="U26" s="167"/>
      <c r="V26" s="167"/>
      <c r="W26" s="167"/>
      <c r="X26" s="167"/>
      <c r="Y26" s="228" t="n">
        <f aca="false">DAY(EOMONTH(A26,0))</f>
        <v>31</v>
      </c>
      <c r="Z26" s="229" t="n">
        <v>37466</v>
      </c>
      <c r="AA26" s="230" t="e">
        <f aca="false">IF(AND(A26&gt;=Front!$E$11,A26&lt;=Front!$E$12),A26,"")</f>
        <v>#VALUE!</v>
      </c>
      <c r="AB26" s="231" t="e">
        <f aca="false">IF(AA26="","",VLOOKUP(MONTH(A25),Front!$W$6:$X$17,2)*IF(Front!D$9=0,Swap!Y26,1))</f>
        <v>#VALUE!</v>
      </c>
      <c r="AC26" s="231" t="e">
        <f aca="false">IF(AA26="","",AB26*AH26)</f>
        <v>#VALUE!</v>
      </c>
      <c r="AD26" s="254"/>
      <c r="AE26" s="231" t="e">
        <f aca="false">IF(AA26="","",AD26*AH26)</f>
        <v>#VALUE!</v>
      </c>
      <c r="AF26" s="243" t="n">
        <f aca="false">INDEX(IRTable,MATCH(A26,IRMonth,0),4)</f>
        <v>0.0291964221164136</v>
      </c>
      <c r="AG26" s="235" t="n">
        <f aca="false">AF26+$AG$9</f>
        <v>0.0291964221164136</v>
      </c>
      <c r="AH26" s="195" t="n">
        <f aca="false">1/((1+AG26/2)^(2*((A26-Front!$C$2)/365.25)))</f>
        <v>1.9328306128389</v>
      </c>
      <c r="AI26" s="236" t="e">
        <f aca="false">IF($AA26="","",E26*AC26)</f>
        <v>#VALUE!</v>
      </c>
      <c r="AJ26" s="236" t="e">
        <f aca="false">IF($AA26="","",E26*AE26)</f>
        <v>#VALUE!</v>
      </c>
      <c r="AK26" s="237" t="e">
        <f aca="false">IF($AA26="","",C26*AC26)</f>
        <v>#VALUE!</v>
      </c>
      <c r="AL26" s="160" t="n">
        <f aca="false">(AO26/10000)/30.5</f>
        <v>0</v>
      </c>
      <c r="AM26" s="238" t="n">
        <f aca="false">AD26/10000</f>
        <v>0</v>
      </c>
      <c r="AN26" s="238" t="n">
        <f aca="false">AD26*DAY(EOMONTH(A26,0))/10000</f>
        <v>0</v>
      </c>
      <c r="AO26" s="254"/>
      <c r="AP26" s="233"/>
      <c r="AQ26" s="254"/>
      <c r="AR26" s="240"/>
      <c r="AS26" s="240"/>
      <c r="AT26" s="0"/>
      <c r="AU26" s="12"/>
      <c r="AV26" s="240"/>
      <c r="AW26" s="240"/>
      <c r="AX26" s="0"/>
      <c r="AY26" s="238"/>
      <c r="AZ26" s="233"/>
      <c r="BA26" s="241"/>
      <c r="BB26" s="242"/>
      <c r="BC26" s="243" t="n">
        <v>3.43</v>
      </c>
      <c r="BD26" s="195" t="n">
        <f aca="false">BC26-E26</f>
        <v>0.0089999999999999</v>
      </c>
      <c r="BE26" s="251" t="n">
        <v>542.05332576</v>
      </c>
      <c r="BF26" s="245" t="n">
        <f aca="false">(BE26)*(D26*10)</f>
        <v>-48784.7993184</v>
      </c>
      <c r="BG26" s="246" t="n">
        <v>-2165.08057845</v>
      </c>
      <c r="BH26" s="246" t="n">
        <v>-530.54540789</v>
      </c>
      <c r="BI26" s="247"/>
      <c r="BJ26" s="167"/>
      <c r="BK26" s="167"/>
      <c r="BL26" s="167"/>
      <c r="BM26" s="167"/>
      <c r="BN26" s="167"/>
      <c r="BO26" s="167"/>
      <c r="BP26" s="248" t="n">
        <v>37622</v>
      </c>
      <c r="BQ26" s="180" t="n">
        <v>3.35</v>
      </c>
      <c r="BR26" s="180" t="n">
        <v>0.435</v>
      </c>
      <c r="BS26" s="180" t="n">
        <v>0.0291964221164136</v>
      </c>
      <c r="BT26" s="167"/>
      <c r="BU26" s="181"/>
      <c r="BV26" s="181"/>
      <c r="BW26" s="181"/>
      <c r="BX26" s="181"/>
      <c r="BY26" s="181"/>
      <c r="BZ26" s="181"/>
      <c r="CA26" s="181"/>
      <c r="CB26" s="181"/>
      <c r="CC26" s="181"/>
      <c r="CD26" s="181"/>
      <c r="CE26" s="181"/>
      <c r="CF26" s="181"/>
      <c r="CG26" s="181"/>
      <c r="CH26" s="181"/>
      <c r="CI26" s="181"/>
      <c r="CJ26" s="181"/>
      <c r="CK26" s="181"/>
      <c r="CL26" s="181"/>
      <c r="CM26" s="181"/>
      <c r="CN26" s="181"/>
      <c r="CO26" s="181"/>
      <c r="CP26" s="181"/>
      <c r="CQ26" s="181"/>
      <c r="CR26" s="181"/>
      <c r="CS26" s="181"/>
      <c r="CT26" s="181"/>
      <c r="CU26" s="181"/>
      <c r="CV26" s="181"/>
      <c r="CW26" s="181"/>
      <c r="CX26" s="181"/>
      <c r="CY26" s="181"/>
      <c r="CZ26" s="181"/>
      <c r="DA26" s="181"/>
      <c r="DB26" s="181"/>
      <c r="DC26" s="181"/>
      <c r="DD26" s="181"/>
      <c r="DE26" s="181"/>
      <c r="DF26" s="181"/>
      <c r="DG26" s="181"/>
      <c r="DH26" s="181"/>
      <c r="DI26" s="181"/>
      <c r="DJ26" s="181"/>
      <c r="DK26" s="181"/>
      <c r="DL26" s="181"/>
      <c r="DM26" s="181"/>
      <c r="DN26" s="181"/>
      <c r="DO26" s="181"/>
      <c r="DP26" s="181"/>
      <c r="DQ26" s="181"/>
      <c r="DR26" s="181"/>
      <c r="DS26" s="181"/>
      <c r="DT26" s="181"/>
      <c r="DU26" s="181"/>
      <c r="DV26" s="181"/>
      <c r="DW26" s="181"/>
      <c r="DX26" s="181"/>
      <c r="DY26" s="181"/>
      <c r="DZ26" s="181"/>
      <c r="EA26" s="181"/>
      <c r="EB26" s="181"/>
      <c r="EC26" s="181"/>
      <c r="ED26" s="181"/>
      <c r="EE26" s="181"/>
      <c r="EF26" s="181"/>
      <c r="EG26" s="181"/>
      <c r="EH26" s="181"/>
      <c r="EI26" s="181"/>
      <c r="EJ26" s="181"/>
      <c r="EK26" s="181"/>
      <c r="EL26" s="181"/>
      <c r="EM26" s="181"/>
      <c r="EN26" s="181"/>
      <c r="EO26" s="181"/>
      <c r="EP26" s="181"/>
      <c r="EQ26" s="181"/>
      <c r="ER26" s="181"/>
      <c r="ES26" s="181"/>
      <c r="ET26" s="181"/>
      <c r="EU26" s="181"/>
      <c r="EV26" s="181"/>
      <c r="EW26" s="181"/>
      <c r="EX26" s="181"/>
      <c r="EY26" s="181"/>
      <c r="EZ26" s="181"/>
      <c r="FA26" s="181"/>
      <c r="FB26" s="181"/>
      <c r="FC26" s="181"/>
      <c r="FD26" s="181"/>
      <c r="FE26" s="181"/>
      <c r="FF26" s="181"/>
      <c r="FG26" s="181"/>
      <c r="FH26" s="181"/>
      <c r="FI26" s="181"/>
      <c r="FJ26" s="181"/>
      <c r="FK26" s="181"/>
      <c r="FL26" s="181"/>
      <c r="FM26" s="181"/>
      <c r="FN26" s="181"/>
      <c r="FO26" s="181"/>
      <c r="FP26" s="181"/>
      <c r="FQ26" s="181"/>
      <c r="FR26" s="181"/>
      <c r="FS26" s="181"/>
      <c r="FT26" s="181"/>
      <c r="FU26" s="181"/>
      <c r="FV26" s="181"/>
      <c r="FW26" s="181"/>
      <c r="FX26" s="181"/>
      <c r="FY26" s="181"/>
      <c r="FZ26" s="181"/>
      <c r="GA26" s="181"/>
      <c r="GB26" s="181"/>
      <c r="GC26" s="181"/>
      <c r="GD26" s="181"/>
      <c r="GE26" s="181"/>
      <c r="GF26" s="181"/>
      <c r="GG26" s="181"/>
      <c r="GH26" s="181"/>
      <c r="GI26" s="181"/>
      <c r="GJ26" s="181"/>
      <c r="GK26" s="181"/>
      <c r="GL26" s="181"/>
      <c r="GM26" s="181"/>
      <c r="GN26" s="181"/>
      <c r="GO26" s="181"/>
      <c r="GP26" s="181"/>
      <c r="GQ26" s="181"/>
      <c r="GR26" s="181"/>
      <c r="GS26" s="181"/>
      <c r="GT26" s="181"/>
      <c r="GU26" s="181"/>
      <c r="GV26" s="181"/>
      <c r="GW26" s="181"/>
      <c r="GX26" s="181"/>
      <c r="GY26" s="181"/>
      <c r="GZ26" s="181"/>
      <c r="HA26" s="181"/>
      <c r="HB26" s="181"/>
      <c r="HC26" s="181"/>
      <c r="HD26" s="181"/>
      <c r="HE26" s="181"/>
      <c r="HF26" s="181"/>
      <c r="HG26" s="181"/>
      <c r="HH26" s="181"/>
      <c r="HI26" s="181"/>
      <c r="HJ26" s="181"/>
      <c r="HK26" s="181"/>
      <c r="HL26" s="181"/>
      <c r="HM26" s="181"/>
      <c r="HN26" s="181"/>
      <c r="HO26" s="181"/>
      <c r="HP26" s="181"/>
      <c r="HQ26" s="181"/>
      <c r="HR26" s="181"/>
      <c r="HS26" s="181"/>
      <c r="HT26" s="181"/>
      <c r="HU26" s="181"/>
      <c r="HV26" s="181"/>
      <c r="HW26" s="181"/>
      <c r="HX26" s="181"/>
      <c r="HY26" s="181"/>
      <c r="HZ26" s="181"/>
      <c r="IA26" s="181"/>
      <c r="IB26" s="181"/>
      <c r="IC26" s="181"/>
      <c r="ID26" s="181"/>
      <c r="IE26" s="181"/>
      <c r="IF26" s="181"/>
      <c r="IG26" s="181"/>
      <c r="IH26" s="181"/>
      <c r="II26" s="181"/>
      <c r="IJ26" s="181"/>
      <c r="IK26" s="181"/>
      <c r="IL26" s="181"/>
      <c r="IM26" s="181"/>
      <c r="IN26" s="181"/>
      <c r="IO26" s="181"/>
      <c r="IP26" s="181"/>
      <c r="IQ26" s="181"/>
      <c r="IR26" s="181"/>
      <c r="IS26" s="181"/>
      <c r="IT26" s="181"/>
      <c r="IU26" s="181"/>
      <c r="IV26" s="181"/>
      <c r="IW26" s="181"/>
    </row>
    <row r="27" customFormat="false" ht="15" hidden="false" customHeight="false" outlineLevel="0" collapsed="false">
      <c r="A27" s="265" t="n">
        <f aca="false">EOMONTH(A26,0)+1</f>
        <v>37653</v>
      </c>
      <c r="B27" s="215" t="n">
        <f aca="false">BD27*1000*-1</f>
        <v>-8.9999999999999</v>
      </c>
      <c r="C27" s="216" t="n">
        <v>3.333</v>
      </c>
      <c r="D27" s="217" t="n">
        <f aca="false">D26</f>
        <v>-9</v>
      </c>
      <c r="E27" s="218" t="n">
        <f aca="false">C27+D27/1000</f>
        <v>3.324</v>
      </c>
      <c r="F27" s="219" t="n">
        <f aca="false">(E27-E26)*1000</f>
        <v>-97</v>
      </c>
      <c r="G27" s="220" t="n">
        <f aca="false">(C27-C26)*1000</f>
        <v>-97</v>
      </c>
      <c r="H27" s="266" t="n">
        <f aca="false">E15-E27</f>
        <v>-0.44</v>
      </c>
      <c r="I27" s="267" t="n">
        <f aca="false">C15-C27</f>
        <v>-0.44</v>
      </c>
      <c r="J27" s="259" t="n">
        <f aca="false">J26+K27</f>
        <v>4.035</v>
      </c>
      <c r="K27" s="243" t="n">
        <f aca="false">K26+0.0025</f>
        <v>0.1025</v>
      </c>
      <c r="L27" s="261" t="s">
        <v>170</v>
      </c>
      <c r="M27" s="224" t="s">
        <v>171</v>
      </c>
      <c r="N27" s="225" t="n">
        <v>2019</v>
      </c>
      <c r="O27" s="226" t="n">
        <f aca="false">[1]Swap!P33+P27</f>
        <v>0.1075</v>
      </c>
      <c r="P27" s="250"/>
      <c r="Q27" s="200" t="n">
        <f aca="false">Q26+O27</f>
        <v>4.9525</v>
      </c>
      <c r="R27" s="201" t="s">
        <v>172</v>
      </c>
      <c r="S27" s="167"/>
      <c r="T27" s="167"/>
      <c r="U27" s="167"/>
      <c r="V27" s="167"/>
      <c r="W27" s="167"/>
      <c r="X27" s="167"/>
      <c r="Y27" s="228" t="n">
        <f aca="false">DAY(EOMONTH(A27,0))</f>
        <v>28</v>
      </c>
      <c r="Z27" s="229" t="n">
        <v>37496</v>
      </c>
      <c r="AA27" s="230" t="e">
        <f aca="false">IF(AND(A27&gt;=Front!$E$11,A27&lt;=Front!$E$12),A27,"")</f>
        <v>#VALUE!</v>
      </c>
      <c r="AB27" s="231" t="e">
        <f aca="false">IF(AA27="","",VLOOKUP(MONTH(A26),Front!$W$6:$X$17,2)*IF(Front!D$9=0,Swap!Y27,1))</f>
        <v>#VALUE!</v>
      </c>
      <c r="AC27" s="231" t="e">
        <f aca="false">IF(AA27="","",AB27*AH27)</f>
        <v>#VALUE!</v>
      </c>
      <c r="AD27" s="254"/>
      <c r="AE27" s="231" t="e">
        <f aca="false">IF(AA27="","",AD27*AH27)</f>
        <v>#VALUE!</v>
      </c>
      <c r="AF27" s="243" t="n">
        <f aca="false">INDEX(IRTable,MATCH(A27,IRMonth,0),4)</f>
        <v>0.0298733051090285</v>
      </c>
      <c r="AG27" s="235" t="n">
        <f aca="false">AF27+$AG$9</f>
        <v>0.0298733051090285</v>
      </c>
      <c r="AH27" s="195" t="n">
        <f aca="false">1/((1+AG27/2)^(2*((A27-Front!$C$2)/365.25)))</f>
        <v>1.95743301867278</v>
      </c>
      <c r="AI27" s="236" t="e">
        <f aca="false">IF($AA27="","",E27*AC27)</f>
        <v>#VALUE!</v>
      </c>
      <c r="AJ27" s="236" t="e">
        <f aca="false">IF($AA27="","",E27*AE27)</f>
        <v>#VALUE!</v>
      </c>
      <c r="AK27" s="237" t="e">
        <f aca="false">IF($AA27="","",C27*AC27)</f>
        <v>#VALUE!</v>
      </c>
      <c r="AL27" s="160" t="n">
        <f aca="false">(AO27/10000)/30.5</f>
        <v>0</v>
      </c>
      <c r="AM27" s="238" t="n">
        <f aca="false">AD27/10000</f>
        <v>0</v>
      </c>
      <c r="AN27" s="238" t="n">
        <f aca="false">AD27*DAY(EOMONTH(A27,0))/10000</f>
        <v>0</v>
      </c>
      <c r="AO27" s="254"/>
      <c r="AP27" s="233"/>
      <c r="AQ27" s="254"/>
      <c r="AR27" s="240"/>
      <c r="AS27" s="240"/>
      <c r="AT27" s="0"/>
      <c r="AU27" s="12"/>
      <c r="AV27" s="240"/>
      <c r="AW27" s="240"/>
      <c r="AX27" s="0"/>
      <c r="AY27" s="238"/>
      <c r="AZ27" s="233"/>
      <c r="BA27" s="241"/>
      <c r="BB27" s="242"/>
      <c r="BC27" s="243" t="n">
        <v>3.333</v>
      </c>
      <c r="BD27" s="195" t="n">
        <f aca="false">BC27-E27</f>
        <v>0.0089999999999999</v>
      </c>
      <c r="BE27" s="251" t="n">
        <v>105.66843092</v>
      </c>
      <c r="BF27" s="245" t="n">
        <f aca="false">(BE27)*(D27*10)</f>
        <v>-9510.1587828</v>
      </c>
      <c r="BG27" s="246" t="n">
        <v>2150.71880336</v>
      </c>
      <c r="BH27" s="246" t="n">
        <v>-471.2261025</v>
      </c>
      <c r="BI27" s="247"/>
      <c r="BJ27" s="167"/>
      <c r="BK27" s="167"/>
      <c r="BL27" s="167"/>
      <c r="BM27" s="167"/>
      <c r="BN27" s="167"/>
      <c r="BO27" s="167"/>
      <c r="BP27" s="248" t="n">
        <v>37653</v>
      </c>
      <c r="BQ27" s="180" t="n">
        <v>3.253</v>
      </c>
      <c r="BR27" s="180" t="n">
        <v>0.4275</v>
      </c>
      <c r="BS27" s="180" t="n">
        <v>0.0298733051090285</v>
      </c>
      <c r="BT27" s="167"/>
      <c r="BU27" s="181"/>
      <c r="BV27" s="181"/>
      <c r="BW27" s="181"/>
      <c r="BX27" s="181"/>
      <c r="BY27" s="181"/>
      <c r="BZ27" s="181"/>
      <c r="CA27" s="181"/>
      <c r="CB27" s="181"/>
      <c r="CC27" s="181"/>
      <c r="CD27" s="181"/>
      <c r="CE27" s="181"/>
      <c r="CF27" s="181"/>
      <c r="CG27" s="181"/>
      <c r="CH27" s="181"/>
      <c r="CI27" s="181"/>
      <c r="CJ27" s="181"/>
      <c r="CK27" s="181"/>
      <c r="CL27" s="181"/>
      <c r="CM27" s="181"/>
      <c r="CN27" s="181"/>
      <c r="CO27" s="181"/>
      <c r="CP27" s="181"/>
      <c r="CQ27" s="181"/>
      <c r="CR27" s="181"/>
      <c r="CS27" s="181"/>
      <c r="CT27" s="181"/>
      <c r="CU27" s="181"/>
      <c r="CV27" s="181"/>
      <c r="CW27" s="181"/>
      <c r="CX27" s="181"/>
      <c r="CY27" s="181"/>
      <c r="CZ27" s="181"/>
      <c r="DA27" s="181"/>
      <c r="DB27" s="181"/>
      <c r="DC27" s="181"/>
      <c r="DD27" s="181"/>
      <c r="DE27" s="181"/>
      <c r="DF27" s="181"/>
      <c r="DG27" s="181"/>
      <c r="DH27" s="181"/>
      <c r="DI27" s="181"/>
      <c r="DJ27" s="181"/>
      <c r="DK27" s="181"/>
      <c r="DL27" s="181"/>
      <c r="DM27" s="181"/>
      <c r="DN27" s="181"/>
      <c r="DO27" s="181"/>
      <c r="DP27" s="181"/>
      <c r="DQ27" s="181"/>
      <c r="DR27" s="181"/>
      <c r="DS27" s="181"/>
      <c r="DT27" s="181"/>
      <c r="DU27" s="181"/>
      <c r="DV27" s="181"/>
      <c r="DW27" s="181"/>
      <c r="DX27" s="181"/>
      <c r="DY27" s="181"/>
      <c r="DZ27" s="181"/>
      <c r="EA27" s="181"/>
      <c r="EB27" s="181"/>
      <c r="EC27" s="181"/>
      <c r="ED27" s="181"/>
      <c r="EE27" s="181"/>
      <c r="EF27" s="181"/>
      <c r="EG27" s="181"/>
      <c r="EH27" s="181"/>
      <c r="EI27" s="181"/>
      <c r="EJ27" s="181"/>
      <c r="EK27" s="181"/>
      <c r="EL27" s="181"/>
      <c r="EM27" s="181"/>
      <c r="EN27" s="181"/>
      <c r="EO27" s="181"/>
      <c r="EP27" s="181"/>
      <c r="EQ27" s="181"/>
      <c r="ER27" s="181"/>
      <c r="ES27" s="181"/>
      <c r="ET27" s="181"/>
      <c r="EU27" s="181"/>
      <c r="EV27" s="181"/>
      <c r="EW27" s="181"/>
      <c r="EX27" s="181"/>
      <c r="EY27" s="181"/>
      <c r="EZ27" s="181"/>
      <c r="FA27" s="181"/>
      <c r="FB27" s="181"/>
      <c r="FC27" s="181"/>
      <c r="FD27" s="181"/>
      <c r="FE27" s="181"/>
      <c r="FF27" s="181"/>
      <c r="FG27" s="181"/>
      <c r="FH27" s="181"/>
      <c r="FI27" s="181"/>
      <c r="FJ27" s="181"/>
      <c r="FK27" s="181"/>
      <c r="FL27" s="181"/>
      <c r="FM27" s="181"/>
      <c r="FN27" s="181"/>
      <c r="FO27" s="181"/>
      <c r="FP27" s="181"/>
      <c r="FQ27" s="181"/>
      <c r="FR27" s="181"/>
      <c r="FS27" s="181"/>
      <c r="FT27" s="181"/>
      <c r="FU27" s="181"/>
      <c r="FV27" s="181"/>
      <c r="FW27" s="181"/>
      <c r="FX27" s="181"/>
      <c r="FY27" s="181"/>
      <c r="FZ27" s="181"/>
      <c r="GA27" s="181"/>
      <c r="GB27" s="181"/>
      <c r="GC27" s="181"/>
      <c r="GD27" s="181"/>
      <c r="GE27" s="181"/>
      <c r="GF27" s="181"/>
      <c r="GG27" s="181"/>
      <c r="GH27" s="181"/>
      <c r="GI27" s="181"/>
      <c r="GJ27" s="181"/>
      <c r="GK27" s="181"/>
      <c r="GL27" s="181"/>
      <c r="GM27" s="181"/>
      <c r="GN27" s="181"/>
      <c r="GO27" s="181"/>
      <c r="GP27" s="181"/>
      <c r="GQ27" s="181"/>
      <c r="GR27" s="181"/>
      <c r="GS27" s="181"/>
      <c r="GT27" s="181"/>
      <c r="GU27" s="181"/>
      <c r="GV27" s="181"/>
      <c r="GW27" s="181"/>
      <c r="GX27" s="181"/>
      <c r="GY27" s="181"/>
      <c r="GZ27" s="181"/>
      <c r="HA27" s="181"/>
      <c r="HB27" s="181"/>
      <c r="HC27" s="181"/>
      <c r="HD27" s="181"/>
      <c r="HE27" s="181"/>
      <c r="HF27" s="181"/>
      <c r="HG27" s="181"/>
      <c r="HH27" s="181"/>
      <c r="HI27" s="181"/>
      <c r="HJ27" s="181"/>
      <c r="HK27" s="181"/>
      <c r="HL27" s="181"/>
      <c r="HM27" s="181"/>
      <c r="HN27" s="181"/>
      <c r="HO27" s="181"/>
      <c r="HP27" s="181"/>
      <c r="HQ27" s="181"/>
      <c r="HR27" s="181"/>
      <c r="HS27" s="181"/>
      <c r="HT27" s="181"/>
      <c r="HU27" s="181"/>
      <c r="HV27" s="181"/>
      <c r="HW27" s="181"/>
      <c r="HX27" s="181"/>
      <c r="HY27" s="181"/>
      <c r="HZ27" s="181"/>
      <c r="IA27" s="181"/>
      <c r="IB27" s="181"/>
      <c r="IC27" s="181"/>
      <c r="ID27" s="181"/>
      <c r="IE27" s="181"/>
      <c r="IF27" s="181"/>
      <c r="IG27" s="181"/>
      <c r="IH27" s="181"/>
      <c r="II27" s="181"/>
      <c r="IJ27" s="181"/>
      <c r="IK27" s="181"/>
      <c r="IL27" s="181"/>
      <c r="IM27" s="181"/>
      <c r="IN27" s="181"/>
      <c r="IO27" s="181"/>
      <c r="IP27" s="181"/>
      <c r="IQ27" s="181"/>
      <c r="IR27" s="181"/>
      <c r="IS27" s="181"/>
      <c r="IT27" s="181"/>
      <c r="IU27" s="181"/>
      <c r="IV27" s="181"/>
      <c r="IW27" s="181"/>
    </row>
    <row r="28" customFormat="false" ht="15" hidden="false" customHeight="false" outlineLevel="0" collapsed="false">
      <c r="A28" s="265" t="n">
        <f aca="false">EOMONTH(A27,0)+1</f>
        <v>37681</v>
      </c>
      <c r="B28" s="215" t="n">
        <f aca="false">BD28*1000*-1</f>
        <v>-8.9999999999999</v>
      </c>
      <c r="C28" s="216" t="n">
        <v>3.208</v>
      </c>
      <c r="D28" s="217" t="n">
        <f aca="false">D27</f>
        <v>-9</v>
      </c>
      <c r="E28" s="218" t="n">
        <f aca="false">C28+D28/1000</f>
        <v>3.199</v>
      </c>
      <c r="F28" s="219" t="n">
        <f aca="false">(E28-E27)*1000</f>
        <v>-125</v>
      </c>
      <c r="G28" s="220" t="n">
        <f aca="false">(C28-C27)*1000</f>
        <v>-125</v>
      </c>
      <c r="H28" s="266" t="n">
        <f aca="false">E16-E28</f>
        <v>-0.348</v>
      </c>
      <c r="I28" s="267" t="n">
        <f aca="false">C16-C28</f>
        <v>-0.348</v>
      </c>
      <c r="J28" s="259" t="n">
        <f aca="false">J27+K28</f>
        <v>4.14</v>
      </c>
      <c r="K28" s="243" t="n">
        <f aca="false">K27+0.0025</f>
        <v>0.105</v>
      </c>
      <c r="L28" s="261" t="s">
        <v>173</v>
      </c>
      <c r="M28" s="224" t="s">
        <v>174</v>
      </c>
      <c r="N28" s="225" t="n">
        <v>2020</v>
      </c>
      <c r="O28" s="226" t="n">
        <f aca="false">[1]Swap!P34+P28</f>
        <v>0.1075</v>
      </c>
      <c r="P28" s="250"/>
      <c r="Q28" s="200" t="n">
        <f aca="false">Q27+O28</f>
        <v>5.06</v>
      </c>
      <c r="R28" s="201" t="s">
        <v>175</v>
      </c>
      <c r="S28" s="167"/>
      <c r="T28" s="167"/>
      <c r="U28" s="167"/>
      <c r="V28" s="167"/>
      <c r="W28" s="167"/>
      <c r="X28" s="167"/>
      <c r="Y28" s="228" t="n">
        <f aca="false">DAY(EOMONTH(A28,0))</f>
        <v>31</v>
      </c>
      <c r="Z28" s="229" t="n">
        <v>37525</v>
      </c>
      <c r="AA28" s="230" t="e">
        <f aca="false">IF(AND(A28&gt;=Front!$E$11,A28&lt;=Front!$E$12),A28,"")</f>
        <v>#VALUE!</v>
      </c>
      <c r="AB28" s="231" t="e">
        <f aca="false">IF(AA28="","",VLOOKUP(MONTH(A27),Front!$W$6:$X$17,2)*IF(Front!D$9=0,Swap!Y28,1))</f>
        <v>#VALUE!</v>
      </c>
      <c r="AC28" s="231" t="e">
        <f aca="false">IF(AA28="","",AB28*AH28)</f>
        <v>#VALUE!</v>
      </c>
      <c r="AD28" s="254"/>
      <c r="AE28" s="231" t="e">
        <f aca="false">IF(AA28="","",AD28*AH28)</f>
        <v>#VALUE!</v>
      </c>
      <c r="AF28" s="243" t="n">
        <f aca="false">INDEX(IRTable,MATCH(A28,IRMonth,0),4)</f>
        <v>0.0304846834286971</v>
      </c>
      <c r="AG28" s="235" t="n">
        <f aca="false">AF28+$AG$9</f>
        <v>0.0304846834286971</v>
      </c>
      <c r="AH28" s="195" t="n">
        <f aca="false">1/((1+AG28/2)^(2*((A28-Front!$C$2)/365.25)))</f>
        <v>1.97972238609318</v>
      </c>
      <c r="AI28" s="236" t="e">
        <f aca="false">IF($AA28="","",E28*AC28)</f>
        <v>#VALUE!</v>
      </c>
      <c r="AJ28" s="236" t="e">
        <f aca="false">IF($AA28="","",E28*AE28)</f>
        <v>#VALUE!</v>
      </c>
      <c r="AK28" s="237" t="e">
        <f aca="false">IF($AA28="","",C28*AC28)</f>
        <v>#VALUE!</v>
      </c>
      <c r="AL28" s="160" t="n">
        <f aca="false">(AO28/10000)/30.5</f>
        <v>0</v>
      </c>
      <c r="AM28" s="238" t="n">
        <f aca="false">AD28/10000</f>
        <v>0</v>
      </c>
      <c r="AN28" s="238" t="n">
        <f aca="false">AD28*DAY(EOMONTH(A28,0))/10000</f>
        <v>0</v>
      </c>
      <c r="AO28" s="254"/>
      <c r="AP28" s="233"/>
      <c r="AQ28" s="254"/>
      <c r="AR28" s="240"/>
      <c r="AS28" s="240"/>
      <c r="AT28" s="0"/>
      <c r="AU28" s="12"/>
      <c r="AV28" s="240"/>
      <c r="AW28" s="240"/>
      <c r="AX28" s="0"/>
      <c r="AY28" s="238"/>
      <c r="AZ28" s="233"/>
      <c r="BA28" s="241"/>
      <c r="BB28" s="242"/>
      <c r="BC28" s="243" t="n">
        <v>3.208</v>
      </c>
      <c r="BD28" s="195" t="n">
        <f aca="false">BC28-E28</f>
        <v>0.0089999999999999</v>
      </c>
      <c r="BE28" s="251" t="n">
        <v>-4.93874383</v>
      </c>
      <c r="BF28" s="245" t="n">
        <f aca="false">(BE28)*(D28*10)</f>
        <v>444.4869447</v>
      </c>
      <c r="BG28" s="246" t="n">
        <v>3739.3473221</v>
      </c>
      <c r="BH28" s="246" t="n">
        <v>-446.73518673</v>
      </c>
      <c r="BI28" s="247"/>
      <c r="BJ28" s="167"/>
      <c r="BK28" s="167"/>
      <c r="BL28" s="167"/>
      <c r="BM28" s="167"/>
      <c r="BN28" s="167"/>
      <c r="BO28" s="167"/>
      <c r="BP28" s="248" t="n">
        <v>37681</v>
      </c>
      <c r="BQ28" s="180" t="n">
        <v>3.128</v>
      </c>
      <c r="BR28" s="180" t="n">
        <v>0.4075</v>
      </c>
      <c r="BS28" s="180" t="n">
        <v>0.0304846834286971</v>
      </c>
      <c r="BT28" s="167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1"/>
      <c r="CP28" s="181"/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1"/>
      <c r="EJ28" s="181"/>
      <c r="EK28" s="181"/>
      <c r="EL28" s="181"/>
      <c r="EM28" s="181"/>
      <c r="EN28" s="181"/>
      <c r="EO28" s="181"/>
      <c r="EP28" s="181"/>
      <c r="EQ28" s="181"/>
      <c r="ER28" s="181"/>
      <c r="ES28" s="181"/>
      <c r="ET28" s="181"/>
      <c r="EU28" s="181"/>
      <c r="EV28" s="181"/>
      <c r="EW28" s="181"/>
      <c r="EX28" s="181"/>
      <c r="EY28" s="181"/>
      <c r="EZ28" s="181"/>
      <c r="FA28" s="181"/>
      <c r="FB28" s="181"/>
      <c r="FC28" s="181"/>
      <c r="FD28" s="181"/>
      <c r="FE28" s="181"/>
      <c r="FF28" s="181"/>
      <c r="FG28" s="181"/>
      <c r="FH28" s="181"/>
      <c r="FI28" s="181"/>
      <c r="FJ28" s="181"/>
      <c r="FK28" s="181"/>
      <c r="FL28" s="181"/>
      <c r="FM28" s="181"/>
      <c r="FN28" s="181"/>
      <c r="FO28" s="181"/>
      <c r="FP28" s="181"/>
      <c r="FQ28" s="181"/>
      <c r="FR28" s="181"/>
      <c r="FS28" s="181"/>
      <c r="FT28" s="181"/>
      <c r="FU28" s="181"/>
      <c r="FV28" s="181"/>
      <c r="FW28" s="181"/>
      <c r="FX28" s="181"/>
      <c r="FY28" s="181"/>
      <c r="FZ28" s="181"/>
      <c r="GA28" s="181"/>
      <c r="GB28" s="181"/>
      <c r="GC28" s="181"/>
      <c r="GD28" s="181"/>
      <c r="GE28" s="181"/>
      <c r="GF28" s="181"/>
      <c r="GG28" s="181"/>
      <c r="GH28" s="181"/>
      <c r="GI28" s="181"/>
      <c r="GJ28" s="181"/>
      <c r="GK28" s="181"/>
      <c r="GL28" s="181"/>
      <c r="GM28" s="181"/>
      <c r="GN28" s="181"/>
      <c r="GO28" s="181"/>
      <c r="GP28" s="181"/>
      <c r="GQ28" s="181"/>
      <c r="GR28" s="181"/>
      <c r="GS28" s="181"/>
      <c r="GT28" s="181"/>
      <c r="GU28" s="181"/>
      <c r="GV28" s="181"/>
      <c r="GW28" s="181"/>
      <c r="GX28" s="181"/>
      <c r="GY28" s="181"/>
      <c r="GZ28" s="181"/>
      <c r="HA28" s="181"/>
      <c r="HB28" s="181"/>
      <c r="HC28" s="181"/>
      <c r="HD28" s="181"/>
      <c r="HE28" s="181"/>
      <c r="HF28" s="181"/>
      <c r="HG28" s="181"/>
      <c r="HH28" s="181"/>
      <c r="HI28" s="181"/>
      <c r="HJ28" s="181"/>
      <c r="HK28" s="181"/>
      <c r="HL28" s="181"/>
      <c r="HM28" s="181"/>
      <c r="HN28" s="181"/>
      <c r="HO28" s="181"/>
      <c r="HP28" s="181"/>
      <c r="HQ28" s="181"/>
      <c r="HR28" s="181"/>
      <c r="HS28" s="181"/>
      <c r="HT28" s="181"/>
      <c r="HU28" s="181"/>
      <c r="HV28" s="181"/>
      <c r="HW28" s="181"/>
      <c r="HX28" s="181"/>
      <c r="HY28" s="181"/>
      <c r="HZ28" s="181"/>
      <c r="IA28" s="181"/>
      <c r="IB28" s="181"/>
      <c r="IC28" s="181"/>
      <c r="ID28" s="181"/>
      <c r="IE28" s="181"/>
      <c r="IF28" s="181"/>
      <c r="IG28" s="181"/>
      <c r="IH28" s="181"/>
      <c r="II28" s="181"/>
      <c r="IJ28" s="181"/>
      <c r="IK28" s="181"/>
      <c r="IL28" s="181"/>
      <c r="IM28" s="181"/>
      <c r="IN28" s="181"/>
      <c r="IO28" s="181"/>
      <c r="IP28" s="181"/>
      <c r="IQ28" s="181"/>
      <c r="IR28" s="181"/>
      <c r="IS28" s="181"/>
      <c r="IT28" s="181"/>
      <c r="IU28" s="181"/>
      <c r="IV28" s="181"/>
      <c r="IW28" s="181"/>
    </row>
    <row r="29" customFormat="false" ht="15" hidden="false" customHeight="false" outlineLevel="0" collapsed="false">
      <c r="A29" s="265" t="n">
        <f aca="false">EOMONTH(A28,0)+1</f>
        <v>37712</v>
      </c>
      <c r="B29" s="215" t="n">
        <f aca="false">BD29*1000*-1</f>
        <v>-8.9999999999999</v>
      </c>
      <c r="C29" s="216" t="n">
        <v>3.048</v>
      </c>
      <c r="D29" s="217" t="n">
        <f aca="false">D28</f>
        <v>-9</v>
      </c>
      <c r="E29" s="218" t="n">
        <f aca="false">C29+D29/1000</f>
        <v>3.039</v>
      </c>
      <c r="F29" s="219" t="n">
        <f aca="false">(E29-E28)*1000</f>
        <v>-160</v>
      </c>
      <c r="G29" s="220" t="n">
        <f aca="false">(C29-C28)*1000</f>
        <v>-160</v>
      </c>
      <c r="H29" s="266" t="n">
        <f aca="false">E17-E29</f>
        <v>-0.245</v>
      </c>
      <c r="I29" s="267" t="n">
        <f aca="false">C17-C29</f>
        <v>-0.245</v>
      </c>
      <c r="J29" s="259" t="n">
        <f aca="false">J28+K29</f>
        <v>4.2475</v>
      </c>
      <c r="K29" s="243" t="n">
        <f aca="false">K28+0.0025</f>
        <v>0.1075</v>
      </c>
      <c r="L29" s="261" t="s">
        <v>176</v>
      </c>
      <c r="M29" s="224" t="s">
        <v>177</v>
      </c>
      <c r="N29" s="225" t="n">
        <v>2021</v>
      </c>
      <c r="O29" s="226" t="n">
        <f aca="false">[1]Swap!P35+P29</f>
        <v>0.1075</v>
      </c>
      <c r="P29" s="250"/>
      <c r="Q29" s="200" t="n">
        <f aca="false">Q28+O29</f>
        <v>5.1675</v>
      </c>
      <c r="R29" s="201" t="s">
        <v>178</v>
      </c>
      <c r="S29" s="167"/>
      <c r="T29" s="167"/>
      <c r="U29" s="167"/>
      <c r="V29" s="167"/>
      <c r="W29" s="167"/>
      <c r="X29" s="167"/>
      <c r="Y29" s="228" t="n">
        <f aca="false">DAY(EOMONTH(A29,0))</f>
        <v>30</v>
      </c>
      <c r="Z29" s="229" t="n">
        <v>37558</v>
      </c>
      <c r="AA29" s="230" t="e">
        <f aca="false">IF(AND(A29&gt;=Front!$E$11,A29&lt;=Front!$E$12),A29,"")</f>
        <v>#VALUE!</v>
      </c>
      <c r="AB29" s="231" t="e">
        <f aca="false">IF(AA29="","",VLOOKUP(MONTH(A28),Front!$W$6:$X$17,2)*IF(Front!D$9=0,Swap!Y29,1))</f>
        <v>#VALUE!</v>
      </c>
      <c r="AC29" s="231" t="e">
        <f aca="false">IF(AA29="","",AB29*AH29)</f>
        <v>#VALUE!</v>
      </c>
      <c r="AD29" s="254"/>
      <c r="AE29" s="231" t="e">
        <f aca="false">IF(AA29="","",AD29*AH29)</f>
        <v>#VALUE!</v>
      </c>
      <c r="AF29" s="243" t="n">
        <f aca="false">INDEX(IRTable,MATCH(A29,IRMonth,0),4)</f>
        <v>0.0311482850542353</v>
      </c>
      <c r="AG29" s="235" t="n">
        <f aca="false">AF29+$AG$9</f>
        <v>0.0311482850542353</v>
      </c>
      <c r="AH29" s="195" t="n">
        <f aca="false">1/((1+AG29/2)^(2*((A29-Front!$C$2)/365.25)))</f>
        <v>2.00388118850653</v>
      </c>
      <c r="AI29" s="236" t="e">
        <f aca="false">IF($AA29="","",E29*AC29)</f>
        <v>#VALUE!</v>
      </c>
      <c r="AJ29" s="236" t="e">
        <f aca="false">IF($AA29="","",E29*AE29)</f>
        <v>#VALUE!</v>
      </c>
      <c r="AK29" s="237" t="e">
        <f aca="false">IF($AA29="","",C29*AC29)</f>
        <v>#VALUE!</v>
      </c>
      <c r="AL29" s="160" t="n">
        <f aca="false">(AO29/10000)/30.5</f>
        <v>0</v>
      </c>
      <c r="AM29" s="238" t="n">
        <f aca="false">AD29/10000</f>
        <v>0</v>
      </c>
      <c r="AN29" s="238" t="n">
        <f aca="false">AD29*DAY(EOMONTH(A29,0))/10000</f>
        <v>0</v>
      </c>
      <c r="AO29" s="254"/>
      <c r="AP29" s="233"/>
      <c r="AQ29" s="254"/>
      <c r="AR29" s="240"/>
      <c r="AS29" s="240"/>
      <c r="AT29" s="0"/>
      <c r="AU29" s="12"/>
      <c r="AV29" s="240"/>
      <c r="AW29" s="240"/>
      <c r="AX29" s="0"/>
      <c r="AY29" s="238"/>
      <c r="AZ29" s="233"/>
      <c r="BA29" s="241"/>
      <c r="BB29" s="242"/>
      <c r="BC29" s="243" t="n">
        <v>3.048</v>
      </c>
      <c r="BD29" s="195" t="n">
        <f aca="false">BC29-E29</f>
        <v>0.0089999999999999</v>
      </c>
      <c r="BE29" s="251" t="n">
        <v>217.00111619</v>
      </c>
      <c r="BF29" s="245" t="n">
        <f aca="false">(BE29)*(D29*10)</f>
        <v>-19530.1004571</v>
      </c>
      <c r="BG29" s="246" t="n">
        <v>4735.06299019</v>
      </c>
      <c r="BH29" s="246" t="n">
        <v>-719.87903796</v>
      </c>
      <c r="BI29" s="247"/>
      <c r="BJ29" s="167"/>
      <c r="BK29" s="167"/>
      <c r="BL29" s="167"/>
      <c r="BM29" s="167"/>
      <c r="BN29" s="167"/>
      <c r="BO29" s="167"/>
      <c r="BP29" s="248" t="n">
        <v>37712</v>
      </c>
      <c r="BQ29" s="180" t="n">
        <v>2.968</v>
      </c>
      <c r="BR29" s="180" t="n">
        <v>0.365</v>
      </c>
      <c r="BS29" s="180" t="n">
        <v>0.0311482850542353</v>
      </c>
      <c r="BT29" s="167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1"/>
      <c r="CP29" s="181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1"/>
      <c r="EJ29" s="181"/>
      <c r="EK29" s="181"/>
      <c r="EL29" s="181"/>
      <c r="EM29" s="181"/>
      <c r="EN29" s="181"/>
      <c r="EO29" s="181"/>
      <c r="EP29" s="181"/>
      <c r="EQ29" s="181"/>
      <c r="ER29" s="181"/>
      <c r="ES29" s="181"/>
      <c r="ET29" s="181"/>
      <c r="EU29" s="181"/>
      <c r="EV29" s="181"/>
      <c r="EW29" s="181"/>
      <c r="EX29" s="181"/>
      <c r="EY29" s="181"/>
      <c r="EZ29" s="181"/>
      <c r="FA29" s="181"/>
      <c r="FB29" s="181"/>
      <c r="FC29" s="181"/>
      <c r="FD29" s="181"/>
      <c r="FE29" s="181"/>
      <c r="FF29" s="181"/>
      <c r="FG29" s="181"/>
      <c r="FH29" s="181"/>
      <c r="FI29" s="181"/>
      <c r="FJ29" s="181"/>
      <c r="FK29" s="181"/>
      <c r="FL29" s="181"/>
      <c r="FM29" s="181"/>
      <c r="FN29" s="181"/>
      <c r="FO29" s="181"/>
      <c r="FP29" s="181"/>
      <c r="FQ29" s="181"/>
      <c r="FR29" s="181"/>
      <c r="FS29" s="181"/>
      <c r="FT29" s="181"/>
      <c r="FU29" s="181"/>
      <c r="FV29" s="181"/>
      <c r="FW29" s="181"/>
      <c r="FX29" s="181"/>
      <c r="FY29" s="181"/>
      <c r="FZ29" s="181"/>
      <c r="GA29" s="181"/>
      <c r="GB29" s="181"/>
      <c r="GC29" s="181"/>
      <c r="GD29" s="181"/>
      <c r="GE29" s="181"/>
      <c r="GF29" s="181"/>
      <c r="GG29" s="181"/>
      <c r="GH29" s="181"/>
      <c r="GI29" s="181"/>
      <c r="GJ29" s="181"/>
      <c r="GK29" s="181"/>
      <c r="GL29" s="181"/>
      <c r="GM29" s="181"/>
      <c r="GN29" s="181"/>
      <c r="GO29" s="181"/>
      <c r="GP29" s="181"/>
      <c r="GQ29" s="181"/>
      <c r="GR29" s="181"/>
      <c r="GS29" s="181"/>
      <c r="GT29" s="181"/>
      <c r="GU29" s="181"/>
      <c r="GV29" s="181"/>
      <c r="GW29" s="181"/>
      <c r="GX29" s="181"/>
      <c r="GY29" s="181"/>
      <c r="GZ29" s="181"/>
      <c r="HA29" s="181"/>
      <c r="HB29" s="181"/>
      <c r="HC29" s="181"/>
      <c r="HD29" s="181"/>
      <c r="HE29" s="181"/>
      <c r="HF29" s="181"/>
      <c r="HG29" s="181"/>
      <c r="HH29" s="181"/>
      <c r="HI29" s="181"/>
      <c r="HJ29" s="181"/>
      <c r="HK29" s="181"/>
      <c r="HL29" s="181"/>
      <c r="HM29" s="181"/>
      <c r="HN29" s="181"/>
      <c r="HO29" s="181"/>
      <c r="HP29" s="181"/>
      <c r="HQ29" s="181"/>
      <c r="HR29" s="181"/>
      <c r="HS29" s="181"/>
      <c r="HT29" s="181"/>
      <c r="HU29" s="181"/>
      <c r="HV29" s="181"/>
      <c r="HW29" s="181"/>
      <c r="HX29" s="181"/>
      <c r="HY29" s="181"/>
      <c r="HZ29" s="181"/>
      <c r="IA29" s="181"/>
      <c r="IB29" s="181"/>
      <c r="IC29" s="181"/>
      <c r="ID29" s="181"/>
      <c r="IE29" s="181"/>
      <c r="IF29" s="181"/>
      <c r="IG29" s="181"/>
      <c r="IH29" s="181"/>
      <c r="II29" s="181"/>
      <c r="IJ29" s="181"/>
      <c r="IK29" s="181"/>
      <c r="IL29" s="181"/>
      <c r="IM29" s="181"/>
      <c r="IN29" s="181"/>
      <c r="IO29" s="181"/>
      <c r="IP29" s="181"/>
      <c r="IQ29" s="181"/>
      <c r="IR29" s="181"/>
      <c r="IS29" s="181"/>
      <c r="IT29" s="181"/>
      <c r="IU29" s="181"/>
      <c r="IV29" s="181"/>
      <c r="IW29" s="181"/>
    </row>
    <row r="30" customFormat="false" ht="15" hidden="false" customHeight="false" outlineLevel="0" collapsed="false">
      <c r="A30" s="265" t="n">
        <f aca="false">EOMONTH(A29,0)+1</f>
        <v>37742</v>
      </c>
      <c r="B30" s="215" t="n">
        <f aca="false">BD30*1000*-1</f>
        <v>-8.9999999999999</v>
      </c>
      <c r="C30" s="216" t="n">
        <v>3.059</v>
      </c>
      <c r="D30" s="217" t="n">
        <f aca="false">D29</f>
        <v>-9</v>
      </c>
      <c r="E30" s="218" t="n">
        <f aca="false">C30+D30/1000</f>
        <v>3.05</v>
      </c>
      <c r="F30" s="219" t="n">
        <f aca="false">(E30-E29)*1000</f>
        <v>10.9999999999997</v>
      </c>
      <c r="G30" s="220" t="n">
        <f aca="false">(C30-C29)*1000</f>
        <v>10.9999999999997</v>
      </c>
      <c r="H30" s="266" t="n">
        <f aca="false">E18-E30</f>
        <v>-0.230999999999999</v>
      </c>
      <c r="I30" s="267" t="n">
        <f aca="false">C18-C30</f>
        <v>-0.230999999999999</v>
      </c>
      <c r="J30" s="259" t="n">
        <f aca="false">J29+K30</f>
        <v>4.355</v>
      </c>
      <c r="K30" s="243" t="n">
        <f aca="false">K29</f>
        <v>0.1075</v>
      </c>
      <c r="L30" s="261" t="s">
        <v>179</v>
      </c>
      <c r="M30" s="224" t="s">
        <v>180</v>
      </c>
      <c r="N30" s="225" t="n">
        <v>2022</v>
      </c>
      <c r="O30" s="226" t="n">
        <f aca="false">[1]Swap!P36+P30</f>
        <v>0.1075</v>
      </c>
      <c r="P30" s="250"/>
      <c r="Q30" s="200" t="n">
        <f aca="false">Q29+O30</f>
        <v>5.275</v>
      </c>
      <c r="R30" s="201" t="s">
        <v>181</v>
      </c>
      <c r="S30" s="167"/>
      <c r="T30" s="167"/>
      <c r="U30" s="167"/>
      <c r="V30" s="167"/>
      <c r="W30" s="167"/>
      <c r="X30" s="167"/>
      <c r="Y30" s="228" t="n">
        <f aca="false">DAY(EOMONTH(A30,0))</f>
        <v>31</v>
      </c>
      <c r="Z30" s="268" t="n">
        <v>37586</v>
      </c>
      <c r="AA30" s="230" t="e">
        <f aca="false">IF(AND(A30&gt;=Front!$E$11,A30&lt;=Front!$E$12),A30,"")</f>
        <v>#VALUE!</v>
      </c>
      <c r="AB30" s="231" t="e">
        <f aca="false">IF(AA30="","",VLOOKUP(MONTH(A29),Front!$W$6:$X$17,2)*IF(Front!D$9=0,Swap!Y30,1))</f>
        <v>#VALUE!</v>
      </c>
      <c r="AC30" s="231" t="e">
        <f aca="false">IF(AA30="","",AB30*AH30)</f>
        <v>#VALUE!</v>
      </c>
      <c r="AD30" s="254"/>
      <c r="AE30" s="231" t="e">
        <f aca="false">IF(AA30="","",AD30*AH30)</f>
        <v>#VALUE!</v>
      </c>
      <c r="AF30" s="243" t="n">
        <f aca="false">INDEX(IRTable,MATCH(A30,IRMonth,0),4)</f>
        <v>0.0317664334084484</v>
      </c>
      <c r="AG30" s="235" t="n">
        <f aca="false">AF30+$AG$9</f>
        <v>0.0317664334084484</v>
      </c>
      <c r="AH30" s="195" t="n">
        <f aca="false">1/((1+AG30/2)^(2*((A30-Front!$C$2)/365.25)))</f>
        <v>2.02624299808374</v>
      </c>
      <c r="AI30" s="236" t="e">
        <f aca="false">IF($AA30="","",E30*AC30)</f>
        <v>#VALUE!</v>
      </c>
      <c r="AJ30" s="236" t="e">
        <f aca="false">IF($AA30="","",E30*AE30)</f>
        <v>#VALUE!</v>
      </c>
      <c r="AK30" s="237" t="e">
        <f aca="false">IF($AA30="","",C30*AC30)</f>
        <v>#VALUE!</v>
      </c>
      <c r="AL30" s="160" t="n">
        <f aca="false">(AO30/10000)/30.5</f>
        <v>0</v>
      </c>
      <c r="AM30" s="238" t="n">
        <f aca="false">AD30/10000</f>
        <v>0</v>
      </c>
      <c r="AN30" s="238" t="n">
        <f aca="false">AD30*DAY(EOMONTH(A30,0))/10000</f>
        <v>0</v>
      </c>
      <c r="AO30" s="254"/>
      <c r="AP30" s="233"/>
      <c r="AQ30" s="254"/>
      <c r="AR30" s="240"/>
      <c r="AS30" s="240"/>
      <c r="AT30" s="0"/>
      <c r="AU30" s="12"/>
      <c r="AV30" s="240"/>
      <c r="AW30" s="240"/>
      <c r="AX30" s="0"/>
      <c r="AY30" s="238"/>
      <c r="AZ30" s="233"/>
      <c r="BA30" s="241"/>
      <c r="BB30" s="242"/>
      <c r="BC30" s="243" t="n">
        <v>3.059</v>
      </c>
      <c r="BD30" s="195" t="n">
        <f aca="false">BC30-E30</f>
        <v>0.0089999999999999</v>
      </c>
      <c r="BE30" s="251" t="n">
        <v>-615.91629562</v>
      </c>
      <c r="BF30" s="245" t="n">
        <f aca="false">(BE30)*(D30*10)</f>
        <v>55432.4666058</v>
      </c>
      <c r="BG30" s="246" t="n">
        <v>3025.11864602</v>
      </c>
      <c r="BH30" s="246" t="n">
        <v>-420.60398578</v>
      </c>
      <c r="BI30" s="247"/>
      <c r="BJ30" s="167"/>
      <c r="BK30" s="167"/>
      <c r="BL30" s="167"/>
      <c r="BM30" s="167"/>
      <c r="BN30" s="167"/>
      <c r="BO30" s="167"/>
      <c r="BP30" s="248" t="n">
        <v>37742</v>
      </c>
      <c r="BQ30" s="180" t="n">
        <v>2.979</v>
      </c>
      <c r="BR30" s="180" t="n">
        <v>0.345</v>
      </c>
      <c r="BS30" s="180" t="n">
        <v>0.0317664334084484</v>
      </c>
      <c r="BT30" s="167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1"/>
      <c r="CP30" s="181"/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1"/>
      <c r="EJ30" s="181"/>
      <c r="EK30" s="181"/>
      <c r="EL30" s="181"/>
      <c r="EM30" s="181"/>
      <c r="EN30" s="181"/>
      <c r="EO30" s="181"/>
      <c r="EP30" s="181"/>
      <c r="EQ30" s="181"/>
      <c r="ER30" s="181"/>
      <c r="ES30" s="181"/>
      <c r="ET30" s="181"/>
      <c r="EU30" s="181"/>
      <c r="EV30" s="181"/>
      <c r="EW30" s="181"/>
      <c r="EX30" s="181"/>
      <c r="EY30" s="181"/>
      <c r="EZ30" s="181"/>
      <c r="FA30" s="181"/>
      <c r="FB30" s="181"/>
      <c r="FC30" s="181"/>
      <c r="FD30" s="181"/>
      <c r="FE30" s="181"/>
      <c r="FF30" s="181"/>
      <c r="FG30" s="181"/>
      <c r="FH30" s="181"/>
      <c r="FI30" s="181"/>
      <c r="FJ30" s="181"/>
      <c r="FK30" s="181"/>
      <c r="FL30" s="181"/>
      <c r="FM30" s="181"/>
      <c r="FN30" s="181"/>
      <c r="FO30" s="181"/>
      <c r="FP30" s="181"/>
      <c r="FQ30" s="181"/>
      <c r="FR30" s="181"/>
      <c r="FS30" s="181"/>
      <c r="FT30" s="181"/>
      <c r="FU30" s="181"/>
      <c r="FV30" s="181"/>
      <c r="FW30" s="181"/>
      <c r="FX30" s="181"/>
      <c r="FY30" s="181"/>
      <c r="FZ30" s="181"/>
      <c r="GA30" s="181"/>
      <c r="GB30" s="181"/>
      <c r="GC30" s="181"/>
      <c r="GD30" s="181"/>
      <c r="GE30" s="181"/>
      <c r="GF30" s="181"/>
      <c r="GG30" s="181"/>
      <c r="GH30" s="181"/>
      <c r="GI30" s="181"/>
      <c r="GJ30" s="181"/>
      <c r="GK30" s="181"/>
      <c r="GL30" s="181"/>
      <c r="GM30" s="181"/>
      <c r="GN30" s="181"/>
      <c r="GO30" s="181"/>
      <c r="GP30" s="181"/>
      <c r="GQ30" s="181"/>
      <c r="GR30" s="181"/>
      <c r="GS30" s="181"/>
      <c r="GT30" s="181"/>
      <c r="GU30" s="181"/>
      <c r="GV30" s="181"/>
      <c r="GW30" s="181"/>
      <c r="GX30" s="181"/>
      <c r="GY30" s="181"/>
      <c r="GZ30" s="181"/>
      <c r="HA30" s="181"/>
      <c r="HB30" s="181"/>
      <c r="HC30" s="181"/>
      <c r="HD30" s="181"/>
      <c r="HE30" s="181"/>
      <c r="HF30" s="181"/>
      <c r="HG30" s="181"/>
      <c r="HH30" s="181"/>
      <c r="HI30" s="181"/>
      <c r="HJ30" s="181"/>
      <c r="HK30" s="181"/>
      <c r="HL30" s="181"/>
      <c r="HM30" s="181"/>
      <c r="HN30" s="181"/>
      <c r="HO30" s="181"/>
      <c r="HP30" s="181"/>
      <c r="HQ30" s="181"/>
      <c r="HR30" s="181"/>
      <c r="HS30" s="181"/>
      <c r="HT30" s="181"/>
      <c r="HU30" s="181"/>
      <c r="HV30" s="181"/>
      <c r="HW30" s="181"/>
      <c r="HX30" s="181"/>
      <c r="HY30" s="181"/>
      <c r="HZ30" s="181"/>
      <c r="IA30" s="181"/>
      <c r="IB30" s="181"/>
      <c r="IC30" s="181"/>
      <c r="ID30" s="181"/>
      <c r="IE30" s="181"/>
      <c r="IF30" s="181"/>
      <c r="IG30" s="181"/>
      <c r="IH30" s="181"/>
      <c r="II30" s="181"/>
      <c r="IJ30" s="181"/>
      <c r="IK30" s="181"/>
      <c r="IL30" s="181"/>
      <c r="IM30" s="181"/>
      <c r="IN30" s="181"/>
      <c r="IO30" s="181"/>
      <c r="IP30" s="181"/>
      <c r="IQ30" s="181"/>
      <c r="IR30" s="181"/>
      <c r="IS30" s="181"/>
      <c r="IT30" s="181"/>
      <c r="IU30" s="181"/>
      <c r="IV30" s="181"/>
      <c r="IW30" s="181"/>
    </row>
    <row r="31" customFormat="false" ht="15" hidden="false" customHeight="false" outlineLevel="0" collapsed="false">
      <c r="A31" s="265" t="n">
        <f aca="false">EOMONTH(A30,0)+1</f>
        <v>37773</v>
      </c>
      <c r="B31" s="215" t="n">
        <f aca="false">BD31*1000*-1</f>
        <v>-8.9999999999999</v>
      </c>
      <c r="C31" s="216" t="n">
        <v>3.087</v>
      </c>
      <c r="D31" s="217" t="n">
        <f aca="false">D30</f>
        <v>-9</v>
      </c>
      <c r="E31" s="218" t="n">
        <f aca="false">C31+D31/1000</f>
        <v>3.078</v>
      </c>
      <c r="F31" s="219" t="n">
        <f aca="false">(E31-E30)*1000</f>
        <v>28</v>
      </c>
      <c r="G31" s="220" t="n">
        <f aca="false">(C31-C30)*1000</f>
        <v>28</v>
      </c>
      <c r="H31" s="266" t="n">
        <f aca="false">E19-E31</f>
        <v>-0.207</v>
      </c>
      <c r="I31" s="267" t="n">
        <f aca="false">C19-C31</f>
        <v>-0.207</v>
      </c>
      <c r="J31" s="253" t="n">
        <f aca="false">Front!I13</f>
        <v>2.95203252633012</v>
      </c>
      <c r="K31" s="269" t="n">
        <f aca="false">Front!J13</f>
        <v>2.96120367670631</v>
      </c>
      <c r="L31" s="270" t="s">
        <v>111</v>
      </c>
      <c r="M31" s="224" t="s">
        <v>182</v>
      </c>
      <c r="N31" s="225" t="n">
        <v>2023</v>
      </c>
      <c r="O31" s="226" t="n">
        <f aca="false">[1]Swap!P37+P31</f>
        <v>0.1075</v>
      </c>
      <c r="P31" s="250"/>
      <c r="Q31" s="200" t="n">
        <f aca="false">Q30+O31</f>
        <v>5.3825</v>
      </c>
      <c r="R31" s="201" t="s">
        <v>183</v>
      </c>
      <c r="S31" s="167"/>
      <c r="T31" s="167"/>
      <c r="U31" s="167"/>
      <c r="V31" s="167"/>
      <c r="W31" s="167"/>
      <c r="X31" s="167"/>
      <c r="Y31" s="228" t="n">
        <f aca="false">DAY(EOMONTH(A31,0))</f>
        <v>30</v>
      </c>
      <c r="Z31" s="268" t="n">
        <v>37617</v>
      </c>
      <c r="AA31" s="230" t="e">
        <f aca="false">IF(AND(A31&gt;=Front!$E$11,A31&lt;=Front!$E$12),A31,"")</f>
        <v>#VALUE!</v>
      </c>
      <c r="AB31" s="231" t="e">
        <f aca="false">IF(AA31="","",VLOOKUP(MONTH(A30),Front!$W$6:$X$17,2)*IF(Front!D$9=0,Swap!Y31,1))</f>
        <v>#VALUE!</v>
      </c>
      <c r="AC31" s="231" t="e">
        <f aca="false">IF(AA31="","",AB31*AH31)</f>
        <v>#VALUE!</v>
      </c>
      <c r="AD31" s="254"/>
      <c r="AE31" s="231" t="e">
        <f aca="false">IF(AA31="","",AD31*AH31)</f>
        <v>#VALUE!</v>
      </c>
      <c r="AF31" s="243" t="n">
        <f aca="false">INDEX(IRTable,MATCH(A31,IRMonth,0),4)</f>
        <v>0.0324051868430342</v>
      </c>
      <c r="AG31" s="235" t="n">
        <f aca="false">AF31+$AG$9</f>
        <v>0.0324051868430342</v>
      </c>
      <c r="AH31" s="195" t="n">
        <f aca="false">1/((1+AG31/2)^(2*((A31-Front!$C$2)/365.25)))</f>
        <v>2.04938824924723</v>
      </c>
      <c r="AI31" s="236" t="e">
        <f aca="false">IF($AA31="","",E31*AC31)</f>
        <v>#VALUE!</v>
      </c>
      <c r="AJ31" s="236" t="e">
        <f aca="false">IF($AA31="","",E31*AE31)</f>
        <v>#VALUE!</v>
      </c>
      <c r="AK31" s="237" t="e">
        <f aca="false">IF($AA31="","",C31*AC31)</f>
        <v>#VALUE!</v>
      </c>
      <c r="AL31" s="160" t="n">
        <f aca="false">(AO31/10000)/30.5</f>
        <v>0</v>
      </c>
      <c r="AM31" s="238" t="n">
        <f aca="false">AD31/10000</f>
        <v>0</v>
      </c>
      <c r="AN31" s="238" t="n">
        <f aca="false">AD31*DAY(EOMONTH(A31,0))/10000</f>
        <v>0</v>
      </c>
      <c r="AO31" s="254"/>
      <c r="AP31" s="233"/>
      <c r="AQ31" s="254"/>
      <c r="AR31" s="240"/>
      <c r="AS31" s="240"/>
      <c r="AT31" s="0"/>
      <c r="AU31" s="12"/>
      <c r="AV31" s="240"/>
      <c r="AW31" s="240"/>
      <c r="AX31" s="0"/>
      <c r="AY31" s="238"/>
      <c r="AZ31" s="233"/>
      <c r="BA31" s="241"/>
      <c r="BB31" s="242"/>
      <c r="BC31" s="243" t="n">
        <v>3.087</v>
      </c>
      <c r="BD31" s="195" t="n">
        <f aca="false">BC31-E31</f>
        <v>0.0089999999999999</v>
      </c>
      <c r="BE31" s="251" t="n">
        <v>-155.08999383</v>
      </c>
      <c r="BF31" s="245" t="n">
        <f aca="false">(BE31)*(D31*10)</f>
        <v>13958.0994447</v>
      </c>
      <c r="BG31" s="246" t="n">
        <v>-234.82254795</v>
      </c>
      <c r="BH31" s="246" t="n">
        <v>-408.73626076</v>
      </c>
      <c r="BI31" s="247"/>
      <c r="BJ31" s="167"/>
      <c r="BK31" s="167"/>
      <c r="BL31" s="167"/>
      <c r="BM31" s="167"/>
      <c r="BN31" s="167"/>
      <c r="BO31" s="167"/>
      <c r="BP31" s="248" t="n">
        <v>37773</v>
      </c>
      <c r="BQ31" s="180" t="n">
        <v>3.007</v>
      </c>
      <c r="BR31" s="180" t="n">
        <v>0.3375</v>
      </c>
      <c r="BS31" s="180" t="n">
        <v>0.0324051868430342</v>
      </c>
      <c r="BT31" s="167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1"/>
      <c r="CP31" s="181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1"/>
      <c r="EJ31" s="181"/>
      <c r="EK31" s="181"/>
      <c r="EL31" s="181"/>
      <c r="EM31" s="181"/>
      <c r="EN31" s="181"/>
      <c r="EO31" s="181"/>
      <c r="EP31" s="181"/>
      <c r="EQ31" s="181"/>
      <c r="ER31" s="181"/>
      <c r="ES31" s="181"/>
      <c r="ET31" s="181"/>
      <c r="EU31" s="181"/>
      <c r="EV31" s="181"/>
      <c r="EW31" s="181"/>
      <c r="EX31" s="181"/>
      <c r="EY31" s="181"/>
      <c r="EZ31" s="181"/>
      <c r="FA31" s="181"/>
      <c r="FB31" s="181"/>
      <c r="FC31" s="181"/>
      <c r="FD31" s="181"/>
      <c r="FE31" s="181"/>
      <c r="FF31" s="181"/>
      <c r="FG31" s="181"/>
      <c r="FH31" s="181"/>
      <c r="FI31" s="181"/>
      <c r="FJ31" s="181"/>
      <c r="FK31" s="181"/>
      <c r="FL31" s="181"/>
      <c r="FM31" s="181"/>
      <c r="FN31" s="181"/>
      <c r="FO31" s="181"/>
      <c r="FP31" s="181"/>
      <c r="FQ31" s="181"/>
      <c r="FR31" s="181"/>
      <c r="FS31" s="181"/>
      <c r="FT31" s="181"/>
      <c r="FU31" s="181"/>
      <c r="FV31" s="181"/>
      <c r="FW31" s="181"/>
      <c r="FX31" s="181"/>
      <c r="FY31" s="181"/>
      <c r="FZ31" s="181"/>
      <c r="GA31" s="181"/>
      <c r="GB31" s="181"/>
      <c r="GC31" s="181"/>
      <c r="GD31" s="181"/>
      <c r="GE31" s="181"/>
      <c r="GF31" s="181"/>
      <c r="GG31" s="181"/>
      <c r="GH31" s="181"/>
      <c r="GI31" s="181"/>
      <c r="GJ31" s="181"/>
      <c r="GK31" s="181"/>
      <c r="GL31" s="181"/>
      <c r="GM31" s="181"/>
      <c r="GN31" s="181"/>
      <c r="GO31" s="181"/>
      <c r="GP31" s="181"/>
      <c r="GQ31" s="181"/>
      <c r="GR31" s="181"/>
      <c r="GS31" s="181"/>
      <c r="GT31" s="181"/>
      <c r="GU31" s="181"/>
      <c r="GV31" s="181"/>
      <c r="GW31" s="181"/>
      <c r="GX31" s="181"/>
      <c r="GY31" s="181"/>
      <c r="GZ31" s="181"/>
      <c r="HA31" s="181"/>
      <c r="HB31" s="181"/>
      <c r="HC31" s="181"/>
      <c r="HD31" s="181"/>
      <c r="HE31" s="181"/>
      <c r="HF31" s="181"/>
      <c r="HG31" s="181"/>
      <c r="HH31" s="181"/>
      <c r="HI31" s="181"/>
      <c r="HJ31" s="181"/>
      <c r="HK31" s="181"/>
      <c r="HL31" s="181"/>
      <c r="HM31" s="181"/>
      <c r="HN31" s="181"/>
      <c r="HO31" s="181"/>
      <c r="HP31" s="181"/>
      <c r="HQ31" s="181"/>
      <c r="HR31" s="181"/>
      <c r="HS31" s="181"/>
      <c r="HT31" s="181"/>
      <c r="HU31" s="181"/>
      <c r="HV31" s="181"/>
      <c r="HW31" s="181"/>
      <c r="HX31" s="181"/>
      <c r="HY31" s="181"/>
      <c r="HZ31" s="181"/>
      <c r="IA31" s="181"/>
      <c r="IB31" s="181"/>
      <c r="IC31" s="181"/>
      <c r="ID31" s="181"/>
      <c r="IE31" s="181"/>
      <c r="IF31" s="181"/>
      <c r="IG31" s="181"/>
      <c r="IH31" s="181"/>
      <c r="II31" s="181"/>
      <c r="IJ31" s="181"/>
      <c r="IK31" s="181"/>
      <c r="IL31" s="181"/>
      <c r="IM31" s="181"/>
      <c r="IN31" s="181"/>
      <c r="IO31" s="181"/>
      <c r="IP31" s="181"/>
      <c r="IQ31" s="181"/>
      <c r="IR31" s="181"/>
      <c r="IS31" s="181"/>
      <c r="IT31" s="181"/>
      <c r="IU31" s="181"/>
      <c r="IV31" s="181"/>
      <c r="IW31" s="181"/>
    </row>
    <row r="32" customFormat="false" ht="15" hidden="false" customHeight="false" outlineLevel="0" collapsed="false">
      <c r="A32" s="265" t="n">
        <f aca="false">EOMONTH(A31,0)+1</f>
        <v>37803</v>
      </c>
      <c r="B32" s="215" t="n">
        <f aca="false">BD32*1000*-1</f>
        <v>-8.9999999999999</v>
      </c>
      <c r="C32" s="216" t="n">
        <v>3.107</v>
      </c>
      <c r="D32" s="217" t="n">
        <f aca="false">D31</f>
        <v>-9</v>
      </c>
      <c r="E32" s="218" t="n">
        <f aca="false">C32+D32/1000</f>
        <v>3.098</v>
      </c>
      <c r="F32" s="219" t="n">
        <f aca="false">(E32-E31)*1000</f>
        <v>20</v>
      </c>
      <c r="G32" s="220" t="n">
        <f aca="false">(C32-C31)*1000</f>
        <v>20</v>
      </c>
      <c r="H32" s="266" t="n">
        <f aca="false">E20-E32</f>
        <v>-0.181</v>
      </c>
      <c r="I32" s="267" t="n">
        <f aca="false">C20-C32</f>
        <v>-0.181</v>
      </c>
      <c r="J32" s="271" t="s">
        <v>184</v>
      </c>
      <c r="K32" s="271" t="s">
        <v>185</v>
      </c>
      <c r="L32" s="272" t="n">
        <f aca="false">J31-K31</f>
        <v>-0.00917115037619087</v>
      </c>
      <c r="M32" s="224" t="s">
        <v>186</v>
      </c>
      <c r="N32" s="225" t="n">
        <v>2024</v>
      </c>
      <c r="O32" s="226" t="n">
        <f aca="false">[1]Swap!P38+P32</f>
        <v>0.1075</v>
      </c>
      <c r="P32" s="250"/>
      <c r="Q32" s="200" t="n">
        <f aca="false">Q31+O32</f>
        <v>5.49</v>
      </c>
      <c r="R32" s="201" t="s">
        <v>187</v>
      </c>
      <c r="S32" s="167"/>
      <c r="T32" s="167"/>
      <c r="U32" s="167"/>
      <c r="V32" s="167"/>
      <c r="W32" s="167"/>
      <c r="X32" s="167"/>
      <c r="Y32" s="228" t="n">
        <f aca="false">DAY(EOMONTH(A32,0))</f>
        <v>31</v>
      </c>
      <c r="Z32" s="268" t="n">
        <v>37650</v>
      </c>
      <c r="AA32" s="230" t="e">
        <f aca="false">IF(AND(A32&gt;=Front!$E$11,A32&lt;=Front!$E$12),A32,"")</f>
        <v>#VALUE!</v>
      </c>
      <c r="AB32" s="231" t="e">
        <f aca="false">IF(AA32="","",VLOOKUP(MONTH(A31),Front!$W$6:$X$17,2)*IF(Front!D$9=0,Swap!Y32,1))</f>
        <v>#VALUE!</v>
      </c>
      <c r="AC32" s="231" t="e">
        <f aca="false">IF(AA32="","",AB32*AH32)</f>
        <v>#VALUE!</v>
      </c>
      <c r="AD32" s="254"/>
      <c r="AE32" s="231" t="e">
        <f aca="false">IF(AA32="","",AD32*AH32)</f>
        <v>#VALUE!</v>
      </c>
      <c r="AF32" s="243" t="n">
        <f aca="false">INDEX(IRTable,MATCH(A32,IRMonth,0),4)</f>
        <v>0.0330117009969246</v>
      </c>
      <c r="AG32" s="235" t="n">
        <f aca="false">AF32+$AG$9</f>
        <v>0.0330117009969246</v>
      </c>
      <c r="AH32" s="195" t="n">
        <f aca="false">1/((1+AG32/2)^(2*((A32-Front!$C$2)/365.25)))</f>
        <v>2.07129209320576</v>
      </c>
      <c r="AI32" s="236" t="e">
        <f aca="false">IF($AA32="","",E32*AC32)</f>
        <v>#VALUE!</v>
      </c>
      <c r="AJ32" s="236" t="e">
        <f aca="false">IF($AA32="","",E32*AE32)</f>
        <v>#VALUE!</v>
      </c>
      <c r="AK32" s="237" t="e">
        <f aca="false">IF($AA32="","",C32*AC32)</f>
        <v>#VALUE!</v>
      </c>
      <c r="AL32" s="160" t="n">
        <f aca="false">(AO32/10000)/30.5</f>
        <v>0</v>
      </c>
      <c r="AM32" s="238" t="n">
        <f aca="false">AD32/10000</f>
        <v>0</v>
      </c>
      <c r="AN32" s="238" t="n">
        <f aca="false">AD32*DAY(EOMONTH(A32,0))/10000</f>
        <v>0</v>
      </c>
      <c r="AO32" s="254"/>
      <c r="AP32" s="233"/>
      <c r="AQ32" s="254"/>
      <c r="AR32" s="240"/>
      <c r="AS32" s="240"/>
      <c r="AT32" s="0"/>
      <c r="AU32" s="12"/>
      <c r="AV32" s="240"/>
      <c r="AW32" s="240"/>
      <c r="AX32" s="0"/>
      <c r="AY32" s="238"/>
      <c r="AZ32" s="233"/>
      <c r="BA32" s="241"/>
      <c r="BB32" s="242"/>
      <c r="BC32" s="243" t="n">
        <v>3.107</v>
      </c>
      <c r="BD32" s="195" t="n">
        <f aca="false">BC32-E32</f>
        <v>0.0089999999999999</v>
      </c>
      <c r="BE32" s="251" t="n">
        <v>-119.24767788</v>
      </c>
      <c r="BF32" s="245" t="n">
        <f aca="false">(BE32)*(D32*10)</f>
        <v>10732.2910092</v>
      </c>
      <c r="BG32" s="246" t="n">
        <v>1176.89623271</v>
      </c>
      <c r="BH32" s="246" t="n">
        <v>-623.1571593</v>
      </c>
      <c r="BI32" s="247"/>
      <c r="BJ32" s="167"/>
      <c r="BK32" s="167"/>
      <c r="BL32" s="167"/>
      <c r="BM32" s="167"/>
      <c r="BN32" s="167"/>
      <c r="BO32" s="167"/>
      <c r="BP32" s="248" t="n">
        <v>37803</v>
      </c>
      <c r="BQ32" s="180" t="n">
        <v>3.027</v>
      </c>
      <c r="BR32" s="180" t="n">
        <v>0.3375</v>
      </c>
      <c r="BS32" s="180" t="n">
        <v>0.0330117009969246</v>
      </c>
      <c r="BT32" s="167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1"/>
      <c r="CP32" s="181"/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1"/>
      <c r="EJ32" s="181"/>
      <c r="EK32" s="181"/>
      <c r="EL32" s="181"/>
      <c r="EM32" s="181"/>
      <c r="EN32" s="181"/>
      <c r="EO32" s="181"/>
      <c r="EP32" s="181"/>
      <c r="EQ32" s="181"/>
      <c r="ER32" s="181"/>
      <c r="ES32" s="181"/>
      <c r="ET32" s="181"/>
      <c r="EU32" s="181"/>
      <c r="EV32" s="181"/>
      <c r="EW32" s="181"/>
      <c r="EX32" s="181"/>
      <c r="EY32" s="181"/>
      <c r="EZ32" s="181"/>
      <c r="FA32" s="181"/>
      <c r="FB32" s="181"/>
      <c r="FC32" s="181"/>
      <c r="FD32" s="181"/>
      <c r="FE32" s="181"/>
      <c r="FF32" s="181"/>
      <c r="FG32" s="181"/>
      <c r="FH32" s="181"/>
      <c r="FI32" s="181"/>
      <c r="FJ32" s="181"/>
      <c r="FK32" s="181"/>
      <c r="FL32" s="181"/>
      <c r="FM32" s="181"/>
      <c r="FN32" s="181"/>
      <c r="FO32" s="181"/>
      <c r="FP32" s="181"/>
      <c r="FQ32" s="181"/>
      <c r="FR32" s="181"/>
      <c r="FS32" s="181"/>
      <c r="FT32" s="181"/>
      <c r="FU32" s="181"/>
      <c r="FV32" s="181"/>
      <c r="FW32" s="181"/>
      <c r="FX32" s="181"/>
      <c r="FY32" s="181"/>
      <c r="FZ32" s="181"/>
      <c r="GA32" s="181"/>
      <c r="GB32" s="181"/>
      <c r="GC32" s="181"/>
      <c r="GD32" s="181"/>
      <c r="GE32" s="181"/>
      <c r="GF32" s="181"/>
      <c r="GG32" s="181"/>
      <c r="GH32" s="181"/>
      <c r="GI32" s="181"/>
      <c r="GJ32" s="181"/>
      <c r="GK32" s="181"/>
      <c r="GL32" s="181"/>
      <c r="GM32" s="181"/>
      <c r="GN32" s="181"/>
      <c r="GO32" s="181"/>
      <c r="GP32" s="181"/>
      <c r="GQ32" s="181"/>
      <c r="GR32" s="181"/>
      <c r="GS32" s="181"/>
      <c r="GT32" s="181"/>
      <c r="GU32" s="181"/>
      <c r="GV32" s="181"/>
      <c r="GW32" s="181"/>
      <c r="GX32" s="181"/>
      <c r="GY32" s="181"/>
      <c r="GZ32" s="181"/>
      <c r="HA32" s="181"/>
      <c r="HB32" s="181"/>
      <c r="HC32" s="181"/>
      <c r="HD32" s="181"/>
      <c r="HE32" s="181"/>
      <c r="HF32" s="181"/>
      <c r="HG32" s="181"/>
      <c r="HH32" s="181"/>
      <c r="HI32" s="181"/>
      <c r="HJ32" s="181"/>
      <c r="HK32" s="181"/>
      <c r="HL32" s="181"/>
      <c r="HM32" s="181"/>
      <c r="HN32" s="181"/>
      <c r="HO32" s="181"/>
      <c r="HP32" s="181"/>
      <c r="HQ32" s="181"/>
      <c r="HR32" s="181"/>
      <c r="HS32" s="181"/>
      <c r="HT32" s="181"/>
      <c r="HU32" s="181"/>
      <c r="HV32" s="181"/>
      <c r="HW32" s="181"/>
      <c r="HX32" s="181"/>
      <c r="HY32" s="181"/>
      <c r="HZ32" s="181"/>
      <c r="IA32" s="181"/>
      <c r="IB32" s="181"/>
      <c r="IC32" s="181"/>
      <c r="ID32" s="181"/>
      <c r="IE32" s="181"/>
      <c r="IF32" s="181"/>
      <c r="IG32" s="181"/>
      <c r="IH32" s="181"/>
      <c r="II32" s="181"/>
      <c r="IJ32" s="181"/>
      <c r="IK32" s="181"/>
      <c r="IL32" s="181"/>
      <c r="IM32" s="181"/>
      <c r="IN32" s="181"/>
      <c r="IO32" s="181"/>
      <c r="IP32" s="181"/>
      <c r="IQ32" s="181"/>
      <c r="IR32" s="181"/>
      <c r="IS32" s="181"/>
      <c r="IT32" s="181"/>
      <c r="IU32" s="181"/>
      <c r="IV32" s="181"/>
      <c r="IW32" s="181"/>
    </row>
    <row r="33" customFormat="false" ht="15" hidden="false" customHeight="false" outlineLevel="0" collapsed="false">
      <c r="A33" s="265" t="n">
        <f aca="false">EOMONTH(A32,0)+1</f>
        <v>37834</v>
      </c>
      <c r="B33" s="215" t="n">
        <f aca="false">BD33*1000*-1</f>
        <v>-8.9999999999999</v>
      </c>
      <c r="C33" s="216" t="n">
        <v>3.127</v>
      </c>
      <c r="D33" s="217" t="n">
        <f aca="false">D32</f>
        <v>-9</v>
      </c>
      <c r="E33" s="218" t="n">
        <f aca="false">C33+D33/1000</f>
        <v>3.118</v>
      </c>
      <c r="F33" s="219" t="n">
        <f aca="false">(E33-E32)*1000</f>
        <v>20</v>
      </c>
      <c r="G33" s="220" t="n">
        <f aca="false">(C33-C32)*1000</f>
        <v>20</v>
      </c>
      <c r="H33" s="266" t="n">
        <f aca="false">E21-E33</f>
        <v>-0.159</v>
      </c>
      <c r="I33" s="267" t="n">
        <f aca="false">C21-C33</f>
        <v>-0.159</v>
      </c>
      <c r="J33" s="269" t="n">
        <f aca="false">Front!I14</f>
        <v>3.19500081506988</v>
      </c>
      <c r="K33" s="269" t="n">
        <f aca="false">Front!J14</f>
        <v>3.20400081506988</v>
      </c>
      <c r="L33" s="270" t="s">
        <v>124</v>
      </c>
      <c r="M33" s="224" t="s">
        <v>188</v>
      </c>
      <c r="N33" s="225" t="n">
        <v>2025</v>
      </c>
      <c r="O33" s="226" t="n">
        <f aca="false">[1]Swap!P39+P33</f>
        <v>0.1075</v>
      </c>
      <c r="P33" s="250"/>
      <c r="Q33" s="200" t="n">
        <f aca="false">Q32+O33</f>
        <v>5.5975</v>
      </c>
      <c r="R33" s="201" t="s">
        <v>189</v>
      </c>
      <c r="S33" s="167"/>
      <c r="T33" s="167"/>
      <c r="U33" s="167"/>
      <c r="V33" s="167"/>
      <c r="W33" s="167"/>
      <c r="X33" s="167"/>
      <c r="Y33" s="228" t="n">
        <f aca="false">DAY(EOMONTH(A33,0))</f>
        <v>31</v>
      </c>
      <c r="Z33" s="268" t="n">
        <v>37678</v>
      </c>
      <c r="AA33" s="230" t="e">
        <f aca="false">IF(AND(A33&gt;=Front!$E$11,A33&lt;=Front!$E$12),A33,"")</f>
        <v>#VALUE!</v>
      </c>
      <c r="AB33" s="231" t="e">
        <f aca="false">IF(AA33="","",VLOOKUP(MONTH(A32),Front!$W$6:$X$17,2)*IF(Front!D$9=0,Swap!Y33,1))</f>
        <v>#VALUE!</v>
      </c>
      <c r="AC33" s="231" t="e">
        <f aca="false">IF(AA33="","",AB33*AH33)</f>
        <v>#VALUE!</v>
      </c>
      <c r="AD33" s="254"/>
      <c r="AE33" s="231" t="e">
        <f aca="false">IF(AA33="","",AD33*AH33)</f>
        <v>#VALUE!</v>
      </c>
      <c r="AF33" s="243" t="n">
        <f aca="false">INDEX(IRTable,MATCH(A33,IRMonth,0),4)</f>
        <v>0.0336217829874497</v>
      </c>
      <c r="AG33" s="235" t="n">
        <f aca="false">AF33+$AG$9</f>
        <v>0.0336217829874497</v>
      </c>
      <c r="AH33" s="195" t="n">
        <f aca="false">1/((1+AG33/2)^(2*((A33-Front!$C$2)/365.25)))</f>
        <v>2.09318824134624</v>
      </c>
      <c r="AI33" s="236" t="e">
        <f aca="false">IF($AA33="","",E33*AC33)</f>
        <v>#VALUE!</v>
      </c>
      <c r="AJ33" s="236" t="e">
        <f aca="false">IF($AA33="","",E33*AE33)</f>
        <v>#VALUE!</v>
      </c>
      <c r="AK33" s="237" t="e">
        <f aca="false">IF($AA33="","",C33*AC33)</f>
        <v>#VALUE!</v>
      </c>
      <c r="AL33" s="160" t="n">
        <f aca="false">(AO33/10000)/30.5</f>
        <v>0</v>
      </c>
      <c r="AM33" s="238" t="n">
        <f aca="false">AD33/10000</f>
        <v>0</v>
      </c>
      <c r="AN33" s="238" t="n">
        <f aca="false">AD33*DAY(EOMONTH(A33,0))/10000</f>
        <v>0</v>
      </c>
      <c r="AO33" s="254"/>
      <c r="AP33" s="233"/>
      <c r="AQ33" s="254"/>
      <c r="AR33" s="240"/>
      <c r="AS33" s="240"/>
      <c r="AT33" s="0"/>
      <c r="AU33" s="12"/>
      <c r="AV33" s="240"/>
      <c r="AW33" s="240"/>
      <c r="AX33" s="0"/>
      <c r="AY33" s="238"/>
      <c r="AZ33" s="233"/>
      <c r="BA33" s="241"/>
      <c r="BB33" s="242"/>
      <c r="BC33" s="243" t="n">
        <v>3.127</v>
      </c>
      <c r="BD33" s="195" t="n">
        <f aca="false">BC33-E33</f>
        <v>0.0089999999999999</v>
      </c>
      <c r="BE33" s="251" t="n">
        <v>-114.30322069</v>
      </c>
      <c r="BF33" s="245" t="n">
        <f aca="false">(BE33)*(D33*10)</f>
        <v>10287.2898621</v>
      </c>
      <c r="BG33" s="246" t="n">
        <v>-713.8730099</v>
      </c>
      <c r="BH33" s="246" t="n">
        <v>-416.00493678</v>
      </c>
      <c r="BI33" s="247"/>
      <c r="BJ33" s="167"/>
      <c r="BK33" s="167"/>
      <c r="BL33" s="167"/>
      <c r="BM33" s="167"/>
      <c r="BN33" s="167"/>
      <c r="BO33" s="167"/>
      <c r="BP33" s="248" t="n">
        <v>37834</v>
      </c>
      <c r="BQ33" s="180" t="n">
        <v>3.047</v>
      </c>
      <c r="BR33" s="180" t="n">
        <v>0.335</v>
      </c>
      <c r="BS33" s="180" t="n">
        <v>0.0336217829874497</v>
      </c>
      <c r="BT33" s="167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1"/>
      <c r="CP33" s="181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1"/>
      <c r="EJ33" s="181"/>
      <c r="EK33" s="181"/>
      <c r="EL33" s="181"/>
      <c r="EM33" s="181"/>
      <c r="EN33" s="181"/>
      <c r="EO33" s="181"/>
      <c r="EP33" s="181"/>
      <c r="EQ33" s="181"/>
      <c r="ER33" s="181"/>
      <c r="ES33" s="181"/>
      <c r="ET33" s="181"/>
      <c r="EU33" s="181"/>
      <c r="EV33" s="181"/>
      <c r="EW33" s="181"/>
      <c r="EX33" s="181"/>
      <c r="EY33" s="181"/>
      <c r="EZ33" s="181"/>
      <c r="FA33" s="181"/>
      <c r="FB33" s="181"/>
      <c r="FC33" s="181"/>
      <c r="FD33" s="181"/>
      <c r="FE33" s="181"/>
      <c r="FF33" s="181"/>
      <c r="FG33" s="181"/>
      <c r="FH33" s="181"/>
      <c r="FI33" s="181"/>
      <c r="FJ33" s="181"/>
      <c r="FK33" s="181"/>
      <c r="FL33" s="181"/>
      <c r="FM33" s="181"/>
      <c r="FN33" s="181"/>
      <c r="FO33" s="181"/>
      <c r="FP33" s="181"/>
      <c r="FQ33" s="181"/>
      <c r="FR33" s="181"/>
      <c r="FS33" s="181"/>
      <c r="FT33" s="181"/>
      <c r="FU33" s="181"/>
      <c r="FV33" s="181"/>
      <c r="FW33" s="181"/>
      <c r="FX33" s="181"/>
      <c r="FY33" s="181"/>
      <c r="FZ33" s="181"/>
      <c r="GA33" s="181"/>
      <c r="GB33" s="181"/>
      <c r="GC33" s="181"/>
      <c r="GD33" s="181"/>
      <c r="GE33" s="181"/>
      <c r="GF33" s="181"/>
      <c r="GG33" s="181"/>
      <c r="GH33" s="181"/>
      <c r="GI33" s="181"/>
      <c r="GJ33" s="181"/>
      <c r="GK33" s="181"/>
      <c r="GL33" s="181"/>
      <c r="GM33" s="181"/>
      <c r="GN33" s="181"/>
      <c r="GO33" s="181"/>
      <c r="GP33" s="181"/>
      <c r="GQ33" s="181"/>
      <c r="GR33" s="181"/>
      <c r="GS33" s="181"/>
      <c r="GT33" s="181"/>
      <c r="GU33" s="181"/>
      <c r="GV33" s="181"/>
      <c r="GW33" s="181"/>
      <c r="GX33" s="181"/>
      <c r="GY33" s="181"/>
      <c r="GZ33" s="181"/>
      <c r="HA33" s="181"/>
      <c r="HB33" s="181"/>
      <c r="HC33" s="181"/>
      <c r="HD33" s="181"/>
      <c r="HE33" s="181"/>
      <c r="HF33" s="181"/>
      <c r="HG33" s="181"/>
      <c r="HH33" s="181"/>
      <c r="HI33" s="181"/>
      <c r="HJ33" s="181"/>
      <c r="HK33" s="181"/>
      <c r="HL33" s="181"/>
      <c r="HM33" s="181"/>
      <c r="HN33" s="181"/>
      <c r="HO33" s="181"/>
      <c r="HP33" s="181"/>
      <c r="HQ33" s="181"/>
      <c r="HR33" s="181"/>
      <c r="HS33" s="181"/>
      <c r="HT33" s="181"/>
      <c r="HU33" s="181"/>
      <c r="HV33" s="181"/>
      <c r="HW33" s="181"/>
      <c r="HX33" s="181"/>
      <c r="HY33" s="181"/>
      <c r="HZ33" s="181"/>
      <c r="IA33" s="181"/>
      <c r="IB33" s="181"/>
      <c r="IC33" s="181"/>
      <c r="ID33" s="181"/>
      <c r="IE33" s="181"/>
      <c r="IF33" s="181"/>
      <c r="IG33" s="181"/>
      <c r="IH33" s="181"/>
      <c r="II33" s="181"/>
      <c r="IJ33" s="181"/>
      <c r="IK33" s="181"/>
      <c r="IL33" s="181"/>
      <c r="IM33" s="181"/>
      <c r="IN33" s="181"/>
      <c r="IO33" s="181"/>
      <c r="IP33" s="181"/>
      <c r="IQ33" s="181"/>
      <c r="IR33" s="181"/>
      <c r="IS33" s="181"/>
      <c r="IT33" s="181"/>
      <c r="IU33" s="181"/>
      <c r="IV33" s="181"/>
      <c r="IW33" s="181"/>
    </row>
    <row r="34" customFormat="false" ht="15" hidden="false" customHeight="false" outlineLevel="0" collapsed="false">
      <c r="A34" s="265" t="n">
        <f aca="false">EOMONTH(A33,0)+1</f>
        <v>37865</v>
      </c>
      <c r="B34" s="215" t="n">
        <f aca="false">BD34*1000*-1</f>
        <v>-8.9999999999999</v>
      </c>
      <c r="C34" s="216" t="n">
        <v>3.132</v>
      </c>
      <c r="D34" s="217" t="n">
        <f aca="false">D33</f>
        <v>-9</v>
      </c>
      <c r="E34" s="218" t="n">
        <f aca="false">C34+D34/1000</f>
        <v>3.123</v>
      </c>
      <c r="F34" s="219" t="n">
        <f aca="false">(E34-E33)*1000</f>
        <v>5.00000000000034</v>
      </c>
      <c r="G34" s="220" t="n">
        <f aca="false">(C34-C33)*1000</f>
        <v>5.00000000000034</v>
      </c>
      <c r="H34" s="266" t="n">
        <f aca="false">E22-E34</f>
        <v>-0.164</v>
      </c>
      <c r="I34" s="267" t="n">
        <f aca="false">C22-C34</f>
        <v>-0.164</v>
      </c>
      <c r="J34" s="271" t="n">
        <f aca="false">J33-J31</f>
        <v>0.242968288739761</v>
      </c>
      <c r="K34" s="271" t="n">
        <f aca="false">K33-K31</f>
        <v>0.24279713836357</v>
      </c>
      <c r="L34" s="272" t="n">
        <f aca="false">J33-K33</f>
        <v>-0.0089999999999999</v>
      </c>
      <c r="M34" s="224" t="s">
        <v>190</v>
      </c>
      <c r="N34" s="225" t="n">
        <v>2026</v>
      </c>
      <c r="O34" s="226" t="n">
        <f aca="false">[1]Swap!P40+P34</f>
        <v>0.1075</v>
      </c>
      <c r="P34" s="250"/>
      <c r="Q34" s="200" t="n">
        <f aca="false">Q33+O34</f>
        <v>5.705</v>
      </c>
      <c r="R34" s="201" t="s">
        <v>191</v>
      </c>
      <c r="S34" s="167"/>
      <c r="T34" s="167"/>
      <c r="U34" s="167"/>
      <c r="V34" s="167"/>
      <c r="W34" s="167"/>
      <c r="X34" s="167"/>
      <c r="Y34" s="228" t="n">
        <f aca="false">DAY(EOMONTH(A34,0))</f>
        <v>30</v>
      </c>
      <c r="Z34" s="268" t="n">
        <v>37707</v>
      </c>
      <c r="AA34" s="230" t="e">
        <f aca="false">IF(AND(A34&gt;=Front!$E$11,A34&lt;=Front!$E$12),A34,"")</f>
        <v>#VALUE!</v>
      </c>
      <c r="AB34" s="231" t="e">
        <f aca="false">IF(AA34="","",VLOOKUP(MONTH(A33),Front!$W$6:$X$17,2)*IF(Front!D$9=0,Swap!Y34,1))</f>
        <v>#VALUE!</v>
      </c>
      <c r="AC34" s="231" t="e">
        <f aca="false">IF(AA34="","",AB34*AH34)</f>
        <v>#VALUE!</v>
      </c>
      <c r="AD34" s="254"/>
      <c r="AE34" s="231" t="e">
        <f aca="false">IF(AA34="","",AD34*AH34)</f>
        <v>#VALUE!</v>
      </c>
      <c r="AF34" s="243" t="n">
        <f aca="false">INDEX(IRTable,MATCH(A34,IRMonth,0),4)</f>
        <v>0.0342318651032465</v>
      </c>
      <c r="AG34" s="235" t="n">
        <f aca="false">AF34+$AG$9</f>
        <v>0.0342318651032465</v>
      </c>
      <c r="AH34" s="195" t="n">
        <f aca="false">1/((1+AG34/2)^(2*((A34-Front!$C$2)/365.25)))</f>
        <v>2.11509200213557</v>
      </c>
      <c r="AI34" s="236" t="e">
        <f aca="false">IF($AA34="","",E34*AC34)</f>
        <v>#VALUE!</v>
      </c>
      <c r="AJ34" s="236" t="e">
        <f aca="false">IF($AA34="","",E34*AE34)</f>
        <v>#VALUE!</v>
      </c>
      <c r="AK34" s="237" t="e">
        <f aca="false">IF($AA34="","",C34*AC34)</f>
        <v>#VALUE!</v>
      </c>
      <c r="AL34" s="160" t="n">
        <f aca="false">(AO34/10000)/30.5</f>
        <v>0</v>
      </c>
      <c r="AM34" s="238" t="n">
        <f aca="false">AD34/10000</f>
        <v>0</v>
      </c>
      <c r="AN34" s="238" t="n">
        <f aca="false">AD34*DAY(EOMONTH(A34,0))/10000</f>
        <v>0</v>
      </c>
      <c r="AO34" s="254"/>
      <c r="AP34" s="233"/>
      <c r="AQ34" s="254"/>
      <c r="AR34" s="240"/>
      <c r="AS34" s="240"/>
      <c r="AT34" s="0"/>
      <c r="AU34" s="12"/>
      <c r="AV34" s="240"/>
      <c r="AW34" s="240"/>
      <c r="AX34" s="0"/>
      <c r="AY34" s="238"/>
      <c r="AZ34" s="233"/>
      <c r="BA34" s="241"/>
      <c r="BB34" s="242"/>
      <c r="BC34" s="243" t="n">
        <v>3.132</v>
      </c>
      <c r="BD34" s="195" t="n">
        <f aca="false">BC34-E34</f>
        <v>0.0089999999999999</v>
      </c>
      <c r="BE34" s="251" t="n">
        <v>-77.65657981</v>
      </c>
      <c r="BF34" s="245" t="n">
        <f aca="false">(BE34)*(D34*10)</f>
        <v>6989.0921829</v>
      </c>
      <c r="BG34" s="167" t="n">
        <v>2526.8246197</v>
      </c>
      <c r="BH34" s="167" t="n">
        <v>-272.48032894</v>
      </c>
      <c r="BI34" s="247"/>
      <c r="BJ34" s="167"/>
      <c r="BK34" s="167"/>
      <c r="BL34" s="167"/>
      <c r="BM34" s="167"/>
      <c r="BN34" s="167"/>
      <c r="BO34" s="167"/>
      <c r="BP34" s="248" t="n">
        <v>37865</v>
      </c>
      <c r="BQ34" s="180" t="n">
        <v>3.052</v>
      </c>
      <c r="BR34" s="180" t="n">
        <v>0.3351</v>
      </c>
      <c r="BS34" s="180" t="n">
        <v>0.0342318651032465</v>
      </c>
      <c r="BT34" s="167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1"/>
      <c r="CP34" s="181"/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1"/>
      <c r="EJ34" s="181"/>
      <c r="EK34" s="181"/>
      <c r="EL34" s="181"/>
      <c r="EM34" s="181"/>
      <c r="EN34" s="181"/>
      <c r="EO34" s="181"/>
      <c r="EP34" s="181"/>
      <c r="EQ34" s="181"/>
      <c r="ER34" s="181"/>
      <c r="ES34" s="181"/>
      <c r="ET34" s="181"/>
      <c r="EU34" s="181"/>
      <c r="EV34" s="181"/>
      <c r="EW34" s="181"/>
      <c r="EX34" s="181"/>
      <c r="EY34" s="181"/>
      <c r="EZ34" s="181"/>
      <c r="FA34" s="181"/>
      <c r="FB34" s="181"/>
      <c r="FC34" s="181"/>
      <c r="FD34" s="181"/>
      <c r="FE34" s="181"/>
      <c r="FF34" s="181"/>
      <c r="FG34" s="181"/>
      <c r="FH34" s="181"/>
      <c r="FI34" s="181"/>
      <c r="FJ34" s="181"/>
      <c r="FK34" s="181"/>
      <c r="FL34" s="181"/>
      <c r="FM34" s="181"/>
      <c r="FN34" s="181"/>
      <c r="FO34" s="181"/>
      <c r="FP34" s="181"/>
      <c r="FQ34" s="181"/>
      <c r="FR34" s="181"/>
      <c r="FS34" s="181"/>
      <c r="FT34" s="181"/>
      <c r="FU34" s="181"/>
      <c r="FV34" s="181"/>
      <c r="FW34" s="181"/>
      <c r="FX34" s="181"/>
      <c r="FY34" s="181"/>
      <c r="FZ34" s="181"/>
      <c r="GA34" s="181"/>
      <c r="GB34" s="181"/>
      <c r="GC34" s="181"/>
      <c r="GD34" s="181"/>
      <c r="GE34" s="181"/>
      <c r="GF34" s="181"/>
      <c r="GG34" s="181"/>
      <c r="GH34" s="181"/>
      <c r="GI34" s="181"/>
      <c r="GJ34" s="181"/>
      <c r="GK34" s="181"/>
      <c r="GL34" s="181"/>
      <c r="GM34" s="181"/>
      <c r="GN34" s="181"/>
      <c r="GO34" s="181"/>
      <c r="GP34" s="181"/>
      <c r="GQ34" s="181"/>
      <c r="GR34" s="181"/>
      <c r="GS34" s="181"/>
      <c r="GT34" s="181"/>
      <c r="GU34" s="181"/>
      <c r="GV34" s="181"/>
      <c r="GW34" s="181"/>
      <c r="GX34" s="181"/>
      <c r="GY34" s="181"/>
      <c r="GZ34" s="181"/>
      <c r="HA34" s="181"/>
      <c r="HB34" s="181"/>
      <c r="HC34" s="181"/>
      <c r="HD34" s="181"/>
      <c r="HE34" s="181"/>
      <c r="HF34" s="181"/>
      <c r="HG34" s="181"/>
      <c r="HH34" s="181"/>
      <c r="HI34" s="181"/>
      <c r="HJ34" s="181"/>
      <c r="HK34" s="181"/>
      <c r="HL34" s="181"/>
      <c r="HM34" s="181"/>
      <c r="HN34" s="181"/>
      <c r="HO34" s="181"/>
      <c r="HP34" s="181"/>
      <c r="HQ34" s="181"/>
      <c r="HR34" s="181"/>
      <c r="HS34" s="181"/>
      <c r="HT34" s="181"/>
      <c r="HU34" s="181"/>
      <c r="HV34" s="181"/>
      <c r="HW34" s="181"/>
      <c r="HX34" s="181"/>
      <c r="HY34" s="181"/>
      <c r="HZ34" s="181"/>
      <c r="IA34" s="181"/>
      <c r="IB34" s="181"/>
      <c r="IC34" s="181"/>
      <c r="ID34" s="181"/>
      <c r="IE34" s="181"/>
      <c r="IF34" s="181"/>
      <c r="IG34" s="181"/>
      <c r="IH34" s="181"/>
      <c r="II34" s="181"/>
      <c r="IJ34" s="181"/>
      <c r="IK34" s="181"/>
      <c r="IL34" s="181"/>
      <c r="IM34" s="181"/>
      <c r="IN34" s="181"/>
      <c r="IO34" s="181"/>
      <c r="IP34" s="181"/>
      <c r="IQ34" s="181"/>
      <c r="IR34" s="181"/>
      <c r="IS34" s="181"/>
      <c r="IT34" s="181"/>
      <c r="IU34" s="181"/>
      <c r="IV34" s="181"/>
      <c r="IW34" s="181"/>
    </row>
    <row r="35" customFormat="false" ht="15" hidden="false" customHeight="false" outlineLevel="0" collapsed="false">
      <c r="A35" s="273" t="n">
        <f aca="false">EOMONTH(A34,0)+1</f>
        <v>37895</v>
      </c>
      <c r="B35" s="215" t="n">
        <f aca="false">BD35*1000*-1</f>
        <v>-8.9999999999999</v>
      </c>
      <c r="C35" s="216" t="n">
        <v>3.142</v>
      </c>
      <c r="D35" s="217" t="n">
        <f aca="false">D34</f>
        <v>-9</v>
      </c>
      <c r="E35" s="218" t="n">
        <f aca="false">C35+D35/1000</f>
        <v>3.133</v>
      </c>
      <c r="F35" s="219" t="n">
        <f aca="false">(E35-E34)*1000</f>
        <v>9.99999999999934</v>
      </c>
      <c r="G35" s="220" t="n">
        <f aca="false">(C35-C34)*1000</f>
        <v>9.99999999999934</v>
      </c>
      <c r="H35" s="266" t="n">
        <f aca="false">E23-E35</f>
        <v>-0.153999999999999</v>
      </c>
      <c r="I35" s="267" t="n">
        <f aca="false">C23-C35</f>
        <v>-0.153999999999999</v>
      </c>
      <c r="J35" s="269" t="n">
        <f aca="false">Front!I15</f>
        <v>3.27912613103755</v>
      </c>
      <c r="K35" s="269" t="n">
        <f aca="false">Front!J15</f>
        <v>3.28812613103755</v>
      </c>
      <c r="L35" s="270" t="s">
        <v>127</v>
      </c>
      <c r="M35" s="224" t="s">
        <v>192</v>
      </c>
      <c r="N35" s="225" t="n">
        <v>2027</v>
      </c>
      <c r="O35" s="226" t="n">
        <f aca="false">[1]Swap!P41+P35</f>
        <v>0.1075</v>
      </c>
      <c r="P35" s="250"/>
      <c r="Q35" s="200" t="n">
        <f aca="false">Q34+O35</f>
        <v>5.8125</v>
      </c>
      <c r="R35" s="201" t="s">
        <v>193</v>
      </c>
      <c r="S35" s="167"/>
      <c r="T35" s="167"/>
      <c r="U35" s="167"/>
      <c r="V35" s="167"/>
      <c r="W35" s="167"/>
      <c r="X35" s="167"/>
      <c r="Y35" s="228" t="n">
        <f aca="false">DAY(EOMONTH(A35,0))</f>
        <v>31</v>
      </c>
      <c r="Z35" s="268" t="n">
        <v>37739</v>
      </c>
      <c r="AA35" s="230" t="e">
        <f aca="false">IF(AND(A35&gt;=Front!$E$11,A35&lt;=Front!$E$12),A35,"")</f>
        <v>#VALUE!</v>
      </c>
      <c r="AB35" s="231" t="e">
        <f aca="false">IF(AA35="","",VLOOKUP(MONTH(A34),Front!$W$6:$X$17,2)*IF(Front!D$9=0,Swap!Y35,1))</f>
        <v>#VALUE!</v>
      </c>
      <c r="AC35" s="274" t="e">
        <f aca="false">IF(AA35="","",AB35*AH35)</f>
        <v>#VALUE!</v>
      </c>
      <c r="AD35" s="254"/>
      <c r="AE35" s="231" t="e">
        <f aca="false">IF(AA35="","",AD35*AH35)</f>
        <v>#VALUE!</v>
      </c>
      <c r="AF35" s="243" t="n">
        <f aca="false">INDEX(IRTable,MATCH(A35,IRMonth,0),4)</f>
        <v>0.0348012213925286</v>
      </c>
      <c r="AG35" s="243" t="n">
        <f aca="false">AF35+$AG$9</f>
        <v>0.0348012213925286</v>
      </c>
      <c r="AH35" s="195" t="n">
        <f aca="false">1/((1+AG35/2)^(2*((A35-Front!$C$2)/365.25)))</f>
        <v>2.13532078531823</v>
      </c>
      <c r="AI35" s="236" t="e">
        <f aca="false">IF($AA35="","",E35*AC35)</f>
        <v>#VALUE!</v>
      </c>
      <c r="AJ35" s="236" t="e">
        <f aca="false">IF($AA35="","",E35*AE35)</f>
        <v>#VALUE!</v>
      </c>
      <c r="AK35" s="237" t="e">
        <f aca="false">IF($AA35="","",C35*AC35)</f>
        <v>#VALUE!</v>
      </c>
      <c r="AL35" s="160" t="n">
        <f aca="false">(AO35/10000)/30.5</f>
        <v>0</v>
      </c>
      <c r="AM35" s="238" t="n">
        <f aca="false">AD35/10000</f>
        <v>0</v>
      </c>
      <c r="AN35" s="238" t="n">
        <f aca="false">AD35*DAY(EOMONTH(A35,0))/10000</f>
        <v>0</v>
      </c>
      <c r="AO35" s="254"/>
      <c r="AP35" s="233"/>
      <c r="AQ35" s="254"/>
      <c r="AR35" s="240"/>
      <c r="AS35" s="240"/>
      <c r="AT35" s="0"/>
      <c r="AU35" s="12"/>
      <c r="AV35" s="240"/>
      <c r="AW35" s="240"/>
      <c r="AX35" s="0"/>
      <c r="AY35" s="238"/>
      <c r="AZ35" s="233"/>
      <c r="BA35" s="241"/>
      <c r="BB35" s="242"/>
      <c r="BC35" s="243" t="n">
        <v>3.142</v>
      </c>
      <c r="BD35" s="195" t="n">
        <f aca="false">BC35-E35</f>
        <v>0.0089999999999999</v>
      </c>
      <c r="BE35" s="251" t="n">
        <v>-54.87350996</v>
      </c>
      <c r="BF35" s="245" t="n">
        <f aca="false">(BE35)*(D35*10)</f>
        <v>4938.6158964</v>
      </c>
      <c r="BG35" s="167" t="n">
        <v>-6764.14511446</v>
      </c>
      <c r="BH35" s="167" t="n">
        <v>-251.569141010001</v>
      </c>
      <c r="BI35" s="247"/>
      <c r="BJ35" s="121"/>
      <c r="BK35" s="121"/>
      <c r="BL35" s="167"/>
      <c r="BM35" s="167"/>
      <c r="BN35" s="167"/>
      <c r="BO35" s="167"/>
      <c r="BP35" s="248" t="n">
        <v>37895</v>
      </c>
      <c r="BQ35" s="180" t="n">
        <v>3.062</v>
      </c>
      <c r="BR35" s="180" t="n">
        <v>0.335</v>
      </c>
      <c r="BS35" s="180" t="n">
        <v>0.0348012213925286</v>
      </c>
      <c r="BT35" s="167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1"/>
      <c r="CP35" s="181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1"/>
      <c r="EJ35" s="181"/>
      <c r="EK35" s="181"/>
      <c r="EL35" s="181"/>
      <c r="EM35" s="181"/>
      <c r="EN35" s="181"/>
      <c r="EO35" s="181"/>
      <c r="EP35" s="181"/>
      <c r="EQ35" s="181"/>
      <c r="ER35" s="181"/>
      <c r="ES35" s="181"/>
      <c r="ET35" s="181"/>
      <c r="EU35" s="181"/>
      <c r="EV35" s="181"/>
      <c r="EW35" s="181"/>
      <c r="EX35" s="181"/>
      <c r="EY35" s="181"/>
      <c r="EZ35" s="181"/>
      <c r="FA35" s="181"/>
      <c r="FB35" s="181"/>
      <c r="FC35" s="181"/>
      <c r="FD35" s="181"/>
      <c r="FE35" s="181"/>
      <c r="FF35" s="181"/>
      <c r="FG35" s="181"/>
      <c r="FH35" s="181"/>
      <c r="FI35" s="181"/>
      <c r="FJ35" s="181"/>
      <c r="FK35" s="181"/>
      <c r="FL35" s="181"/>
      <c r="FM35" s="181"/>
      <c r="FN35" s="181"/>
      <c r="FO35" s="181"/>
      <c r="FP35" s="181"/>
      <c r="FQ35" s="181"/>
      <c r="FR35" s="181"/>
      <c r="FS35" s="181"/>
      <c r="FT35" s="181"/>
      <c r="FU35" s="181"/>
      <c r="FV35" s="181"/>
      <c r="FW35" s="181"/>
      <c r="FX35" s="181"/>
      <c r="FY35" s="181"/>
      <c r="FZ35" s="181"/>
      <c r="GA35" s="181"/>
      <c r="GB35" s="181"/>
      <c r="GC35" s="181"/>
      <c r="GD35" s="181"/>
      <c r="GE35" s="181"/>
      <c r="GF35" s="181"/>
      <c r="GG35" s="181"/>
      <c r="GH35" s="181"/>
      <c r="GI35" s="181"/>
      <c r="GJ35" s="181"/>
      <c r="GK35" s="181"/>
      <c r="GL35" s="181"/>
      <c r="GM35" s="181"/>
      <c r="GN35" s="181"/>
      <c r="GO35" s="181"/>
      <c r="GP35" s="181"/>
      <c r="GQ35" s="181"/>
      <c r="GR35" s="181"/>
      <c r="GS35" s="181"/>
      <c r="GT35" s="181"/>
      <c r="GU35" s="181"/>
      <c r="GV35" s="181"/>
      <c r="GW35" s="181"/>
      <c r="GX35" s="181"/>
      <c r="GY35" s="181"/>
      <c r="GZ35" s="181"/>
      <c r="HA35" s="181"/>
      <c r="HB35" s="181"/>
      <c r="HC35" s="181"/>
      <c r="HD35" s="181"/>
      <c r="HE35" s="181"/>
      <c r="HF35" s="181"/>
      <c r="HG35" s="181"/>
      <c r="HH35" s="181"/>
      <c r="HI35" s="181"/>
      <c r="HJ35" s="181"/>
      <c r="HK35" s="181"/>
      <c r="HL35" s="181"/>
      <c r="HM35" s="181"/>
      <c r="HN35" s="181"/>
      <c r="HO35" s="181"/>
      <c r="HP35" s="181"/>
      <c r="HQ35" s="181"/>
      <c r="HR35" s="181"/>
      <c r="HS35" s="181"/>
      <c r="HT35" s="181"/>
      <c r="HU35" s="181"/>
      <c r="HV35" s="181"/>
      <c r="HW35" s="181"/>
      <c r="HX35" s="181"/>
      <c r="HY35" s="181"/>
      <c r="HZ35" s="181"/>
      <c r="IA35" s="181"/>
      <c r="IB35" s="181"/>
      <c r="IC35" s="181"/>
      <c r="ID35" s="181"/>
      <c r="IE35" s="181"/>
      <c r="IF35" s="181"/>
      <c r="IG35" s="181"/>
      <c r="IH35" s="181"/>
      <c r="II35" s="181"/>
      <c r="IJ35" s="181"/>
      <c r="IK35" s="181"/>
      <c r="IL35" s="181"/>
      <c r="IM35" s="181"/>
      <c r="IN35" s="181"/>
      <c r="IO35" s="181"/>
      <c r="IP35" s="181"/>
      <c r="IQ35" s="181"/>
      <c r="IR35" s="181"/>
      <c r="IS35" s="181"/>
      <c r="IT35" s="181"/>
      <c r="IU35" s="181"/>
      <c r="IV35" s="181"/>
      <c r="IW35" s="181"/>
    </row>
    <row r="36" customFormat="false" ht="15" hidden="false" customHeight="false" outlineLevel="0" collapsed="false">
      <c r="A36" s="273" t="n">
        <f aca="false">EOMONTH(A35,0)+1</f>
        <v>37926</v>
      </c>
      <c r="B36" s="215" t="n">
        <f aca="false">BD36*1000*-1</f>
        <v>-8.9999999999999</v>
      </c>
      <c r="C36" s="216" t="n">
        <v>3.307</v>
      </c>
      <c r="D36" s="217" t="n">
        <f aca="false">D35</f>
        <v>-9</v>
      </c>
      <c r="E36" s="218" t="n">
        <f aca="false">C36+D36/1000</f>
        <v>3.298</v>
      </c>
      <c r="F36" s="219" t="n">
        <f aca="false">(E36-E35)*1000</f>
        <v>165</v>
      </c>
      <c r="G36" s="220" t="n">
        <f aca="false">(C36-C35)*1000</f>
        <v>165</v>
      </c>
      <c r="H36" s="266" t="n">
        <f aca="false">E24-E36</f>
        <v>-0.154</v>
      </c>
      <c r="I36" s="267" t="n">
        <f aca="false">C24-C36</f>
        <v>-0.154</v>
      </c>
      <c r="J36" s="271" t="n">
        <f aca="false">J35-J33</f>
        <v>0.0841253159676678</v>
      </c>
      <c r="K36" s="271" t="n">
        <f aca="false">K35-K33</f>
        <v>0.0841253159676678</v>
      </c>
      <c r="L36" s="272" t="n">
        <f aca="false">J35-K35</f>
        <v>-0.0089999999999999</v>
      </c>
      <c r="M36" s="224" t="s">
        <v>194</v>
      </c>
      <c r="N36" s="225" t="n">
        <v>2028</v>
      </c>
      <c r="O36" s="226" t="n">
        <f aca="false">[1]Swap!P42+P36</f>
        <v>0.1075</v>
      </c>
      <c r="P36" s="250"/>
      <c r="Q36" s="200" t="n">
        <f aca="false">Q35+O36</f>
        <v>5.92</v>
      </c>
      <c r="R36" s="201" t="s">
        <v>195</v>
      </c>
      <c r="S36" s="167"/>
      <c r="T36" s="167"/>
      <c r="U36" s="167"/>
      <c r="V36" s="167"/>
      <c r="W36" s="167"/>
      <c r="X36" s="167"/>
      <c r="Y36" s="228" t="n">
        <f aca="false">DAY(EOMONTH(A36,0))</f>
        <v>30</v>
      </c>
      <c r="Z36" s="268" t="n">
        <v>37769</v>
      </c>
      <c r="AA36" s="230" t="e">
        <f aca="false">IF(AND(A36&gt;=Front!$E$11,A36&lt;=Front!$E$12),A36,"")</f>
        <v>#VALUE!</v>
      </c>
      <c r="AB36" s="231" t="e">
        <f aca="false">IF(AA36="","",VLOOKUP(MONTH(A35),Front!$W$6:$X$17,2)*IF(Front!D$9=0,Swap!Y36,1))</f>
        <v>#VALUE!</v>
      </c>
      <c r="AC36" s="274" t="e">
        <f aca="false">IF(AA36="","",AB36*AH36)</f>
        <v>#VALUE!</v>
      </c>
      <c r="AD36" s="254"/>
      <c r="AE36" s="231" t="e">
        <f aca="false">IF(AA36="","",AD36*AH36)</f>
        <v>#VALUE!</v>
      </c>
      <c r="AF36" s="243" t="n">
        <f aca="false">INDEX(IRTable,MATCH(A36,IRMonth,0),4)</f>
        <v>0.0353631998182551</v>
      </c>
      <c r="AG36" s="243" t="n">
        <f aca="false">AF36+$AG$9</f>
        <v>0.0353631998182551</v>
      </c>
      <c r="AH36" s="195" t="n">
        <f aca="false">1/((1+AG36/2)^(2*((A36-Front!$C$2)/365.25)))</f>
        <v>2.15498832899405</v>
      </c>
      <c r="AI36" s="236" t="e">
        <f aca="false">IF($AA36="","",E36*AC36)</f>
        <v>#VALUE!</v>
      </c>
      <c r="AJ36" s="236" t="e">
        <f aca="false">IF($AA36="","",E36*AE36)</f>
        <v>#VALUE!</v>
      </c>
      <c r="AK36" s="237" t="e">
        <f aca="false">IF($AA36="","",C36*AC36)</f>
        <v>#VALUE!</v>
      </c>
      <c r="AL36" s="160" t="n">
        <f aca="false">(AO36/10000)/30.5</f>
        <v>0</v>
      </c>
      <c r="AM36" s="238" t="n">
        <f aca="false">AD36/10000</f>
        <v>0</v>
      </c>
      <c r="AN36" s="238" t="n">
        <f aca="false">AD36*DAY(EOMONTH(A36,0))/10000</f>
        <v>0</v>
      </c>
      <c r="AO36" s="254"/>
      <c r="AP36" s="233"/>
      <c r="AQ36" s="254"/>
      <c r="AR36" s="240"/>
      <c r="AS36" s="240"/>
      <c r="AT36" s="0"/>
      <c r="AU36" s="12"/>
      <c r="AV36" s="240"/>
      <c r="AW36" s="240"/>
      <c r="AX36" s="0"/>
      <c r="AY36" s="238"/>
      <c r="AZ36" s="233"/>
      <c r="BA36" s="241"/>
      <c r="BB36" s="242"/>
      <c r="BC36" s="243" t="n">
        <v>3.307</v>
      </c>
      <c r="BD36" s="195" t="n">
        <f aca="false">BC36-E36</f>
        <v>0.0089999999999999</v>
      </c>
      <c r="BE36" s="251" t="n">
        <v>157.39702362</v>
      </c>
      <c r="BF36" s="245" t="n">
        <f aca="false">(BE36)*(D36*10)</f>
        <v>-14165.7321258</v>
      </c>
      <c r="BG36" s="167" t="n">
        <v>-162.77177093</v>
      </c>
      <c r="BH36" s="167" t="n">
        <v>-211.55992505</v>
      </c>
      <c r="BI36" s="247"/>
      <c r="BJ36" s="121"/>
      <c r="BK36" s="121"/>
      <c r="BL36" s="167"/>
      <c r="BM36" s="167"/>
      <c r="BN36" s="167"/>
      <c r="BO36" s="167"/>
      <c r="BP36" s="275" t="n">
        <v>37926</v>
      </c>
      <c r="BQ36" s="143" t="n">
        <v>3.227</v>
      </c>
      <c r="BR36" s="143" t="n">
        <v>0.335</v>
      </c>
      <c r="BS36" s="143" t="n">
        <v>0.0353631998182551</v>
      </c>
      <c r="BT36" s="121"/>
    </row>
    <row r="37" customFormat="false" ht="15" hidden="false" customHeight="false" outlineLevel="0" collapsed="false">
      <c r="A37" s="273" t="n">
        <f aca="false">EOMONTH(A36,0)+1</f>
        <v>37956</v>
      </c>
      <c r="B37" s="215" t="n">
        <f aca="false">BD37*1000*-1</f>
        <v>-8.9999999999999</v>
      </c>
      <c r="C37" s="276" t="n">
        <v>3.472</v>
      </c>
      <c r="D37" s="217" t="n">
        <f aca="false">D36</f>
        <v>-9</v>
      </c>
      <c r="E37" s="218" t="n">
        <f aca="false">C37+D37/1000</f>
        <v>3.463</v>
      </c>
      <c r="F37" s="219" t="n">
        <f aca="false">(E37-E36)*1000</f>
        <v>165</v>
      </c>
      <c r="G37" s="220" t="n">
        <f aca="false">(C37-C36)*1000</f>
        <v>165</v>
      </c>
      <c r="H37" s="266" t="n">
        <f aca="false">E25-E37</f>
        <v>-0.129</v>
      </c>
      <c r="I37" s="267" t="n">
        <f aca="false">C25-C37</f>
        <v>-0.129</v>
      </c>
      <c r="J37" s="269" t="n">
        <f aca="false">Front!I16</f>
        <v>3.36372708242584</v>
      </c>
      <c r="K37" s="269" t="n">
        <f aca="false">Front!J16</f>
        <v>3.37022708242584</v>
      </c>
      <c r="L37" s="270" t="s">
        <v>130</v>
      </c>
      <c r="M37" s="224"/>
      <c r="N37" s="225"/>
      <c r="O37" s="226"/>
      <c r="P37" s="277"/>
      <c r="Q37" s="167"/>
      <c r="R37" s="167"/>
      <c r="S37" s="167"/>
      <c r="T37" s="167"/>
      <c r="U37" s="167"/>
      <c r="V37" s="167"/>
      <c r="W37" s="167"/>
      <c r="X37" s="167"/>
      <c r="Y37" s="228" t="n">
        <f aca="false">DAY(EOMONTH(A37,0))</f>
        <v>31</v>
      </c>
      <c r="Z37" s="268" t="n">
        <v>37798</v>
      </c>
      <c r="AA37" s="230" t="e">
        <f aca="false">IF(AND(A37&gt;=Front!$E$11,A37&lt;=Front!$E$12),A37,"")</f>
        <v>#VALUE!</v>
      </c>
      <c r="AB37" s="231" t="e">
        <f aca="false">IF(AA37="","",VLOOKUP(MONTH(A36),Front!$W$6:$X$17,2)*IF(Front!D$9=0,Swap!Y37,1))</f>
        <v>#VALUE!</v>
      </c>
      <c r="AC37" s="274" t="e">
        <f aca="false">IF(AA37="","",AB37*AH37)</f>
        <v>#VALUE!</v>
      </c>
      <c r="AD37" s="254"/>
      <c r="AE37" s="231" t="e">
        <f aca="false">IF(AA37="","",AD37*AH37)</f>
        <v>#VALUE!</v>
      </c>
      <c r="AF37" s="243" t="n">
        <f aca="false">INDEX(IRTable,MATCH(A37,IRMonth,0),4)</f>
        <v>0.0359070500087895</v>
      </c>
      <c r="AG37" s="243" t="n">
        <f aca="false">AF37+$AG$9</f>
        <v>0.0359070500087895</v>
      </c>
      <c r="AH37" s="195" t="n">
        <f aca="false">1/((1+AG37/2)^(2*((A37-Front!$C$2)/365.25)))</f>
        <v>2.17399295082589</v>
      </c>
      <c r="AI37" s="236" t="e">
        <f aca="false">IF($AA37="","",E37*AC37)</f>
        <v>#VALUE!</v>
      </c>
      <c r="AJ37" s="236" t="e">
        <f aca="false">IF($AA37="","",E37*AE37)</f>
        <v>#VALUE!</v>
      </c>
      <c r="AK37" s="237" t="e">
        <f aca="false">IF($AA37="","",C37*AC37)</f>
        <v>#VALUE!</v>
      </c>
      <c r="AL37" s="160" t="n">
        <f aca="false">(AO37/10000)/30.5</f>
        <v>0</v>
      </c>
      <c r="AM37" s="238" t="n">
        <f aca="false">AD37/10000</f>
        <v>0</v>
      </c>
      <c r="AN37" s="238" t="n">
        <f aca="false">AD37*DAY(EOMONTH(A37,0))/10000</f>
        <v>0</v>
      </c>
      <c r="AO37" s="254"/>
      <c r="AP37" s="233"/>
      <c r="AQ37" s="254"/>
      <c r="AR37" s="240"/>
      <c r="AS37" s="240"/>
      <c r="AT37" s="0"/>
      <c r="AU37" s="12"/>
      <c r="AV37" s="240"/>
      <c r="AW37" s="240"/>
      <c r="AX37" s="0"/>
      <c r="AY37" s="238"/>
      <c r="AZ37" s="233"/>
      <c r="BA37" s="241"/>
      <c r="BB37" s="242"/>
      <c r="BC37" s="243" t="n">
        <v>3.472</v>
      </c>
      <c r="BD37" s="195" t="n">
        <f aca="false">BC37-E37</f>
        <v>0.0089999999999999</v>
      </c>
      <c r="BE37" s="251" t="n">
        <v>236.75783679</v>
      </c>
      <c r="BF37" s="245" t="n">
        <f aca="false">(BE37)*(D37*10)</f>
        <v>-21308.2053111</v>
      </c>
      <c r="BG37" s="167" t="n">
        <v>651.98121534</v>
      </c>
      <c r="BH37" s="167" t="n">
        <v>-214.82464206</v>
      </c>
      <c r="BI37" s="247"/>
      <c r="BJ37" s="121"/>
      <c r="BK37" s="121"/>
      <c r="BL37" s="121"/>
      <c r="BM37" s="121"/>
      <c r="BN37" s="121"/>
      <c r="BO37" s="121"/>
      <c r="BP37" s="275" t="n">
        <v>37956</v>
      </c>
      <c r="BQ37" s="143" t="n">
        <v>3.392</v>
      </c>
      <c r="BR37" s="143" t="n">
        <v>0.335</v>
      </c>
      <c r="BS37" s="143" t="n">
        <v>0.0359070500087895</v>
      </c>
      <c r="BT37" s="121"/>
    </row>
    <row r="38" customFormat="false" ht="15" hidden="false" customHeight="false" outlineLevel="0" collapsed="false">
      <c r="A38" s="273" t="n">
        <f aca="false">EOMONTH(A37,0)+1</f>
        <v>37987</v>
      </c>
      <c r="B38" s="215" t="n">
        <f aca="false">BD38*1000*-1</f>
        <v>-8.9999999999999</v>
      </c>
      <c r="C38" s="276" t="n">
        <v>3.527</v>
      </c>
      <c r="D38" s="217" t="n">
        <f aca="false">D37</f>
        <v>-9</v>
      </c>
      <c r="E38" s="218" t="n">
        <f aca="false">C38+D38/1000</f>
        <v>3.518</v>
      </c>
      <c r="F38" s="219" t="n">
        <f aca="false">(E38-E37)*1000</f>
        <v>54.9999999999997</v>
      </c>
      <c r="G38" s="220" t="n">
        <f aca="false">(C38-C37)*1000</f>
        <v>54.9999999999997</v>
      </c>
      <c r="H38" s="266" t="n">
        <f aca="false">E26-E38</f>
        <v>-0.0969999999999995</v>
      </c>
      <c r="I38" s="267" t="n">
        <f aca="false">C26-C38</f>
        <v>-0.0969999999999995</v>
      </c>
      <c r="J38" s="271" t="n">
        <f aca="false">J37-J35</f>
        <v>0.0846009513882886</v>
      </c>
      <c r="K38" s="271" t="n">
        <f aca="false">K37-K35</f>
        <v>0.0821009513882882</v>
      </c>
      <c r="L38" s="272" t="n">
        <f aca="false">J37-K37</f>
        <v>-0.00649999999999951</v>
      </c>
      <c r="M38" s="224"/>
      <c r="N38" s="225"/>
      <c r="O38" s="226"/>
      <c r="P38" s="277"/>
      <c r="Q38" s="167"/>
      <c r="R38" s="167"/>
      <c r="S38" s="167"/>
      <c r="T38" s="167"/>
      <c r="U38" s="167"/>
      <c r="V38" s="167"/>
      <c r="W38" s="167"/>
      <c r="X38" s="167"/>
      <c r="Y38" s="228" t="n">
        <f aca="false">DAY(EOMONTH(A38,0))</f>
        <v>31</v>
      </c>
      <c r="Z38" s="268" t="n">
        <v>37831</v>
      </c>
      <c r="AA38" s="230" t="e">
        <f aca="false">IF(AND(A38&gt;=Front!$E$11,A38&lt;=Front!$E$12),A38,"")</f>
        <v>#VALUE!</v>
      </c>
      <c r="AB38" s="231" t="e">
        <f aca="false">IF(AA38="","",VLOOKUP(MONTH(A37),Front!$W$6:$X$17,2)*IF(Front!D$9=0,Swap!Y38,1))</f>
        <v>#VALUE!</v>
      </c>
      <c r="AC38" s="274" t="e">
        <f aca="false">IF(AA38="","",AB38*AH38)</f>
        <v>#VALUE!</v>
      </c>
      <c r="AD38" s="254"/>
      <c r="AE38" s="231" t="e">
        <f aca="false">IF(AA38="","",AD38*AH38)</f>
        <v>#VALUE!</v>
      </c>
      <c r="AF38" s="243" t="n">
        <f aca="false">INDEX(IRTable,MATCH(A38,IRMonth,0),4)</f>
        <v>0.0364526633829243</v>
      </c>
      <c r="AG38" s="243" t="n">
        <f aca="false">AF38+$AG$9</f>
        <v>0.0364526633829243</v>
      </c>
      <c r="AH38" s="195" t="n">
        <f aca="false">1/((1+AG38/2)^(2*((A38-Front!$C$2)/365.25)))</f>
        <v>2.19283153467514</v>
      </c>
      <c r="AI38" s="236" t="e">
        <f aca="false">IF($AA38="","",E38*AC38)</f>
        <v>#VALUE!</v>
      </c>
      <c r="AJ38" s="236" t="e">
        <f aca="false">IF($AA38="","",E38*AE38)</f>
        <v>#VALUE!</v>
      </c>
      <c r="AK38" s="237" t="e">
        <f aca="false">IF($AA38="","",C38*AC38)</f>
        <v>#VALUE!</v>
      </c>
      <c r="AL38" s="160" t="n">
        <f aca="false">(AO38/10000)/30.5</f>
        <v>0</v>
      </c>
      <c r="AM38" s="238" t="n">
        <f aca="false">AD38/10000</f>
        <v>0</v>
      </c>
      <c r="AN38" s="238" t="n">
        <f aca="false">AD38*DAY(EOMONTH(A38,0))/10000</f>
        <v>0</v>
      </c>
      <c r="AO38" s="254"/>
      <c r="AP38" s="233"/>
      <c r="AQ38" s="254"/>
      <c r="AR38" s="240"/>
      <c r="AS38" s="240"/>
      <c r="AT38" s="0"/>
      <c r="AU38" s="12"/>
      <c r="AV38" s="240"/>
      <c r="AW38" s="240"/>
      <c r="AX38" s="0"/>
      <c r="AY38" s="238"/>
      <c r="AZ38" s="233"/>
      <c r="BA38" s="241"/>
      <c r="BB38" s="242"/>
      <c r="BC38" s="243" t="n">
        <v>3.527</v>
      </c>
      <c r="BD38" s="195" t="n">
        <f aca="false">BC38-E38</f>
        <v>0.0089999999999999</v>
      </c>
      <c r="BE38" s="251" t="n">
        <v>475.66064702</v>
      </c>
      <c r="BF38" s="245" t="n">
        <f aca="false">(BE38)*(D38*10)</f>
        <v>-42809.4582318</v>
      </c>
      <c r="BG38" s="167" t="n">
        <v>2031.01746656</v>
      </c>
      <c r="BH38" s="167" t="n">
        <v>-182.53085068</v>
      </c>
      <c r="BI38" s="247"/>
      <c r="BJ38" s="121"/>
      <c r="BK38" s="121"/>
      <c r="BL38" s="121"/>
      <c r="BM38" s="121"/>
      <c r="BN38" s="121"/>
      <c r="BO38" s="121"/>
      <c r="BP38" s="275" t="n">
        <v>37987</v>
      </c>
      <c r="BQ38" s="143" t="n">
        <v>3.447</v>
      </c>
      <c r="BR38" s="143" t="n">
        <v>0.3325</v>
      </c>
      <c r="BS38" s="143" t="n">
        <v>0.0364526633829243</v>
      </c>
      <c r="BT38" s="121"/>
    </row>
    <row r="39" customFormat="false" ht="15" hidden="false" customHeight="false" outlineLevel="0" collapsed="false">
      <c r="A39" s="273" t="n">
        <f aca="false">EOMONTH(A38,0)+1</f>
        <v>38018</v>
      </c>
      <c r="B39" s="215" t="n">
        <f aca="false">BD39*1000*-1</f>
        <v>-8.9999999999999</v>
      </c>
      <c r="C39" s="276" t="n">
        <v>3.413</v>
      </c>
      <c r="D39" s="217" t="n">
        <f aca="false">D38</f>
        <v>-9</v>
      </c>
      <c r="E39" s="218" t="n">
        <f aca="false">C39+D39/1000</f>
        <v>3.404</v>
      </c>
      <c r="F39" s="219" t="n">
        <f aca="false">(E39-E38)*1000</f>
        <v>-114</v>
      </c>
      <c r="G39" s="220" t="n">
        <f aca="false">(C39-C38)*1000</f>
        <v>-114</v>
      </c>
      <c r="H39" s="266" t="n">
        <f aca="false">E27-E39</f>
        <v>-0.0799999999999996</v>
      </c>
      <c r="I39" s="267" t="n">
        <f aca="false">C27-C39</f>
        <v>-0.0799999999999996</v>
      </c>
      <c r="J39" s="269" t="n">
        <f aca="false">Front!I17</f>
        <v>3.45118114607125</v>
      </c>
      <c r="K39" s="269" t="n">
        <f aca="false">Front!J17</f>
        <v>3.45518114607125</v>
      </c>
      <c r="L39" s="270" t="s">
        <v>133</v>
      </c>
      <c r="M39" s="224"/>
      <c r="N39" s="225"/>
      <c r="O39" s="226"/>
      <c r="P39" s="277"/>
      <c r="Q39" s="167"/>
      <c r="R39" s="167"/>
      <c r="S39" s="167"/>
      <c r="T39" s="167"/>
      <c r="U39" s="167"/>
      <c r="V39" s="167"/>
      <c r="W39" s="167"/>
      <c r="X39" s="167"/>
      <c r="Y39" s="228" t="n">
        <f aca="false">DAY(EOMONTH(A39,0))</f>
        <v>29</v>
      </c>
      <c r="Z39" s="268" t="n">
        <v>37860</v>
      </c>
      <c r="AA39" s="230" t="e">
        <f aca="false">IF(AND(A39&gt;=Front!$E$11,A39&lt;=Front!$E$12),A39,"")</f>
        <v>#VALUE!</v>
      </c>
      <c r="AB39" s="231" t="e">
        <f aca="false">IF(AA39="","",VLOOKUP(MONTH(A38),Front!$W$6:$X$17,2)*IF(Front!D$9=0,Swap!Y39,1))</f>
        <v>#VALUE!</v>
      </c>
      <c r="AC39" s="274" t="e">
        <f aca="false">IF(AA39="","",AB39*AH39)</f>
        <v>#VALUE!</v>
      </c>
      <c r="AD39" s="254"/>
      <c r="AE39" s="231" t="e">
        <f aca="false">IF(AA39="","",AD39*AH39)</f>
        <v>#VALUE!</v>
      </c>
      <c r="AF39" s="243" t="n">
        <f aca="false">INDEX(IRTable,MATCH(A39,IRMonth,0),4)</f>
        <v>0.036980820576094</v>
      </c>
      <c r="AG39" s="243" t="n">
        <f aca="false">AF39+$AG$9</f>
        <v>0.036980820576094</v>
      </c>
      <c r="AH39" s="195" t="n">
        <f aca="false">1/((1+AG39/2)^(2*((A39-Front!$C$2)/365.25)))</f>
        <v>2.2108047497799</v>
      </c>
      <c r="AI39" s="236" t="e">
        <f aca="false">IF($AA39="","",E39*AC39)</f>
        <v>#VALUE!</v>
      </c>
      <c r="AJ39" s="236" t="e">
        <f aca="false">IF($AA39="","",E39*AE39)</f>
        <v>#VALUE!</v>
      </c>
      <c r="AK39" s="237" t="e">
        <f aca="false">IF($AA39="","",C39*AC39)</f>
        <v>#VALUE!</v>
      </c>
      <c r="AL39" s="160" t="n">
        <f aca="false">(AO39/10000)/30.5</f>
        <v>0</v>
      </c>
      <c r="AM39" s="238" t="n">
        <f aca="false">AD39/10000</f>
        <v>0</v>
      </c>
      <c r="AN39" s="238" t="n">
        <f aca="false">AD39*DAY(EOMONTH(A39,0))/10000</f>
        <v>0</v>
      </c>
      <c r="AO39" s="254"/>
      <c r="AP39" s="233"/>
      <c r="AQ39" s="254"/>
      <c r="AR39" s="240"/>
      <c r="AS39" s="240"/>
      <c r="AT39" s="0"/>
      <c r="AU39" s="12"/>
      <c r="AV39" s="240"/>
      <c r="AW39" s="240"/>
      <c r="AX39" s="0"/>
      <c r="AY39" s="238"/>
      <c r="AZ39" s="233"/>
      <c r="BA39" s="241"/>
      <c r="BB39" s="242"/>
      <c r="BC39" s="243" t="n">
        <v>3.413</v>
      </c>
      <c r="BD39" s="195" t="n">
        <f aca="false">BC39-E39</f>
        <v>0.0089999999999999</v>
      </c>
      <c r="BE39" s="251" t="n">
        <v>57.53899719</v>
      </c>
      <c r="BF39" s="245" t="n">
        <f aca="false">(BE39)*(D39*10)</f>
        <v>-5178.5097471</v>
      </c>
      <c r="BG39" s="167" t="n">
        <v>4986.47053196</v>
      </c>
      <c r="BH39" s="167" t="n">
        <v>-180.8228625</v>
      </c>
      <c r="BI39" s="247"/>
      <c r="BJ39" s="121"/>
      <c r="BK39" s="121"/>
      <c r="BL39" s="121"/>
      <c r="BM39" s="121"/>
      <c r="BN39" s="121"/>
      <c r="BO39" s="121"/>
      <c r="BP39" s="275" t="n">
        <v>38018</v>
      </c>
      <c r="BQ39" s="143" t="n">
        <v>3.333</v>
      </c>
      <c r="BR39" s="143" t="n">
        <v>0.3275</v>
      </c>
      <c r="BS39" s="143" t="n">
        <v>0.036980820576094</v>
      </c>
      <c r="BT39" s="121"/>
    </row>
    <row r="40" customFormat="false" ht="15" hidden="false" customHeight="false" outlineLevel="0" collapsed="false">
      <c r="A40" s="273" t="n">
        <f aca="false">EOMONTH(A39,0)+1</f>
        <v>38047</v>
      </c>
      <c r="B40" s="215" t="n">
        <f aca="false">BD40*1000*-1</f>
        <v>-8.9999999999999</v>
      </c>
      <c r="C40" s="276" t="n">
        <v>3.281</v>
      </c>
      <c r="D40" s="217" t="n">
        <f aca="false">D39</f>
        <v>-9</v>
      </c>
      <c r="E40" s="218" t="n">
        <f aca="false">C40+D40/1000</f>
        <v>3.272</v>
      </c>
      <c r="F40" s="219" t="n">
        <f aca="false">(E40-E39)*1000</f>
        <v>-132</v>
      </c>
      <c r="G40" s="220" t="n">
        <f aca="false">(C40-C39)*1000</f>
        <v>-132</v>
      </c>
      <c r="H40" s="266" t="n">
        <f aca="false">E28-E40</f>
        <v>-0.0729999999999995</v>
      </c>
      <c r="I40" s="267" t="n">
        <f aca="false">C28-C40</f>
        <v>-0.0729999999999995</v>
      </c>
      <c r="J40" s="271" t="n">
        <f aca="false">J39-J37</f>
        <v>0.0874540636454113</v>
      </c>
      <c r="K40" s="271" t="n">
        <f aca="false">K39-K37</f>
        <v>0.0849540636454114</v>
      </c>
      <c r="L40" s="272" t="n">
        <f aca="false">J39-K39</f>
        <v>-0.00399999999999956</v>
      </c>
      <c r="M40" s="278"/>
      <c r="N40" s="278"/>
      <c r="O40" s="278"/>
      <c r="P40" s="277"/>
      <c r="Q40" s="167"/>
      <c r="R40" s="167"/>
      <c r="S40" s="167"/>
      <c r="T40" s="167"/>
      <c r="U40" s="167"/>
      <c r="V40" s="167"/>
      <c r="W40" s="167"/>
      <c r="X40" s="167"/>
      <c r="Y40" s="228" t="n">
        <f aca="false">DAY(EOMONTH(A40,0))</f>
        <v>31</v>
      </c>
      <c r="Z40" s="268" t="n">
        <v>37890</v>
      </c>
      <c r="AA40" s="230" t="e">
        <f aca="false">IF(AND(A40&gt;=Front!$E$11,A40&lt;=Front!$E$12),A40,"")</f>
        <v>#VALUE!</v>
      </c>
      <c r="AB40" s="231" t="e">
        <f aca="false">IF(AA40="","",VLOOKUP(MONTH(A39),Front!$W$6:$X$17,2)*IF(Front!D$9=0,Swap!Y40,1))</f>
        <v>#VALUE!</v>
      </c>
      <c r="AC40" s="274" t="e">
        <f aca="false">IF(AA40="","",AB40*AH40)</f>
        <v>#VALUE!</v>
      </c>
      <c r="AD40" s="254"/>
      <c r="AE40" s="231" t="e">
        <f aca="false">IF(AA40="","",AD40*AH40)</f>
        <v>#VALUE!</v>
      </c>
      <c r="AF40" s="243" t="n">
        <f aca="false">INDEX(IRTable,MATCH(A40,IRMonth,0),4)</f>
        <v>0.0374749031964976</v>
      </c>
      <c r="AG40" s="243" t="n">
        <f aca="false">AF40+$AG$9</f>
        <v>0.0374749031964976</v>
      </c>
      <c r="AH40" s="195" t="n">
        <f aca="false">1/((1+AG40/2)^(2*((A40-Front!$C$2)/365.25)))</f>
        <v>2.2275683536779</v>
      </c>
      <c r="AI40" s="236" t="e">
        <f aca="false">IF($AA40="","",E40*AC40)</f>
        <v>#VALUE!</v>
      </c>
      <c r="AJ40" s="236" t="e">
        <f aca="false">IF($AA40="","",E40*AE40)</f>
        <v>#VALUE!</v>
      </c>
      <c r="AK40" s="237" t="e">
        <f aca="false">IF($AA40="","",C40*AC40)</f>
        <v>#VALUE!</v>
      </c>
      <c r="AL40" s="160" t="n">
        <f aca="false">(AO40/10000)/30.5</f>
        <v>0</v>
      </c>
      <c r="AM40" s="238" t="n">
        <f aca="false">AD40/10000</f>
        <v>0</v>
      </c>
      <c r="AN40" s="238" t="n">
        <f aca="false">AD40*DAY(EOMONTH(A40,0))/10000</f>
        <v>0</v>
      </c>
      <c r="AO40" s="254"/>
      <c r="AP40" s="233"/>
      <c r="AQ40" s="254"/>
      <c r="AR40" s="240"/>
      <c r="AS40" s="240"/>
      <c r="AT40" s="0"/>
      <c r="AU40" s="12"/>
      <c r="AV40" s="240"/>
      <c r="AW40" s="240"/>
      <c r="AX40" s="0"/>
      <c r="AY40" s="238"/>
      <c r="AZ40" s="233"/>
      <c r="BA40" s="241"/>
      <c r="BB40" s="242"/>
      <c r="BC40" s="243" t="n">
        <v>3.281</v>
      </c>
      <c r="BD40" s="195" t="n">
        <f aca="false">BC40-E40</f>
        <v>0.0089999999999999</v>
      </c>
      <c r="BE40" s="251" t="n">
        <v>-25.09005725</v>
      </c>
      <c r="BF40" s="245" t="n">
        <f aca="false">(BE40)*(D40*10)</f>
        <v>2258.1051525</v>
      </c>
      <c r="BG40" s="167" t="n">
        <v>1697.08762169</v>
      </c>
      <c r="BH40" s="167" t="n">
        <v>-175.95866239</v>
      </c>
      <c r="BI40" s="247"/>
      <c r="BJ40" s="121"/>
      <c r="BK40" s="121"/>
      <c r="BL40" s="121"/>
      <c r="BM40" s="121"/>
      <c r="BN40" s="121"/>
      <c r="BO40" s="121"/>
      <c r="BP40" s="275" t="n">
        <v>38047</v>
      </c>
      <c r="BQ40" s="143" t="n">
        <v>3.201</v>
      </c>
      <c r="BR40" s="143" t="n">
        <v>0.315</v>
      </c>
      <c r="BS40" s="143" t="n">
        <v>0.0374749031964976</v>
      </c>
      <c r="BT40" s="121"/>
    </row>
    <row r="41" customFormat="false" ht="15" hidden="false" customHeight="false" outlineLevel="0" collapsed="false">
      <c r="A41" s="273" t="n">
        <f aca="false">EOMONTH(A40,0)+1</f>
        <v>38078</v>
      </c>
      <c r="B41" s="215" t="n">
        <f aca="false">BD41*1000*-1</f>
        <v>-8.9999999999999</v>
      </c>
      <c r="C41" s="276" t="n">
        <v>3.111</v>
      </c>
      <c r="D41" s="217" t="n">
        <f aca="false">D40</f>
        <v>-9</v>
      </c>
      <c r="E41" s="218" t="n">
        <f aca="false">C41+D41/1000</f>
        <v>3.102</v>
      </c>
      <c r="F41" s="219" t="n">
        <f aca="false">(E41-E40)*1000</f>
        <v>-170</v>
      </c>
      <c r="G41" s="220" t="n">
        <f aca="false">(C41-C40)*1000</f>
        <v>-170</v>
      </c>
      <c r="H41" s="266" t="n">
        <f aca="false">E29-E41</f>
        <v>-0.0629999999999997</v>
      </c>
      <c r="I41" s="267" t="n">
        <f aca="false">C29-C41</f>
        <v>-0.0629999999999997</v>
      </c>
      <c r="J41" s="279"/>
      <c r="K41" s="279"/>
      <c r="L41" s="279"/>
      <c r="M41" s="278"/>
      <c r="N41" s="278"/>
      <c r="O41" s="278"/>
      <c r="P41" s="277"/>
      <c r="Q41" s="167"/>
      <c r="R41" s="167"/>
      <c r="S41" s="167"/>
      <c r="T41" s="167"/>
      <c r="U41" s="167"/>
      <c r="V41" s="167"/>
      <c r="W41" s="167"/>
      <c r="X41" s="167"/>
      <c r="Y41" s="228" t="n">
        <f aca="false">DAY(EOMONTH(A41,0))</f>
        <v>30</v>
      </c>
      <c r="Z41" s="268" t="n">
        <v>37923</v>
      </c>
      <c r="AA41" s="230" t="e">
        <f aca="false">IF(AND(A41&gt;=Front!$E$11,A41&lt;=Front!$E$12),A41,"")</f>
        <v>#VALUE!</v>
      </c>
      <c r="AB41" s="231" t="e">
        <f aca="false">IF(AA41="","",VLOOKUP(MONTH(A40),Front!$W$6:$X$17,2)*IF(Front!D$9=0,Swap!Y41,1))</f>
        <v>#VALUE!</v>
      </c>
      <c r="AC41" s="274" t="e">
        <f aca="false">IF(AA41="","",AB41*AH41)</f>
        <v>#VALUE!</v>
      </c>
      <c r="AD41" s="254"/>
      <c r="AE41" s="231" t="e">
        <f aca="false">IF(AA41="","",AD41*AH41)</f>
        <v>#VALUE!</v>
      </c>
      <c r="AF41" s="243" t="n">
        <f aca="false">INDEX(IRTable,MATCH(A41,IRMonth,0),4)</f>
        <v>0.037967565308378</v>
      </c>
      <c r="AG41" s="243" t="n">
        <f aca="false">AF41+$AG$9</f>
        <v>0.037967565308378</v>
      </c>
      <c r="AH41" s="195" t="n">
        <f aca="false">1/((1+AG41/2)^(2*((A41-Front!$C$2)/365.25)))</f>
        <v>2.24375113618804</v>
      </c>
      <c r="AI41" s="236" t="e">
        <f aca="false">IF($AA41="","",E41*AC41)</f>
        <v>#VALUE!</v>
      </c>
      <c r="AJ41" s="236" t="e">
        <f aca="false">IF($AA41="","",E41*AE41)</f>
        <v>#VALUE!</v>
      </c>
      <c r="AK41" s="237" t="e">
        <f aca="false">IF($AA41="","",C41*AC41)</f>
        <v>#VALUE!</v>
      </c>
      <c r="AL41" s="160" t="n">
        <f aca="false">(AO41/10000)/30.5</f>
        <v>0</v>
      </c>
      <c r="AM41" s="238" t="n">
        <f aca="false">AD41/10000</f>
        <v>0</v>
      </c>
      <c r="AN41" s="238" t="n">
        <f aca="false">AD41*DAY(EOMONTH(A41,0))/10000</f>
        <v>0</v>
      </c>
      <c r="AO41" s="254"/>
      <c r="AP41" s="233"/>
      <c r="AQ41" s="254"/>
      <c r="AR41" s="240"/>
      <c r="AS41" s="240"/>
      <c r="AT41" s="0"/>
      <c r="AU41" s="12"/>
      <c r="AV41" s="240"/>
      <c r="AW41" s="240"/>
      <c r="AX41" s="0"/>
      <c r="AY41" s="238"/>
      <c r="AZ41" s="233"/>
      <c r="BA41" s="241"/>
      <c r="BB41" s="242"/>
      <c r="BC41" s="243" t="n">
        <v>3.111</v>
      </c>
      <c r="BD41" s="195" t="n">
        <f aca="false">BC41-E41</f>
        <v>0.0089999999999999</v>
      </c>
      <c r="BE41" s="251" t="n">
        <v>-49.648078</v>
      </c>
      <c r="BF41" s="245" t="n">
        <f aca="false">(BE41)*(D41*10)</f>
        <v>4468.32702</v>
      </c>
      <c r="BG41" s="167" t="n">
        <v>1649.27942468</v>
      </c>
      <c r="BH41" s="167" t="n">
        <v>-171.41771781</v>
      </c>
      <c r="BI41" s="247"/>
      <c r="BJ41" s="121"/>
      <c r="BK41" s="121"/>
      <c r="BL41" s="121"/>
      <c r="BM41" s="121"/>
      <c r="BN41" s="121"/>
      <c r="BO41" s="121"/>
      <c r="BP41" s="275" t="n">
        <v>38078</v>
      </c>
      <c r="BQ41" s="143" t="n">
        <v>3.031</v>
      </c>
      <c r="BR41" s="143" t="n">
        <v>0.2925</v>
      </c>
      <c r="BS41" s="143" t="n">
        <v>0.037967565308378</v>
      </c>
      <c r="BT41" s="121"/>
    </row>
    <row r="42" customFormat="false" ht="15" hidden="false" customHeight="false" outlineLevel="0" collapsed="false">
      <c r="A42" s="273" t="n">
        <f aca="false">EOMONTH(A41,0)+1</f>
        <v>38108</v>
      </c>
      <c r="B42" s="215" t="n">
        <f aca="false">BD42*1000*-1</f>
        <v>-8.9999999999999</v>
      </c>
      <c r="C42" s="276" t="n">
        <v>3.111</v>
      </c>
      <c r="D42" s="217" t="n">
        <f aca="false">D41</f>
        <v>-9</v>
      </c>
      <c r="E42" s="218" t="n">
        <f aca="false">C42+D42/1000</f>
        <v>3.102</v>
      </c>
      <c r="F42" s="219" t="n">
        <f aca="false">(E42-E41)*1000</f>
        <v>0</v>
      </c>
      <c r="G42" s="220" t="n">
        <f aca="false">(C42-C41)*1000</f>
        <v>0</v>
      </c>
      <c r="H42" s="266" t="n">
        <f aca="false">E30-E42</f>
        <v>-0.052</v>
      </c>
      <c r="I42" s="267" t="n">
        <f aca="false">C30-C42</f>
        <v>-0.052</v>
      </c>
      <c r="J42" s="279"/>
      <c r="K42" s="279"/>
      <c r="L42" s="279"/>
      <c r="M42" s="112"/>
      <c r="N42" s="112"/>
      <c r="O42" s="278"/>
      <c r="P42" s="277"/>
      <c r="Q42" s="167"/>
      <c r="R42" s="167"/>
      <c r="S42" s="167"/>
      <c r="T42" s="167"/>
      <c r="U42" s="167"/>
      <c r="V42" s="167"/>
      <c r="W42" s="167"/>
      <c r="X42" s="167"/>
      <c r="Y42" s="228" t="n">
        <f aca="false">DAY(EOMONTH(A42,0))</f>
        <v>31</v>
      </c>
      <c r="Z42" s="268" t="n">
        <v>37950</v>
      </c>
      <c r="AA42" s="230" t="e">
        <f aca="false">IF(AND(A42&gt;=Front!$E$11,A42&lt;=Front!$E$12),A42,"")</f>
        <v>#VALUE!</v>
      </c>
      <c r="AB42" s="231" t="e">
        <f aca="false">IF(AA42="","",VLOOKUP(MONTH(A41),Front!$W$6:$X$17,2)*IF(Front!D$9=0,Swap!Y42,1))</f>
        <v>#VALUE!</v>
      </c>
      <c r="AC42" s="274" t="e">
        <f aca="false">IF(AA42="","",AB42*AH42)</f>
        <v>#VALUE!</v>
      </c>
      <c r="AD42" s="254"/>
      <c r="AE42" s="231" t="e">
        <f aca="false">IF(AA42="","",AD42*AH42)</f>
        <v>#VALUE!</v>
      </c>
      <c r="AF42" s="243" t="n">
        <f aca="false">INDEX(IRTable,MATCH(A42,IRMonth,0),4)</f>
        <v>0.0384076948951022</v>
      </c>
      <c r="AG42" s="243" t="n">
        <f aca="false">AF42+$AG$9</f>
        <v>0.0384076948951022</v>
      </c>
      <c r="AH42" s="195" t="n">
        <f aca="false">1/((1+AG42/2)^(2*((A42-Front!$C$2)/365.25)))</f>
        <v>2.25760400954276</v>
      </c>
      <c r="AI42" s="236" t="e">
        <f aca="false">IF($AA42="","",E42*AC42)</f>
        <v>#VALUE!</v>
      </c>
      <c r="AJ42" s="236" t="e">
        <f aca="false">IF($AA42="","",E42*AE42)</f>
        <v>#VALUE!</v>
      </c>
      <c r="AK42" s="237" t="e">
        <f aca="false">IF($AA42="","",C42*AC42)</f>
        <v>#VALUE!</v>
      </c>
      <c r="AL42" s="160" t="n">
        <f aca="false">(AO42/10000)/30.5</f>
        <v>0</v>
      </c>
      <c r="AM42" s="238" t="n">
        <f aca="false">AD42/10000</f>
        <v>0</v>
      </c>
      <c r="AN42" s="238" t="n">
        <f aca="false">AD42*DAY(EOMONTH(A42,0))/10000</f>
        <v>0</v>
      </c>
      <c r="AO42" s="254"/>
      <c r="AP42" s="233"/>
      <c r="AQ42" s="254"/>
      <c r="AR42" s="240"/>
      <c r="AS42" s="240"/>
      <c r="AT42" s="0"/>
      <c r="AU42" s="12"/>
      <c r="AV42" s="240"/>
      <c r="AW42" s="240"/>
      <c r="AX42" s="0"/>
      <c r="AY42" s="238"/>
      <c r="AZ42" s="233"/>
      <c r="BA42" s="241"/>
      <c r="BB42" s="242"/>
      <c r="BC42" s="243" t="n">
        <v>3.111</v>
      </c>
      <c r="BD42" s="195" t="n">
        <f aca="false">BC42-E42</f>
        <v>0.0089999999999999</v>
      </c>
      <c r="BE42" s="251" t="n">
        <v>-415.0660545</v>
      </c>
      <c r="BF42" s="245" t="n">
        <f aca="false">(BE42)*(D42*10)</f>
        <v>37355.944905</v>
      </c>
      <c r="BG42" s="167" t="n">
        <v>4152.49336875</v>
      </c>
      <c r="BH42" s="167" t="n">
        <v>-231.18665737</v>
      </c>
      <c r="BI42" s="247"/>
      <c r="BJ42" s="121"/>
      <c r="BK42" s="121"/>
      <c r="BL42" s="121"/>
      <c r="BM42" s="121"/>
      <c r="BN42" s="121"/>
      <c r="BO42" s="121"/>
      <c r="BP42" s="275" t="n">
        <v>38108</v>
      </c>
      <c r="BQ42" s="143" t="n">
        <v>3.031</v>
      </c>
      <c r="BR42" s="143" t="n">
        <v>0.2875</v>
      </c>
      <c r="BS42" s="143" t="n">
        <v>0.0384076948951022</v>
      </c>
      <c r="BT42" s="121"/>
    </row>
    <row r="43" customFormat="false" ht="15" hidden="false" customHeight="false" outlineLevel="0" collapsed="false">
      <c r="A43" s="273" t="n">
        <f aca="false">EOMONTH(A42,0)+1</f>
        <v>38139</v>
      </c>
      <c r="B43" s="215" t="n">
        <f aca="false">BD43*1000*-1</f>
        <v>-8.9999999999999</v>
      </c>
      <c r="C43" s="276" t="n">
        <v>3.143</v>
      </c>
      <c r="D43" s="217" t="n">
        <f aca="false">D42</f>
        <v>-9</v>
      </c>
      <c r="E43" s="218" t="n">
        <f aca="false">C43+D43/1000</f>
        <v>3.134</v>
      </c>
      <c r="F43" s="219" t="n">
        <f aca="false">(E43-E42)*1000</f>
        <v>32</v>
      </c>
      <c r="G43" s="220" t="n">
        <f aca="false">(C43-C42)*1000</f>
        <v>32</v>
      </c>
      <c r="H43" s="266" t="n">
        <f aca="false">E31-E43</f>
        <v>-0.0560000000000001</v>
      </c>
      <c r="I43" s="267" t="n">
        <f aca="false">C31-C43</f>
        <v>-0.0560000000000001</v>
      </c>
      <c r="J43" s="279"/>
      <c r="K43" s="279"/>
      <c r="L43" s="279"/>
      <c r="M43" s="112"/>
      <c r="N43" s="112"/>
      <c r="O43" s="278"/>
      <c r="P43" s="277"/>
      <c r="Q43" s="167"/>
      <c r="R43" s="167"/>
      <c r="S43" s="167"/>
      <c r="T43" s="167"/>
      <c r="U43" s="167"/>
      <c r="V43" s="167"/>
      <c r="W43" s="167"/>
      <c r="X43" s="167"/>
      <c r="Y43" s="228" t="n">
        <f aca="false">DAY(EOMONTH(A43,0))</f>
        <v>30</v>
      </c>
      <c r="Z43" s="268" t="n">
        <v>37984</v>
      </c>
      <c r="AA43" s="230" t="e">
        <f aca="false">IF(AND(A43&gt;=Front!$E$11,A43&lt;=Front!$E$12),A43,"")</f>
        <v>#VALUE!</v>
      </c>
      <c r="AB43" s="231" t="e">
        <f aca="false">IF(AA43="","",VLOOKUP(MONTH(A42),Front!$W$6:$X$17,2)*IF(Front!D$9=0,Swap!Y43,1))</f>
        <v>#VALUE!</v>
      </c>
      <c r="AC43" s="274" t="e">
        <f aca="false">IF(AA43="","",AB43*AH43)</f>
        <v>#VALUE!</v>
      </c>
      <c r="AD43" s="254"/>
      <c r="AE43" s="231" t="e">
        <f aca="false">IF(AA43="","",AD43*AH43)</f>
        <v>#VALUE!</v>
      </c>
      <c r="AF43" s="243" t="n">
        <f aca="false">INDEX(IRTable,MATCH(A43,IRMonth,0),4)</f>
        <v>0.0388624955363848</v>
      </c>
      <c r="AG43" s="243" t="n">
        <f aca="false">AF43+$AG$9</f>
        <v>0.0388624955363848</v>
      </c>
      <c r="AH43" s="195" t="n">
        <f aca="false">1/((1+AG43/2)^(2*((A43-Front!$C$2)/365.25)))</f>
        <v>2.27183442910293</v>
      </c>
      <c r="AI43" s="236" t="e">
        <f aca="false">IF($AA43="","",E43*AC43)</f>
        <v>#VALUE!</v>
      </c>
      <c r="AJ43" s="236" t="e">
        <f aca="false">IF($AA43="","",E43*AE43)</f>
        <v>#VALUE!</v>
      </c>
      <c r="AK43" s="237" t="e">
        <f aca="false">IF($AA43="","",C43*AC43)</f>
        <v>#VALUE!</v>
      </c>
      <c r="AL43" s="160" t="n">
        <f aca="false">(AO43/10000)/30.5</f>
        <v>0</v>
      </c>
      <c r="AM43" s="238" t="n">
        <f aca="false">AD43/10000</f>
        <v>0</v>
      </c>
      <c r="AN43" s="238" t="n">
        <f aca="false">AD43*DAY(EOMONTH(A43,0))/10000</f>
        <v>0</v>
      </c>
      <c r="AO43" s="254"/>
      <c r="AP43" s="233"/>
      <c r="AQ43" s="254"/>
      <c r="AR43" s="240"/>
      <c r="AS43" s="240"/>
      <c r="AT43" s="0"/>
      <c r="AU43" s="12"/>
      <c r="AV43" s="240"/>
      <c r="AW43" s="240"/>
      <c r="AX43" s="0"/>
      <c r="AY43" s="238"/>
      <c r="AZ43" s="233"/>
      <c r="BA43" s="241"/>
      <c r="BB43" s="242"/>
      <c r="BC43" s="243" t="n">
        <v>3.143</v>
      </c>
      <c r="BD43" s="195" t="n">
        <f aca="false">BC43-E43</f>
        <v>0.0089999999999999</v>
      </c>
      <c r="BE43" s="251" t="n">
        <v>-19.75229074</v>
      </c>
      <c r="BF43" s="245" t="n">
        <f aca="false">(BE43)*(D43*10)</f>
        <v>1777.7061666</v>
      </c>
      <c r="BG43" s="167" t="n">
        <v>1948.14952905</v>
      </c>
      <c r="BH43" s="167" t="n">
        <v>-370.23884456</v>
      </c>
      <c r="BI43" s="247"/>
      <c r="BJ43" s="121"/>
      <c r="BK43" s="121"/>
      <c r="BL43" s="121"/>
      <c r="BM43" s="121"/>
      <c r="BN43" s="121"/>
      <c r="BO43" s="121"/>
      <c r="BP43" s="275" t="n">
        <v>38139</v>
      </c>
      <c r="BQ43" s="143" t="n">
        <v>3.063</v>
      </c>
      <c r="BR43" s="143" t="n">
        <v>0.285</v>
      </c>
      <c r="BS43" s="143" t="n">
        <v>0.0388624955363848</v>
      </c>
      <c r="BT43" s="121"/>
    </row>
    <row r="44" customFormat="false" ht="15" hidden="false" customHeight="false" outlineLevel="0" collapsed="false">
      <c r="A44" s="273" t="n">
        <f aca="false">EOMONTH(A43,0)+1</f>
        <v>38169</v>
      </c>
      <c r="B44" s="215" t="n">
        <f aca="false">BD44*1000*-1</f>
        <v>-8.9999999999999</v>
      </c>
      <c r="C44" s="276" t="n">
        <v>3.193</v>
      </c>
      <c r="D44" s="217" t="n">
        <f aca="false">D43</f>
        <v>-9</v>
      </c>
      <c r="E44" s="218" t="n">
        <f aca="false">C44+D44/1000</f>
        <v>3.184</v>
      </c>
      <c r="F44" s="219" t="n">
        <f aca="false">(E44-E43)*1000</f>
        <v>49.9999999999998</v>
      </c>
      <c r="G44" s="220" t="n">
        <f aca="false">(C44-C43)*1000</f>
        <v>49.9999999999998</v>
      </c>
      <c r="H44" s="266" t="n">
        <f aca="false">E32-E44</f>
        <v>-0.0859999999999999</v>
      </c>
      <c r="I44" s="267" t="n">
        <f aca="false">C32-C44</f>
        <v>-0.0859999999999999</v>
      </c>
      <c r="J44" s="279"/>
      <c r="K44" s="279"/>
      <c r="L44" s="279"/>
      <c r="M44" s="112"/>
      <c r="N44" s="112"/>
      <c r="O44" s="278"/>
      <c r="P44" s="277"/>
      <c r="Q44" s="167"/>
      <c r="R44" s="167"/>
      <c r="S44" s="167"/>
      <c r="T44" s="167"/>
      <c r="U44" s="167"/>
      <c r="V44" s="167"/>
      <c r="W44" s="167"/>
      <c r="X44" s="167"/>
      <c r="Y44" s="228" t="n">
        <f aca="false">DAY(EOMONTH(A44,0))</f>
        <v>31</v>
      </c>
      <c r="Z44" s="268" t="n">
        <v>38014</v>
      </c>
      <c r="AA44" s="230" t="e">
        <f aca="false">IF(AND(A44&gt;=Front!$E$11,A44&lt;=Front!$E$12),A44,"")</f>
        <v>#VALUE!</v>
      </c>
      <c r="AB44" s="231" t="e">
        <f aca="false">IF(AA44="","",VLOOKUP(MONTH(A43),Front!$W$6:$X$17,2)*IF(Front!D$9=0,Swap!Y44,1))</f>
        <v>#VALUE!</v>
      </c>
      <c r="AC44" s="274" t="e">
        <f aca="false">IF(AA44="","",AB44*AH44)</f>
        <v>#VALUE!</v>
      </c>
      <c r="AD44" s="254"/>
      <c r="AE44" s="231" t="e">
        <f aca="false">IF(AA44="","",AD44*AH44)</f>
        <v>#VALUE!</v>
      </c>
      <c r="AF44" s="243" t="n">
        <f aca="false">INDEX(IRTable,MATCH(A44,IRMonth,0),4)</f>
        <v>0.0392851046763427</v>
      </c>
      <c r="AG44" s="243" t="n">
        <f aca="false">AF44+$AG$9</f>
        <v>0.0392851046763427</v>
      </c>
      <c r="AH44" s="195" t="n">
        <f aca="false">1/((1+AG44/2)^(2*((A44-Front!$C$2)/365.25)))</f>
        <v>2.28468789621086</v>
      </c>
      <c r="AI44" s="236" t="e">
        <f aca="false">IF($AA44="","",E44*AC44)</f>
        <v>#VALUE!</v>
      </c>
      <c r="AJ44" s="236" t="e">
        <f aca="false">IF($AA44="","",E44*AE44)</f>
        <v>#VALUE!</v>
      </c>
      <c r="AK44" s="237" t="e">
        <f aca="false">IF($AA44="","",C44*AC44)</f>
        <v>#VALUE!</v>
      </c>
      <c r="AL44" s="160" t="n">
        <f aca="false">(AO44/10000)/30.5</f>
        <v>0</v>
      </c>
      <c r="AM44" s="238" t="n">
        <f aca="false">AD44/10000</f>
        <v>0</v>
      </c>
      <c r="AN44" s="238" t="n">
        <f aca="false">AD44*DAY(EOMONTH(A44,0))/10000</f>
        <v>0</v>
      </c>
      <c r="AO44" s="254"/>
      <c r="AP44" s="233"/>
      <c r="AQ44" s="254"/>
      <c r="AR44" s="240"/>
      <c r="AS44" s="240"/>
      <c r="AT44" s="0"/>
      <c r="AU44" s="12"/>
      <c r="AV44" s="240"/>
      <c r="AW44" s="240"/>
      <c r="AX44" s="0"/>
      <c r="AY44" s="238"/>
      <c r="AZ44" s="233"/>
      <c r="BA44" s="241"/>
      <c r="BB44" s="242"/>
      <c r="BC44" s="243" t="n">
        <v>3.193</v>
      </c>
      <c r="BD44" s="195" t="n">
        <f aca="false">BC44-E44</f>
        <v>0.0089999999999999</v>
      </c>
      <c r="BE44" s="251" t="n">
        <v>42.08871227</v>
      </c>
      <c r="BF44" s="245" t="n">
        <f aca="false">(BE44)*(D44*10)</f>
        <v>-3787.9841043</v>
      </c>
      <c r="BG44" s="167" t="n">
        <v>1758.3312454</v>
      </c>
      <c r="BH44" s="167" t="n">
        <v>-373.10305033</v>
      </c>
      <c r="BI44" s="247"/>
      <c r="BJ44" s="121"/>
      <c r="BK44" s="121"/>
      <c r="BL44" s="121"/>
      <c r="BM44" s="121"/>
      <c r="BN44" s="121"/>
      <c r="BO44" s="121"/>
      <c r="BP44" s="275" t="n">
        <v>38169</v>
      </c>
      <c r="BQ44" s="143" t="n">
        <v>3.113</v>
      </c>
      <c r="BR44" s="143" t="n">
        <v>0.285</v>
      </c>
      <c r="BS44" s="143" t="n">
        <v>0.0392851046763427</v>
      </c>
      <c r="BT44" s="121"/>
    </row>
    <row r="45" customFormat="false" ht="15" hidden="false" customHeight="false" outlineLevel="0" collapsed="false">
      <c r="A45" s="273" t="n">
        <f aca="false">EOMONTH(A44,0)+1</f>
        <v>38200</v>
      </c>
      <c r="B45" s="215" t="n">
        <f aca="false">BD45*1000*-1</f>
        <v>-8.9999999999999</v>
      </c>
      <c r="C45" s="276" t="n">
        <v>3.227</v>
      </c>
      <c r="D45" s="217" t="n">
        <f aca="false">D44</f>
        <v>-9</v>
      </c>
      <c r="E45" s="218" t="n">
        <f aca="false">C45+D45/1000</f>
        <v>3.218</v>
      </c>
      <c r="F45" s="219" t="n">
        <f aca="false">(E45-E44)*1000</f>
        <v>33.9999999999994</v>
      </c>
      <c r="G45" s="220" t="n">
        <f aca="false">(C45-C44)*1000</f>
        <v>33.9999999999994</v>
      </c>
      <c r="H45" s="266" t="n">
        <f aca="false">E33-E45</f>
        <v>-0.0999999999999992</v>
      </c>
      <c r="I45" s="267" t="n">
        <f aca="false">C33-C45</f>
        <v>-0.0999999999999992</v>
      </c>
      <c r="J45" s="112" t="s">
        <v>115</v>
      </c>
      <c r="K45" s="279"/>
      <c r="L45" s="279"/>
      <c r="M45" s="112"/>
      <c r="N45" s="112"/>
      <c r="O45" s="278"/>
      <c r="P45" s="278"/>
      <c r="Q45" s="167"/>
      <c r="R45" s="167"/>
      <c r="S45" s="167"/>
      <c r="T45" s="167"/>
      <c r="U45" s="167"/>
      <c r="V45" s="167"/>
      <c r="W45" s="167"/>
      <c r="X45" s="167"/>
      <c r="Y45" s="228" t="n">
        <f aca="false">DAY(EOMONTH(A45,0))</f>
        <v>31</v>
      </c>
      <c r="Z45" s="268" t="n">
        <v>38042</v>
      </c>
      <c r="AA45" s="230" t="e">
        <f aca="false">IF(AND(A45&gt;=Front!$E$11,A45&lt;=Front!$E$12),A45,"")</f>
        <v>#VALUE!</v>
      </c>
      <c r="AB45" s="231" t="e">
        <f aca="false">IF(AA45="","",VLOOKUP(MONTH(A44),Front!$W$6:$X$17,2)*IF(Front!D$9=0,Swap!Y45,1))</f>
        <v>#VALUE!</v>
      </c>
      <c r="AC45" s="274" t="e">
        <f aca="false">IF(AA45="","",AB45*AH45)</f>
        <v>#VALUE!</v>
      </c>
      <c r="AD45" s="254"/>
      <c r="AE45" s="231" t="e">
        <f aca="false">IF(AA45="","",AD45*AH45)</f>
        <v>#VALUE!</v>
      </c>
      <c r="AF45" s="243" t="n">
        <f aca="false">INDEX(IRTable,MATCH(A45,IRMonth,0),4)</f>
        <v>0.0397025735186389</v>
      </c>
      <c r="AG45" s="243" t="n">
        <f aca="false">AF45+$AG$9</f>
        <v>0.0397025735186389</v>
      </c>
      <c r="AH45" s="195" t="n">
        <f aca="false">1/((1+AG45/2)^(2*((A45-Front!$C$2)/365.25)))</f>
        <v>2.29696125980193</v>
      </c>
      <c r="AI45" s="236" t="e">
        <f aca="false">IF($AA45="","",E45*AC45)</f>
        <v>#VALUE!</v>
      </c>
      <c r="AJ45" s="236" t="e">
        <f aca="false">IF($AA45="","",E45*AE45)</f>
        <v>#VALUE!</v>
      </c>
      <c r="AK45" s="237" t="e">
        <f aca="false">IF($AA45="","",C45*AC45)</f>
        <v>#VALUE!</v>
      </c>
      <c r="AL45" s="160" t="n">
        <f aca="false">(AO45/10000)/30.5</f>
        <v>0</v>
      </c>
      <c r="AM45" s="238" t="n">
        <f aca="false">AD45/10000</f>
        <v>0</v>
      </c>
      <c r="AN45" s="238" t="n">
        <f aca="false">AD45*DAY(EOMONTH(A45,0))/10000</f>
        <v>0</v>
      </c>
      <c r="AO45" s="254"/>
      <c r="AP45" s="233"/>
      <c r="AQ45" s="254"/>
      <c r="AR45" s="240"/>
      <c r="AS45" s="240"/>
      <c r="AT45" s="0"/>
      <c r="AU45" s="12"/>
      <c r="AV45" s="240"/>
      <c r="AW45" s="240"/>
      <c r="AX45" s="0"/>
      <c r="AY45" s="238"/>
      <c r="AZ45" s="233"/>
      <c r="BA45" s="241"/>
      <c r="BB45" s="242"/>
      <c r="BC45" s="243" t="n">
        <v>3.227</v>
      </c>
      <c r="BD45" s="195" t="n">
        <f aca="false">BC45-E45</f>
        <v>0.0089999999999999</v>
      </c>
      <c r="BE45" s="251" t="n">
        <v>-7.43612926</v>
      </c>
      <c r="BF45" s="245" t="n">
        <f aca="false">(BE45)*(D45*10)</f>
        <v>669.2516334</v>
      </c>
      <c r="BG45" s="167" t="n">
        <v>-990.59833788</v>
      </c>
      <c r="BH45" s="167" t="n">
        <v>14.9305768</v>
      </c>
      <c r="BI45" s="247"/>
      <c r="BJ45" s="121"/>
      <c r="BK45" s="121"/>
      <c r="BL45" s="121"/>
      <c r="BM45" s="121"/>
      <c r="BN45" s="121"/>
      <c r="BO45" s="121"/>
      <c r="BP45" s="275" t="n">
        <v>38200</v>
      </c>
      <c r="BQ45" s="143" t="n">
        <v>3.147</v>
      </c>
      <c r="BR45" s="143" t="n">
        <v>0.285</v>
      </c>
      <c r="BS45" s="143" t="n">
        <v>0.0397025735186389</v>
      </c>
      <c r="BT45" s="121"/>
    </row>
    <row r="46" customFormat="false" ht="15" hidden="false" customHeight="false" outlineLevel="0" collapsed="false">
      <c r="A46" s="273" t="n">
        <f aca="false">EOMONTH(A45,0)+1</f>
        <v>38231</v>
      </c>
      <c r="B46" s="215" t="n">
        <f aca="false">BD46*1000*-1</f>
        <v>-8.9999999999999</v>
      </c>
      <c r="C46" s="276" t="n">
        <v>3.24</v>
      </c>
      <c r="D46" s="217" t="n">
        <f aca="false">D45</f>
        <v>-9</v>
      </c>
      <c r="E46" s="218" t="n">
        <f aca="false">C46+D46/1000</f>
        <v>3.231</v>
      </c>
      <c r="F46" s="219" t="n">
        <f aca="false">(E46-E45)*1000</f>
        <v>13.0000000000012</v>
      </c>
      <c r="G46" s="220" t="n">
        <f aca="false">(C46-C45)*1000</f>
        <v>13.0000000000012</v>
      </c>
      <c r="H46" s="266" t="n">
        <f aca="false">E34-E46</f>
        <v>-0.108</v>
      </c>
      <c r="I46" s="267" t="n">
        <f aca="false">C34-C46</f>
        <v>-0.108</v>
      </c>
      <c r="J46" s="279"/>
      <c r="K46" s="279"/>
      <c r="L46" s="279"/>
      <c r="M46" s="112"/>
      <c r="N46" s="112"/>
      <c r="O46" s="278"/>
      <c r="P46" s="278"/>
      <c r="Q46" s="167"/>
      <c r="R46" s="167"/>
      <c r="S46" s="167"/>
      <c r="T46" s="167"/>
      <c r="U46" s="167"/>
      <c r="V46" s="167"/>
      <c r="W46" s="167"/>
      <c r="X46" s="167"/>
      <c r="Y46" s="228" t="n">
        <f aca="false">DAY(EOMONTH(A46,0))</f>
        <v>30</v>
      </c>
      <c r="Z46" s="268" t="n">
        <v>38075</v>
      </c>
      <c r="AA46" s="230" t="e">
        <f aca="false">IF(AND(A46&gt;=Front!$E$11,A46&lt;=Front!$E$12),A46,"")</f>
        <v>#VALUE!</v>
      </c>
      <c r="AB46" s="231" t="e">
        <f aca="false">IF(AA46="","",VLOOKUP(MONTH(A45),Front!$W$6:$X$17,2)*IF(Front!D$9=0,Swap!Y46,1))</f>
        <v>#VALUE!</v>
      </c>
      <c r="AC46" s="274" t="e">
        <f aca="false">IF(AA46="","",AB46*AH46)</f>
        <v>#VALUE!</v>
      </c>
      <c r="AD46" s="254"/>
      <c r="AE46" s="231" t="e">
        <f aca="false">IF(AA46="","",AD46*AH46)</f>
        <v>#VALUE!</v>
      </c>
      <c r="AF46" s="243" t="n">
        <f aca="false">INDEX(IRTable,MATCH(A46,IRMonth,0),4)</f>
        <v>0.0401200424194181</v>
      </c>
      <c r="AG46" s="243" t="n">
        <f aca="false">AF46+$AG$9</f>
        <v>0.0401200424194181</v>
      </c>
      <c r="AH46" s="195" t="n">
        <f aca="false">1/((1+AG46/2)^(2*((A46-Front!$C$2)/365.25)))</f>
        <v>2.30913601128304</v>
      </c>
      <c r="AI46" s="236" t="e">
        <f aca="false">IF($AA46="","",E46*AC46)</f>
        <v>#VALUE!</v>
      </c>
      <c r="AJ46" s="236" t="e">
        <f aca="false">IF($AA46="","",E46*AE46)</f>
        <v>#VALUE!</v>
      </c>
      <c r="AK46" s="237" t="e">
        <f aca="false">IF($AA46="","",C46*AC46)</f>
        <v>#VALUE!</v>
      </c>
      <c r="AL46" s="160" t="n">
        <f aca="false">(AO46/10000)/30.5</f>
        <v>0</v>
      </c>
      <c r="AM46" s="238" t="n">
        <f aca="false">AD46/10000</f>
        <v>0</v>
      </c>
      <c r="AN46" s="238" t="n">
        <f aca="false">AD46*DAY(EOMONTH(A46,0))/10000</f>
        <v>0</v>
      </c>
      <c r="AO46" s="254"/>
      <c r="AP46" s="233"/>
      <c r="AQ46" s="254"/>
      <c r="AR46" s="240"/>
      <c r="AS46" s="240"/>
      <c r="AT46" s="0"/>
      <c r="AU46" s="12"/>
      <c r="AV46" s="240"/>
      <c r="AW46" s="240"/>
      <c r="AX46" s="0"/>
      <c r="AY46" s="238"/>
      <c r="AZ46" s="233"/>
      <c r="BA46" s="241"/>
      <c r="BB46" s="242"/>
      <c r="BC46" s="243" t="n">
        <v>3.24</v>
      </c>
      <c r="BD46" s="195" t="n">
        <f aca="false">BC46-E46</f>
        <v>0.0089999999999999</v>
      </c>
      <c r="BE46" s="251" t="n">
        <v>-6.73452591</v>
      </c>
      <c r="BF46" s="245" t="n">
        <f aca="false">(BE46)*(D46*10)</f>
        <v>606.1073319</v>
      </c>
      <c r="BG46" s="167" t="n">
        <v>234.93952529</v>
      </c>
      <c r="BH46" s="167" t="n">
        <v>23.14178036</v>
      </c>
      <c r="BI46" s="247"/>
      <c r="BJ46" s="121"/>
      <c r="BK46" s="121"/>
      <c r="BL46" s="121"/>
      <c r="BM46" s="121"/>
      <c r="BN46" s="121"/>
      <c r="BO46" s="121"/>
      <c r="BP46" s="275" t="n">
        <v>38231</v>
      </c>
      <c r="BQ46" s="143" t="n">
        <v>3.16</v>
      </c>
      <c r="BR46" s="143" t="n">
        <v>0.2875</v>
      </c>
      <c r="BS46" s="143" t="n">
        <v>0.0401200424194181</v>
      </c>
      <c r="BT46" s="121"/>
    </row>
    <row r="47" customFormat="false" ht="15" hidden="false" customHeight="false" outlineLevel="0" collapsed="false">
      <c r="A47" s="280" t="n">
        <f aca="false">EOMONTH(A46,0)+1</f>
        <v>38261</v>
      </c>
      <c r="B47" s="215" t="n">
        <f aca="false">BD47*1000*-1</f>
        <v>-8.9999999999999</v>
      </c>
      <c r="C47" s="281" t="n">
        <v>3.232</v>
      </c>
      <c r="D47" s="282" t="n">
        <f aca="false">(E47-C47)*1000</f>
        <v>-8.9999999999999</v>
      </c>
      <c r="E47" s="283" t="n">
        <f aca="false">-K47+E35+L47</f>
        <v>3.223</v>
      </c>
      <c r="F47" s="219" t="n">
        <f aca="false">(E47-E46)*1000</f>
        <v>-8.0000000000009</v>
      </c>
      <c r="G47" s="220" t="n">
        <f aca="false">(C47-C46)*1000</f>
        <v>-8.0000000000009</v>
      </c>
      <c r="H47" s="266" t="n">
        <f aca="false">E35-E47</f>
        <v>-0.0899999999999999</v>
      </c>
      <c r="I47" s="267" t="n">
        <f aca="false">C35-C47</f>
        <v>-0.0899999999999999</v>
      </c>
      <c r="J47" s="279" t="n">
        <f aca="false">BD47</f>
        <v>0.0089999999999999</v>
      </c>
      <c r="K47" s="284" t="n">
        <v>-0.09</v>
      </c>
      <c r="L47" s="285"/>
      <c r="M47" s="286"/>
      <c r="N47" s="112"/>
      <c r="O47" s="278"/>
      <c r="P47" s="277"/>
      <c r="Q47" s="167"/>
      <c r="R47" s="167"/>
      <c r="S47" s="167"/>
      <c r="T47" s="167"/>
      <c r="U47" s="167"/>
      <c r="V47" s="167"/>
      <c r="W47" s="167"/>
      <c r="X47" s="167"/>
      <c r="Y47" s="228" t="n">
        <f aca="false">DAY(EOMONTH(A47,0))</f>
        <v>31</v>
      </c>
      <c r="Z47" s="268" t="n">
        <v>38105</v>
      </c>
      <c r="AA47" s="230" t="e">
        <f aca="false">IF(AND(A47&gt;=Front!$E$11,A47&lt;=Front!$E$12),A47,"")</f>
        <v>#VALUE!</v>
      </c>
      <c r="AB47" s="231" t="e">
        <f aca="false">IF(AA47="","",VLOOKUP(MONTH(A46),Front!$W$6:$X$17,2)*IF(Front!D$9=0,Swap!Y47,1))</f>
        <v>#VALUE!</v>
      </c>
      <c r="AC47" s="274" t="e">
        <f aca="false">IF(AA47="","",AB47*AH47)</f>
        <v>#VALUE!</v>
      </c>
      <c r="AD47" s="254"/>
      <c r="AE47" s="231" t="e">
        <f aca="false">IF(AA47="","",AD47*AH47)</f>
        <v>#VALUE!</v>
      </c>
      <c r="AF47" s="243" t="n">
        <f aca="false">INDEX(IRTable,MATCH(A47,IRMonth,0),4)</f>
        <v>0.0405070341857994</v>
      </c>
      <c r="AG47" s="243" t="n">
        <f aca="false">AF47+$AG$9</f>
        <v>0.0405070341857994</v>
      </c>
      <c r="AH47" s="195" t="n">
        <f aca="false">1/((1+AG47/2)^(2*((A47-Front!$C$2)/365.25)))</f>
        <v>2.32001017074728</v>
      </c>
      <c r="AI47" s="236" t="e">
        <f aca="false">IF($AA47="","",E47*AC47)</f>
        <v>#VALUE!</v>
      </c>
      <c r="AJ47" s="236" t="e">
        <f aca="false">IF($AA47="","",E47*AE47)</f>
        <v>#VALUE!</v>
      </c>
      <c r="AK47" s="237" t="e">
        <f aca="false">IF($AA47="","",C47*AC47)</f>
        <v>#VALUE!</v>
      </c>
      <c r="AL47" s="160" t="n">
        <f aca="false">(AO47/10000)/30.5</f>
        <v>0</v>
      </c>
      <c r="AM47" s="238" t="n">
        <f aca="false">AD47/10000</f>
        <v>0</v>
      </c>
      <c r="AN47" s="238" t="n">
        <f aca="false">AD47*DAY(EOMONTH(A47,0))/10000</f>
        <v>0</v>
      </c>
      <c r="AO47" s="254"/>
      <c r="AP47" s="233"/>
      <c r="AQ47" s="254"/>
      <c r="AR47" s="240"/>
      <c r="AS47" s="240"/>
      <c r="AT47" s="0"/>
      <c r="AU47" s="12"/>
      <c r="AV47" s="240"/>
      <c r="AW47" s="240"/>
      <c r="AX47" s="0"/>
      <c r="AY47" s="238"/>
      <c r="AZ47" s="233"/>
      <c r="BA47" s="241"/>
      <c r="BB47" s="242"/>
      <c r="BC47" s="243" t="n">
        <v>3.232</v>
      </c>
      <c r="BD47" s="195" t="n">
        <f aca="false">BC47-E47</f>
        <v>0.0089999999999999</v>
      </c>
      <c r="BE47" s="251" t="n">
        <v>-12.82978099</v>
      </c>
      <c r="BF47" s="245" t="n">
        <f aca="false">(BE47)*(D47*10)</f>
        <v>1154.68028909999</v>
      </c>
      <c r="BG47" s="121" t="n">
        <v>-511.99798897</v>
      </c>
      <c r="BH47" s="121" t="n">
        <v>21.04459082</v>
      </c>
      <c r="BI47" s="247"/>
      <c r="BJ47" s="121"/>
      <c r="BK47" s="121"/>
      <c r="BL47" s="121"/>
      <c r="BM47" s="121"/>
      <c r="BN47" s="121"/>
      <c r="BO47" s="121"/>
      <c r="BP47" s="275" t="n">
        <v>38261</v>
      </c>
      <c r="BQ47" s="143" t="n">
        <v>3.182</v>
      </c>
      <c r="BR47" s="143" t="n">
        <v>0.2875</v>
      </c>
      <c r="BS47" s="143" t="n">
        <v>0.0405070341857994</v>
      </c>
      <c r="BT47" s="121"/>
    </row>
    <row r="48" customFormat="false" ht="15" hidden="false" customHeight="false" outlineLevel="0" collapsed="false">
      <c r="A48" s="280" t="n">
        <f aca="false">EOMONTH(A47,0)+1</f>
        <v>38292</v>
      </c>
      <c r="B48" s="215" t="n">
        <f aca="false">BD48*1000*-1</f>
        <v>-8.9999999999999</v>
      </c>
      <c r="C48" s="281" t="n">
        <v>3.402</v>
      </c>
      <c r="D48" s="282" t="n">
        <f aca="false">(E48-C48)*1000</f>
        <v>-8.9999999999999</v>
      </c>
      <c r="E48" s="283" t="n">
        <f aca="false">-K48+E36+L48</f>
        <v>3.393</v>
      </c>
      <c r="F48" s="219" t="n">
        <f aca="false">(E48-E47)*1000</f>
        <v>170.000000000001</v>
      </c>
      <c r="G48" s="220" t="n">
        <f aca="false">(C48-C47)*1000</f>
        <v>170.000000000001</v>
      </c>
      <c r="H48" s="266" t="n">
        <f aca="false">E36-E48</f>
        <v>-0.0950000000000002</v>
      </c>
      <c r="I48" s="267" t="n">
        <f aca="false">C36-C48</f>
        <v>-0.0950000000000002</v>
      </c>
      <c r="J48" s="279" t="n">
        <f aca="false">BD48</f>
        <v>0.0089999999999999</v>
      </c>
      <c r="K48" s="284" t="n">
        <v>-0.095</v>
      </c>
      <c r="L48" s="285"/>
      <c r="M48" s="286"/>
      <c r="N48" s="112"/>
      <c r="O48" s="278"/>
      <c r="P48" s="277"/>
      <c r="Q48" s="167"/>
      <c r="R48" s="167"/>
      <c r="S48" s="167"/>
      <c r="T48" s="167"/>
      <c r="U48" s="167"/>
      <c r="V48" s="167"/>
      <c r="W48" s="167"/>
      <c r="X48" s="167"/>
      <c r="Y48" s="228" t="n">
        <f aca="false">DAY(EOMONTH(A48,0))</f>
        <v>30</v>
      </c>
      <c r="Z48" s="268" t="n">
        <v>38133</v>
      </c>
      <c r="AA48" s="230" t="e">
        <f aca="false">IF(AND(A48&gt;=Front!$E$11,A48&lt;=Front!$E$12),A48,"")</f>
        <v>#VALUE!</v>
      </c>
      <c r="AB48" s="231" t="e">
        <f aca="false">IF(AA48="","",VLOOKUP(MONTH(A47),Front!$W$6:$X$17,2)*IF(Front!D$9=0,Swap!Y48,1))</f>
        <v>#VALUE!</v>
      </c>
      <c r="AC48" s="274" t="e">
        <f aca="false">IF(AA48="","",AB48*AH48)</f>
        <v>#VALUE!</v>
      </c>
      <c r="AD48" s="254"/>
      <c r="AE48" s="231" t="e">
        <f aca="false">IF(AA48="","",AD48*AH48)</f>
        <v>#VALUE!</v>
      </c>
      <c r="AF48" s="243" t="n">
        <f aca="false">INDEX(IRTable,MATCH(A48,IRMonth,0),4)</f>
        <v>0.0408905733660889</v>
      </c>
      <c r="AG48" s="243" t="n">
        <f aca="false">AF48+$AG$9</f>
        <v>0.0408905733660889</v>
      </c>
      <c r="AH48" s="195" t="n">
        <f aca="false">1/((1+AG48/2)^(2*((A48-Front!$C$2)/365.25)))</f>
        <v>2.33036367310492</v>
      </c>
      <c r="AI48" s="236" t="e">
        <f aca="false">IF($AA48="","",E48*AC48)</f>
        <v>#VALUE!</v>
      </c>
      <c r="AJ48" s="236" t="e">
        <f aca="false">IF($AA48="","",E48*AE48)</f>
        <v>#VALUE!</v>
      </c>
      <c r="AK48" s="237" t="e">
        <f aca="false">IF($AA48="","",C48*AC48)</f>
        <v>#VALUE!</v>
      </c>
      <c r="AL48" s="160" t="n">
        <f aca="false">(AO48/10000)/30.5</f>
        <v>0</v>
      </c>
      <c r="AM48" s="238" t="n">
        <f aca="false">AD48/10000</f>
        <v>0</v>
      </c>
      <c r="AN48" s="238" t="n">
        <f aca="false">AD48*DAY(EOMONTH(A48,0))/10000</f>
        <v>0</v>
      </c>
      <c r="AO48" s="254"/>
      <c r="AP48" s="233"/>
      <c r="AQ48" s="254"/>
      <c r="AR48" s="240"/>
      <c r="AS48" s="240"/>
      <c r="AT48" s="0"/>
      <c r="AU48" s="12"/>
      <c r="AV48" s="240"/>
      <c r="AW48" s="240"/>
      <c r="AX48" s="0"/>
      <c r="AY48" s="238"/>
      <c r="AZ48" s="233"/>
      <c r="BA48" s="241"/>
      <c r="BB48" s="242"/>
      <c r="BC48" s="243" t="n">
        <v>3.402</v>
      </c>
      <c r="BD48" s="195" t="n">
        <f aca="false">BC48-E48</f>
        <v>0.0089999999999999</v>
      </c>
      <c r="BE48" s="251" t="n">
        <v>-32.91137522</v>
      </c>
      <c r="BF48" s="245" t="n">
        <f aca="false">(BE48)*(D48*10)</f>
        <v>2962.02376979997</v>
      </c>
      <c r="BG48" s="121" t="n">
        <v>-377.52229501</v>
      </c>
      <c r="BH48" s="121" t="n">
        <v>19.75313393</v>
      </c>
      <c r="BI48" s="247"/>
      <c r="BJ48" s="121"/>
      <c r="BK48" s="121"/>
      <c r="BL48" s="121"/>
      <c r="BM48" s="121"/>
      <c r="BN48" s="121"/>
      <c r="BO48" s="121"/>
      <c r="BP48" s="275" t="n">
        <v>38292</v>
      </c>
      <c r="BQ48" s="143" t="n">
        <v>3.352</v>
      </c>
      <c r="BR48" s="143" t="n">
        <v>0.285</v>
      </c>
      <c r="BS48" s="143" t="n">
        <v>0.0408905733660889</v>
      </c>
      <c r="BT48" s="121"/>
    </row>
    <row r="49" customFormat="false" ht="15" hidden="false" customHeight="false" outlineLevel="0" collapsed="false">
      <c r="A49" s="280" t="n">
        <f aca="false">EOMONTH(A48,0)+1</f>
        <v>38322</v>
      </c>
      <c r="B49" s="215" t="n">
        <f aca="false">BD49*1000*-1</f>
        <v>-8.9999999999999</v>
      </c>
      <c r="C49" s="281" t="n">
        <v>3.577</v>
      </c>
      <c r="D49" s="282" t="n">
        <f aca="false">(E49-C49)*1000</f>
        <v>-8.9999999999999</v>
      </c>
      <c r="E49" s="283" t="n">
        <f aca="false">-K49+E37+L49</f>
        <v>3.568</v>
      </c>
      <c r="F49" s="219" t="n">
        <f aca="false">(E49-E48)*1000</f>
        <v>175</v>
      </c>
      <c r="G49" s="220" t="n">
        <f aca="false">(C49-C48)*1000</f>
        <v>175</v>
      </c>
      <c r="H49" s="266" t="n">
        <f aca="false">E37-E49</f>
        <v>-0.105</v>
      </c>
      <c r="I49" s="267" t="n">
        <f aca="false">C37-C49</f>
        <v>-0.105</v>
      </c>
      <c r="J49" s="279" t="n">
        <f aca="false">BD49</f>
        <v>0.0089999999999999</v>
      </c>
      <c r="K49" s="284" t="n">
        <v>-0.105</v>
      </c>
      <c r="L49" s="285"/>
      <c r="M49" s="286"/>
      <c r="N49" s="112"/>
      <c r="O49" s="278"/>
      <c r="P49" s="277"/>
      <c r="Q49" s="167"/>
      <c r="R49" s="167"/>
      <c r="S49" s="167"/>
      <c r="T49" s="167"/>
      <c r="U49" s="167"/>
      <c r="V49" s="167"/>
      <c r="W49" s="167"/>
      <c r="X49" s="167"/>
      <c r="Y49" s="228" t="n">
        <f aca="false">DAY(EOMONTH(A49,0))</f>
        <v>31</v>
      </c>
      <c r="Z49" s="268" t="n">
        <v>38166</v>
      </c>
      <c r="AA49" s="230" t="e">
        <f aca="false">IF(AND(A49&gt;=Front!$E$11,A49&lt;=Front!$E$12),A49,"")</f>
        <v>#VALUE!</v>
      </c>
      <c r="AB49" s="231" t="e">
        <f aca="false">IF(AA49="","",VLOOKUP(MONTH(A48),Front!$W$6:$X$17,2)*IF(Front!D$9=0,Swap!Y49,1))</f>
        <v>#VALUE!</v>
      </c>
      <c r="AC49" s="274" t="e">
        <f aca="false">IF(AA49="","",AB49*AH49)</f>
        <v>#VALUE!</v>
      </c>
      <c r="AD49" s="254"/>
      <c r="AE49" s="231" t="e">
        <f aca="false">IF(AA49="","",AD49*AH49)</f>
        <v>#VALUE!</v>
      </c>
      <c r="AF49" s="243" t="n">
        <f aca="false">INDEX(IRTable,MATCH(A49,IRMonth,0),4)</f>
        <v>0.0412617403617297</v>
      </c>
      <c r="AG49" s="243" t="n">
        <f aca="false">AF49+$AG$9</f>
        <v>0.0412617403617297</v>
      </c>
      <c r="AH49" s="195" t="n">
        <f aca="false">1/((1+AG49/2)^(2*((A49-Front!$C$2)/365.25)))</f>
        <v>2.34028172675923</v>
      </c>
      <c r="AI49" s="236" t="e">
        <f aca="false">IF($AA49="","",E49*AC49)</f>
        <v>#VALUE!</v>
      </c>
      <c r="AJ49" s="236" t="e">
        <f aca="false">IF($AA49="","",E49*AE49)</f>
        <v>#VALUE!</v>
      </c>
      <c r="AK49" s="237" t="e">
        <f aca="false">IF($AA49="","",C49*AC49)</f>
        <v>#VALUE!</v>
      </c>
      <c r="AL49" s="160" t="n">
        <f aca="false">(AO49/10000)/30.5</f>
        <v>0</v>
      </c>
      <c r="AM49" s="238" t="n">
        <f aca="false">AD49/10000</f>
        <v>0</v>
      </c>
      <c r="AN49" s="238" t="n">
        <f aca="false">AD49*DAY(EOMONTH(A49,0))/10000</f>
        <v>0</v>
      </c>
      <c r="AO49" s="254"/>
      <c r="AP49" s="233"/>
      <c r="AQ49" s="254"/>
      <c r="AR49" s="240"/>
      <c r="AS49" s="240"/>
      <c r="AT49" s="240"/>
      <c r="AU49" s="12"/>
      <c r="AV49" s="240"/>
      <c r="AW49" s="240"/>
      <c r="AX49" s="0"/>
      <c r="AY49" s="238"/>
      <c r="AZ49" s="233"/>
      <c r="BA49" s="241"/>
      <c r="BB49" s="242"/>
      <c r="BC49" s="243" t="n">
        <v>3.577</v>
      </c>
      <c r="BD49" s="195" t="n">
        <f aca="false">BC49-E49</f>
        <v>0.0089999999999999</v>
      </c>
      <c r="BE49" s="251" t="n">
        <v>-47.0412183</v>
      </c>
      <c r="BF49" s="245" t="n">
        <f aca="false">(BE49)*(D49*10)</f>
        <v>4233.70964699995</v>
      </c>
      <c r="BG49" s="121" t="n">
        <v>-365.20052125</v>
      </c>
      <c r="BH49" s="121" t="n">
        <v>18.88853588</v>
      </c>
      <c r="BI49" s="247"/>
      <c r="BJ49" s="121"/>
      <c r="BK49" s="121"/>
      <c r="BL49" s="121"/>
      <c r="BM49" s="121"/>
      <c r="BN49" s="121"/>
      <c r="BO49" s="121"/>
      <c r="BP49" s="275" t="n">
        <v>38322</v>
      </c>
      <c r="BQ49" s="143" t="n">
        <v>3.527</v>
      </c>
      <c r="BR49" s="143" t="n">
        <v>0.2825</v>
      </c>
      <c r="BS49" s="143" t="n">
        <v>0.0412617403617297</v>
      </c>
      <c r="BT49" s="121"/>
    </row>
    <row r="50" customFormat="false" ht="15" hidden="false" customHeight="false" outlineLevel="0" collapsed="false">
      <c r="A50" s="280" t="n">
        <f aca="false">EOMONTH(A49,0)+1</f>
        <v>38353</v>
      </c>
      <c r="B50" s="215" t="n">
        <f aca="false">BD50*1000*-1</f>
        <v>-6.49999999999995</v>
      </c>
      <c r="C50" s="281" t="n">
        <v>3.6095</v>
      </c>
      <c r="D50" s="282" t="n">
        <f aca="false">(E50-C50)*1000</f>
        <v>-6.49999999999995</v>
      </c>
      <c r="E50" s="283" t="n">
        <f aca="false">VLOOKUP(YEAR(A50),Yr_Sprds,2)+E38</f>
        <v>3.603</v>
      </c>
      <c r="F50" s="219" t="n">
        <f aca="false">(E50-E49)*1000</f>
        <v>34.9999999999997</v>
      </c>
      <c r="G50" s="220" t="n">
        <f aca="false">(C50-C49)*1000</f>
        <v>32.4999999999998</v>
      </c>
      <c r="H50" s="266" t="n">
        <f aca="false">E38-E50</f>
        <v>-0.085</v>
      </c>
      <c r="I50" s="267" t="n">
        <f aca="false">C38-C50</f>
        <v>-0.0825</v>
      </c>
      <c r="J50" s="279" t="n">
        <f aca="false">BD50</f>
        <v>0.00649999999999995</v>
      </c>
      <c r="K50" s="284"/>
      <c r="L50" s="285"/>
      <c r="M50" s="286"/>
      <c r="N50" s="112"/>
      <c r="O50" s="278"/>
      <c r="P50" s="277"/>
      <c r="Q50" s="167"/>
      <c r="R50" s="167"/>
      <c r="S50" s="167"/>
      <c r="T50" s="167"/>
      <c r="U50" s="167"/>
      <c r="V50" s="167"/>
      <c r="W50" s="167"/>
      <c r="X50" s="167"/>
      <c r="Y50" s="228" t="n">
        <f aca="false">DAY(EOMONTH(A50,0))</f>
        <v>31</v>
      </c>
      <c r="Z50" s="268" t="n">
        <v>38196</v>
      </c>
      <c r="AA50" s="230" t="e">
        <f aca="false">IF(AND(A50&gt;=Front!$E$11,A50&lt;=Front!$E$12),A50,"")</f>
        <v>#VALUE!</v>
      </c>
      <c r="AB50" s="231" t="e">
        <f aca="false">IF(AA50="","",VLOOKUP(MONTH(A49),Front!$W$6:$X$17,2)*IF(Front!D$9=0,Swap!Y50,1))</f>
        <v>#VALUE!</v>
      </c>
      <c r="AC50" s="274" t="e">
        <f aca="false">IF(AA50="","",AB50*AH50)</f>
        <v>#VALUE!</v>
      </c>
      <c r="AD50" s="254"/>
      <c r="AE50" s="231" t="e">
        <f aca="false">IF(AA50="","",AD50*AH50)</f>
        <v>#VALUE!</v>
      </c>
      <c r="AF50" s="243" t="n">
        <f aca="false">INDEX(IRTable,MATCH(A50,IRMonth,0),4)</f>
        <v>0.0416369991837109</v>
      </c>
      <c r="AG50" s="243" t="n">
        <f aca="false">AF50+$AG$9</f>
        <v>0.0416369991837109</v>
      </c>
      <c r="AH50" s="195" t="n">
        <f aca="false">1/((1+AG50/2)^(2*((A50-Front!$C$2)/365.25)))</f>
        <v>2.35002854796641</v>
      </c>
      <c r="AI50" s="236" t="e">
        <f aca="false">IF($AA50="","",E50*AC50)</f>
        <v>#VALUE!</v>
      </c>
      <c r="AJ50" s="236" t="e">
        <f aca="false">IF($AA50="","",E50*AE50)</f>
        <v>#VALUE!</v>
      </c>
      <c r="AK50" s="237" t="e">
        <f aca="false">IF($AA50="","",C50*AC50)</f>
        <v>#VALUE!</v>
      </c>
      <c r="AL50" s="160" t="n">
        <f aca="false">(AO50/10000)/30.5</f>
        <v>0</v>
      </c>
      <c r="AM50" s="238" t="n">
        <f aca="false">AD50/10000</f>
        <v>0</v>
      </c>
      <c r="AN50" s="238" t="n">
        <f aca="false">AD50*DAY(EOMONTH(A50,0))/10000</f>
        <v>0</v>
      </c>
      <c r="AO50" s="254"/>
      <c r="AP50" s="233"/>
      <c r="AQ50" s="254"/>
      <c r="AR50" s="240"/>
      <c r="AS50" s="240"/>
      <c r="AT50" s="240"/>
      <c r="AU50" s="12"/>
      <c r="AV50" s="240"/>
      <c r="AW50" s="240"/>
      <c r="AX50" s="0"/>
      <c r="AY50" s="238"/>
      <c r="AZ50" s="233"/>
      <c r="BA50" s="241"/>
      <c r="BB50" s="242"/>
      <c r="BC50" s="243" t="n">
        <v>3.6095</v>
      </c>
      <c r="BD50" s="195" t="n">
        <f aca="false">BC50-E50</f>
        <v>0.00649999999999995</v>
      </c>
      <c r="BE50" s="251" t="n">
        <v>314.80379159</v>
      </c>
      <c r="BF50" s="245" t="n">
        <f aca="false">(BE50)*(D50*10)</f>
        <v>-20462.2464533498</v>
      </c>
      <c r="BG50" s="121" t="n">
        <v>-364.03875963</v>
      </c>
      <c r="BH50" s="121" t="n">
        <v>19.48506474</v>
      </c>
      <c r="BI50" s="247"/>
      <c r="BJ50" s="121"/>
      <c r="BK50" s="121"/>
      <c r="BL50" s="121"/>
      <c r="BM50" s="121"/>
      <c r="BN50" s="121"/>
      <c r="BO50" s="121"/>
      <c r="BP50" s="275" t="n">
        <v>38353</v>
      </c>
      <c r="BQ50" s="143" t="n">
        <v>3.527</v>
      </c>
      <c r="BR50" s="143" t="n">
        <v>0.285</v>
      </c>
      <c r="BS50" s="143" t="n">
        <v>0.0416369991837109</v>
      </c>
      <c r="BT50" s="121"/>
    </row>
    <row r="51" customFormat="false" ht="15" hidden="false" customHeight="false" outlineLevel="0" collapsed="false">
      <c r="A51" s="280" t="n">
        <f aca="false">EOMONTH(A50,0)+1</f>
        <v>38384</v>
      </c>
      <c r="B51" s="215" t="n">
        <f aca="false">BD51*1000*-1</f>
        <v>-6.49999999999995</v>
      </c>
      <c r="C51" s="281" t="n">
        <v>3.4955</v>
      </c>
      <c r="D51" s="282" t="n">
        <f aca="false">(E51-C51)*1000</f>
        <v>-6.49999999999995</v>
      </c>
      <c r="E51" s="283" t="n">
        <f aca="false">VLOOKUP(YEAR(A51),Yr_Sprds,2)+E39</f>
        <v>3.489</v>
      </c>
      <c r="F51" s="219" t="n">
        <f aca="false">(E51-E50)*1000</f>
        <v>-114</v>
      </c>
      <c r="G51" s="220" t="n">
        <f aca="false">(C51-C50)*1000</f>
        <v>-114</v>
      </c>
      <c r="H51" s="266" t="n">
        <f aca="false">E39-E51</f>
        <v>-0.085</v>
      </c>
      <c r="I51" s="267" t="n">
        <f aca="false">C39-C51</f>
        <v>-0.0825</v>
      </c>
      <c r="J51" s="279" t="n">
        <f aca="false">BD51</f>
        <v>0.00649999999999995</v>
      </c>
      <c r="K51" s="286"/>
      <c r="L51" s="286"/>
      <c r="M51" s="286"/>
      <c r="N51" s="112"/>
      <c r="O51" s="278"/>
      <c r="P51" s="277"/>
      <c r="Q51" s="167"/>
      <c r="R51" s="167"/>
      <c r="S51" s="167"/>
      <c r="T51" s="167"/>
      <c r="U51" s="167"/>
      <c r="V51" s="167"/>
      <c r="W51" s="167"/>
      <c r="X51" s="167"/>
      <c r="Y51" s="228" t="n">
        <f aca="false">DAY(EOMONTH(A51,0))</f>
        <v>28</v>
      </c>
      <c r="Z51" s="268" t="n">
        <v>38226</v>
      </c>
      <c r="AA51" s="230" t="e">
        <f aca="false">IF(AND(A51&gt;=Front!$E$11,A51&lt;=Front!$E$12),A51,"")</f>
        <v>#VALUE!</v>
      </c>
      <c r="AB51" s="231" t="e">
        <f aca="false">IF(AA51="","",VLOOKUP(MONTH(A50),Front!$W$6:$X$17,2)*IF(Front!D$9=0,Swap!Y51,1))</f>
        <v>#VALUE!</v>
      </c>
      <c r="AC51" s="274" t="e">
        <f aca="false">IF(AA51="","",AB51*AH51)</f>
        <v>#VALUE!</v>
      </c>
      <c r="AD51" s="254"/>
      <c r="AE51" s="231" t="e">
        <f aca="false">IF(AA51="","",AD51*AH51)</f>
        <v>#VALUE!</v>
      </c>
      <c r="AF51" s="243" t="n">
        <f aca="false">INDEX(IRTable,MATCH(A51,IRMonth,0),4)</f>
        <v>0.0420054388535163</v>
      </c>
      <c r="AG51" s="243" t="n">
        <f aca="false">AF51+$AG$9</f>
        <v>0.0420054388535163</v>
      </c>
      <c r="AH51" s="195" t="n">
        <f aca="false">1/((1+AG51/2)^(2*((A51-Front!$C$2)/365.25)))</f>
        <v>2.35934000793847</v>
      </c>
      <c r="AI51" s="236" t="e">
        <f aca="false">IF($AA51="","",E51*AC51)</f>
        <v>#VALUE!</v>
      </c>
      <c r="AJ51" s="236" t="e">
        <f aca="false">IF($AA51="","",E51*AE51)</f>
        <v>#VALUE!</v>
      </c>
      <c r="AK51" s="237" t="e">
        <f aca="false">IF($AA51="","",C51*AC51)</f>
        <v>#VALUE!</v>
      </c>
      <c r="AL51" s="160" t="n">
        <f aca="false">(AO51/10000)/30.5</f>
        <v>0</v>
      </c>
      <c r="AM51" s="238" t="n">
        <f aca="false">AD51/10000</f>
        <v>0</v>
      </c>
      <c r="AN51" s="238" t="n">
        <f aca="false">AD51*DAY(EOMONTH(A51,0))/10000</f>
        <v>0</v>
      </c>
      <c r="AO51" s="254"/>
      <c r="AP51" s="233"/>
      <c r="AQ51" s="254"/>
      <c r="AR51" s="240"/>
      <c r="AS51" s="240"/>
      <c r="AT51" s="240"/>
      <c r="AU51" s="12"/>
      <c r="AV51" s="240"/>
      <c r="AW51" s="240"/>
      <c r="AX51" s="0"/>
      <c r="AY51" s="238"/>
      <c r="AZ51" s="233"/>
      <c r="BA51" s="241"/>
      <c r="BB51" s="242"/>
      <c r="BC51" s="243" t="n">
        <v>3.4955</v>
      </c>
      <c r="BD51" s="195" t="n">
        <f aca="false">BC51-E51</f>
        <v>0.00649999999999995</v>
      </c>
      <c r="BE51" s="251" t="n">
        <v>-27.71236334</v>
      </c>
      <c r="BF51" s="245" t="n">
        <f aca="false">(BE51)*(D51*10)</f>
        <v>1801.30361709999</v>
      </c>
      <c r="BG51" s="121" t="n">
        <v>-384.16306678</v>
      </c>
      <c r="BH51" s="121" t="n">
        <v>19.43352943</v>
      </c>
      <c r="BI51" s="247"/>
      <c r="BJ51" s="121"/>
      <c r="BK51" s="121"/>
      <c r="BL51" s="121"/>
      <c r="BM51" s="121"/>
      <c r="BN51" s="121"/>
      <c r="BO51" s="121"/>
      <c r="BP51" s="275" t="n">
        <v>38384</v>
      </c>
      <c r="BQ51" s="143" t="n">
        <v>3.413</v>
      </c>
      <c r="BR51" s="143" t="n">
        <v>0.28</v>
      </c>
      <c r="BS51" s="143" t="n">
        <v>0.0420054388535163</v>
      </c>
      <c r="BT51" s="121"/>
    </row>
    <row r="52" customFormat="false" ht="15" hidden="false" customHeight="false" outlineLevel="0" collapsed="false">
      <c r="A52" s="280" t="n">
        <f aca="false">EOMONTH(A51,0)+1</f>
        <v>38412</v>
      </c>
      <c r="B52" s="215" t="n">
        <f aca="false">BD52*1000*-1</f>
        <v>-6.49999999999995</v>
      </c>
      <c r="C52" s="281" t="n">
        <v>3.3635</v>
      </c>
      <c r="D52" s="282" t="n">
        <f aca="false">(E52-C52)*1000</f>
        <v>-6.49999999999995</v>
      </c>
      <c r="E52" s="283" t="n">
        <f aca="false">VLOOKUP(YEAR(A52),Yr_Sprds,2)+E40</f>
        <v>3.357</v>
      </c>
      <c r="F52" s="219" t="n">
        <f aca="false">(E52-E51)*1000</f>
        <v>-132</v>
      </c>
      <c r="G52" s="220" t="n">
        <f aca="false">(C52-C51)*1000</f>
        <v>-132</v>
      </c>
      <c r="H52" s="266" t="n">
        <f aca="false">E40-E52</f>
        <v>-0.085</v>
      </c>
      <c r="I52" s="267" t="n">
        <f aca="false">C40-C52</f>
        <v>-0.0825</v>
      </c>
      <c r="J52" s="279" t="n">
        <f aca="false">BD52</f>
        <v>0.00649999999999995</v>
      </c>
      <c r="K52" s="286"/>
      <c r="L52" s="286"/>
      <c r="M52" s="112"/>
      <c r="N52" s="112"/>
      <c r="O52" s="278"/>
      <c r="P52" s="277"/>
      <c r="Q52" s="167"/>
      <c r="R52" s="167"/>
      <c r="S52" s="167"/>
      <c r="T52" s="167"/>
      <c r="U52" s="167"/>
      <c r="V52" s="167"/>
      <c r="W52" s="167"/>
      <c r="X52" s="167"/>
      <c r="Y52" s="228" t="n">
        <f aca="false">DAY(EOMONTH(A52,0))</f>
        <v>31</v>
      </c>
      <c r="Z52" s="268" t="n">
        <v>38258</v>
      </c>
      <c r="AA52" s="230" t="e">
        <f aca="false">IF(AND(A52&gt;=Front!$E$11,A52&lt;=Front!$E$12),A52,"")</f>
        <v>#VALUE!</v>
      </c>
      <c r="AB52" s="231" t="e">
        <f aca="false">IF(AA52="","",VLOOKUP(MONTH(A51),Front!$W$6:$X$17,2)*IF(Front!D$9=0,Swap!Y52,1))</f>
        <v>#VALUE!</v>
      </c>
      <c r="AC52" s="274" t="e">
        <f aca="false">IF(AA52="","",AB52*AH52)</f>
        <v>#VALUE!</v>
      </c>
      <c r="AD52" s="254"/>
      <c r="AE52" s="231" t="e">
        <f aca="false">IF(AA52="","",AD52*AH52)</f>
        <v>#VALUE!</v>
      </c>
      <c r="AF52" s="243" t="n">
        <f aca="false">INDEX(IRTable,MATCH(A52,IRMonth,0),4)</f>
        <v>0.042338223110514</v>
      </c>
      <c r="AG52" s="243" t="n">
        <f aca="false">AF52+$AG$9</f>
        <v>0.042338223110514</v>
      </c>
      <c r="AH52" s="195" t="n">
        <f aca="false">1/((1+AG52/2)^(2*((A52-Front!$C$2)/365.25)))</f>
        <v>2.36765467099143</v>
      </c>
      <c r="AI52" s="236" t="e">
        <f aca="false">IF($AA52="","",E52*AC52)</f>
        <v>#VALUE!</v>
      </c>
      <c r="AJ52" s="236" t="e">
        <f aca="false">IF($AA52="","",E52*AE52)</f>
        <v>#VALUE!</v>
      </c>
      <c r="AK52" s="237" t="e">
        <f aca="false">IF($AA52="","",C52*AC52)</f>
        <v>#VALUE!</v>
      </c>
      <c r="AL52" s="160" t="n">
        <f aca="false">(AO52/10000)/30.5</f>
        <v>0</v>
      </c>
      <c r="AM52" s="238" t="n">
        <f aca="false">AD52/10000</f>
        <v>0</v>
      </c>
      <c r="AN52" s="238" t="n">
        <f aca="false">AD52*DAY(EOMONTH(A52,0))/10000</f>
        <v>0</v>
      </c>
      <c r="AO52" s="254"/>
      <c r="AP52" s="233"/>
      <c r="AQ52" s="254"/>
      <c r="AR52" s="240"/>
      <c r="AS52" s="240"/>
      <c r="AT52" s="240"/>
      <c r="AU52" s="12"/>
      <c r="AV52" s="240"/>
      <c r="AW52" s="240"/>
      <c r="AX52" s="0"/>
      <c r="AY52" s="238"/>
      <c r="AZ52" s="233"/>
      <c r="BA52" s="241"/>
      <c r="BB52" s="242"/>
      <c r="BC52" s="243" t="n">
        <v>3.3635</v>
      </c>
      <c r="BD52" s="195" t="n">
        <f aca="false">BC52-E52</f>
        <v>0.00649999999999995</v>
      </c>
      <c r="BE52" s="251" t="n">
        <v>-15.37887727</v>
      </c>
      <c r="BF52" s="245" t="n">
        <f aca="false">(BE52)*(D52*10)</f>
        <v>999.627022549992</v>
      </c>
      <c r="BG52" s="121" t="n">
        <v>-379.73160473</v>
      </c>
      <c r="BH52" s="121" t="n">
        <v>19.49806312</v>
      </c>
      <c r="BI52" s="247"/>
      <c r="BJ52" s="121"/>
      <c r="BK52" s="121"/>
      <c r="BL52" s="121"/>
      <c r="BM52" s="121"/>
      <c r="BN52" s="121"/>
      <c r="BO52" s="121"/>
      <c r="BP52" s="275" t="n">
        <v>38412</v>
      </c>
      <c r="BQ52" s="143" t="n">
        <v>3.281</v>
      </c>
      <c r="BR52" s="143" t="n">
        <v>0.265</v>
      </c>
      <c r="BS52" s="143" t="n">
        <v>0.042338223110514</v>
      </c>
      <c r="BT52" s="121"/>
    </row>
    <row r="53" customFormat="false" ht="15" hidden="false" customHeight="false" outlineLevel="0" collapsed="false">
      <c r="A53" s="280" t="n">
        <f aca="false">EOMONTH(A52,0)+1</f>
        <v>38443</v>
      </c>
      <c r="B53" s="215" t="n">
        <f aca="false">BD53*1000*-1</f>
        <v>-6.49999999999995</v>
      </c>
      <c r="C53" s="281" t="n">
        <v>3.1935</v>
      </c>
      <c r="D53" s="282" t="n">
        <f aca="false">(E53-C53)*1000</f>
        <v>-6.49999999999995</v>
      </c>
      <c r="E53" s="283" t="n">
        <f aca="false">VLOOKUP(YEAR(A53),Yr_Sprds,2)+E41</f>
        <v>3.187</v>
      </c>
      <c r="F53" s="219" t="n">
        <f aca="false">(E53-E52)*1000</f>
        <v>-170</v>
      </c>
      <c r="G53" s="220" t="n">
        <f aca="false">(C53-C52)*1000</f>
        <v>-170</v>
      </c>
      <c r="H53" s="266" t="n">
        <f aca="false">E41-E53</f>
        <v>-0.085</v>
      </c>
      <c r="I53" s="267" t="n">
        <f aca="false">C41-C53</f>
        <v>-0.0825</v>
      </c>
      <c r="J53" s="279" t="n">
        <f aca="false">BD53</f>
        <v>0.00649999999999995</v>
      </c>
      <c r="K53" s="286"/>
      <c r="L53" s="286"/>
      <c r="M53" s="112"/>
      <c r="N53" s="112"/>
      <c r="O53" s="278"/>
      <c r="P53" s="277"/>
      <c r="Q53" s="167"/>
      <c r="R53" s="167"/>
      <c r="S53" s="167"/>
      <c r="T53" s="167"/>
      <c r="U53" s="167"/>
      <c r="V53" s="167"/>
      <c r="W53" s="167"/>
      <c r="X53" s="167"/>
      <c r="Y53" s="228" t="n">
        <f aca="false">DAY(EOMONTH(A53,0))</f>
        <v>30</v>
      </c>
      <c r="Z53" s="268" t="n">
        <v>38287</v>
      </c>
      <c r="AA53" s="230" t="e">
        <f aca="false">IF(AND(A53&gt;=Front!$E$11,A53&lt;=Front!$E$12),A53,"")</f>
        <v>#VALUE!</v>
      </c>
      <c r="AB53" s="231" t="e">
        <f aca="false">IF(AA53="","",VLOOKUP(MONTH(A52),Front!$W$6:$X$17,2)*IF(Front!D$9=0,Swap!Y53,1))</f>
        <v>#VALUE!</v>
      </c>
      <c r="AC53" s="274" t="e">
        <f aca="false">IF(AA53="","",AB53*AH53)</f>
        <v>#VALUE!</v>
      </c>
      <c r="AD53" s="254"/>
      <c r="AE53" s="231" t="e">
        <f aca="false">IF(AA53="","",AD53*AH53)</f>
        <v>#VALUE!</v>
      </c>
      <c r="AF53" s="243" t="n">
        <f aca="false">INDEX(IRTable,MATCH(A53,IRMonth,0),4)</f>
        <v>0.0426831487342509</v>
      </c>
      <c r="AG53" s="243" t="n">
        <f aca="false">AF53+$AG$9</f>
        <v>0.0426831487342509</v>
      </c>
      <c r="AH53" s="195" t="n">
        <f aca="false">1/((1+AG53/2)^(2*((A53-Front!$C$2)/365.25)))</f>
        <v>2.37563203886096</v>
      </c>
      <c r="AI53" s="236" t="e">
        <f aca="false">IF($AA53="","",E53*AC53)</f>
        <v>#VALUE!</v>
      </c>
      <c r="AJ53" s="236" t="e">
        <f aca="false">IF($AA53="","",E53*AE53)</f>
        <v>#VALUE!</v>
      </c>
      <c r="AK53" s="237" t="e">
        <f aca="false">IF($AA53="","",C53*AC53)</f>
        <v>#VALUE!</v>
      </c>
      <c r="AL53" s="160" t="n">
        <f aca="false">(AO53/10000)/30.5</f>
        <v>0</v>
      </c>
      <c r="AM53" s="238" t="n">
        <f aca="false">AD53/10000</f>
        <v>0</v>
      </c>
      <c r="AN53" s="238" t="n">
        <f aca="false">AD53*DAY(EOMONTH(A53,0))/10000</f>
        <v>0</v>
      </c>
      <c r="AO53" s="254"/>
      <c r="AP53" s="233"/>
      <c r="AQ53" s="254"/>
      <c r="AR53" s="240"/>
      <c r="AS53" s="240"/>
      <c r="AT53" s="240"/>
      <c r="AU53" s="12"/>
      <c r="AV53" s="240"/>
      <c r="AW53" s="240"/>
      <c r="AX53" s="0"/>
      <c r="AY53" s="238"/>
      <c r="AZ53" s="233"/>
      <c r="BA53" s="241"/>
      <c r="BB53" s="242"/>
      <c r="BC53" s="243" t="n">
        <v>3.1935</v>
      </c>
      <c r="BD53" s="195" t="n">
        <f aca="false">BC53-E53</f>
        <v>0.00649999999999995</v>
      </c>
      <c r="BE53" s="251" t="n">
        <v>-22.37500862</v>
      </c>
      <c r="BF53" s="245" t="n">
        <f aca="false">(BE53)*(D53*10)</f>
        <v>1454.37556029999</v>
      </c>
      <c r="BG53" s="121" t="n">
        <v>-408.99397736</v>
      </c>
      <c r="BH53" s="121" t="n">
        <v>19.27847147</v>
      </c>
      <c r="BI53" s="247"/>
      <c r="BJ53" s="121"/>
      <c r="BK53" s="121"/>
      <c r="BL53" s="121"/>
      <c r="BM53" s="121"/>
      <c r="BN53" s="121"/>
      <c r="BO53" s="121"/>
      <c r="BP53" s="275" t="n">
        <v>38443</v>
      </c>
      <c r="BQ53" s="143" t="n">
        <v>3.111</v>
      </c>
      <c r="BR53" s="143" t="n">
        <v>0.25</v>
      </c>
      <c r="BS53" s="143" t="n">
        <v>0.0426831487342509</v>
      </c>
      <c r="BT53" s="121"/>
    </row>
    <row r="54" customFormat="false" ht="15" hidden="false" customHeight="false" outlineLevel="0" collapsed="false">
      <c r="A54" s="280" t="n">
        <f aca="false">EOMONTH(A53,0)+1</f>
        <v>38473</v>
      </c>
      <c r="B54" s="215" t="n">
        <f aca="false">BD54*1000*-1</f>
        <v>-6.49999999999995</v>
      </c>
      <c r="C54" s="281" t="n">
        <v>3.1935</v>
      </c>
      <c r="D54" s="282" t="n">
        <f aca="false">(E54-C54)*1000</f>
        <v>-6.49999999999995</v>
      </c>
      <c r="E54" s="283" t="n">
        <f aca="false">VLOOKUP(YEAR(A54),Yr_Sprds,2)+E42</f>
        <v>3.187</v>
      </c>
      <c r="F54" s="219" t="n">
        <f aca="false">(E54-E53)*1000</f>
        <v>0</v>
      </c>
      <c r="G54" s="220" t="n">
        <f aca="false">(C54-C53)*1000</f>
        <v>0</v>
      </c>
      <c r="H54" s="266" t="n">
        <f aca="false">E42-E54</f>
        <v>-0.085</v>
      </c>
      <c r="I54" s="267" t="n">
        <f aca="false">C42-C54</f>
        <v>-0.0825</v>
      </c>
      <c r="J54" s="279" t="n">
        <f aca="false">BD54</f>
        <v>0.00649999999999995</v>
      </c>
      <c r="K54" s="286"/>
      <c r="L54" s="286"/>
      <c r="M54" s="112"/>
      <c r="N54" s="112"/>
      <c r="O54" s="278"/>
      <c r="P54" s="277"/>
      <c r="Q54" s="167"/>
      <c r="R54" s="167"/>
      <c r="S54" s="167"/>
      <c r="T54" s="167"/>
      <c r="U54" s="167"/>
      <c r="V54" s="167"/>
      <c r="W54" s="167"/>
      <c r="X54" s="167"/>
      <c r="Y54" s="228" t="n">
        <f aca="false">DAY(EOMONTH(A54,0))</f>
        <v>31</v>
      </c>
      <c r="Z54" s="268" t="n">
        <v>38317</v>
      </c>
      <c r="AA54" s="230" t="e">
        <f aca="false">IF(AND(A54&gt;=Front!$E$11,A54&lt;=Front!$E$12),A54,"")</f>
        <v>#VALUE!</v>
      </c>
      <c r="AB54" s="231" t="e">
        <f aca="false">IF(AA54="","",VLOOKUP(MONTH(A53),Front!$W$6:$X$17,2)*IF(Front!D$9=0,Swap!Y54,1))</f>
        <v>#VALUE!</v>
      </c>
      <c r="AC54" s="274" t="e">
        <f aca="false">IF(AA54="","",AB54*AH54)</f>
        <v>#VALUE!</v>
      </c>
      <c r="AD54" s="254"/>
      <c r="AE54" s="231" t="e">
        <f aca="false">IF(AA54="","",AD54*AH54)</f>
        <v>#VALUE!</v>
      </c>
      <c r="AF54" s="243" t="n">
        <f aca="false">INDEX(IRTable,MATCH(A54,IRMonth,0),4)</f>
        <v>0.0429963248307494</v>
      </c>
      <c r="AG54" s="243" t="n">
        <f aca="false">AF54+$AG$9</f>
        <v>0.0429963248307494</v>
      </c>
      <c r="AH54" s="195" t="n">
        <f aca="false">1/((1+AG54/2)^(2*((A54-Front!$C$2)/365.25)))</f>
        <v>2.38226333469726</v>
      </c>
      <c r="AI54" s="236" t="e">
        <f aca="false">IF($AA54="","",E54*AC54)</f>
        <v>#VALUE!</v>
      </c>
      <c r="AJ54" s="236" t="e">
        <f aca="false">IF($AA54="","",E54*AE54)</f>
        <v>#VALUE!</v>
      </c>
      <c r="AK54" s="237" t="e">
        <f aca="false">IF($AA54="","",C54*AC54)</f>
        <v>#VALUE!</v>
      </c>
      <c r="AL54" s="160" t="n">
        <f aca="false">(AO54/10000)/30.5</f>
        <v>0</v>
      </c>
      <c r="AM54" s="238" t="n">
        <f aca="false">AD54/10000</f>
        <v>0</v>
      </c>
      <c r="AN54" s="238" t="n">
        <f aca="false">AD54*DAY(EOMONTH(A54,0))/10000</f>
        <v>0</v>
      </c>
      <c r="AO54" s="254"/>
      <c r="AP54" s="233"/>
      <c r="AQ54" s="254"/>
      <c r="AR54" s="240"/>
      <c r="AS54" s="240"/>
      <c r="AT54" s="240"/>
      <c r="AU54" s="12"/>
      <c r="AV54" s="240"/>
      <c r="AW54" s="240"/>
      <c r="AX54" s="0"/>
      <c r="AY54" s="238"/>
      <c r="AZ54" s="233"/>
      <c r="BA54" s="241"/>
      <c r="BB54" s="242"/>
      <c r="BC54" s="243" t="n">
        <v>3.1935</v>
      </c>
      <c r="BD54" s="195" t="n">
        <f aca="false">BC54-E54</f>
        <v>0.00649999999999995</v>
      </c>
      <c r="BE54" s="251" t="n">
        <v>-9.65929745</v>
      </c>
      <c r="BF54" s="245" t="n">
        <f aca="false">(BE54)*(D54*10)</f>
        <v>627.854334249995</v>
      </c>
      <c r="BG54" s="121" t="n">
        <v>-396.71770678</v>
      </c>
      <c r="BH54" s="121" t="n">
        <v>18.92241568</v>
      </c>
      <c r="BI54" s="247"/>
      <c r="BJ54" s="121"/>
      <c r="BK54" s="121"/>
      <c r="BL54" s="121"/>
      <c r="BM54" s="121"/>
      <c r="BN54" s="121"/>
      <c r="BO54" s="121"/>
      <c r="BP54" s="275" t="n">
        <v>38473</v>
      </c>
      <c r="BQ54" s="143" t="n">
        <v>3.111</v>
      </c>
      <c r="BR54" s="143" t="n">
        <v>0.2425</v>
      </c>
      <c r="BS54" s="143" t="n">
        <v>0.0429963248307494</v>
      </c>
      <c r="BT54" s="121"/>
    </row>
    <row r="55" customFormat="false" ht="15" hidden="false" customHeight="false" outlineLevel="0" collapsed="false">
      <c r="A55" s="280" t="n">
        <f aca="false">EOMONTH(A54,0)+1</f>
        <v>38504</v>
      </c>
      <c r="B55" s="215" t="n">
        <f aca="false">BD55*1000*-1</f>
        <v>-6.49999999999995</v>
      </c>
      <c r="C55" s="281" t="n">
        <v>3.2255</v>
      </c>
      <c r="D55" s="282" t="n">
        <f aca="false">(E55-C55)*1000</f>
        <v>-6.49999999999995</v>
      </c>
      <c r="E55" s="283" t="n">
        <f aca="false">VLOOKUP(YEAR(A55),Yr_Sprds,2)+E43</f>
        <v>3.219</v>
      </c>
      <c r="F55" s="219" t="n">
        <f aca="false">(E55-E54)*1000</f>
        <v>32</v>
      </c>
      <c r="G55" s="220" t="n">
        <f aca="false">(C55-C54)*1000</f>
        <v>32</v>
      </c>
      <c r="H55" s="266" t="n">
        <f aca="false">E43-E55</f>
        <v>-0.085</v>
      </c>
      <c r="I55" s="267" t="n">
        <f aca="false">C43-C55</f>
        <v>-0.0825</v>
      </c>
      <c r="J55" s="279" t="n">
        <f aca="false">BD55</f>
        <v>0.00649999999999995</v>
      </c>
      <c r="K55" s="279"/>
      <c r="L55" s="279"/>
      <c r="M55" s="112"/>
      <c r="N55" s="112"/>
      <c r="O55" s="278"/>
      <c r="P55" s="277"/>
      <c r="Q55" s="167"/>
      <c r="R55" s="167"/>
      <c r="S55" s="167"/>
      <c r="T55" s="167"/>
      <c r="U55" s="167"/>
      <c r="V55" s="167"/>
      <c r="W55" s="167"/>
      <c r="X55" s="167"/>
      <c r="Y55" s="228" t="n">
        <f aca="false">DAY(EOMONTH(A55,0))</f>
        <v>30</v>
      </c>
      <c r="Z55" s="268" t="n">
        <v>38349</v>
      </c>
      <c r="AA55" s="230" t="e">
        <f aca="false">IF(AND(A55&gt;=Front!$E$11,A55&lt;=Front!$E$12),A55,"")</f>
        <v>#VALUE!</v>
      </c>
      <c r="AB55" s="231" t="e">
        <f aca="false">IF(AA55="","",VLOOKUP(MONTH(A54),Front!$W$6:$X$17,2)*IF(Front!D$9=0,Swap!Y55,1))</f>
        <v>#VALUE!</v>
      </c>
      <c r="AC55" s="274" t="e">
        <f aca="false">IF(AA55="","",AB55*AH55)</f>
        <v>#VALUE!</v>
      </c>
      <c r="AD55" s="254"/>
      <c r="AE55" s="231" t="e">
        <f aca="false">IF(AA55="","",AD55*AH55)</f>
        <v>#VALUE!</v>
      </c>
      <c r="AF55" s="243" t="n">
        <f aca="false">INDEX(IRTable,MATCH(A55,IRMonth,0),4)</f>
        <v>0.0433199401649849</v>
      </c>
      <c r="AG55" s="243" t="n">
        <f aca="false">AF55+$AG$9</f>
        <v>0.0433199401649849</v>
      </c>
      <c r="AH55" s="195" t="n">
        <f aca="false">1/((1+AG55/2)^(2*((A55-Front!$C$2)/365.25)))</f>
        <v>2.3890063118876</v>
      </c>
      <c r="AI55" s="236" t="e">
        <f aca="false">IF($AA55="","",E55*AC55)</f>
        <v>#VALUE!</v>
      </c>
      <c r="AJ55" s="236" t="e">
        <f aca="false">IF($AA55="","",E55*AE55)</f>
        <v>#VALUE!</v>
      </c>
      <c r="AK55" s="237" t="e">
        <f aca="false">IF($AA55="","",C55*AC55)</f>
        <v>#VALUE!</v>
      </c>
      <c r="AL55" s="160" t="n">
        <f aca="false">(AO55/10000)/30.5</f>
        <v>0</v>
      </c>
      <c r="AM55" s="238" t="n">
        <f aca="false">AD55/10000</f>
        <v>0</v>
      </c>
      <c r="AN55" s="238" t="n">
        <f aca="false">AD55*DAY(EOMONTH(A55,0))/10000</f>
        <v>0</v>
      </c>
      <c r="AO55" s="254"/>
      <c r="AP55" s="233"/>
      <c r="AQ55" s="254"/>
      <c r="AR55" s="240"/>
      <c r="AS55" s="240"/>
      <c r="AT55" s="240"/>
      <c r="AU55" s="12"/>
      <c r="AV55" s="240"/>
      <c r="AW55" s="240"/>
      <c r="AX55" s="0"/>
      <c r="AY55" s="238"/>
      <c r="AZ55" s="233"/>
      <c r="BA55" s="241"/>
      <c r="BB55" s="242"/>
      <c r="BC55" s="243" t="n">
        <v>3.2255</v>
      </c>
      <c r="BD55" s="195" t="n">
        <f aca="false">BC55-E55</f>
        <v>0.00649999999999995</v>
      </c>
      <c r="BE55" s="251" t="n">
        <v>-1.67305489</v>
      </c>
      <c r="BF55" s="245" t="n">
        <f aca="false">(BE55)*(D55*10)</f>
        <v>108.748567849999</v>
      </c>
      <c r="BG55" s="121" t="n">
        <v>-612.74094234</v>
      </c>
      <c r="BH55" s="121" t="n">
        <v>21.2500580699999</v>
      </c>
      <c r="BI55" s="247"/>
      <c r="BJ55" s="121"/>
      <c r="BK55" s="121"/>
      <c r="BL55" s="121"/>
      <c r="BM55" s="121"/>
      <c r="BN55" s="121"/>
      <c r="BO55" s="121"/>
      <c r="BP55" s="275" t="n">
        <v>38504</v>
      </c>
      <c r="BQ55" s="143" t="n">
        <v>3.143</v>
      </c>
      <c r="BR55" s="143" t="n">
        <v>0.2375</v>
      </c>
      <c r="BS55" s="143" t="n">
        <v>0.0433199401649849</v>
      </c>
      <c r="BT55" s="121"/>
    </row>
    <row r="56" customFormat="false" ht="15" hidden="false" customHeight="false" outlineLevel="0" collapsed="false">
      <c r="A56" s="280" t="n">
        <f aca="false">EOMONTH(A55,0)+1</f>
        <v>38534</v>
      </c>
      <c r="B56" s="215" t="n">
        <f aca="false">BD56*1000*-1</f>
        <v>-6.49999999999995</v>
      </c>
      <c r="C56" s="281" t="n">
        <v>3.2755</v>
      </c>
      <c r="D56" s="282" t="n">
        <f aca="false">(E56-C56)*1000</f>
        <v>-6.49999999999995</v>
      </c>
      <c r="E56" s="283" t="n">
        <f aca="false">VLOOKUP(YEAR(A56),Yr_Sprds,2)+E44</f>
        <v>3.269</v>
      </c>
      <c r="F56" s="219" t="n">
        <f aca="false">(E56-E55)*1000</f>
        <v>49.9999999999998</v>
      </c>
      <c r="G56" s="220" t="n">
        <f aca="false">(C56-C55)*1000</f>
        <v>49.9999999999998</v>
      </c>
      <c r="H56" s="266" t="n">
        <f aca="false">E44-E56</f>
        <v>-0.085</v>
      </c>
      <c r="I56" s="267" t="n">
        <f aca="false">C44-C56</f>
        <v>-0.0825</v>
      </c>
      <c r="J56" s="279" t="n">
        <f aca="false">BD56</f>
        <v>0.00649999999999995</v>
      </c>
      <c r="K56" s="279"/>
      <c r="L56" s="279"/>
      <c r="M56" s="112"/>
      <c r="N56" s="279"/>
      <c r="O56" s="278"/>
      <c r="P56" s="277"/>
      <c r="Q56" s="167"/>
      <c r="R56" s="167"/>
      <c r="S56" s="167"/>
      <c r="T56" s="167"/>
      <c r="U56" s="167"/>
      <c r="V56" s="167"/>
      <c r="W56" s="167"/>
      <c r="X56" s="167"/>
      <c r="Y56" s="228" t="n">
        <f aca="false">DAY(EOMONTH(A56,0))</f>
        <v>31</v>
      </c>
      <c r="Z56" s="268" t="n">
        <v>38379</v>
      </c>
      <c r="AA56" s="230" t="e">
        <f aca="false">IF(AND(A56&gt;=Front!$E$11,A56&lt;=Front!$E$12),A56,"")</f>
        <v>#VALUE!</v>
      </c>
      <c r="AB56" s="231" t="e">
        <f aca="false">IF(AA56="","",VLOOKUP(MONTH(A55),Front!$W$6:$X$17,2)*IF(Front!D$9=0,Swap!Y56,1))</f>
        <v>#VALUE!</v>
      </c>
      <c r="AC56" s="274" t="e">
        <f aca="false">IF(AA56="","",AB56*AH56)</f>
        <v>#VALUE!</v>
      </c>
      <c r="AD56" s="254"/>
      <c r="AE56" s="231" t="e">
        <f aca="false">IF(AA56="","",AD56*AH56)</f>
        <v>#VALUE!</v>
      </c>
      <c r="AF56" s="243" t="n">
        <f aca="false">INDEX(IRTable,MATCH(A56,IRMonth,0),4)</f>
        <v>0.0436221439160058</v>
      </c>
      <c r="AG56" s="243" t="n">
        <f aca="false">AF56+$AG$9</f>
        <v>0.0436221439160058</v>
      </c>
      <c r="AH56" s="195" t="n">
        <f aca="false">1/((1+AG56/2)^(2*((A56-Front!$C$2)/365.25)))</f>
        <v>2.39490446623806</v>
      </c>
      <c r="AI56" s="236" t="e">
        <f aca="false">IF($AA56="","",E56*AC56)</f>
        <v>#VALUE!</v>
      </c>
      <c r="AJ56" s="236" t="e">
        <f aca="false">IF($AA56="","",E56*AE56)</f>
        <v>#VALUE!</v>
      </c>
      <c r="AK56" s="237" t="e">
        <f aca="false">IF($AA56="","",C56*AC56)</f>
        <v>#VALUE!</v>
      </c>
      <c r="AL56" s="160" t="n">
        <f aca="false">(AO56/10000)/30.5</f>
        <v>0</v>
      </c>
      <c r="AM56" s="238" t="n">
        <f aca="false">AD56/10000</f>
        <v>0</v>
      </c>
      <c r="AN56" s="238" t="n">
        <f aca="false">AD56*DAY(EOMONTH(A56,0))/10000</f>
        <v>0</v>
      </c>
      <c r="AO56" s="254"/>
      <c r="AP56" s="233"/>
      <c r="AQ56" s="254"/>
      <c r="AR56" s="240"/>
      <c r="AS56" s="240"/>
      <c r="AT56" s="240"/>
      <c r="AU56" s="12"/>
      <c r="AV56" s="240"/>
      <c r="AW56" s="240"/>
      <c r="AX56" s="0"/>
      <c r="AY56" s="238"/>
      <c r="AZ56" s="233"/>
      <c r="BA56" s="241"/>
      <c r="BB56" s="242"/>
      <c r="BC56" s="243" t="n">
        <v>3.2755</v>
      </c>
      <c r="BD56" s="195" t="n">
        <f aca="false">BC56-E56</f>
        <v>0.00649999999999995</v>
      </c>
      <c r="BE56" s="251" t="n">
        <v>-1.06924496</v>
      </c>
      <c r="BF56" s="245" t="n">
        <f aca="false">(BE56)*(D56*10)</f>
        <v>69.5009223999995</v>
      </c>
      <c r="BG56" s="121" t="n">
        <v>-613.22881703</v>
      </c>
      <c r="BH56" s="121" t="n">
        <v>22.83221009</v>
      </c>
      <c r="BI56" s="247"/>
      <c r="BJ56" s="121"/>
      <c r="BK56" s="121"/>
      <c r="BL56" s="121"/>
      <c r="BM56" s="121"/>
      <c r="BN56" s="121"/>
      <c r="BO56" s="121"/>
      <c r="BP56" s="275" t="n">
        <v>38534</v>
      </c>
      <c r="BQ56" s="143" t="n">
        <v>3.193</v>
      </c>
      <c r="BR56" s="143" t="n">
        <v>0.2375</v>
      </c>
      <c r="BS56" s="143" t="n">
        <v>0.0436221439160058</v>
      </c>
      <c r="BT56" s="121"/>
    </row>
    <row r="57" customFormat="false" ht="15" hidden="false" customHeight="false" outlineLevel="0" collapsed="false">
      <c r="A57" s="280" t="n">
        <f aca="false">EOMONTH(A56,0)+1</f>
        <v>38565</v>
      </c>
      <c r="B57" s="215" t="n">
        <f aca="false">BD57*1000*-1</f>
        <v>-6.49999999999995</v>
      </c>
      <c r="C57" s="281" t="n">
        <v>3.3095</v>
      </c>
      <c r="D57" s="282" t="n">
        <f aca="false">(E57-C57)*1000</f>
        <v>-6.49999999999995</v>
      </c>
      <c r="E57" s="283" t="n">
        <f aca="false">VLOOKUP(YEAR(A57),Yr_Sprds,2)+E45</f>
        <v>3.303</v>
      </c>
      <c r="F57" s="219" t="n">
        <f aca="false">(E57-E56)*1000</f>
        <v>33.9999999999994</v>
      </c>
      <c r="G57" s="220" t="n">
        <f aca="false">(C57-C56)*1000</f>
        <v>33.9999999999994</v>
      </c>
      <c r="H57" s="266" t="n">
        <f aca="false">E45-E57</f>
        <v>-0.085</v>
      </c>
      <c r="I57" s="267" t="n">
        <f aca="false">C45-C57</f>
        <v>-0.0825</v>
      </c>
      <c r="J57" s="279" t="n">
        <f aca="false">BD57</f>
        <v>0.00649999999999995</v>
      </c>
      <c r="K57" s="279"/>
      <c r="L57" s="279"/>
      <c r="M57" s="112"/>
      <c r="N57" s="279"/>
      <c r="O57" s="278"/>
      <c r="P57" s="277"/>
      <c r="Q57" s="167"/>
      <c r="R57" s="167"/>
      <c r="S57" s="167"/>
      <c r="T57" s="167"/>
      <c r="U57" s="167"/>
      <c r="V57" s="167"/>
      <c r="W57" s="167"/>
      <c r="X57" s="167"/>
      <c r="Y57" s="228" t="n">
        <f aca="false">DAY(EOMONTH(A57,0))</f>
        <v>31</v>
      </c>
      <c r="Z57" s="268" t="n">
        <v>38407</v>
      </c>
      <c r="AA57" s="230" t="e">
        <f aca="false">IF(AND(A57&gt;=Front!$E$11,A57&lt;=Front!$E$12),A57,"")</f>
        <v>#VALUE!</v>
      </c>
      <c r="AB57" s="231" t="e">
        <f aca="false">IF(AA57="","",VLOOKUP(MONTH(A56),Front!$W$6:$X$17,2)*IF(Front!D$9=0,Swap!Y57,1))</f>
        <v>#VALUE!</v>
      </c>
      <c r="AC57" s="274" t="e">
        <f aca="false">IF(AA57="","",AB57*AH57)</f>
        <v>#VALUE!</v>
      </c>
      <c r="AD57" s="254"/>
      <c r="AE57" s="231" t="e">
        <f aca="false">IF(AA57="","",AD57*AH57)</f>
        <v>#VALUE!</v>
      </c>
      <c r="AF57" s="243" t="n">
        <f aca="false">INDEX(IRTable,MATCH(A57,IRMonth,0),4)</f>
        <v>0.0439238619856588</v>
      </c>
      <c r="AG57" s="243" t="n">
        <f aca="false">AF57+$AG$9</f>
        <v>0.0439238619856588</v>
      </c>
      <c r="AH57" s="195" t="n">
        <f aca="false">1/((1+AG57/2)^(2*((A57-Front!$C$2)/365.25)))</f>
        <v>2.40038986705849</v>
      </c>
      <c r="AI57" s="236" t="e">
        <f aca="false">IF($AA57="","",E57*AC57)</f>
        <v>#VALUE!</v>
      </c>
      <c r="AJ57" s="236" t="e">
        <f aca="false">IF($AA57="","",E57*AE57)</f>
        <v>#VALUE!</v>
      </c>
      <c r="AK57" s="237" t="e">
        <f aca="false">IF($AA57="","",C57*AC57)</f>
        <v>#VALUE!</v>
      </c>
      <c r="AL57" s="160" t="n">
        <f aca="false">(AO57/10000)/30.5</f>
        <v>0</v>
      </c>
      <c r="AM57" s="238" t="n">
        <f aca="false">AD57/10000</f>
        <v>0</v>
      </c>
      <c r="AN57" s="238" t="n">
        <f aca="false">AD57*DAY(EOMONTH(A57,0))/10000</f>
        <v>0</v>
      </c>
      <c r="AO57" s="254"/>
      <c r="AP57" s="233"/>
      <c r="AQ57" s="254"/>
      <c r="AR57" s="240"/>
      <c r="AS57" s="240"/>
      <c r="AT57" s="240"/>
      <c r="AU57" s="12"/>
      <c r="AV57" s="240"/>
      <c r="AW57" s="240"/>
      <c r="AX57" s="0"/>
      <c r="AY57" s="238"/>
      <c r="AZ57" s="233"/>
      <c r="BA57" s="241"/>
      <c r="BB57" s="242"/>
      <c r="BC57" s="243" t="n">
        <v>3.3095</v>
      </c>
      <c r="BD57" s="195" t="n">
        <f aca="false">BC57-E57</f>
        <v>0.00649999999999995</v>
      </c>
      <c r="BE57" s="251" t="n">
        <v>-1.06412496</v>
      </c>
      <c r="BF57" s="245" t="n">
        <f aca="false">(BE57)*(D57*10)</f>
        <v>69.1681223999995</v>
      </c>
      <c r="BG57" s="121" t="n">
        <v>34.64008544</v>
      </c>
      <c r="BH57" s="121" t="n">
        <v>-84.37668743</v>
      </c>
      <c r="BI57" s="247"/>
      <c r="BJ57" s="121"/>
      <c r="BK57" s="121"/>
      <c r="BL57" s="121"/>
      <c r="BM57" s="121"/>
      <c r="BN57" s="121"/>
      <c r="BO57" s="121"/>
      <c r="BP57" s="275" t="n">
        <v>38565</v>
      </c>
      <c r="BQ57" s="143" t="n">
        <v>3.227</v>
      </c>
      <c r="BR57" s="143" t="n">
        <v>0.2375</v>
      </c>
      <c r="BS57" s="143" t="n">
        <v>0.0439238619856588</v>
      </c>
      <c r="BT57" s="121"/>
    </row>
    <row r="58" customFormat="false" ht="15" hidden="false" customHeight="false" outlineLevel="0" collapsed="false">
      <c r="A58" s="280" t="n">
        <f aca="false">EOMONTH(A57,0)+1</f>
        <v>38596</v>
      </c>
      <c r="B58" s="215" t="n">
        <f aca="false">BD58*1000*-1</f>
        <v>-6.49999999999951</v>
      </c>
      <c r="C58" s="281" t="n">
        <v>3.3225</v>
      </c>
      <c r="D58" s="282" t="n">
        <f aca="false">(E58-C58)*1000</f>
        <v>-6.49999999999951</v>
      </c>
      <c r="E58" s="283" t="n">
        <f aca="false">VLOOKUP(YEAR(A58),Yr_Sprds,2)+E46</f>
        <v>3.316</v>
      </c>
      <c r="F58" s="219" t="n">
        <f aca="false">(E58-E57)*1000</f>
        <v>13.0000000000012</v>
      </c>
      <c r="G58" s="220" t="n">
        <f aca="false">(C58-C57)*1000</f>
        <v>13.0000000000008</v>
      </c>
      <c r="H58" s="266" t="n">
        <f aca="false">E46-E58</f>
        <v>-0.085</v>
      </c>
      <c r="I58" s="267" t="n">
        <f aca="false">C46-C58</f>
        <v>-0.0824999999999996</v>
      </c>
      <c r="J58" s="279" t="n">
        <f aca="false">BD58</f>
        <v>0.00649999999999951</v>
      </c>
      <c r="K58" s="279"/>
      <c r="L58" s="279"/>
      <c r="M58" s="112"/>
      <c r="N58" s="279"/>
      <c r="O58" s="278"/>
      <c r="P58" s="277"/>
      <c r="Q58" s="167"/>
      <c r="R58" s="167"/>
      <c r="S58" s="167"/>
      <c r="T58" s="167"/>
      <c r="U58" s="167"/>
      <c r="V58" s="167"/>
      <c r="W58" s="167"/>
      <c r="X58" s="167"/>
      <c r="Y58" s="228" t="n">
        <f aca="false">DAY(EOMONTH(A58,0))</f>
        <v>30</v>
      </c>
      <c r="Z58" s="268" t="n">
        <v>38440</v>
      </c>
      <c r="AA58" s="230" t="e">
        <f aca="false">IF(AND(A58&gt;=Front!$E$11,A58&lt;=Front!$E$12),A58,"")</f>
        <v>#VALUE!</v>
      </c>
      <c r="AB58" s="231" t="e">
        <f aca="false">IF(AA58="","",VLOOKUP(MONTH(A57),Front!$W$6:$X$17,2)*IF(Front!D$9=0,Swap!Y58,1))</f>
        <v>#VALUE!</v>
      </c>
      <c r="AC58" s="274" t="e">
        <f aca="false">IF(AA58="","",AB58*AH58)</f>
        <v>#VALUE!</v>
      </c>
      <c r="AD58" s="254"/>
      <c r="AE58" s="231" t="e">
        <f aca="false">IF(AA58="","",AD58*AH58)</f>
        <v>#VALUE!</v>
      </c>
      <c r="AF58" s="243" t="n">
        <f aca="false">INDEX(IRTable,MATCH(A58,IRMonth,0),4)</f>
        <v>0.0442255800857971</v>
      </c>
      <c r="AG58" s="243" t="n">
        <f aca="false">AF58+$AG$9</f>
        <v>0.0442255800857971</v>
      </c>
      <c r="AH58" s="195" t="n">
        <f aca="false">1/((1+AG58/2)^(2*((A58-Front!$C$2)/365.25)))</f>
        <v>2.40576515217778</v>
      </c>
      <c r="AI58" s="236" t="e">
        <f aca="false">IF($AA58="","",E58*AC58)</f>
        <v>#VALUE!</v>
      </c>
      <c r="AJ58" s="236" t="e">
        <f aca="false">IF($AA58="","",E58*AE58)</f>
        <v>#VALUE!</v>
      </c>
      <c r="AK58" s="237" t="e">
        <f aca="false">IF($AA58="","",C58*AC58)</f>
        <v>#VALUE!</v>
      </c>
      <c r="AL58" s="160" t="n">
        <f aca="false">(AO58/10000)/30.5</f>
        <v>0</v>
      </c>
      <c r="AM58" s="238" t="n">
        <f aca="false">AD58/10000</f>
        <v>0</v>
      </c>
      <c r="AN58" s="238" t="n">
        <f aca="false">AD58*DAY(EOMONTH(A58,0))/10000</f>
        <v>0</v>
      </c>
      <c r="AO58" s="254"/>
      <c r="AP58" s="233"/>
      <c r="AQ58" s="254"/>
      <c r="AR58" s="240"/>
      <c r="AS58" s="240"/>
      <c r="AT58" s="240"/>
      <c r="AU58" s="12"/>
      <c r="AV58" s="240"/>
      <c r="AW58" s="240"/>
      <c r="AX58" s="0"/>
      <c r="AY58" s="238"/>
      <c r="AZ58" s="233"/>
      <c r="BA58" s="241"/>
      <c r="BB58" s="242"/>
      <c r="BC58" s="243" t="n">
        <v>3.3225</v>
      </c>
      <c r="BD58" s="195" t="n">
        <f aca="false">BC58-E58</f>
        <v>0.00649999999999951</v>
      </c>
      <c r="BE58" s="251" t="n">
        <v>-1.64932657</v>
      </c>
      <c r="BF58" s="245" t="n">
        <f aca="false">(BE58)*(D58*10)</f>
        <v>107.206227049992</v>
      </c>
      <c r="BG58" s="121" t="n">
        <v>36.51762115</v>
      </c>
      <c r="BH58" s="121" t="n">
        <v>-82.52528175</v>
      </c>
      <c r="BI58" s="247"/>
      <c r="BJ58" s="121"/>
      <c r="BK58" s="121"/>
      <c r="BL58" s="121"/>
      <c r="BM58" s="121"/>
      <c r="BN58" s="121"/>
      <c r="BO58" s="121"/>
      <c r="BP58" s="275" t="n">
        <v>38596</v>
      </c>
      <c r="BQ58" s="143" t="n">
        <v>3.24</v>
      </c>
      <c r="BR58" s="143" t="n">
        <v>0.2375</v>
      </c>
      <c r="BS58" s="143" t="n">
        <v>0.0442255800857971</v>
      </c>
      <c r="BT58" s="121"/>
    </row>
    <row r="59" customFormat="false" ht="15" hidden="false" customHeight="false" outlineLevel="0" collapsed="false">
      <c r="A59" s="156" t="n">
        <f aca="false">EOMONTH(A58,0)+1</f>
        <v>38626</v>
      </c>
      <c r="B59" s="215" t="n">
        <f aca="false">BD59*1000*-1</f>
        <v>-6.49999999999995</v>
      </c>
      <c r="C59" s="281" t="n">
        <v>3.3145</v>
      </c>
      <c r="D59" s="282" t="n">
        <f aca="false">(E59-C59)*1000</f>
        <v>-6.49999999999995</v>
      </c>
      <c r="E59" s="283" t="n">
        <f aca="false">VLOOKUP(YEAR(A59),Yr_Sprds,2)+E47</f>
        <v>3.308</v>
      </c>
      <c r="F59" s="219" t="n">
        <f aca="false">(E59-E58)*1000</f>
        <v>-8.0000000000009</v>
      </c>
      <c r="G59" s="220" t="n">
        <f aca="false">(C59-C58)*1000</f>
        <v>-8.00000000000045</v>
      </c>
      <c r="H59" s="266" t="n">
        <f aca="false">E47-E59</f>
        <v>-0.085</v>
      </c>
      <c r="I59" s="267" t="n">
        <f aca="false">C47-C59</f>
        <v>-0.0825</v>
      </c>
      <c r="J59" s="279" t="n">
        <f aca="false">BD59</f>
        <v>0.00649999999999995</v>
      </c>
      <c r="K59" s="279"/>
      <c r="L59" s="279"/>
      <c r="M59" s="112"/>
      <c r="N59" s="279"/>
      <c r="O59" s="278"/>
      <c r="P59" s="277"/>
      <c r="Q59" s="167"/>
      <c r="R59" s="167"/>
      <c r="S59" s="167"/>
      <c r="T59" s="167"/>
      <c r="U59" s="167"/>
      <c r="V59" s="167"/>
      <c r="W59" s="167"/>
      <c r="X59" s="167"/>
      <c r="Y59" s="228" t="n">
        <f aca="false">DAY(EOMONTH(A59,0))</f>
        <v>31</v>
      </c>
      <c r="Z59" s="268" t="n">
        <v>38469</v>
      </c>
      <c r="AA59" s="230" t="e">
        <f aca="false">IF(AND(A59&gt;=Front!$E$11,A59&lt;=Front!$E$12),A59,"")</f>
        <v>#VALUE!</v>
      </c>
      <c r="AB59" s="231" t="e">
        <f aca="false">IF(AA59="","",VLOOKUP(MONTH(A58),Front!$W$6:$X$17,2)*IF(Front!D$9=0,Swap!Y59,1))</f>
        <v>#VALUE!</v>
      </c>
      <c r="AC59" s="274" t="e">
        <f aca="false">IF(AA59="","",AB59*AH59)</f>
        <v>#VALUE!</v>
      </c>
      <c r="AD59" s="254"/>
      <c r="AE59" s="231" t="e">
        <f aca="false">IF(AA59="","",AD59*AH59)</f>
        <v>#VALUE!</v>
      </c>
      <c r="AF59" s="243" t="n">
        <f aca="false">INDEX(IRTable,MATCH(A59,IRMonth,0),4)</f>
        <v>0.0445113774348504</v>
      </c>
      <c r="AG59" s="243" t="n">
        <f aca="false">AF59+$AG$9</f>
        <v>0.0445113774348504</v>
      </c>
      <c r="AH59" s="195" t="n">
        <f aca="false">1/((1+AG59/2)^(2*((A59-Front!$C$2)/365.25)))</f>
        <v>2.41056982104535</v>
      </c>
      <c r="AI59" s="236" t="e">
        <f aca="false">IF($AA59="","",E59*AC59)</f>
        <v>#VALUE!</v>
      </c>
      <c r="AJ59" s="236" t="e">
        <f aca="false">IF($AA59="","",E59*AE59)</f>
        <v>#VALUE!</v>
      </c>
      <c r="AK59" s="237" t="e">
        <f aca="false">IF($AA59="","",C59*AC59)</f>
        <v>#VALUE!</v>
      </c>
      <c r="AL59" s="160" t="n">
        <f aca="false">(AO59/10000)/30.5</f>
        <v>0</v>
      </c>
      <c r="AM59" s="238" t="n">
        <f aca="false">AD59/10000</f>
        <v>0</v>
      </c>
      <c r="AN59" s="238" t="n">
        <f aca="false">AD59*DAY(EOMONTH(A59,0))/10000</f>
        <v>0</v>
      </c>
      <c r="AO59" s="254"/>
      <c r="AP59" s="238"/>
      <c r="AQ59" s="254"/>
      <c r="AR59" s="240"/>
      <c r="AS59" s="240"/>
      <c r="AT59" s="240"/>
      <c r="AU59" s="12"/>
      <c r="AV59" s="240"/>
      <c r="AW59" s="240"/>
      <c r="AX59" s="0"/>
      <c r="AY59" s="238"/>
      <c r="AZ59" s="233"/>
      <c r="BA59" s="241"/>
      <c r="BB59" s="242"/>
      <c r="BC59" s="243" t="n">
        <v>3.3145</v>
      </c>
      <c r="BD59" s="195" t="n">
        <f aca="false">BC59-E59</f>
        <v>0.00649999999999995</v>
      </c>
      <c r="BE59" s="251" t="n">
        <v>-7.75665494</v>
      </c>
      <c r="BF59" s="245" t="n">
        <f aca="false">(BE59)*(D59*10)</f>
        <v>504.182571099996</v>
      </c>
      <c r="BG59" s="121" t="n">
        <v>34.69330705</v>
      </c>
      <c r="BH59" s="121" t="n">
        <v>-82.53619046</v>
      </c>
      <c r="BI59" s="247"/>
      <c r="BJ59" s="121"/>
      <c r="BK59" s="121"/>
      <c r="BL59" s="121"/>
      <c r="BM59" s="121"/>
      <c r="BN59" s="121"/>
      <c r="BO59" s="121"/>
      <c r="BP59" s="275" t="n">
        <v>38626</v>
      </c>
      <c r="BQ59" s="143" t="n">
        <v>3.262</v>
      </c>
      <c r="BR59" s="143" t="n">
        <v>0.2375</v>
      </c>
      <c r="BS59" s="143" t="n">
        <v>0.0445113774348504</v>
      </c>
      <c r="BT59" s="121"/>
    </row>
    <row r="60" customFormat="false" ht="15" hidden="false" customHeight="false" outlineLevel="0" collapsed="false">
      <c r="A60" s="156" t="n">
        <f aca="false">EOMONTH(A59,0)+1</f>
        <v>38657</v>
      </c>
      <c r="B60" s="215" t="n">
        <f aca="false">BD60*1000*-1</f>
        <v>-6.49999999999995</v>
      </c>
      <c r="C60" s="281" t="n">
        <v>3.4845</v>
      </c>
      <c r="D60" s="282" t="n">
        <f aca="false">(E60-C60)*1000</f>
        <v>-6.49999999999995</v>
      </c>
      <c r="E60" s="283" t="n">
        <f aca="false">VLOOKUP(YEAR(A60),Yr_Sprds,2)+E48</f>
        <v>3.478</v>
      </c>
      <c r="F60" s="219" t="n">
        <f aca="false">(E60-E59)*1000</f>
        <v>170.000000000001</v>
      </c>
      <c r="G60" s="220" t="n">
        <f aca="false">(C60-C59)*1000</f>
        <v>170.000000000001</v>
      </c>
      <c r="H60" s="266" t="n">
        <f aca="false">E48-E60</f>
        <v>-0.085</v>
      </c>
      <c r="I60" s="267" t="n">
        <f aca="false">C48-C60</f>
        <v>-0.0825</v>
      </c>
      <c r="J60" s="279" t="n">
        <f aca="false">BD60</f>
        <v>0.00649999999999995</v>
      </c>
      <c r="K60" s="279"/>
      <c r="L60" s="279"/>
      <c r="M60" s="112"/>
      <c r="N60" s="112"/>
      <c r="O60" s="278"/>
      <c r="P60" s="277"/>
      <c r="Q60" s="167"/>
      <c r="R60" s="167"/>
      <c r="S60" s="167"/>
      <c r="T60" s="167"/>
      <c r="U60" s="167"/>
      <c r="V60" s="167"/>
      <c r="W60" s="167"/>
      <c r="X60" s="167"/>
      <c r="Y60" s="228" t="n">
        <f aca="false">DAY(EOMONTH(A60,0))</f>
        <v>30</v>
      </c>
      <c r="Z60" s="268" t="n">
        <v>38498</v>
      </c>
      <c r="AA60" s="230" t="e">
        <f aca="false">IF(AND(A60&gt;=Front!$E$11,A60&lt;=Front!$E$12),A60,"")</f>
        <v>#VALUE!</v>
      </c>
      <c r="AB60" s="231" t="e">
        <f aca="false">IF(AA60="","",VLOOKUP(MONTH(A59),Front!$W$6:$X$17,2)*IF(Front!D$9=0,Swap!Y60,1))</f>
        <v>#VALUE!</v>
      </c>
      <c r="AC60" s="274" t="e">
        <f aca="false">IF(AA60="","",AB60*AH60)</f>
        <v>#VALUE!</v>
      </c>
      <c r="AD60" s="254"/>
      <c r="AE60" s="231" t="e">
        <f aca="false">IF(AA60="","",AD60*AH60)</f>
        <v>#VALUE!</v>
      </c>
      <c r="AF60" s="243" t="n">
        <f aca="false">INDEX(IRTable,MATCH(A60,IRMonth,0),4)</f>
        <v>0.0447909542532514</v>
      </c>
      <c r="AG60" s="243" t="n">
        <f aca="false">AF60+$AG$9</f>
        <v>0.0447909542532514</v>
      </c>
      <c r="AH60" s="195" t="n">
        <f aca="false">1/((1+AG60/2)^(2*((A60-Front!$C$2)/365.25)))</f>
        <v>2.41468592953751</v>
      </c>
      <c r="AI60" s="236" t="e">
        <f aca="false">IF($AA60="","",E60*AC60)</f>
        <v>#VALUE!</v>
      </c>
      <c r="AJ60" s="236" t="e">
        <f aca="false">IF($AA60="","",E60*AE60)</f>
        <v>#VALUE!</v>
      </c>
      <c r="AK60" s="237" t="e">
        <f aca="false">IF($AA60="","",C60*AC60)</f>
        <v>#VALUE!</v>
      </c>
      <c r="AL60" s="160" t="n">
        <f aca="false">(AO60/10000)/30.5</f>
        <v>0</v>
      </c>
      <c r="AM60" s="238" t="n">
        <f aca="false">AD60/10000</f>
        <v>0</v>
      </c>
      <c r="AN60" s="238" t="n">
        <f aca="false">AD60*DAY(EOMONTH(A60,0))/10000</f>
        <v>0</v>
      </c>
      <c r="AO60" s="254"/>
      <c r="AP60" s="238"/>
      <c r="AQ60" s="254"/>
      <c r="AR60" s="240"/>
      <c r="AS60" s="240"/>
      <c r="AT60" s="240"/>
      <c r="AU60" s="12"/>
      <c r="AV60" s="240"/>
      <c r="AW60" s="240"/>
      <c r="AX60" s="0"/>
      <c r="AY60" s="238"/>
      <c r="AZ60" s="233"/>
      <c r="BA60" s="241"/>
      <c r="BB60" s="242"/>
      <c r="BC60" s="243" t="n">
        <v>3.4845</v>
      </c>
      <c r="BD60" s="195" t="n">
        <f aca="false">BC60-E60</f>
        <v>0.00649999999999995</v>
      </c>
      <c r="BE60" s="251" t="n">
        <v>0.03393451</v>
      </c>
      <c r="BF60" s="245" t="n">
        <f aca="false">(BE60)*(D60*10)</f>
        <v>-2.20574314999998</v>
      </c>
      <c r="BG60" s="121" t="n">
        <v>310.77324541</v>
      </c>
      <c r="BH60" s="121" t="n">
        <v>-81.5522438</v>
      </c>
      <c r="BI60" s="247"/>
      <c r="BJ60" s="121"/>
      <c r="BK60" s="121"/>
      <c r="BL60" s="121"/>
      <c r="BM60" s="121"/>
      <c r="BN60" s="121"/>
      <c r="BO60" s="121"/>
      <c r="BP60" s="275" t="n">
        <v>38657</v>
      </c>
      <c r="BQ60" s="143" t="n">
        <v>3.432</v>
      </c>
      <c r="BR60" s="143" t="n">
        <v>0.24</v>
      </c>
      <c r="BS60" s="143" t="n">
        <v>0.0447909542532514</v>
      </c>
      <c r="BT60" s="121"/>
    </row>
    <row r="61" customFormat="false" ht="15" hidden="false" customHeight="false" outlineLevel="0" collapsed="false">
      <c r="A61" s="156" t="n">
        <f aca="false">EOMONTH(A60,0)+1</f>
        <v>38687</v>
      </c>
      <c r="B61" s="215" t="n">
        <f aca="false">BD61*1000*-1</f>
        <v>-6.49999999999995</v>
      </c>
      <c r="C61" s="281" t="n">
        <v>3.6595</v>
      </c>
      <c r="D61" s="282" t="n">
        <f aca="false">(E61-C61)*1000</f>
        <v>-6.49999999999995</v>
      </c>
      <c r="E61" s="283" t="n">
        <f aca="false">VLOOKUP(YEAR(A61),Yr_Sprds,2)+E49</f>
        <v>3.653</v>
      </c>
      <c r="F61" s="287"/>
      <c r="G61" s="288"/>
      <c r="H61" s="287"/>
      <c r="I61" s="287"/>
      <c r="J61" s="279" t="n">
        <f aca="false">BD61</f>
        <v>0.00649999999999995</v>
      </c>
      <c r="K61" s="279"/>
      <c r="L61" s="279"/>
      <c r="M61" s="112"/>
      <c r="N61" s="112"/>
      <c r="O61" s="278"/>
      <c r="P61" s="277"/>
      <c r="Q61" s="167"/>
      <c r="R61" s="167"/>
      <c r="S61" s="167"/>
      <c r="T61" s="167"/>
      <c r="U61" s="167"/>
      <c r="V61" s="167"/>
      <c r="W61" s="167"/>
      <c r="X61" s="167"/>
      <c r="Y61" s="228" t="n">
        <f aca="false">DAY(EOMONTH(A61,0))</f>
        <v>31</v>
      </c>
      <c r="Z61" s="268" t="n">
        <v>38531</v>
      </c>
      <c r="AA61" s="230" t="e">
        <f aca="false">IF(AND(A61&gt;=Front!$E$11,A61&lt;=Front!$E$12),A61,"")</f>
        <v>#VALUE!</v>
      </c>
      <c r="AB61" s="231" t="e">
        <f aca="false">IF(AA61="","",VLOOKUP(MONTH(A60),Front!$W$6:$X$17,2)*IF(Front!D$9=0,Swap!Y61,1))</f>
        <v>#VALUE!</v>
      </c>
      <c r="AC61" s="274" t="e">
        <f aca="false">IF(AA61="","",AB61*AH61)</f>
        <v>#VALUE!</v>
      </c>
      <c r="AD61" s="254"/>
      <c r="AE61" s="231" t="e">
        <f aca="false">IF(AA61="","",AD61*AH61)</f>
        <v>#VALUE!</v>
      </c>
      <c r="AF61" s="243" t="n">
        <f aca="false">INDEX(IRTable,MATCH(A61,IRMonth,0),4)</f>
        <v>0.0450615124895188</v>
      </c>
      <c r="AG61" s="243" t="n">
        <f aca="false">AF61+$AG$9</f>
        <v>0.0450615124895188</v>
      </c>
      <c r="AH61" s="195" t="n">
        <f aca="false">1/((1+AG61/2)^(2*((A61-Front!$C$2)/365.25)))</f>
        <v>2.418567346552</v>
      </c>
      <c r="AI61" s="236" t="e">
        <f aca="false">IF($AA61="","",E61*AC61)</f>
        <v>#VALUE!</v>
      </c>
      <c r="AJ61" s="236" t="e">
        <f aca="false">IF($AA61="","",E61*AE61)</f>
        <v>#VALUE!</v>
      </c>
      <c r="AK61" s="237" t="e">
        <f aca="false">IF($AA61="","",C61*AC61)</f>
        <v>#VALUE!</v>
      </c>
      <c r="AL61" s="160" t="n">
        <f aca="false">(AO61/10000)/30.5</f>
        <v>0</v>
      </c>
      <c r="AM61" s="238" t="n">
        <f aca="false">AD61/10000</f>
        <v>0</v>
      </c>
      <c r="AN61" s="238" t="n">
        <f aca="false">AD61*DAY(EOMONTH(A61,0))/10000</f>
        <v>0</v>
      </c>
      <c r="AO61" s="254"/>
      <c r="AP61" s="238"/>
      <c r="AQ61" s="254"/>
      <c r="AR61" s="240"/>
      <c r="AS61" s="240"/>
      <c r="AT61" s="240"/>
      <c r="AU61" s="12"/>
      <c r="AV61" s="240"/>
      <c r="AW61" s="240"/>
      <c r="AX61" s="0"/>
      <c r="AY61" s="238"/>
      <c r="AZ61" s="233"/>
      <c r="BA61" s="241"/>
      <c r="BB61" s="242"/>
      <c r="BC61" s="243" t="n">
        <v>3.6595</v>
      </c>
      <c r="BD61" s="195" t="n">
        <f aca="false">BC61-E61</f>
        <v>0.00649999999999995</v>
      </c>
      <c r="BE61" s="251" t="n">
        <v>-7.68251047</v>
      </c>
      <c r="BF61" s="245" t="n">
        <f aca="false">(BE61)*(D61*10)</f>
        <v>499.363180549996</v>
      </c>
      <c r="BG61" s="121" t="n">
        <v>335.78843033</v>
      </c>
      <c r="BH61" s="121" t="n">
        <v>-81.46937436</v>
      </c>
      <c r="BI61" s="247"/>
      <c r="BJ61" s="121"/>
      <c r="BK61" s="121"/>
      <c r="BL61" s="121"/>
      <c r="BM61" s="121"/>
      <c r="BN61" s="121"/>
      <c r="BO61" s="121"/>
      <c r="BP61" s="275" t="n">
        <v>38687</v>
      </c>
      <c r="BQ61" s="143" t="n">
        <v>3.607</v>
      </c>
      <c r="BR61" s="143" t="n">
        <v>0.2425</v>
      </c>
      <c r="BS61" s="143" t="n">
        <v>0.0450615124895188</v>
      </c>
      <c r="BT61" s="121"/>
    </row>
    <row r="62" customFormat="false" ht="15" hidden="false" customHeight="false" outlineLevel="0" collapsed="false">
      <c r="A62" s="156" t="n">
        <f aca="false">EOMONTH(A61,0)+1</f>
        <v>38718</v>
      </c>
      <c r="B62" s="215"/>
      <c r="C62" s="281" t="n">
        <v>3.6945</v>
      </c>
      <c r="D62" s="282" t="n">
        <f aca="false">(E62-C62)*1000</f>
        <v>-4</v>
      </c>
      <c r="E62" s="283" t="n">
        <f aca="false">VLOOKUP(YEAR(A62),Yr_Sprds,2)+E50</f>
        <v>3.6905</v>
      </c>
      <c r="F62" s="287"/>
      <c r="G62" s="288"/>
      <c r="H62" s="287"/>
      <c r="I62" s="287"/>
      <c r="J62" s="279" t="n">
        <f aca="false">BD62</f>
        <v>0.004</v>
      </c>
      <c r="K62" s="279"/>
      <c r="L62" s="279"/>
      <c r="M62" s="112"/>
      <c r="N62" s="112"/>
      <c r="O62" s="278"/>
      <c r="P62" s="278"/>
      <c r="Q62" s="167"/>
      <c r="R62" s="167"/>
      <c r="S62" s="167"/>
      <c r="T62" s="167"/>
      <c r="U62" s="167"/>
      <c r="V62" s="167"/>
      <c r="W62" s="167"/>
      <c r="X62" s="167"/>
      <c r="Y62" s="228" t="n">
        <f aca="false">DAY(EOMONTH(A62,0))</f>
        <v>31</v>
      </c>
      <c r="Z62" s="268" t="n">
        <v>38560</v>
      </c>
      <c r="AA62" s="230" t="e">
        <f aca="false">IF(AND(A62&gt;=Front!$E$11,A62&lt;=Front!$E$12),A62,"")</f>
        <v>#VALUE!</v>
      </c>
      <c r="AB62" s="231" t="e">
        <f aca="false">IF(AA62="","",VLOOKUP(MONTH(A61),Front!$W$6:$X$17,2)*IF(Front!D$9=0,Swap!Y62,1))</f>
        <v>#VALUE!</v>
      </c>
      <c r="AC62" s="274" t="e">
        <f aca="false">IF(AA62="","",AB62*AH62)</f>
        <v>#VALUE!</v>
      </c>
      <c r="AD62" s="254"/>
      <c r="AE62" s="231" t="e">
        <f aca="false">IF(AA62="","",AD62*AH62)</f>
        <v>#VALUE!</v>
      </c>
      <c r="AF62" s="243" t="n">
        <f aca="false">INDEX(IRTable,MATCH(A62,IRMonth,0),4)</f>
        <v>0.0453345209356959</v>
      </c>
      <c r="AG62" s="243" t="n">
        <f aca="false">AF62+$AG$9</f>
        <v>0.0453345209356959</v>
      </c>
      <c r="AH62" s="195" t="n">
        <f aca="false">1/((1+AG62/2)^(2*((A62-Front!$C$2)/365.25)))</f>
        <v>2.42216528377228</v>
      </c>
      <c r="AI62" s="236" t="e">
        <f aca="false">IF($AA62="","",E62*AC62)</f>
        <v>#VALUE!</v>
      </c>
      <c r="AJ62" s="236" t="e">
        <f aca="false">IF($AA62="","",E62*AE62)</f>
        <v>#VALUE!</v>
      </c>
      <c r="AK62" s="237" t="e">
        <f aca="false">IF($AA62="","",C62*AC62)</f>
        <v>#VALUE!</v>
      </c>
      <c r="AL62" s="160" t="n">
        <f aca="false">(AO62/10000)/30.5</f>
        <v>0</v>
      </c>
      <c r="AM62" s="238" t="n">
        <f aca="false">AD62/10000</f>
        <v>0</v>
      </c>
      <c r="AN62" s="238" t="n">
        <f aca="false">AD62*DAY(EOMONTH(A62,0))/10000</f>
        <v>0</v>
      </c>
      <c r="AO62" s="254"/>
      <c r="AP62" s="238"/>
      <c r="AQ62" s="254"/>
      <c r="AR62" s="240"/>
      <c r="AS62" s="240"/>
      <c r="AT62" s="240"/>
      <c r="AU62" s="12"/>
      <c r="AV62" s="240"/>
      <c r="AW62" s="240"/>
      <c r="AX62" s="0"/>
      <c r="AY62" s="238"/>
      <c r="AZ62" s="233"/>
      <c r="BA62" s="241"/>
      <c r="BB62" s="242"/>
      <c r="BC62" s="243" t="n">
        <v>3.6945</v>
      </c>
      <c r="BD62" s="195" t="n">
        <f aca="false">BC62-E62</f>
        <v>0.004</v>
      </c>
      <c r="BE62" s="251" t="n">
        <v>-29.60204067</v>
      </c>
      <c r="BF62" s="245" t="n">
        <f aca="false">(BE62)*(D62*10)</f>
        <v>1184.0816268</v>
      </c>
      <c r="BG62" s="121" t="n">
        <v>326.26688572</v>
      </c>
      <c r="BH62" s="121" t="n">
        <v>-81.11471522</v>
      </c>
      <c r="BI62" s="247"/>
      <c r="BJ62" s="121"/>
      <c r="BK62" s="121"/>
      <c r="BL62" s="121"/>
      <c r="BM62" s="121"/>
      <c r="BN62" s="121"/>
      <c r="BO62" s="121"/>
      <c r="BP62" s="275" t="n">
        <v>38718</v>
      </c>
      <c r="BQ62" s="143" t="n">
        <v>3.6095</v>
      </c>
      <c r="BR62" s="143" t="n">
        <v>0.2425</v>
      </c>
      <c r="BS62" s="143" t="n">
        <v>0.0453345209356959</v>
      </c>
      <c r="BT62" s="121"/>
    </row>
    <row r="63" customFormat="false" ht="15" hidden="false" customHeight="false" outlineLevel="0" collapsed="false">
      <c r="A63" s="156" t="n">
        <f aca="false">EOMONTH(A62,0)+1</f>
        <v>38749</v>
      </c>
      <c r="B63" s="215"/>
      <c r="C63" s="281" t="n">
        <v>3.5805</v>
      </c>
      <c r="D63" s="282" t="n">
        <f aca="false">(E63-C63)*1000</f>
        <v>-4</v>
      </c>
      <c r="E63" s="283" t="n">
        <f aca="false">VLOOKUP(YEAR(A63),Yr_Sprds,2)+E51</f>
        <v>3.5765</v>
      </c>
      <c r="F63" s="287"/>
      <c r="G63" s="288"/>
      <c r="H63" s="287"/>
      <c r="I63" s="287"/>
      <c r="J63" s="279" t="n">
        <f aca="false">BD63</f>
        <v>0.004</v>
      </c>
      <c r="K63" s="279"/>
      <c r="L63" s="279"/>
      <c r="M63" s="112"/>
      <c r="N63" s="112"/>
      <c r="O63" s="278"/>
      <c r="P63" s="278"/>
      <c r="Q63" s="167"/>
      <c r="R63" s="167"/>
      <c r="S63" s="167"/>
      <c r="T63" s="167"/>
      <c r="U63" s="167"/>
      <c r="V63" s="167"/>
      <c r="W63" s="167"/>
      <c r="X63" s="167"/>
      <c r="Y63" s="228" t="n">
        <f aca="false">DAY(EOMONTH(A63,0))</f>
        <v>28</v>
      </c>
      <c r="Z63" s="268" t="n">
        <v>38593</v>
      </c>
      <c r="AA63" s="230" t="e">
        <f aca="false">IF(AND(A63&gt;=Front!$E$11,A63&lt;=Front!$E$12),A63,"")</f>
        <v>#VALUE!</v>
      </c>
      <c r="AB63" s="231" t="e">
        <f aca="false">IF(AA63="","",VLOOKUP(MONTH(A62),Front!$W$6:$X$17,2)*IF(Front!D$9=0,Swap!Y63,1))</f>
        <v>#VALUE!</v>
      </c>
      <c r="AC63" s="274" t="e">
        <f aca="false">IF(AA63="","",AB63*AH63)</f>
        <v>#VALUE!</v>
      </c>
      <c r="AD63" s="254"/>
      <c r="AE63" s="231" t="e">
        <f aca="false">IF(AA63="","",AD63*AH63)</f>
        <v>#VALUE!</v>
      </c>
      <c r="AF63" s="243" t="n">
        <f aca="false">INDEX(IRTable,MATCH(A63,IRMonth,0),4)</f>
        <v>0.0455955868172078</v>
      </c>
      <c r="AG63" s="243" t="n">
        <f aca="false">AF63+$AG$9</f>
        <v>0.0455955868172078</v>
      </c>
      <c r="AH63" s="195" t="n">
        <f aca="false">1/((1+AG63/2)^(2*((A63-Front!$C$2)/365.25)))</f>
        <v>2.42510047990456</v>
      </c>
      <c r="AI63" s="236" t="e">
        <f aca="false">IF($AA63="","",E63*AC63)</f>
        <v>#VALUE!</v>
      </c>
      <c r="AJ63" s="236" t="e">
        <f aca="false">IF($AA63="","",E63*AE63)</f>
        <v>#VALUE!</v>
      </c>
      <c r="AK63" s="237" t="e">
        <f aca="false">IF($AA63="","",C63*AC63)</f>
        <v>#VALUE!</v>
      </c>
      <c r="AL63" s="160" t="n">
        <f aca="false">(AO63/10000)/30.5</f>
        <v>0</v>
      </c>
      <c r="AM63" s="238" t="n">
        <f aca="false">AD63/10000</f>
        <v>0</v>
      </c>
      <c r="AN63" s="238" t="n">
        <f aca="false">AD63*DAY(EOMONTH(A63,0))/10000</f>
        <v>0</v>
      </c>
      <c r="AO63" s="254"/>
      <c r="AP63" s="238"/>
      <c r="AQ63" s="254"/>
      <c r="AR63" s="240"/>
      <c r="AS63" s="240"/>
      <c r="AT63" s="240"/>
      <c r="AU63" s="12"/>
      <c r="AV63" s="240"/>
      <c r="AW63" s="240"/>
      <c r="AX63" s="0"/>
      <c r="AY63" s="238"/>
      <c r="AZ63" s="233"/>
      <c r="BA63" s="241"/>
      <c r="BB63" s="242"/>
      <c r="BC63" s="243" t="n">
        <v>3.5805</v>
      </c>
      <c r="BD63" s="195" t="n">
        <f aca="false">BC63-E63</f>
        <v>0.004</v>
      </c>
      <c r="BE63" s="251" t="n">
        <v>-28.5941531</v>
      </c>
      <c r="BF63" s="245" t="n">
        <f aca="false">(BE63)*(D63*10)</f>
        <v>1143.766124</v>
      </c>
      <c r="BG63" s="121" t="n">
        <v>331.65191177</v>
      </c>
      <c r="BH63" s="121" t="n">
        <v>-80.99730372</v>
      </c>
      <c r="BI63" s="247"/>
      <c r="BJ63" s="121"/>
      <c r="BK63" s="121"/>
      <c r="BL63" s="121"/>
      <c r="BM63" s="121"/>
      <c r="BN63" s="121"/>
      <c r="BO63" s="121"/>
      <c r="BP63" s="275" t="n">
        <v>38749</v>
      </c>
      <c r="BQ63" s="143" t="n">
        <v>3.4955</v>
      </c>
      <c r="BR63" s="143" t="n">
        <v>0.24</v>
      </c>
      <c r="BS63" s="143" t="n">
        <v>0.0455955868172078</v>
      </c>
      <c r="BT63" s="121"/>
    </row>
    <row r="64" customFormat="false" ht="15" hidden="false" customHeight="false" outlineLevel="0" collapsed="false">
      <c r="A64" s="156" t="n">
        <f aca="false">EOMONTH(A63,0)+1</f>
        <v>38777</v>
      </c>
      <c r="B64" s="215"/>
      <c r="C64" s="281" t="n">
        <v>3.4485</v>
      </c>
      <c r="D64" s="282" t="n">
        <f aca="false">(E64-C64)*1000</f>
        <v>-4</v>
      </c>
      <c r="E64" s="283" t="n">
        <f aca="false">VLOOKUP(YEAR(A64),Yr_Sprds,2)+E52</f>
        <v>3.4445</v>
      </c>
      <c r="F64" s="287"/>
      <c r="G64" s="288"/>
      <c r="H64" s="287"/>
      <c r="I64" s="287"/>
      <c r="J64" s="279" t="n">
        <f aca="false">BD64</f>
        <v>0.004</v>
      </c>
      <c r="K64" s="279"/>
      <c r="L64" s="279"/>
      <c r="M64" s="112"/>
      <c r="N64" s="112"/>
      <c r="O64" s="278"/>
      <c r="P64" s="278"/>
      <c r="Q64" s="167"/>
      <c r="R64" s="167"/>
      <c r="S64" s="167"/>
      <c r="T64" s="167"/>
      <c r="U64" s="167"/>
      <c r="V64" s="167"/>
      <c r="W64" s="167"/>
      <c r="X64" s="167"/>
      <c r="Y64" s="228" t="n">
        <f aca="false">DAY(EOMONTH(A64,0))</f>
        <v>31</v>
      </c>
      <c r="Z64" s="268" t="n">
        <v>38623</v>
      </c>
      <c r="AA64" s="230" t="e">
        <f aca="false">IF(AND(A64&gt;=Front!$E$11,A64&lt;=Front!$E$12),A64,"")</f>
        <v>#VALUE!</v>
      </c>
      <c r="AB64" s="231" t="e">
        <f aca="false">IF(AA64="","",VLOOKUP(MONTH(A63),Front!$W$6:$X$17,2)*IF(Front!D$9=0,Swap!Y64,1))</f>
        <v>#VALUE!</v>
      </c>
      <c r="AC64" s="274" t="e">
        <f aca="false">IF(AA64="","",AB64*AH64)</f>
        <v>#VALUE!</v>
      </c>
      <c r="AD64" s="254"/>
      <c r="AE64" s="231" t="e">
        <f aca="false">IF(AA64="","",AD64*AH64)</f>
        <v>#VALUE!</v>
      </c>
      <c r="AF64" s="243" t="n">
        <f aca="false">INDEX(IRTable,MATCH(A64,IRMonth,0),4)</f>
        <v>0.0458313882781751</v>
      </c>
      <c r="AG64" s="243" t="n">
        <f aca="false">AF64+$AG$9</f>
        <v>0.0458313882781751</v>
      </c>
      <c r="AH64" s="195" t="n">
        <f aca="false">1/((1+AG64/2)^(2*((A64-Front!$C$2)/365.25)))</f>
        <v>2.427662936875</v>
      </c>
      <c r="AI64" s="236" t="e">
        <f aca="false">IF($AA64="","",E64*AC64)</f>
        <v>#VALUE!</v>
      </c>
      <c r="AJ64" s="236" t="e">
        <f aca="false">IF($AA64="","",E64*AE64)</f>
        <v>#VALUE!</v>
      </c>
      <c r="AK64" s="237" t="e">
        <f aca="false">IF($AA64="","",C64*AC64)</f>
        <v>#VALUE!</v>
      </c>
      <c r="AL64" s="160" t="n">
        <f aca="false">(AO64/10000)/30.5</f>
        <v>0</v>
      </c>
      <c r="AM64" s="238" t="n">
        <f aca="false">AD64/10000</f>
        <v>0</v>
      </c>
      <c r="AN64" s="238" t="n">
        <f aca="false">AD64*DAY(EOMONTH(A64,0))/10000</f>
        <v>0</v>
      </c>
      <c r="AO64" s="254"/>
      <c r="AP64" s="238"/>
      <c r="AQ64" s="254"/>
      <c r="AR64" s="240"/>
      <c r="AS64" s="240"/>
      <c r="AT64" s="240"/>
      <c r="AU64" s="12"/>
      <c r="AV64" s="240"/>
      <c r="AW64" s="240"/>
      <c r="AX64" s="0"/>
      <c r="AY64" s="238"/>
      <c r="AZ64" s="233"/>
      <c r="BA64" s="241"/>
      <c r="BB64" s="242"/>
      <c r="BC64" s="243" t="n">
        <v>3.4485</v>
      </c>
      <c r="BD64" s="195" t="n">
        <f aca="false">BC64-E64</f>
        <v>0.004</v>
      </c>
      <c r="BE64" s="251" t="n">
        <v>-29.32524373</v>
      </c>
      <c r="BF64" s="245" t="n">
        <f aca="false">(BE64)*(D64*10)</f>
        <v>1173.0097492</v>
      </c>
      <c r="BG64" s="121" t="n">
        <v>247.75975274</v>
      </c>
      <c r="BH64" s="121" t="n">
        <v>-80.63165372</v>
      </c>
      <c r="BI64" s="247"/>
      <c r="BJ64" s="121"/>
      <c r="BK64" s="121"/>
      <c r="BL64" s="121"/>
      <c r="BM64" s="121"/>
      <c r="BN64" s="121"/>
      <c r="BO64" s="121"/>
      <c r="BP64" s="275" t="n">
        <v>38777</v>
      </c>
      <c r="BQ64" s="143" t="n">
        <v>3.3635</v>
      </c>
      <c r="BR64" s="143" t="n">
        <v>0.24</v>
      </c>
      <c r="BS64" s="143" t="n">
        <v>0.0458313882781751</v>
      </c>
      <c r="BT64" s="121"/>
    </row>
    <row r="65" customFormat="false" ht="15" hidden="false" customHeight="false" outlineLevel="0" collapsed="false">
      <c r="A65" s="156" t="n">
        <f aca="false">EOMONTH(A64,0)+1</f>
        <v>38808</v>
      </c>
      <c r="B65" s="215"/>
      <c r="C65" s="281" t="n">
        <v>3.2785</v>
      </c>
      <c r="D65" s="282" t="n">
        <f aca="false">(E65-C65)*1000</f>
        <v>-4</v>
      </c>
      <c r="E65" s="283" t="n">
        <f aca="false">VLOOKUP(YEAR(A65),Yr_Sprds,2)+E53</f>
        <v>3.2745</v>
      </c>
      <c r="F65" s="287"/>
      <c r="G65" s="288"/>
      <c r="H65" s="287"/>
      <c r="I65" s="287"/>
      <c r="J65" s="279" t="n">
        <f aca="false">BD65</f>
        <v>0.004</v>
      </c>
      <c r="K65" s="279"/>
      <c r="L65" s="279"/>
      <c r="M65" s="112"/>
      <c r="N65" s="112"/>
      <c r="O65" s="278"/>
      <c r="P65" s="278"/>
      <c r="Q65" s="167"/>
      <c r="R65" s="167"/>
      <c r="S65" s="167"/>
      <c r="T65" s="167"/>
      <c r="U65" s="167"/>
      <c r="V65" s="167"/>
      <c r="W65" s="167"/>
      <c r="X65" s="167"/>
      <c r="Y65" s="228" t="n">
        <f aca="false">DAY(EOMONTH(A65,0))</f>
        <v>30</v>
      </c>
      <c r="Z65" s="268" t="n">
        <v>38652</v>
      </c>
      <c r="AA65" s="230" t="e">
        <f aca="false">IF(AND(A65&gt;=Front!$E$11,A65&lt;=Front!$E$12),A65,"")</f>
        <v>#VALUE!</v>
      </c>
      <c r="AB65" s="231" t="e">
        <f aca="false">IF(AA65="","",VLOOKUP(MONTH(A64),Front!$W$6:$X$17,2)*IF(Front!D$9=0,Swap!Y65,1))</f>
        <v>#VALUE!</v>
      </c>
      <c r="AC65" s="274" t="e">
        <f aca="false">IF(AA65="","",AB65*AH65)</f>
        <v>#VALUE!</v>
      </c>
      <c r="AD65" s="254"/>
      <c r="AE65" s="231" t="e">
        <f aca="false">IF(AA65="","",AD65*AH65)</f>
        <v>#VALUE!</v>
      </c>
      <c r="AF65" s="243" t="n">
        <f aca="false">INDEX(IRTable,MATCH(A65,IRMonth,0),4)</f>
        <v>0.0460924542030874</v>
      </c>
      <c r="AG65" s="243" t="n">
        <f aca="false">AF65+$AG$9</f>
        <v>0.0460924542030874</v>
      </c>
      <c r="AH65" s="195" t="n">
        <f aca="false">1/((1+AG65/2)^(2*((A65-Front!$C$2)/365.25)))</f>
        <v>2.43040143048641</v>
      </c>
      <c r="AI65" s="236" t="e">
        <f aca="false">IF($AA65="","",E65*AC65)</f>
        <v>#VALUE!</v>
      </c>
      <c r="AJ65" s="236" t="e">
        <f aca="false">IF($AA65="","",E65*AE65)</f>
        <v>#VALUE!</v>
      </c>
      <c r="AK65" s="237" t="e">
        <f aca="false">IF($AA65="","",C65*AC65)</f>
        <v>#VALUE!</v>
      </c>
      <c r="AL65" s="160" t="n">
        <f aca="false">(AO65/10000)/30.5</f>
        <v>0</v>
      </c>
      <c r="AM65" s="238" t="n">
        <f aca="false">AD65/10000</f>
        <v>0</v>
      </c>
      <c r="AN65" s="238" t="n">
        <f aca="false">AD65*DAY(EOMONTH(A65,0))/10000</f>
        <v>0</v>
      </c>
      <c r="AO65" s="254"/>
      <c r="AP65" s="238"/>
      <c r="AQ65" s="254"/>
      <c r="AR65" s="240"/>
      <c r="AS65" s="240"/>
      <c r="AT65" s="240"/>
      <c r="AU65" s="12"/>
      <c r="AV65" s="240"/>
      <c r="AW65" s="240"/>
      <c r="AX65" s="0"/>
      <c r="AY65" s="238"/>
      <c r="AZ65" s="233"/>
      <c r="BA65" s="241"/>
      <c r="BB65" s="242"/>
      <c r="BC65" s="243" t="n">
        <v>3.2785</v>
      </c>
      <c r="BD65" s="195" t="n">
        <f aca="false">BC65-E65</f>
        <v>0.004</v>
      </c>
      <c r="BE65" s="251" t="n">
        <v>-28.89413562</v>
      </c>
      <c r="BF65" s="245" t="n">
        <f aca="false">(BE65)*(D65*10)</f>
        <v>1155.7654248</v>
      </c>
      <c r="BG65" s="121" t="n">
        <v>55.13210707</v>
      </c>
      <c r="BH65" s="121" t="n">
        <v>-69.85188297</v>
      </c>
      <c r="BI65" s="247"/>
      <c r="BJ65" s="121"/>
      <c r="BK65" s="121"/>
      <c r="BL65" s="121"/>
      <c r="BM65" s="121"/>
      <c r="BN65" s="121"/>
      <c r="BO65" s="121"/>
      <c r="BP65" s="275" t="n">
        <v>38808</v>
      </c>
      <c r="BQ65" s="143" t="n">
        <v>3.1935</v>
      </c>
      <c r="BR65" s="143" t="n">
        <v>0.24</v>
      </c>
      <c r="BS65" s="143" t="n">
        <v>0.0460924542030874</v>
      </c>
      <c r="BT65" s="121"/>
    </row>
    <row r="66" customFormat="false" ht="15" hidden="false" customHeight="false" outlineLevel="0" collapsed="false">
      <c r="A66" s="156" t="n">
        <f aca="false">EOMONTH(A65,0)+1</f>
        <v>38838</v>
      </c>
      <c r="B66" s="215"/>
      <c r="C66" s="281" t="n">
        <v>3.2785</v>
      </c>
      <c r="D66" s="282" t="n">
        <f aca="false">(E66-C66)*1000</f>
        <v>-4</v>
      </c>
      <c r="E66" s="283" t="n">
        <f aca="false">VLOOKUP(YEAR(A66),Yr_Sprds,2)+E54</f>
        <v>3.2745</v>
      </c>
      <c r="F66" s="287"/>
      <c r="G66" s="288"/>
      <c r="H66" s="287"/>
      <c r="I66" s="287"/>
      <c r="J66" s="279" t="n">
        <f aca="false">BD66</f>
        <v>0.004</v>
      </c>
      <c r="K66" s="279"/>
      <c r="L66" s="279"/>
      <c r="M66" s="112"/>
      <c r="N66" s="112"/>
      <c r="O66" s="278"/>
      <c r="P66" s="278"/>
      <c r="Q66" s="167"/>
      <c r="R66" s="167"/>
      <c r="S66" s="167"/>
      <c r="T66" s="167"/>
      <c r="U66" s="167"/>
      <c r="V66" s="167"/>
      <c r="W66" s="167"/>
      <c r="X66" s="167"/>
      <c r="Y66" s="228" t="n">
        <f aca="false">DAY(EOMONTH(A66,0))</f>
        <v>31</v>
      </c>
      <c r="Z66" s="268" t="n">
        <v>38684</v>
      </c>
      <c r="AA66" s="230" t="e">
        <f aca="false">IF(AND(A66&gt;=Front!$E$11,A66&lt;=Front!$E$12),A66,"")</f>
        <v>#VALUE!</v>
      </c>
      <c r="AB66" s="231" t="e">
        <f aca="false">IF(AA66="","",VLOOKUP(MONTH(A65),Front!$W$6:$X$17,2)*IF(Front!D$9=0,Swap!Y66,1))</f>
        <v>#VALUE!</v>
      </c>
      <c r="AC66" s="274" t="e">
        <f aca="false">IF(AA66="","",AB66*AH66)</f>
        <v>#VALUE!</v>
      </c>
      <c r="AD66" s="254"/>
      <c r="AE66" s="231" t="e">
        <f aca="false">IF(AA66="","",AD66*AH66)</f>
        <v>#VALUE!</v>
      </c>
      <c r="AF66" s="243" t="n">
        <f aca="false">INDEX(IRTable,MATCH(A66,IRMonth,0),4)</f>
        <v>0.0463450986682594</v>
      </c>
      <c r="AG66" s="243" t="n">
        <f aca="false">AF66+$AG$9</f>
        <v>0.0463450986682594</v>
      </c>
      <c r="AH66" s="195" t="n">
        <f aca="false">1/((1+AG66/2)^(2*((A66-Front!$C$2)/365.25)))</f>
        <v>2.4329527124449</v>
      </c>
      <c r="AI66" s="236" t="e">
        <f aca="false">IF($AA66="","",E66*AC66)</f>
        <v>#VALUE!</v>
      </c>
      <c r="AJ66" s="236" t="e">
        <f aca="false">IF($AA66="","",E66*AE66)</f>
        <v>#VALUE!</v>
      </c>
      <c r="AK66" s="237" t="e">
        <f aca="false">IF($AA66="","",C66*AC66)</f>
        <v>#VALUE!</v>
      </c>
      <c r="AL66" s="160" t="n">
        <f aca="false">(AO66/10000)/30.5</f>
        <v>0</v>
      </c>
      <c r="AM66" s="238" t="n">
        <f aca="false">AD66/10000</f>
        <v>0</v>
      </c>
      <c r="AN66" s="238" t="n">
        <f aca="false">AD66*DAY(EOMONTH(A66,0))/10000</f>
        <v>0</v>
      </c>
      <c r="AO66" s="254"/>
      <c r="AP66" s="238"/>
      <c r="AQ66" s="254"/>
      <c r="AR66" s="240"/>
      <c r="AS66" s="240"/>
      <c r="AT66" s="240"/>
      <c r="AU66" s="12"/>
      <c r="AV66" s="240"/>
      <c r="AW66" s="240"/>
      <c r="AX66" s="0"/>
      <c r="AY66" s="238"/>
      <c r="AZ66" s="233"/>
      <c r="BA66" s="241"/>
      <c r="BB66" s="242"/>
      <c r="BC66" s="243" t="n">
        <v>3.2785</v>
      </c>
      <c r="BD66" s="195" t="n">
        <f aca="false">BC66-E66</f>
        <v>0.004</v>
      </c>
      <c r="BE66" s="251" t="n">
        <v>-26.60704615</v>
      </c>
      <c r="BF66" s="245" t="n">
        <f aca="false">(BE66)*(D66*10)</f>
        <v>1064.281846</v>
      </c>
      <c r="BG66" s="121" t="n">
        <v>80.65708132</v>
      </c>
      <c r="BH66" s="121" t="n">
        <v>-69.24432873</v>
      </c>
      <c r="BI66" s="247"/>
      <c r="BJ66" s="121"/>
      <c r="BK66" s="121"/>
      <c r="BL66" s="121"/>
      <c r="BM66" s="121"/>
      <c r="BN66" s="121"/>
      <c r="BO66" s="121"/>
      <c r="BP66" s="275" t="n">
        <v>38838</v>
      </c>
      <c r="BQ66" s="143" t="n">
        <v>3.1935</v>
      </c>
      <c r="BR66" s="143" t="n">
        <v>0.2375</v>
      </c>
      <c r="BS66" s="143" t="n">
        <v>0.0463450986682594</v>
      </c>
      <c r="BT66" s="121"/>
    </row>
    <row r="67" customFormat="false" ht="15" hidden="false" customHeight="false" outlineLevel="0" collapsed="false">
      <c r="A67" s="156" t="n">
        <f aca="false">EOMONTH(A66,0)+1</f>
        <v>38869</v>
      </c>
      <c r="B67" s="215"/>
      <c r="C67" s="281" t="n">
        <v>3.3105</v>
      </c>
      <c r="D67" s="282" t="n">
        <f aca="false">(E67-C67)*1000</f>
        <v>-4</v>
      </c>
      <c r="E67" s="283" t="n">
        <f aca="false">VLOOKUP(YEAR(A67),Yr_Sprds,2)+E55</f>
        <v>3.3065</v>
      </c>
      <c r="F67" s="287"/>
      <c r="G67" s="288"/>
      <c r="H67" s="287"/>
      <c r="I67" s="287"/>
      <c r="J67" s="279" t="n">
        <f aca="false">BD67</f>
        <v>0.004</v>
      </c>
      <c r="K67" s="279"/>
      <c r="L67" s="279"/>
      <c r="M67" s="112"/>
      <c r="N67" s="112"/>
      <c r="O67" s="278"/>
      <c r="P67" s="278"/>
      <c r="Q67" s="167"/>
      <c r="R67" s="167"/>
      <c r="S67" s="167"/>
      <c r="T67" s="167"/>
      <c r="U67" s="167"/>
      <c r="V67" s="167"/>
      <c r="W67" s="167"/>
      <c r="X67" s="167"/>
      <c r="Y67" s="228" t="n">
        <f aca="false">DAY(EOMONTH(A67,0))</f>
        <v>30</v>
      </c>
      <c r="Z67" s="268" t="n">
        <v>38714</v>
      </c>
      <c r="AA67" s="230" t="e">
        <f aca="false">IF(AND(A67&gt;=Front!$E$11,A67&lt;=Front!$E$12),A67,"")</f>
        <v>#VALUE!</v>
      </c>
      <c r="AB67" s="231" t="e">
        <f aca="false">IF(AA67="","",VLOOKUP(MONTH(A66),Front!$W$6:$X$17,2)*IF(Front!D$9=0,Swap!Y67,1))</f>
        <v>#VALUE!</v>
      </c>
      <c r="AC67" s="274" t="e">
        <f aca="false">IF(AA67="","",AB67*AH67)</f>
        <v>#VALUE!</v>
      </c>
      <c r="AD67" s="254"/>
      <c r="AE67" s="231" t="e">
        <f aca="false">IF(AA67="","",AD67*AH67)</f>
        <v>#VALUE!</v>
      </c>
      <c r="AF67" s="243" t="n">
        <f aca="false">INDEX(IRTable,MATCH(A67,IRMonth,0),4)</f>
        <v>0.0466061646380327</v>
      </c>
      <c r="AG67" s="243" t="n">
        <f aca="false">AF67+$AG$9</f>
        <v>0.0466061646380327</v>
      </c>
      <c r="AH67" s="195" t="n">
        <f aca="false">1/((1+AG67/2)^(2*((A67-Front!$C$2)/365.25)))</f>
        <v>2.43548655293261</v>
      </c>
      <c r="AI67" s="236" t="e">
        <f aca="false">IF($AA67="","",E67*AC67)</f>
        <v>#VALUE!</v>
      </c>
      <c r="AJ67" s="236" t="e">
        <f aca="false">IF($AA67="","",E67*AE67)</f>
        <v>#VALUE!</v>
      </c>
      <c r="AK67" s="237" t="e">
        <f aca="false">IF($AA67="","",C67*AC67)</f>
        <v>#VALUE!</v>
      </c>
      <c r="AL67" s="160" t="n">
        <f aca="false">(AO67/10000)/30.5</f>
        <v>0</v>
      </c>
      <c r="AM67" s="238" t="n">
        <f aca="false">AD67/10000</f>
        <v>0</v>
      </c>
      <c r="AN67" s="238" t="n">
        <f aca="false">AD67*DAY(EOMONTH(A67,0))/10000</f>
        <v>0</v>
      </c>
      <c r="AO67" s="254"/>
      <c r="AP67" s="238"/>
      <c r="AQ67" s="254"/>
      <c r="AR67" s="240"/>
      <c r="AS67" s="240"/>
      <c r="AT67" s="240"/>
      <c r="AU67" s="12"/>
      <c r="AV67" s="240"/>
      <c r="AW67" s="240"/>
      <c r="AX67" s="0"/>
      <c r="AY67" s="238"/>
      <c r="AZ67" s="233"/>
      <c r="BA67" s="241"/>
      <c r="BB67" s="242"/>
      <c r="BC67" s="243" t="n">
        <v>3.3105</v>
      </c>
      <c r="BD67" s="195" t="n">
        <f aca="false">BC67-E67</f>
        <v>0.004</v>
      </c>
      <c r="BE67" s="251" t="n">
        <v>-13.29597994</v>
      </c>
      <c r="BF67" s="245" t="n">
        <f aca="false">(BE67)*(D67*10)</f>
        <v>531.839197600001</v>
      </c>
      <c r="BG67" s="121" t="n">
        <v>75.02014121</v>
      </c>
      <c r="BH67" s="121" t="n">
        <v>-70.75356076</v>
      </c>
      <c r="BI67" s="247"/>
      <c r="BJ67" s="121"/>
      <c r="BK67" s="121"/>
      <c r="BL67" s="121"/>
      <c r="BM67" s="121"/>
      <c r="BN67" s="121"/>
      <c r="BO67" s="121"/>
      <c r="BP67" s="275" t="n">
        <v>38869</v>
      </c>
      <c r="BQ67" s="143" t="n">
        <v>3.2255</v>
      </c>
      <c r="BR67" s="143" t="n">
        <v>0.2375</v>
      </c>
      <c r="BS67" s="143" t="n">
        <v>0.0466061646380327</v>
      </c>
      <c r="BT67" s="121"/>
    </row>
    <row r="68" customFormat="false" ht="15" hidden="false" customHeight="false" outlineLevel="0" collapsed="false">
      <c r="A68" s="156" t="n">
        <f aca="false">EOMONTH(A67,0)+1</f>
        <v>38899</v>
      </c>
      <c r="B68" s="215"/>
      <c r="C68" s="281" t="n">
        <v>3.3605</v>
      </c>
      <c r="D68" s="282" t="n">
        <f aca="false">(E68-C68)*1000</f>
        <v>-4</v>
      </c>
      <c r="E68" s="283" t="n">
        <f aca="false">VLOOKUP(YEAR(A68),Yr_Sprds,2)+E56</f>
        <v>3.3565</v>
      </c>
      <c r="F68" s="287"/>
      <c r="G68" s="288"/>
      <c r="H68" s="287"/>
      <c r="I68" s="287"/>
      <c r="J68" s="279" t="n">
        <f aca="false">BD68</f>
        <v>0.004</v>
      </c>
      <c r="K68" s="279"/>
      <c r="L68" s="279"/>
      <c r="M68" s="112"/>
      <c r="N68" s="112"/>
      <c r="O68" s="278"/>
      <c r="P68" s="278"/>
      <c r="Q68" s="167"/>
      <c r="R68" s="167"/>
      <c r="S68" s="167"/>
      <c r="T68" s="167"/>
      <c r="U68" s="167"/>
      <c r="V68" s="167"/>
      <c r="W68" s="167"/>
      <c r="X68" s="167"/>
      <c r="Y68" s="228" t="n">
        <f aca="false">DAY(EOMONTH(A68,0))</f>
        <v>31</v>
      </c>
      <c r="Z68" s="268" t="n">
        <v>38744</v>
      </c>
      <c r="AA68" s="230" t="e">
        <f aca="false">IF(AND(A68&gt;=Front!$E$11,A68&lt;=Front!$E$12),A68,"")</f>
        <v>#VALUE!</v>
      </c>
      <c r="AB68" s="231" t="e">
        <f aca="false">IF(AA68="","",VLOOKUP(MONTH(A67),Front!$W$6:$X$17,2)*IF(Front!D$9=0,Swap!Y68,1))</f>
        <v>#VALUE!</v>
      </c>
      <c r="AC68" s="274" t="e">
        <f aca="false">IF(AA68="","",AB68*AH68)</f>
        <v>#VALUE!</v>
      </c>
      <c r="AD68" s="254"/>
      <c r="AE68" s="231" t="e">
        <f aca="false">IF(AA68="","",AD68*AH68)</f>
        <v>#VALUE!</v>
      </c>
      <c r="AF68" s="243" t="n">
        <f aca="false">INDEX(IRTable,MATCH(A68,IRMonth,0),4)</f>
        <v>0.0468588091466131</v>
      </c>
      <c r="AG68" s="243" t="n">
        <f aca="false">AF68+$AG$9</f>
        <v>0.0468588091466131</v>
      </c>
      <c r="AH68" s="195" t="n">
        <f aca="false">1/((1+AG68/2)^(2*((A68-Front!$C$2)/365.25)))</f>
        <v>2.43783918890576</v>
      </c>
      <c r="AI68" s="236" t="e">
        <f aca="false">IF($AA68="","",E68*AC68)</f>
        <v>#VALUE!</v>
      </c>
      <c r="AJ68" s="236" t="e">
        <f aca="false">IF($AA68="","",E68*AE68)</f>
        <v>#VALUE!</v>
      </c>
      <c r="AK68" s="237" t="e">
        <f aca="false">IF($AA68="","",C68*AC68)</f>
        <v>#VALUE!</v>
      </c>
      <c r="AL68" s="160" t="n">
        <f aca="false">(AO68/10000)/30.5</f>
        <v>0</v>
      </c>
      <c r="AM68" s="238" t="n">
        <f aca="false">AD68/10000</f>
        <v>0</v>
      </c>
      <c r="AN68" s="238" t="n">
        <f aca="false">AD68*DAY(EOMONTH(A68,0))/10000</f>
        <v>0</v>
      </c>
      <c r="AO68" s="254"/>
      <c r="AP68" s="238"/>
      <c r="AQ68" s="254"/>
      <c r="AR68" s="240"/>
      <c r="AS68" s="240"/>
      <c r="AT68" s="240"/>
      <c r="AU68" s="12"/>
      <c r="AV68" s="240"/>
      <c r="AW68" s="240"/>
      <c r="AX68" s="0"/>
      <c r="AY68" s="238"/>
      <c r="AZ68" s="233"/>
      <c r="BA68" s="241"/>
      <c r="BB68" s="242"/>
      <c r="BC68" s="243" t="n">
        <v>3.3605</v>
      </c>
      <c r="BD68" s="195" t="n">
        <f aca="false">BC68-E68</f>
        <v>0.004</v>
      </c>
      <c r="BE68" s="251" t="n">
        <v>-13.51084617</v>
      </c>
      <c r="BF68" s="245" t="n">
        <f aca="false">(BE68)*(D68*10)</f>
        <v>540.433846800001</v>
      </c>
      <c r="BG68" s="121" t="n">
        <v>-94.9165454</v>
      </c>
      <c r="BH68" s="121" t="n">
        <v>-71.71527308</v>
      </c>
      <c r="BI68" s="247"/>
      <c r="BJ68" s="121"/>
      <c r="BK68" s="121"/>
      <c r="BL68" s="121"/>
      <c r="BM68" s="121"/>
      <c r="BN68" s="121"/>
      <c r="BO68" s="121"/>
      <c r="BP68" s="275" t="n">
        <v>38899</v>
      </c>
      <c r="BQ68" s="143" t="n">
        <v>3.2755</v>
      </c>
      <c r="BR68" s="143" t="n">
        <v>0.2375</v>
      </c>
      <c r="BS68" s="143" t="n">
        <v>0.0468588091466131</v>
      </c>
      <c r="BT68" s="121"/>
    </row>
    <row r="69" customFormat="false" ht="15" hidden="false" customHeight="false" outlineLevel="0" collapsed="false">
      <c r="A69" s="156" t="n">
        <f aca="false">EOMONTH(A68,0)+1</f>
        <v>38930</v>
      </c>
      <c r="B69" s="215"/>
      <c r="C69" s="281" t="n">
        <v>3.3945</v>
      </c>
      <c r="D69" s="282" t="n">
        <f aca="false">(E69-C69)*1000</f>
        <v>-4</v>
      </c>
      <c r="E69" s="283" t="n">
        <f aca="false">VLOOKUP(YEAR(A69),Yr_Sprds,2)+E57</f>
        <v>3.3905</v>
      </c>
      <c r="F69" s="287"/>
      <c r="G69" s="288"/>
      <c r="H69" s="287"/>
      <c r="I69" s="287"/>
      <c r="J69" s="279" t="n">
        <f aca="false">BD69</f>
        <v>0.004</v>
      </c>
      <c r="K69" s="279"/>
      <c r="L69" s="279"/>
      <c r="M69" s="112"/>
      <c r="N69" s="112"/>
      <c r="O69" s="278"/>
      <c r="P69" s="278"/>
      <c r="Q69" s="167"/>
      <c r="R69" s="167"/>
      <c r="S69" s="167"/>
      <c r="T69" s="167"/>
      <c r="U69" s="167"/>
      <c r="V69" s="167"/>
      <c r="W69" s="167"/>
      <c r="X69" s="167"/>
      <c r="Y69" s="228" t="n">
        <f aca="false">DAY(EOMONTH(A69,0))</f>
        <v>31</v>
      </c>
      <c r="Z69" s="268" t="n">
        <v>38772</v>
      </c>
      <c r="AA69" s="230" t="e">
        <f aca="false">IF(AND(A69&gt;=Front!$E$11,A69&lt;=Front!$E$12),A69,"")</f>
        <v>#VALUE!</v>
      </c>
      <c r="AB69" s="231" t="e">
        <f aca="false">IF(AA69="","",VLOOKUP(MONTH(A68),Front!$W$6:$X$17,2)*IF(Front!D$9=0,Swap!Y69,1))</f>
        <v>#VALUE!</v>
      </c>
      <c r="AC69" s="274" t="e">
        <f aca="false">IF(AA69="","",AB69*AH69)</f>
        <v>#VALUE!</v>
      </c>
      <c r="AD69" s="254"/>
      <c r="AE69" s="231" t="e">
        <f aca="false">IF(AA69="","",AD69*AH69)</f>
        <v>#VALUE!</v>
      </c>
      <c r="AF69" s="243" t="n">
        <f aca="false">INDEX(IRTable,MATCH(A69,IRMonth,0),4)</f>
        <v>0.0471198751612358</v>
      </c>
      <c r="AG69" s="243" t="n">
        <f aca="false">AF69+$AG$9</f>
        <v>0.0471198751612358</v>
      </c>
      <c r="AH69" s="195" t="n">
        <f aca="false">1/((1+AG69/2)^(2*((A69-Front!$C$2)/365.25)))</f>
        <v>2.44016717330475</v>
      </c>
      <c r="AI69" s="236" t="e">
        <f aca="false">IF($AA69="","",E69*AC69)</f>
        <v>#VALUE!</v>
      </c>
      <c r="AJ69" s="236" t="e">
        <f aca="false">IF($AA69="","",E69*AE69)</f>
        <v>#VALUE!</v>
      </c>
      <c r="AK69" s="237" t="e">
        <f aca="false">IF($AA69="","",C69*AC69)</f>
        <v>#VALUE!</v>
      </c>
      <c r="AL69" s="160" t="n">
        <f aca="false">(AO69/10000)/30.5</f>
        <v>0</v>
      </c>
      <c r="AM69" s="238" t="n">
        <f aca="false">AD69/10000</f>
        <v>0</v>
      </c>
      <c r="AN69" s="238" t="n">
        <f aca="false">AD69*DAY(EOMONTH(A69,0))/10000</f>
        <v>0</v>
      </c>
      <c r="AO69" s="254"/>
      <c r="AP69" s="238"/>
      <c r="AQ69" s="254"/>
      <c r="AR69" s="240"/>
      <c r="AS69" s="240"/>
      <c r="AT69" s="240"/>
      <c r="AU69" s="12"/>
      <c r="AV69" s="240"/>
      <c r="AW69" s="240"/>
      <c r="AX69" s="0"/>
      <c r="AY69" s="238"/>
      <c r="AZ69" s="233"/>
      <c r="BA69" s="241"/>
      <c r="BB69" s="242"/>
      <c r="BC69" s="243" t="n">
        <v>3.3945</v>
      </c>
      <c r="BD69" s="195" t="n">
        <f aca="false">BC69-E69</f>
        <v>0.004</v>
      </c>
      <c r="BE69" s="251" t="n">
        <v>-9.45240085</v>
      </c>
      <c r="BF69" s="245" t="n">
        <f aca="false">(BE69)*(D69*10)</f>
        <v>378.096034</v>
      </c>
      <c r="BG69" s="121" t="n">
        <v>70.95690635</v>
      </c>
      <c r="BH69" s="121" t="n">
        <v>2.04532262000001</v>
      </c>
      <c r="BI69" s="247"/>
      <c r="BJ69" s="121"/>
      <c r="BK69" s="121"/>
      <c r="BL69" s="121"/>
      <c r="BM69" s="121"/>
      <c r="BN69" s="121"/>
      <c r="BO69" s="121"/>
      <c r="BP69" s="275" t="n">
        <v>38930</v>
      </c>
      <c r="BQ69" s="143" t="n">
        <v>3.3095</v>
      </c>
      <c r="BR69" s="143" t="n">
        <v>0.2375</v>
      </c>
      <c r="BS69" s="143" t="n">
        <v>0.0471198751612358</v>
      </c>
      <c r="BT69" s="121"/>
    </row>
    <row r="70" customFormat="false" ht="15" hidden="false" customHeight="false" outlineLevel="0" collapsed="false">
      <c r="A70" s="156" t="n">
        <f aca="false">EOMONTH(A69,0)+1</f>
        <v>38961</v>
      </c>
      <c r="B70" s="215"/>
      <c r="C70" s="281" t="n">
        <v>3.4075</v>
      </c>
      <c r="D70" s="282" t="n">
        <f aca="false">(E70-C70)*1000</f>
        <v>-4</v>
      </c>
      <c r="E70" s="283" t="n">
        <f aca="false">VLOOKUP(YEAR(A70),Yr_Sprds,2)+E58</f>
        <v>3.4035</v>
      </c>
      <c r="F70" s="287"/>
      <c r="G70" s="288"/>
      <c r="H70" s="287"/>
      <c r="I70" s="287"/>
      <c r="J70" s="279" t="n">
        <f aca="false">BD70</f>
        <v>0.004</v>
      </c>
      <c r="K70" s="279"/>
      <c r="L70" s="279"/>
      <c r="M70" s="112"/>
      <c r="N70" s="112"/>
      <c r="O70" s="278"/>
      <c r="P70" s="278"/>
      <c r="Q70" s="167"/>
      <c r="R70" s="167"/>
      <c r="S70" s="167"/>
      <c r="T70" s="167"/>
      <c r="U70" s="167"/>
      <c r="V70" s="167"/>
      <c r="W70" s="167"/>
      <c r="X70" s="167"/>
      <c r="Y70" s="228" t="n">
        <f aca="false">DAY(EOMONTH(A70,0))</f>
        <v>30</v>
      </c>
      <c r="Z70" s="268" t="n">
        <v>38805</v>
      </c>
      <c r="AA70" s="230" t="e">
        <f aca="false">IF(AND(A70&gt;=Front!$E$11,A70&lt;=Front!$E$12),A70,"")</f>
        <v>#VALUE!</v>
      </c>
      <c r="AB70" s="231" t="e">
        <f aca="false">IF(AA70="","",VLOOKUP(MONTH(A69),Front!$W$6:$X$17,2)*IF(Front!D$9=0,Swap!Y70,1))</f>
        <v>#VALUE!</v>
      </c>
      <c r="AC70" s="274" t="e">
        <f aca="false">IF(AA70="","",AB70*AH70)</f>
        <v>#VALUE!</v>
      </c>
      <c r="AD70" s="254"/>
      <c r="AE70" s="231" t="e">
        <f aca="false">IF(AA70="","",AD70*AH70)</f>
        <v>#VALUE!</v>
      </c>
      <c r="AF70" s="243" t="n">
        <f aca="false">INDEX(IRTable,MATCH(A70,IRMonth,0),4)</f>
        <v>0.0473809411986466</v>
      </c>
      <c r="AG70" s="243" t="n">
        <f aca="false">AF70+$AG$9</f>
        <v>0.0473809411986466</v>
      </c>
      <c r="AH70" s="195" t="n">
        <f aca="false">1/((1+AG70/2)^(2*((A70-Front!$C$2)/365.25)))</f>
        <v>2.44239011433034</v>
      </c>
      <c r="AI70" s="236" t="e">
        <f aca="false">IF($AA70="","",E70*AC70)</f>
        <v>#VALUE!</v>
      </c>
      <c r="AJ70" s="236" t="e">
        <f aca="false">IF($AA70="","",E70*AE70)</f>
        <v>#VALUE!</v>
      </c>
      <c r="AK70" s="237" t="e">
        <f aca="false">IF($AA70="","",C70*AC70)</f>
        <v>#VALUE!</v>
      </c>
      <c r="AL70" s="160" t="n">
        <f aca="false">(AO70/10000)/30.5</f>
        <v>0</v>
      </c>
      <c r="AM70" s="238" t="n">
        <f aca="false">AD70/10000</f>
        <v>0</v>
      </c>
      <c r="AN70" s="238" t="n">
        <f aca="false">AD70*DAY(EOMONTH(A70,0))/10000</f>
        <v>0</v>
      </c>
      <c r="AO70" s="254"/>
      <c r="AP70" s="238"/>
      <c r="AQ70" s="254"/>
      <c r="AR70" s="240"/>
      <c r="AS70" s="240"/>
      <c r="AT70" s="240"/>
      <c r="AU70" s="12"/>
      <c r="AV70" s="240"/>
      <c r="AW70" s="240"/>
      <c r="AX70" s="0"/>
      <c r="AY70" s="238"/>
      <c r="AZ70" s="233"/>
      <c r="BA70" s="241"/>
      <c r="BB70" s="242"/>
      <c r="BC70" s="243" t="n">
        <v>3.4075</v>
      </c>
      <c r="BD70" s="195" t="n">
        <f aca="false">BC70-E70</f>
        <v>0.004</v>
      </c>
      <c r="BE70" s="251" t="n">
        <v>-9.12550088</v>
      </c>
      <c r="BF70" s="245" t="n">
        <f aca="false">(BE70)*(D70*10)</f>
        <v>365.0200352</v>
      </c>
      <c r="BG70" s="121" t="n">
        <v>-53.56609899</v>
      </c>
      <c r="BH70" s="121" t="n">
        <v>1.83745169</v>
      </c>
      <c r="BI70" s="247"/>
      <c r="BJ70" s="121"/>
      <c r="BK70" s="121"/>
      <c r="BL70" s="121"/>
      <c r="BM70" s="121"/>
      <c r="BN70" s="121"/>
      <c r="BO70" s="121"/>
      <c r="BP70" s="275" t="n">
        <v>38961</v>
      </c>
      <c r="BQ70" s="143" t="n">
        <v>3.3225</v>
      </c>
      <c r="BR70" s="143" t="n">
        <v>0.2375</v>
      </c>
      <c r="BS70" s="143" t="n">
        <v>0.0473809411986466</v>
      </c>
      <c r="BT70" s="121"/>
    </row>
    <row r="71" customFormat="false" ht="15" hidden="false" customHeight="false" outlineLevel="0" collapsed="false">
      <c r="A71" s="289" t="n">
        <f aca="false">EOMONTH(A70,0)+1</f>
        <v>38991</v>
      </c>
      <c r="B71" s="215"/>
      <c r="C71" s="281" t="n">
        <v>3.3995</v>
      </c>
      <c r="D71" s="282" t="n">
        <f aca="false">(E71-C71)*1000</f>
        <v>-4</v>
      </c>
      <c r="E71" s="283" t="n">
        <f aca="false">VLOOKUP(YEAR(A71),Yr_Sprds,2)+E59</f>
        <v>3.3955</v>
      </c>
      <c r="F71" s="287"/>
      <c r="G71" s="288"/>
      <c r="H71" s="287"/>
      <c r="I71" s="287"/>
      <c r="J71" s="279" t="n">
        <f aca="false">BD71</f>
        <v>0.004</v>
      </c>
      <c r="K71" s="279"/>
      <c r="L71" s="279"/>
      <c r="M71" s="112"/>
      <c r="N71" s="112"/>
      <c r="O71" s="278"/>
      <c r="P71" s="278"/>
      <c r="Q71" s="167"/>
      <c r="R71" s="167"/>
      <c r="S71" s="167"/>
      <c r="T71" s="167"/>
      <c r="U71" s="167"/>
      <c r="V71" s="167"/>
      <c r="W71" s="167"/>
      <c r="X71" s="167"/>
      <c r="Y71" s="228" t="n">
        <f aca="false">DAY(EOMONTH(A71,0))</f>
        <v>31</v>
      </c>
      <c r="Z71" s="268" t="n">
        <v>38833</v>
      </c>
      <c r="AA71" s="230" t="e">
        <f aca="false">IF(AND(A71&gt;=Front!$E$11,A71&lt;=Front!$E$12),A71,"")</f>
        <v>#VALUE!</v>
      </c>
      <c r="AB71" s="231" t="e">
        <f aca="false">IF(AA71="","",VLOOKUP(MONTH(A70),Front!$W$6:$X$17,2)*IF(Front!D$9=0,Swap!Y71,1))</f>
        <v>#VALUE!</v>
      </c>
      <c r="AC71" s="274" t="e">
        <f aca="false">IF(AA71="","",AB71*AH71)</f>
        <v>#VALUE!</v>
      </c>
      <c r="AD71" s="254"/>
      <c r="AE71" s="231" t="e">
        <f aca="false">IF(AA71="","",AD71*AH71)</f>
        <v>#VALUE!</v>
      </c>
      <c r="AF71" s="243" t="n">
        <f aca="false">INDEX(IRTable,MATCH(A71,IRMonth,0),4)</f>
        <v>0.0476197581730084</v>
      </c>
      <c r="AG71" s="243" t="n">
        <f aca="false">AF71+$AG$9</f>
        <v>0.0476197581730084</v>
      </c>
      <c r="AH71" s="195" t="n">
        <f aca="false">1/((1+AG71/2)^(2*((A71-Front!$C$2)/365.25)))</f>
        <v>2.44381431045942</v>
      </c>
      <c r="AI71" s="236" t="e">
        <f aca="false">IF($AA71="","",E71*AC71)</f>
        <v>#VALUE!</v>
      </c>
      <c r="AJ71" s="236" t="e">
        <f aca="false">IF($AA71="","",E71*AE71)</f>
        <v>#VALUE!</v>
      </c>
      <c r="AK71" s="237" t="e">
        <f aca="false">IF($AA71="","",C71*AC71)</f>
        <v>#VALUE!</v>
      </c>
      <c r="AL71" s="160" t="n">
        <f aca="false">(AO71/10000)/30.5</f>
        <v>0</v>
      </c>
      <c r="AM71" s="238" t="n">
        <f aca="false">AD71/10000</f>
        <v>0</v>
      </c>
      <c r="AN71" s="238" t="n">
        <f aca="false">AD71*DAY(EOMONTH(A71,0))/10000</f>
        <v>0</v>
      </c>
      <c r="AO71" s="254"/>
      <c r="AP71" s="238"/>
      <c r="AQ71" s="254"/>
      <c r="AR71" s="240"/>
      <c r="AS71" s="240"/>
      <c r="AT71" s="240"/>
      <c r="AU71" s="12"/>
      <c r="AV71" s="240"/>
      <c r="AW71" s="240"/>
      <c r="AX71" s="238"/>
      <c r="AY71" s="238"/>
      <c r="AZ71" s="233"/>
      <c r="BA71" s="241"/>
      <c r="BB71" s="242"/>
      <c r="BC71" s="243" t="n">
        <v>3.3995</v>
      </c>
      <c r="BD71" s="195" t="n">
        <f aca="false">BC71-E71</f>
        <v>0.004</v>
      </c>
      <c r="BE71" s="251" t="n">
        <v>-9.35620715</v>
      </c>
      <c r="BF71" s="245" t="n">
        <f aca="false">(BE71)*(D71*10)</f>
        <v>374.248286</v>
      </c>
      <c r="BG71" s="121" t="n">
        <v>-84.86095128</v>
      </c>
      <c r="BH71" s="121" t="n">
        <v>2.02456633</v>
      </c>
      <c r="BI71" s="247"/>
      <c r="BJ71" s="121"/>
      <c r="BK71" s="121"/>
      <c r="BL71" s="121"/>
      <c r="BM71" s="121"/>
      <c r="BN71" s="121"/>
      <c r="BO71" s="121"/>
      <c r="BP71" s="275" t="n">
        <v>38991</v>
      </c>
      <c r="BQ71" s="143" t="n">
        <v>3.3445</v>
      </c>
      <c r="BR71" s="143" t="n">
        <v>0.2375</v>
      </c>
      <c r="BS71" s="143" t="n">
        <v>0.0476197581730084</v>
      </c>
      <c r="BT71" s="121"/>
    </row>
    <row r="72" customFormat="false" ht="15" hidden="false" customHeight="false" outlineLevel="0" collapsed="false">
      <c r="A72" s="289" t="n">
        <f aca="false">EOMONTH(A71,0)+1</f>
        <v>39022</v>
      </c>
      <c r="B72" s="215"/>
      <c r="C72" s="281" t="n">
        <v>3.5695</v>
      </c>
      <c r="D72" s="282" t="n">
        <f aca="false">(E72-C72)*1000</f>
        <v>-4</v>
      </c>
      <c r="E72" s="283" t="n">
        <f aca="false">VLOOKUP(YEAR(A72),Yr_Sprds,2)+E60</f>
        <v>3.5655</v>
      </c>
      <c r="F72" s="287"/>
      <c r="G72" s="288"/>
      <c r="H72" s="287"/>
      <c r="I72" s="287"/>
      <c r="J72" s="279" t="n">
        <f aca="false">BD72</f>
        <v>0.004</v>
      </c>
      <c r="K72" s="279"/>
      <c r="L72" s="279"/>
      <c r="M72" s="112"/>
      <c r="N72" s="112"/>
      <c r="O72" s="278"/>
      <c r="P72" s="278"/>
      <c r="Q72" s="167"/>
      <c r="R72" s="167"/>
      <c r="S72" s="167"/>
      <c r="T72" s="167"/>
      <c r="U72" s="167"/>
      <c r="V72" s="167"/>
      <c r="W72" s="167"/>
      <c r="X72" s="167"/>
      <c r="Y72" s="228" t="n">
        <f aca="false">DAY(EOMONTH(A72,0))</f>
        <v>30</v>
      </c>
      <c r="Z72" s="268" t="n">
        <v>38863</v>
      </c>
      <c r="AA72" s="230" t="e">
        <f aca="false">IF(AND(A72&gt;=Front!$E$11,A72&lt;=Front!$E$12),A72,"")</f>
        <v>#VALUE!</v>
      </c>
      <c r="AB72" s="231" t="e">
        <f aca="false">IF(AA72="","",VLOOKUP(MONTH(A71),Front!$W$6:$X$17,2)*IF(Front!D$9=0,Swap!Y72,1))</f>
        <v>#VALUE!</v>
      </c>
      <c r="AC72" s="274" t="e">
        <f aca="false">IF(AA72="","",AB72*AH72)</f>
        <v>#VALUE!</v>
      </c>
      <c r="AD72" s="254"/>
      <c r="AE72" s="231" t="e">
        <f aca="false">IF(AA72="","",AD72*AH72)</f>
        <v>#VALUE!</v>
      </c>
      <c r="AF72" s="243" t="n">
        <f aca="false">INDEX(IRTable,MATCH(A72,IRMonth,0),4)</f>
        <v>0.0477950931300652</v>
      </c>
      <c r="AG72" s="243" t="n">
        <f aca="false">AF72+$AG$9</f>
        <v>0.0477950931300652</v>
      </c>
      <c r="AH72" s="195" t="n">
        <f aca="false">1/((1+AG72/2)^(2*((A72-Front!$C$2)/365.25)))</f>
        <v>2.4419643207041</v>
      </c>
      <c r="AI72" s="236" t="e">
        <f aca="false">IF($AA72="","",E72*AC72)</f>
        <v>#VALUE!</v>
      </c>
      <c r="AJ72" s="236" t="e">
        <f aca="false">IF($AA72="","",E72*AE72)</f>
        <v>#VALUE!</v>
      </c>
      <c r="AK72" s="237" t="e">
        <f aca="false">IF($AA72="","",C72*AC72)</f>
        <v>#VALUE!</v>
      </c>
      <c r="AL72" s="160" t="n">
        <f aca="false">(AO72/10000)/30.5</f>
        <v>0</v>
      </c>
      <c r="AM72" s="238" t="n">
        <f aca="false">AD72/10000</f>
        <v>0</v>
      </c>
      <c r="AN72" s="238" t="n">
        <f aca="false">AD72*DAY(EOMONTH(A72,0))/10000</f>
        <v>0</v>
      </c>
      <c r="AO72" s="254"/>
      <c r="AP72" s="238"/>
      <c r="AQ72" s="254"/>
      <c r="AR72" s="240"/>
      <c r="AS72" s="240"/>
      <c r="AT72" s="240"/>
      <c r="AU72" s="12"/>
      <c r="AV72" s="240"/>
      <c r="AW72" s="240"/>
      <c r="AX72" s="238"/>
      <c r="AY72" s="238"/>
      <c r="AZ72" s="233"/>
      <c r="BA72" s="241"/>
      <c r="BB72" s="242"/>
      <c r="BC72" s="243" t="n">
        <v>3.5695</v>
      </c>
      <c r="BD72" s="195" t="n">
        <f aca="false">BC72-E72</f>
        <v>0.004</v>
      </c>
      <c r="BE72" s="251" t="n">
        <v>-9.03573783</v>
      </c>
      <c r="BF72" s="245" t="n">
        <f aca="false">(BE72)*(D72*10)</f>
        <v>361.4295132</v>
      </c>
      <c r="BG72" s="121" t="n">
        <v>-10.78535315</v>
      </c>
      <c r="BH72" s="121" t="n">
        <v>1.94903281</v>
      </c>
      <c r="BI72" s="247"/>
      <c r="BJ72" s="121"/>
      <c r="BK72" s="121"/>
      <c r="BL72" s="121"/>
      <c r="BM72" s="121"/>
      <c r="BN72" s="121"/>
      <c r="BO72" s="121"/>
      <c r="BP72" s="275" t="n">
        <v>39022</v>
      </c>
      <c r="BQ72" s="143" t="n">
        <v>3.5145</v>
      </c>
      <c r="BR72" s="143" t="n">
        <v>0.2375</v>
      </c>
      <c r="BS72" s="143" t="n">
        <v>0.0477950931300652</v>
      </c>
      <c r="BT72" s="121"/>
    </row>
    <row r="73" customFormat="false" ht="15" hidden="false" customHeight="false" outlineLevel="0" collapsed="false">
      <c r="A73" s="289" t="n">
        <f aca="false">EOMONTH(A72,0)+1</f>
        <v>39052</v>
      </c>
      <c r="B73" s="215"/>
      <c r="C73" s="281" t="n">
        <v>3.7445</v>
      </c>
      <c r="D73" s="282" t="n">
        <f aca="false">(E73-C73)*1000</f>
        <v>-4</v>
      </c>
      <c r="E73" s="283" t="n">
        <f aca="false">VLOOKUP(YEAR(A73),Yr_Sprds,2)+E61</f>
        <v>3.7405</v>
      </c>
      <c r="F73" s="287"/>
      <c r="G73" s="288"/>
      <c r="H73" s="287"/>
      <c r="I73" s="287"/>
      <c r="J73" s="279" t="n">
        <f aca="false">BD73</f>
        <v>0.004</v>
      </c>
      <c r="K73" s="279"/>
      <c r="L73" s="279"/>
      <c r="M73" s="112"/>
      <c r="N73" s="278"/>
      <c r="O73" s="278"/>
      <c r="P73" s="278"/>
      <c r="Q73" s="167"/>
      <c r="R73" s="167"/>
      <c r="S73" s="167"/>
      <c r="T73" s="167"/>
      <c r="U73" s="167"/>
      <c r="V73" s="167"/>
      <c r="W73" s="167"/>
      <c r="X73" s="167"/>
      <c r="Y73" s="228" t="n">
        <f aca="false">DAY(EOMONTH(A73,0))</f>
        <v>31</v>
      </c>
      <c r="Z73" s="268" t="n">
        <v>38896</v>
      </c>
      <c r="AA73" s="230" t="e">
        <f aca="false">IF(AND(A73&gt;=Front!$E$11,A73&lt;=Front!$E$12),A73,"")</f>
        <v>#VALUE!</v>
      </c>
      <c r="AB73" s="231" t="e">
        <f aca="false">IF(AA73="","",VLOOKUP(MONTH(A72),Front!$W$6:$X$17,2)*IF(Front!D$9=0,Swap!Y73,1))</f>
        <v>#VALUE!</v>
      </c>
      <c r="AC73" s="274" t="e">
        <f aca="false">IF(AA73="","",AB73*AH73)</f>
        <v>#VALUE!</v>
      </c>
      <c r="AD73" s="254"/>
      <c r="AE73" s="231" t="e">
        <f aca="false">IF(AA73="","",AD73*AH73)</f>
        <v>#VALUE!</v>
      </c>
      <c r="AF73" s="243" t="n">
        <f aca="false">INDEX(IRTable,MATCH(A73,IRMonth,0),4)</f>
        <v>0.0479647721305492</v>
      </c>
      <c r="AG73" s="243" t="n">
        <f aca="false">AF73+$AG$9</f>
        <v>0.0479647721305492</v>
      </c>
      <c r="AH73" s="195" t="n">
        <f aca="false">1/((1+AG73/2)^(2*((A73-Front!$C$2)/365.25)))</f>
        <v>2.44010716334677</v>
      </c>
      <c r="AI73" s="236" t="e">
        <f aca="false">IF($AA73="","",E73*AC73)</f>
        <v>#VALUE!</v>
      </c>
      <c r="AJ73" s="236" t="e">
        <f aca="false">IF($AA73="","",E73*AE73)</f>
        <v>#VALUE!</v>
      </c>
      <c r="AK73" s="237" t="e">
        <f aca="false">IF($AA73="","",C73*AC73)</f>
        <v>#VALUE!</v>
      </c>
      <c r="AL73" s="160" t="n">
        <f aca="false">(AO73/10000)/30.5</f>
        <v>0</v>
      </c>
      <c r="AM73" s="238" t="n">
        <f aca="false">AD73/10000</f>
        <v>0</v>
      </c>
      <c r="AN73" s="238" t="n">
        <f aca="false">AD73*DAY(EOMONTH(A73,0))/10000</f>
        <v>0</v>
      </c>
      <c r="AO73" s="254"/>
      <c r="AP73" s="238"/>
      <c r="AQ73" s="254"/>
      <c r="AR73" s="240"/>
      <c r="AS73" s="240"/>
      <c r="AT73" s="240"/>
      <c r="AU73" s="12"/>
      <c r="AV73" s="240"/>
      <c r="AW73" s="240"/>
      <c r="AX73" s="238"/>
      <c r="AY73" s="238"/>
      <c r="AZ73" s="233"/>
      <c r="BA73" s="241"/>
      <c r="BB73" s="242"/>
      <c r="BC73" s="243" t="n">
        <v>3.7445</v>
      </c>
      <c r="BD73" s="195" t="n">
        <f aca="false">BC73-E73</f>
        <v>0.004</v>
      </c>
      <c r="BE73" s="251" t="n">
        <v>-9.26675215</v>
      </c>
      <c r="BF73" s="245" t="n">
        <f aca="false">(BE73)*(D73*10)</f>
        <v>370.670086</v>
      </c>
      <c r="BG73" s="121" t="n">
        <v>-16.7025458</v>
      </c>
      <c r="BH73" s="121" t="n">
        <v>2.0038066</v>
      </c>
      <c r="BI73" s="247"/>
      <c r="BJ73" s="121"/>
      <c r="BK73" s="121"/>
      <c r="BL73" s="121"/>
      <c r="BM73" s="121"/>
      <c r="BN73" s="121"/>
      <c r="BO73" s="121"/>
      <c r="BP73" s="275" t="n">
        <v>39052</v>
      </c>
      <c r="BQ73" s="143" t="n">
        <v>3.6895</v>
      </c>
      <c r="BR73" s="143" t="n">
        <v>0.24</v>
      </c>
      <c r="BS73" s="143" t="n">
        <v>0.0479647721305492</v>
      </c>
      <c r="BT73" s="121"/>
    </row>
    <row r="74" customFormat="false" ht="15" hidden="false" customHeight="false" outlineLevel="0" collapsed="false">
      <c r="A74" s="289" t="n">
        <f aca="false">EOMONTH(A73,0)+1</f>
        <v>39083</v>
      </c>
      <c r="B74" s="215"/>
      <c r="C74" s="281" t="n">
        <v>3.782</v>
      </c>
      <c r="D74" s="282" t="n">
        <f aca="false">(E74-C74)*1000</f>
        <v>-1.50000000000006</v>
      </c>
      <c r="E74" s="283" t="n">
        <f aca="false">VLOOKUP(YEAR(A74),Yr_Sprds,2)+E62</f>
        <v>3.7805</v>
      </c>
      <c r="F74" s="287"/>
      <c r="G74" s="288"/>
      <c r="H74" s="287"/>
      <c r="I74" s="287"/>
      <c r="J74" s="279" t="n">
        <f aca="false">BD74</f>
        <v>0.00150000000000006</v>
      </c>
      <c r="K74" s="279"/>
      <c r="L74" s="279"/>
      <c r="M74" s="112"/>
      <c r="N74" s="278"/>
      <c r="O74" s="278"/>
      <c r="P74" s="278"/>
      <c r="Q74" s="167"/>
      <c r="R74" s="167"/>
      <c r="S74" s="167"/>
      <c r="T74" s="167"/>
      <c r="U74" s="167"/>
      <c r="V74" s="167"/>
      <c r="W74" s="167"/>
      <c r="X74" s="167"/>
      <c r="Y74" s="228" t="n">
        <f aca="false">DAY(EOMONTH(A74,0))</f>
        <v>31</v>
      </c>
      <c r="Z74" s="268" t="n">
        <v>38925</v>
      </c>
      <c r="AA74" s="230" t="e">
        <f aca="false">IF(AND(A74&gt;=Front!$E$11,A74&lt;=Front!$E$12),A74,"")</f>
        <v>#VALUE!</v>
      </c>
      <c r="AB74" s="231" t="e">
        <f aca="false">IF(AA74="","",VLOOKUP(MONTH(A73),Front!$W$6:$X$17,2)*IF(Front!D$9=0,Swap!Y74,1))</f>
        <v>#VALUE!</v>
      </c>
      <c r="AC74" s="274" t="e">
        <f aca="false">IF(AA74="","",AB74*AH74)</f>
        <v>#VALUE!</v>
      </c>
      <c r="AD74" s="238"/>
      <c r="AE74" s="231" t="e">
        <f aca="false">IF(AA74="","",AD74*AH74)</f>
        <v>#VALUE!</v>
      </c>
      <c r="AF74" s="243" t="n">
        <f aca="false">INDEX(IRTable,MATCH(A74,IRMonth,0),4)</f>
        <v>0.0481401071078245</v>
      </c>
      <c r="AG74" s="243" t="n">
        <f aca="false">AF74+$AG$9</f>
        <v>0.0481401071078245</v>
      </c>
      <c r="AH74" s="195" t="n">
        <f aca="false">1/((1+AG74/2)^(2*((A74-Front!$C$2)/365.25)))</f>
        <v>2.43811920013638</v>
      </c>
      <c r="AI74" s="236" t="e">
        <f aca="false">IF($AA74="","",E74*AC74)</f>
        <v>#VALUE!</v>
      </c>
      <c r="AJ74" s="236" t="e">
        <f aca="false">IF($AA74="","",E74*AE74)</f>
        <v>#VALUE!</v>
      </c>
      <c r="AK74" s="237" t="e">
        <f aca="false">IF($AA74="","",C74*AC74)</f>
        <v>#VALUE!</v>
      </c>
      <c r="AL74" s="160" t="n">
        <f aca="false">(AO74/10000)/30.5</f>
        <v>0</v>
      </c>
      <c r="AM74" s="238" t="n">
        <f aca="false">AD74/10000</f>
        <v>0</v>
      </c>
      <c r="AN74" s="238" t="n">
        <f aca="false">AD74*DAY(EOMONTH(A74,0))/10000</f>
        <v>0</v>
      </c>
      <c r="AO74" s="238"/>
      <c r="AP74" s="238"/>
      <c r="AQ74" s="238"/>
      <c r="AR74" s="239"/>
      <c r="AS74" s="238"/>
      <c r="AT74" s="240"/>
      <c r="AU74" s="12"/>
      <c r="AV74" s="240"/>
      <c r="AW74" s="240"/>
      <c r="AX74" s="238"/>
      <c r="AY74" s="238"/>
      <c r="AZ74" s="233"/>
      <c r="BA74" s="241"/>
      <c r="BB74" s="242"/>
      <c r="BC74" s="243" t="n">
        <v>3.782</v>
      </c>
      <c r="BD74" s="195" t="n">
        <f aca="false">BC74-E74</f>
        <v>0.00150000000000006</v>
      </c>
      <c r="BE74" s="251" t="n">
        <v>1.93845926</v>
      </c>
      <c r="BF74" s="245" t="n">
        <f aca="false">(BE74)*(D74*10)</f>
        <v>-29.0768889000011</v>
      </c>
      <c r="BG74" s="121" t="n">
        <v>-10.45351516</v>
      </c>
      <c r="BH74" s="121" t="n">
        <v>1.92900472</v>
      </c>
      <c r="BI74" s="247"/>
      <c r="BJ74" s="121"/>
      <c r="BK74" s="121"/>
      <c r="BL74" s="121"/>
      <c r="BM74" s="121"/>
      <c r="BN74" s="121"/>
      <c r="BO74" s="121"/>
      <c r="BP74" s="275" t="n">
        <v>39083</v>
      </c>
      <c r="BQ74" s="143" t="n">
        <v>3.6945</v>
      </c>
      <c r="BR74" s="143" t="n">
        <v>0.2425</v>
      </c>
      <c r="BS74" s="143" t="n">
        <v>0.0481401071078245</v>
      </c>
      <c r="BT74" s="121"/>
    </row>
    <row r="75" customFormat="false" ht="15" hidden="false" customHeight="false" outlineLevel="0" collapsed="false">
      <c r="A75" s="289" t="n">
        <f aca="false">EOMONTH(A74,0)+1</f>
        <v>39114</v>
      </c>
      <c r="B75" s="215"/>
      <c r="C75" s="281" t="n">
        <v>3.668</v>
      </c>
      <c r="D75" s="282" t="n">
        <f aca="false">(E75-C75)*1000</f>
        <v>-1.50000000000006</v>
      </c>
      <c r="E75" s="283" t="n">
        <f aca="false">VLOOKUP(YEAR(A75),Yr_Sprds,2)+E63</f>
        <v>3.6665</v>
      </c>
      <c r="F75" s="287"/>
      <c r="G75" s="288"/>
      <c r="H75" s="287"/>
      <c r="I75" s="287"/>
      <c r="J75" s="279" t="n">
        <f aca="false">BD75</f>
        <v>0.00150000000000006</v>
      </c>
      <c r="K75" s="279"/>
      <c r="L75" s="279"/>
      <c r="M75" s="112"/>
      <c r="N75" s="278"/>
      <c r="O75" s="278"/>
      <c r="P75" s="278"/>
      <c r="Q75" s="167"/>
      <c r="R75" s="167"/>
      <c r="S75" s="167"/>
      <c r="T75" s="167"/>
      <c r="U75" s="167"/>
      <c r="V75" s="167"/>
      <c r="W75" s="167"/>
      <c r="X75" s="167"/>
      <c r="Y75" s="228" t="n">
        <f aca="false">DAY(EOMONTH(A75,0))</f>
        <v>28</v>
      </c>
      <c r="Z75" s="268" t="n">
        <v>38958</v>
      </c>
      <c r="AA75" s="230" t="e">
        <f aca="false">IF(AND(A75&gt;=Front!$E$11,A75&lt;=Front!$E$12),A75,"")</f>
        <v>#VALUE!</v>
      </c>
      <c r="AB75" s="231" t="e">
        <f aca="false">IF(AA75="","",VLOOKUP(MONTH(A74),Front!$W$6:$X$17,2)*IF(Front!D$9=0,Swap!Y75,1))</f>
        <v>#VALUE!</v>
      </c>
      <c r="AC75" s="274" t="e">
        <f aca="false">IF(AA75="","",AB75*AH75)</f>
        <v>#VALUE!</v>
      </c>
      <c r="AD75" s="238"/>
      <c r="AE75" s="231" t="e">
        <f aca="false">IF(AA75="","",AD75*AH75)</f>
        <v>#VALUE!</v>
      </c>
      <c r="AF75" s="243" t="n">
        <f aca="false">INDEX(IRTable,MATCH(A75,IRMonth,0),4)</f>
        <v>0.0483154420953738</v>
      </c>
      <c r="AG75" s="243" t="n">
        <f aca="false">AF75+$AG$9</f>
        <v>0.0483154420953738</v>
      </c>
      <c r="AH75" s="195" t="n">
        <f aca="false">1/((1+AG75/2)^(2*((A75-Front!$C$2)/365.25)))</f>
        <v>2.43606138774659</v>
      </c>
      <c r="AI75" s="236" t="e">
        <f aca="false">IF($AA75="","",E75*AC75)</f>
        <v>#VALUE!</v>
      </c>
      <c r="AJ75" s="236" t="e">
        <f aca="false">IF($AA75="","",E75*AE75)</f>
        <v>#VALUE!</v>
      </c>
      <c r="AK75" s="237" t="e">
        <f aca="false">IF($AA75="","",C75*AC75)</f>
        <v>#VALUE!</v>
      </c>
      <c r="AL75" s="160" t="n">
        <f aca="false">(AO75/10000)/30.5</f>
        <v>0</v>
      </c>
      <c r="AM75" s="238" t="n">
        <f aca="false">AD75/10000</f>
        <v>0</v>
      </c>
      <c r="AN75" s="238" t="n">
        <f aca="false">AD75*DAY(EOMONTH(A75,0))/10000</f>
        <v>0</v>
      </c>
      <c r="AO75" s="238"/>
      <c r="AP75" s="238"/>
      <c r="AQ75" s="238"/>
      <c r="AR75" s="239"/>
      <c r="AS75" s="238"/>
      <c r="AT75" s="240"/>
      <c r="AU75" s="12"/>
      <c r="AV75" s="240"/>
      <c r="AW75" s="240"/>
      <c r="AX75" s="238"/>
      <c r="AY75" s="238"/>
      <c r="AZ75" s="233"/>
      <c r="BA75" s="241"/>
      <c r="BB75" s="242"/>
      <c r="BC75" s="243" t="n">
        <v>3.668</v>
      </c>
      <c r="BD75" s="195" t="n">
        <f aca="false">BC75-E75</f>
        <v>0.00150000000000006</v>
      </c>
      <c r="BE75" s="251" t="n">
        <v>1.66720909</v>
      </c>
      <c r="BF75" s="245" t="n">
        <f aca="false">(BE75)*(D75*10)</f>
        <v>-25.008136350001</v>
      </c>
      <c r="BG75" s="121" t="n">
        <v>-17.61590216</v>
      </c>
      <c r="BH75" s="121" t="n">
        <v>1.983173</v>
      </c>
      <c r="BI75" s="247"/>
      <c r="BJ75" s="121"/>
      <c r="BK75" s="121"/>
      <c r="BL75" s="121"/>
      <c r="BM75" s="121"/>
      <c r="BN75" s="121"/>
      <c r="BO75" s="121"/>
      <c r="BP75" s="275" t="n">
        <v>39114</v>
      </c>
      <c r="BQ75" s="143" t="n">
        <v>3.5805</v>
      </c>
      <c r="BR75" s="143" t="n">
        <v>0.2375</v>
      </c>
      <c r="BS75" s="143" t="n">
        <v>0.0483154420953738</v>
      </c>
      <c r="BT75" s="121"/>
    </row>
    <row r="76" customFormat="false" ht="15" hidden="false" customHeight="false" outlineLevel="0" collapsed="false">
      <c r="A76" s="289" t="n">
        <f aca="false">EOMONTH(A75,0)+1</f>
        <v>39142</v>
      </c>
      <c r="B76" s="215"/>
      <c r="C76" s="281" t="n">
        <v>3.536</v>
      </c>
      <c r="D76" s="282" t="n">
        <f aca="false">(E76-C76)*1000</f>
        <v>-1.50000000000006</v>
      </c>
      <c r="E76" s="283" t="n">
        <f aca="false">VLOOKUP(YEAR(A76),Yr_Sprds,2)+E64</f>
        <v>3.5345</v>
      </c>
      <c r="F76" s="287"/>
      <c r="G76" s="288"/>
      <c r="H76" s="287"/>
      <c r="I76" s="287"/>
      <c r="J76" s="279" t="n">
        <f aca="false">BD76</f>
        <v>0.00150000000000006</v>
      </c>
      <c r="K76" s="279"/>
      <c r="L76" s="279"/>
      <c r="M76" s="112"/>
      <c r="N76" s="278"/>
      <c r="O76" s="278"/>
      <c r="P76" s="278"/>
      <c r="Q76" s="167"/>
      <c r="R76" s="167"/>
      <c r="S76" s="167"/>
      <c r="T76" s="167"/>
      <c r="U76" s="167"/>
      <c r="V76" s="167"/>
      <c r="W76" s="167"/>
      <c r="X76" s="167"/>
      <c r="Y76" s="228" t="n">
        <f aca="false">DAY(EOMONTH(A76,0))</f>
        <v>31</v>
      </c>
      <c r="Z76" s="268" t="n">
        <v>38987</v>
      </c>
      <c r="AA76" s="230" t="e">
        <f aca="false">IF(AND(A76&gt;=Front!$E$11,A76&lt;=Front!$E$12),A76,"")</f>
        <v>#VALUE!</v>
      </c>
      <c r="AB76" s="231" t="e">
        <f aca="false">IF(AA76="","",VLOOKUP(MONTH(A75),Front!$W$6:$X$17,2)*IF(Front!D$9=0,Swap!Y76,1))</f>
        <v>#VALUE!</v>
      </c>
      <c r="AC76" s="274" t="e">
        <f aca="false">IF(AA76="","",AB76*AH76)</f>
        <v>#VALUE!</v>
      </c>
      <c r="AD76" s="238"/>
      <c r="AE76" s="231" t="e">
        <f aca="false">IF(AA76="","",AD76*AH76)</f>
        <v>#VALUE!</v>
      </c>
      <c r="AF76" s="243" t="n">
        <f aca="false">INDEX(IRTable,MATCH(A76,IRMonth,0),4)</f>
        <v>0.0484738091897317</v>
      </c>
      <c r="AG76" s="243" t="n">
        <f aca="false">AF76+$AG$9</f>
        <v>0.0484738091897317</v>
      </c>
      <c r="AH76" s="195" t="n">
        <f aca="false">1/((1+AG76/2)^(2*((A76-Front!$C$2)/365.25)))</f>
        <v>2.4341428385825</v>
      </c>
      <c r="AI76" s="236" t="e">
        <f aca="false">IF($AA76="","",E76*AC76)</f>
        <v>#VALUE!</v>
      </c>
      <c r="AJ76" s="236" t="e">
        <f aca="false">IF($AA76="","",E76*AE76)</f>
        <v>#VALUE!</v>
      </c>
      <c r="AK76" s="237" t="e">
        <f aca="false">IF($AA76="","",C76*AC76)</f>
        <v>#VALUE!</v>
      </c>
      <c r="AL76" s="160" t="n">
        <f aca="false">(AO76/10000)/30.5</f>
        <v>0</v>
      </c>
      <c r="AM76" s="238" t="n">
        <f aca="false">AD76/10000</f>
        <v>0</v>
      </c>
      <c r="AN76" s="238" t="n">
        <f aca="false">AD76*DAY(EOMONTH(A76,0))/10000</f>
        <v>0</v>
      </c>
      <c r="AO76" s="238"/>
      <c r="AP76" s="238"/>
      <c r="AQ76" s="238"/>
      <c r="AR76" s="239"/>
      <c r="AS76" s="238"/>
      <c r="AT76" s="240"/>
      <c r="AU76" s="12"/>
      <c r="AV76" s="240"/>
      <c r="AW76" s="240"/>
      <c r="AX76" s="238"/>
      <c r="AY76" s="238"/>
      <c r="AZ76" s="233"/>
      <c r="BA76" s="241"/>
      <c r="BB76" s="242"/>
      <c r="BC76" s="243" t="n">
        <v>3.536</v>
      </c>
      <c r="BD76" s="195" t="n">
        <f aca="false">BC76-E76</f>
        <v>0.00150000000000006</v>
      </c>
      <c r="BE76" s="251" t="n">
        <v>1.92021943</v>
      </c>
      <c r="BF76" s="245" t="n">
        <f aca="false">(BE76)*(D76*10)</f>
        <v>-28.8032914500011</v>
      </c>
      <c r="BG76" s="121" t="n">
        <v>-17.03772904</v>
      </c>
      <c r="BH76" s="121" t="n">
        <v>1.97273558</v>
      </c>
      <c r="BI76" s="247"/>
      <c r="BJ76" s="121"/>
      <c r="BK76" s="121"/>
      <c r="BL76" s="121"/>
      <c r="BM76" s="121"/>
      <c r="BN76" s="121"/>
      <c r="BO76" s="121"/>
      <c r="BP76" s="275" t="n">
        <v>39142</v>
      </c>
      <c r="BQ76" s="143" t="n">
        <v>3.4485</v>
      </c>
      <c r="BR76" s="143" t="n">
        <v>0.2325</v>
      </c>
      <c r="BS76" s="143" t="n">
        <v>0.0484738091897317</v>
      </c>
      <c r="BT76" s="121"/>
    </row>
    <row r="77" customFormat="false" ht="15" hidden="false" customHeight="false" outlineLevel="0" collapsed="false">
      <c r="A77" s="289" t="n">
        <f aca="false">EOMONTH(A76,0)+1</f>
        <v>39173</v>
      </c>
      <c r="B77" s="215"/>
      <c r="C77" s="281" t="n">
        <v>3.366</v>
      </c>
      <c r="D77" s="282" t="n">
        <f aca="false">(E77-C77)*1000</f>
        <v>-1.50000000000006</v>
      </c>
      <c r="E77" s="283" t="n">
        <f aca="false">VLOOKUP(YEAR(A77),Yr_Sprds,2)+E65</f>
        <v>3.3645</v>
      </c>
      <c r="F77" s="287"/>
      <c r="G77" s="288"/>
      <c r="H77" s="287"/>
      <c r="I77" s="287"/>
      <c r="J77" s="279" t="n">
        <f aca="false">BD77</f>
        <v>0.00150000000000006</v>
      </c>
      <c r="K77" s="279"/>
      <c r="L77" s="279"/>
      <c r="M77" s="112"/>
      <c r="N77" s="278"/>
      <c r="O77" s="278"/>
      <c r="P77" s="278"/>
      <c r="Q77" s="167"/>
      <c r="R77" s="167"/>
      <c r="S77" s="167"/>
      <c r="T77" s="167"/>
      <c r="U77" s="167"/>
      <c r="V77" s="167"/>
      <c r="W77" s="167"/>
      <c r="X77" s="167"/>
      <c r="Y77" s="228" t="n">
        <f aca="false">DAY(EOMONTH(A77,0))</f>
        <v>30</v>
      </c>
      <c r="Z77" s="268" t="n">
        <v>39017</v>
      </c>
      <c r="AA77" s="230" t="e">
        <f aca="false">IF(AND(A77&gt;=Front!$E$11,A77&lt;=Front!$E$12),A77,"")</f>
        <v>#VALUE!</v>
      </c>
      <c r="AB77" s="231" t="e">
        <f aca="false">IF(AA77="","",VLOOKUP(MONTH(A76),Front!$W$6:$X$17,2)*IF(Front!D$9=0,Swap!Y77,1))</f>
        <v>#VALUE!</v>
      </c>
      <c r="AC77" s="274" t="e">
        <f aca="false">IF(AA77="","",AB77*AH77)</f>
        <v>#VALUE!</v>
      </c>
      <c r="AD77" s="238"/>
      <c r="AE77" s="231" t="e">
        <f aca="false">IF(AA77="","",AD77*AH77)</f>
        <v>#VALUE!</v>
      </c>
      <c r="AF77" s="243" t="n">
        <f aca="false">INDEX(IRTable,MATCH(A77,IRMonth,0),4)</f>
        <v>0.0486491441968315</v>
      </c>
      <c r="AG77" s="243" t="n">
        <f aca="false">AF77+$AG$9</f>
        <v>0.0486491441968315</v>
      </c>
      <c r="AH77" s="195" t="n">
        <f aca="false">1/((1+AG77/2)^(2*((A77-Front!$C$2)/365.25)))</f>
        <v>2.43195261407167</v>
      </c>
      <c r="AI77" s="236" t="e">
        <f aca="false">IF($AA77="","",E77*AC77)</f>
        <v>#VALUE!</v>
      </c>
      <c r="AJ77" s="236" t="e">
        <f aca="false">IF($AA77="","",E77*AE77)</f>
        <v>#VALUE!</v>
      </c>
      <c r="AK77" s="237" t="e">
        <f aca="false">IF($AA77="","",C77*AC77)</f>
        <v>#VALUE!</v>
      </c>
      <c r="AL77" s="160" t="n">
        <f aca="false">(AO77/10000)/30.5</f>
        <v>0</v>
      </c>
      <c r="AM77" s="238" t="n">
        <f aca="false">AD77/10000</f>
        <v>0</v>
      </c>
      <c r="AN77" s="238" t="n">
        <f aca="false">AD77*DAY(EOMONTH(A77,0))/10000</f>
        <v>0</v>
      </c>
      <c r="AO77" s="238"/>
      <c r="AP77" s="238"/>
      <c r="AQ77" s="238"/>
      <c r="AR77" s="239"/>
      <c r="AS77" s="238"/>
      <c r="AT77" s="240"/>
      <c r="AU77" s="12"/>
      <c r="AV77" s="240"/>
      <c r="AW77" s="240"/>
      <c r="AX77" s="238"/>
      <c r="AY77" s="238"/>
      <c r="AZ77" s="233"/>
      <c r="BA77" s="241"/>
      <c r="BB77" s="242"/>
      <c r="BC77" s="243" t="n">
        <v>3.366</v>
      </c>
      <c r="BD77" s="195" t="n">
        <f aca="false">BC77-E77</f>
        <v>0.00150000000000006</v>
      </c>
      <c r="BE77" s="251" t="n">
        <v>2.59132446</v>
      </c>
      <c r="BF77" s="245" t="n">
        <f aca="false">(BE77)*(D77*10)</f>
        <v>-38.8698669000015</v>
      </c>
      <c r="BG77" s="121" t="n">
        <v>-9.52198759</v>
      </c>
      <c r="BH77" s="121" t="n">
        <v>1.89902992</v>
      </c>
      <c r="BI77" s="247"/>
      <c r="BJ77" s="121"/>
      <c r="BK77" s="121"/>
      <c r="BL77" s="121"/>
      <c r="BM77" s="121"/>
      <c r="BN77" s="121"/>
      <c r="BO77" s="121"/>
      <c r="BP77" s="275" t="n">
        <v>39173</v>
      </c>
      <c r="BQ77" s="143" t="n">
        <v>3.2785</v>
      </c>
      <c r="BR77" s="143" t="n">
        <v>0.2325</v>
      </c>
      <c r="BS77" s="143" t="n">
        <v>0.0486491441968315</v>
      </c>
      <c r="BT77" s="121"/>
    </row>
    <row r="78" customFormat="false" ht="15" hidden="false" customHeight="false" outlineLevel="0" collapsed="false">
      <c r="A78" s="289" t="n">
        <f aca="false">EOMONTH(A77,0)+1</f>
        <v>39203</v>
      </c>
      <c r="B78" s="215"/>
      <c r="C78" s="281" t="n">
        <v>3.366</v>
      </c>
      <c r="D78" s="282" t="n">
        <f aca="false">(E78-C78)*1000</f>
        <v>-1.50000000000006</v>
      </c>
      <c r="E78" s="283" t="n">
        <f aca="false">VLOOKUP(YEAR(A78),Yr_Sprds,2)+E66</f>
        <v>3.3645</v>
      </c>
      <c r="F78" s="287"/>
      <c r="G78" s="288"/>
      <c r="H78" s="287"/>
      <c r="I78" s="287"/>
      <c r="J78" s="279" t="n">
        <f aca="false">BD78</f>
        <v>0.00150000000000006</v>
      </c>
      <c r="K78" s="279"/>
      <c r="L78" s="279"/>
      <c r="M78" s="112"/>
      <c r="N78" s="278"/>
      <c r="O78" s="278"/>
      <c r="P78" s="278"/>
      <c r="Q78" s="167"/>
      <c r="R78" s="167"/>
      <c r="S78" s="167"/>
      <c r="T78" s="167"/>
      <c r="U78" s="167"/>
      <c r="V78" s="167"/>
      <c r="W78" s="167"/>
      <c r="X78" s="167"/>
      <c r="Y78" s="228" t="n">
        <f aca="false">DAY(EOMONTH(A78,0))</f>
        <v>31</v>
      </c>
      <c r="Z78" s="268" t="n">
        <v>39049</v>
      </c>
      <c r="AA78" s="230" t="e">
        <f aca="false">IF(AND(A78&gt;=Front!$E$11,A78&lt;=Front!$E$12),A78,"")</f>
        <v>#VALUE!</v>
      </c>
      <c r="AB78" s="231" t="e">
        <f aca="false">IF(AA78="","",VLOOKUP(MONTH(A77),Front!$W$6:$X$17,2)*IF(Front!D$9=0,Swap!Y78,1))</f>
        <v>#VALUE!</v>
      </c>
      <c r="AC78" s="274" t="e">
        <f aca="false">IF(AA78="","",AB78*AH78)</f>
        <v>#VALUE!</v>
      </c>
      <c r="AD78" s="238"/>
      <c r="AE78" s="231" t="e">
        <f aca="false">IF(AA78="","",AD78*AH78)</f>
        <v>#VALUE!</v>
      </c>
      <c r="AF78" s="243" t="n">
        <f aca="false">INDEX(IRTable,MATCH(A78,IRMonth,0),4)</f>
        <v>0.0488188232457398</v>
      </c>
      <c r="AG78" s="243" t="n">
        <f aca="false">AF78+$AG$9</f>
        <v>0.0488188232457398</v>
      </c>
      <c r="AH78" s="195" t="n">
        <f aca="false">1/((1+AG78/2)^(2*((A78-Front!$C$2)/365.25)))</f>
        <v>2.429767071733</v>
      </c>
      <c r="AI78" s="236" t="e">
        <f aca="false">IF($AA78="","",E78*AC78)</f>
        <v>#VALUE!</v>
      </c>
      <c r="AJ78" s="236" t="e">
        <f aca="false">IF($AA78="","",E78*AE78)</f>
        <v>#VALUE!</v>
      </c>
      <c r="AK78" s="237" t="e">
        <f aca="false">IF($AA78="","",C78*AC78)</f>
        <v>#VALUE!</v>
      </c>
      <c r="AL78" s="160" t="n">
        <f aca="false">(AO78/10000)/30.5</f>
        <v>0</v>
      </c>
      <c r="AM78" s="238" t="n">
        <f aca="false">AD78/10000</f>
        <v>0</v>
      </c>
      <c r="AN78" s="238" t="n">
        <f aca="false">AD78*DAY(EOMONTH(A78,0))/10000</f>
        <v>0</v>
      </c>
      <c r="AO78" s="238"/>
      <c r="AP78" s="238"/>
      <c r="AQ78" s="238"/>
      <c r="AR78" s="239"/>
      <c r="AS78" s="238"/>
      <c r="AT78" s="240"/>
      <c r="AU78" s="12"/>
      <c r="AV78" s="240"/>
      <c r="AW78" s="240"/>
      <c r="AX78" s="238"/>
      <c r="AY78" s="238"/>
      <c r="AZ78" s="233"/>
      <c r="BA78" s="241"/>
      <c r="BB78" s="242"/>
      <c r="BC78" s="243" t="n">
        <v>3.366</v>
      </c>
      <c r="BD78" s="195" t="n">
        <f aca="false">BC78-E78</f>
        <v>0.00150000000000006</v>
      </c>
      <c r="BE78" s="251" t="n">
        <v>2.66467371</v>
      </c>
      <c r="BF78" s="245" t="n">
        <f aca="false">(BE78)*(D78*10)</f>
        <v>-39.9701056500015</v>
      </c>
      <c r="BG78" s="121" t="n">
        <v>15.07159919</v>
      </c>
      <c r="BH78" s="121" t="n">
        <v>1.95229316</v>
      </c>
      <c r="BI78" s="247"/>
      <c r="BJ78" s="121"/>
      <c r="BK78" s="121"/>
      <c r="BL78" s="121"/>
      <c r="BM78" s="121"/>
      <c r="BN78" s="121"/>
      <c r="BO78" s="121"/>
      <c r="BP78" s="275" t="n">
        <v>39203</v>
      </c>
      <c r="BQ78" s="143" t="n">
        <v>3.2785</v>
      </c>
      <c r="BR78" s="143" t="n">
        <v>0.2325</v>
      </c>
      <c r="BS78" s="143" t="n">
        <v>0.0488188232457398</v>
      </c>
      <c r="BT78" s="121"/>
    </row>
    <row r="79" customFormat="false" ht="15" hidden="false" customHeight="false" outlineLevel="0" collapsed="false">
      <c r="A79" s="289" t="n">
        <f aca="false">EOMONTH(A78,0)+1</f>
        <v>39234</v>
      </c>
      <c r="B79" s="215"/>
      <c r="C79" s="281" t="n">
        <v>3.398</v>
      </c>
      <c r="D79" s="282" t="n">
        <f aca="false">(E79-C79)*1000</f>
        <v>-1.50000000000006</v>
      </c>
      <c r="E79" s="283" t="n">
        <f aca="false">VLOOKUP(YEAR(A79),Yr_Sprds,2)+E67</f>
        <v>3.3965</v>
      </c>
      <c r="F79" s="287"/>
      <c r="G79" s="288"/>
      <c r="H79" s="287"/>
      <c r="I79" s="287"/>
      <c r="J79" s="279" t="n">
        <f aca="false">BD79</f>
        <v>0.00150000000000006</v>
      </c>
      <c r="K79" s="279"/>
      <c r="L79" s="279"/>
      <c r="M79" s="112"/>
      <c r="N79" s="278"/>
      <c r="O79" s="278"/>
      <c r="P79" s="278"/>
      <c r="Q79" s="167"/>
      <c r="R79" s="167"/>
      <c r="S79" s="167"/>
      <c r="T79" s="167"/>
      <c r="U79" s="167"/>
      <c r="V79" s="167"/>
      <c r="W79" s="167"/>
      <c r="X79" s="167"/>
      <c r="Y79" s="228" t="n">
        <f aca="false">DAY(EOMONTH(A79,0))</f>
        <v>30</v>
      </c>
      <c r="Z79" s="268" t="n">
        <v>39078</v>
      </c>
      <c r="AA79" s="230" t="e">
        <f aca="false">IF(AND(A79&gt;=Front!$E$11,A79&lt;=Front!$E$12),A79,"")</f>
        <v>#VALUE!</v>
      </c>
      <c r="AB79" s="231" t="e">
        <f aca="false">IF(AA79="","",VLOOKUP(MONTH(A78),Front!$W$6:$X$17,2)*IF(Front!D$9=0,Swap!Y79,1))</f>
        <v>#VALUE!</v>
      </c>
      <c r="AC79" s="274" t="e">
        <f aca="false">IF(AA79="","",AB79*AH79)</f>
        <v>#VALUE!</v>
      </c>
      <c r="AD79" s="238"/>
      <c r="AE79" s="231" t="e">
        <f aca="false">IF(AA79="","",AD79*AH79)</f>
        <v>#VALUE!</v>
      </c>
      <c r="AF79" s="243" t="n">
        <f aca="false">INDEX(IRTable,MATCH(A79,IRMonth,0),4)</f>
        <v>0.0489941582730502</v>
      </c>
      <c r="AG79" s="243" t="n">
        <f aca="false">AF79+$AG$9</f>
        <v>0.0489941582730502</v>
      </c>
      <c r="AH79" s="195" t="n">
        <f aca="false">1/((1+AG79/2)^(2*((A79-Front!$C$2)/365.25)))</f>
        <v>2.42744070914477</v>
      </c>
      <c r="AI79" s="236" t="e">
        <f aca="false">IF($AA79="","",E79*AC79)</f>
        <v>#VALUE!</v>
      </c>
      <c r="AJ79" s="236" t="e">
        <f aca="false">IF($AA79="","",E79*AE79)</f>
        <v>#VALUE!</v>
      </c>
      <c r="AK79" s="237" t="e">
        <f aca="false">IF($AA79="","",C79*AC79)</f>
        <v>#VALUE!</v>
      </c>
      <c r="AL79" s="160" t="n">
        <f aca="false">(AO79/10000)/30.5</f>
        <v>0</v>
      </c>
      <c r="AM79" s="238" t="n">
        <f aca="false">AD79/10000</f>
        <v>0</v>
      </c>
      <c r="AN79" s="238" t="n">
        <f aca="false">AD79*DAY(EOMONTH(A79,0))/10000</f>
        <v>0</v>
      </c>
      <c r="AO79" s="238"/>
      <c r="AP79" s="238"/>
      <c r="AQ79" s="238"/>
      <c r="AR79" s="239"/>
      <c r="AS79" s="238"/>
      <c r="AT79" s="240"/>
      <c r="AU79" s="12"/>
      <c r="AV79" s="240"/>
      <c r="AW79" s="240"/>
      <c r="AX79" s="238"/>
      <c r="AY79" s="238"/>
      <c r="AZ79" s="233"/>
      <c r="BA79" s="241"/>
      <c r="BB79" s="242"/>
      <c r="BC79" s="243" t="n">
        <v>3.398</v>
      </c>
      <c r="BD79" s="195" t="n">
        <f aca="false">BC79-E79</f>
        <v>0.00150000000000006</v>
      </c>
      <c r="BE79" s="251" t="n">
        <v>2.56568953</v>
      </c>
      <c r="BF79" s="245" t="n">
        <f aca="false">(BE79)*(D79*10)</f>
        <v>-38.4853429500015</v>
      </c>
      <c r="BG79" s="121" t="n">
        <v>22.16862599</v>
      </c>
      <c r="BH79" s="121" t="n">
        <v>1.87930952</v>
      </c>
      <c r="BI79" s="247"/>
      <c r="BJ79" s="121"/>
      <c r="BK79" s="121"/>
      <c r="BL79" s="121"/>
      <c r="BM79" s="121"/>
      <c r="BN79" s="121"/>
      <c r="BO79" s="121"/>
      <c r="BP79" s="275" t="n">
        <v>39234</v>
      </c>
      <c r="BQ79" s="143" t="n">
        <v>3.3105</v>
      </c>
      <c r="BR79" s="143" t="n">
        <v>0.2325</v>
      </c>
      <c r="BS79" s="143" t="n">
        <v>0.0489941582730502</v>
      </c>
      <c r="BT79" s="121"/>
    </row>
    <row r="80" customFormat="false" ht="15" hidden="false" customHeight="false" outlineLevel="0" collapsed="false">
      <c r="A80" s="289" t="n">
        <f aca="false">EOMONTH(A79,0)+1</f>
        <v>39264</v>
      </c>
      <c r="B80" s="215"/>
      <c r="C80" s="281" t="n">
        <v>3.448</v>
      </c>
      <c r="D80" s="282" t="n">
        <f aca="false">(E80-C80)*1000</f>
        <v>-1.50000000000006</v>
      </c>
      <c r="E80" s="283" t="n">
        <f aca="false">VLOOKUP(YEAR(A80),Yr_Sprds,2)+E68</f>
        <v>3.4465</v>
      </c>
      <c r="F80" s="287"/>
      <c r="G80" s="288"/>
      <c r="H80" s="287"/>
      <c r="I80" s="287"/>
      <c r="J80" s="279" t="n">
        <f aca="false">BD80</f>
        <v>0.00150000000000006</v>
      </c>
      <c r="K80" s="279"/>
      <c r="L80" s="279"/>
      <c r="M80" s="112"/>
      <c r="N80" s="278"/>
      <c r="O80" s="278"/>
      <c r="P80" s="278"/>
      <c r="Q80" s="167"/>
      <c r="R80" s="167"/>
      <c r="S80" s="167"/>
      <c r="T80" s="167"/>
      <c r="U80" s="167"/>
      <c r="V80" s="167"/>
      <c r="W80" s="167"/>
      <c r="X80" s="167"/>
      <c r="Y80" s="228" t="n">
        <f aca="false">DAY(EOMONTH(A80,0))</f>
        <v>31</v>
      </c>
      <c r="Z80" s="268" t="n">
        <v>39111</v>
      </c>
      <c r="AA80" s="230" t="e">
        <f aca="false">IF(AND(A80&gt;=Front!$E$11,A80&lt;=Front!$E$12),A80,"")</f>
        <v>#VALUE!</v>
      </c>
      <c r="AB80" s="231" t="e">
        <f aca="false">IF(AA80="","",VLOOKUP(MONTH(A79),Front!$W$6:$X$17,2)*IF(Front!D$9=0,Swap!Y80,1))</f>
        <v>#VALUE!</v>
      </c>
      <c r="AC80" s="274" t="e">
        <f aca="false">IF(AA80="","",AB80*AH80)</f>
        <v>#VALUE!</v>
      </c>
      <c r="AD80" s="238"/>
      <c r="AE80" s="231" t="e">
        <f aca="false">IF(AA80="","",AD80*AH80)</f>
        <v>#VALUE!</v>
      </c>
      <c r="AF80" s="243" t="n">
        <f aca="false">INDEX(IRTable,MATCH(A80,IRMonth,0),4)</f>
        <v>0.0491638373415149</v>
      </c>
      <c r="AG80" s="243" t="n">
        <f aca="false">AF80+$AG$9</f>
        <v>0.0491638373415149</v>
      </c>
      <c r="AH80" s="195" t="n">
        <f aca="false">1/((1+AG80/2)^(2*((A80-Front!$C$2)/365.25)))</f>
        <v>2.4251238114083</v>
      </c>
      <c r="AI80" s="236" t="e">
        <f aca="false">IF($AA80="","",E80*AC80)</f>
        <v>#VALUE!</v>
      </c>
      <c r="AJ80" s="236" t="e">
        <f aca="false">IF($AA80="","",E80*AE80)</f>
        <v>#VALUE!</v>
      </c>
      <c r="AK80" s="237" t="e">
        <f aca="false">IF($AA80="","",C80*AC80)</f>
        <v>#VALUE!</v>
      </c>
      <c r="AL80" s="160" t="n">
        <f aca="false">(AO80/10000)/30.5</f>
        <v>0</v>
      </c>
      <c r="AM80" s="238" t="n">
        <f aca="false">AD80/10000</f>
        <v>0</v>
      </c>
      <c r="AN80" s="238" t="n">
        <f aca="false">AD80*DAY(EOMONTH(A80,0))/10000</f>
        <v>0</v>
      </c>
      <c r="AO80" s="238"/>
      <c r="AP80" s="238"/>
      <c r="AQ80" s="238"/>
      <c r="AR80" s="239"/>
      <c r="AS80" s="238"/>
      <c r="AT80" s="240"/>
      <c r="AU80" s="12"/>
      <c r="AV80" s="240"/>
      <c r="AW80" s="240"/>
      <c r="AX80" s="238"/>
      <c r="AY80" s="238"/>
      <c r="AZ80" s="233"/>
      <c r="BA80" s="241"/>
      <c r="BB80" s="242"/>
      <c r="BC80" s="243" t="n">
        <v>3.448</v>
      </c>
      <c r="BD80" s="195" t="n">
        <f aca="false">BC80-E80</f>
        <v>0.00150000000000006</v>
      </c>
      <c r="BE80" s="251" t="n">
        <v>2.63816763</v>
      </c>
      <c r="BF80" s="245" t="n">
        <f aca="false">(BE80)*(D80*10)</f>
        <v>-39.5725144500015</v>
      </c>
      <c r="BG80" s="121" t="n">
        <v>-123.53238934</v>
      </c>
      <c r="BH80" s="121" t="n">
        <v>1.93197810999999</v>
      </c>
      <c r="BI80" s="247"/>
      <c r="BJ80" s="121"/>
      <c r="BK80" s="121"/>
      <c r="BL80" s="121"/>
      <c r="BM80" s="121"/>
      <c r="BN80" s="121"/>
      <c r="BO80" s="121"/>
      <c r="BP80" s="275" t="n">
        <v>39264</v>
      </c>
      <c r="BQ80" s="143" t="n">
        <v>3.3605</v>
      </c>
      <c r="BR80" s="143" t="n">
        <v>0.2325</v>
      </c>
      <c r="BS80" s="143" t="n">
        <v>0.0491638373415149</v>
      </c>
      <c r="BT80" s="121"/>
    </row>
    <row r="81" customFormat="false" ht="15" hidden="false" customHeight="false" outlineLevel="0" collapsed="false">
      <c r="A81" s="289" t="n">
        <f aca="false">EOMONTH(A80,0)+1</f>
        <v>39295</v>
      </c>
      <c r="B81" s="215"/>
      <c r="C81" s="281" t="n">
        <v>3.482</v>
      </c>
      <c r="D81" s="282" t="n">
        <f aca="false">(E81-C81)*1000</f>
        <v>-1.50000000000006</v>
      </c>
      <c r="E81" s="283" t="n">
        <f aca="false">VLOOKUP(YEAR(A81),Yr_Sprds,2)+E69</f>
        <v>3.4805</v>
      </c>
      <c r="F81" s="287"/>
      <c r="G81" s="288"/>
      <c r="H81" s="287"/>
      <c r="I81" s="287"/>
      <c r="J81" s="279" t="n">
        <f aca="false">BD81</f>
        <v>0.00150000000000006</v>
      </c>
      <c r="K81" s="279"/>
      <c r="L81" s="279"/>
      <c r="M81" s="112"/>
      <c r="N81" s="278"/>
      <c r="O81" s="278"/>
      <c r="P81" s="278"/>
      <c r="Q81" s="167"/>
      <c r="R81" s="167"/>
      <c r="S81" s="167"/>
      <c r="T81" s="167"/>
      <c r="U81" s="167"/>
      <c r="V81" s="167"/>
      <c r="W81" s="167"/>
      <c r="X81" s="167"/>
      <c r="Y81" s="228" t="n">
        <f aca="false">DAY(EOMONTH(A81,0))</f>
        <v>31</v>
      </c>
      <c r="Z81" s="268" t="n">
        <v>39139</v>
      </c>
      <c r="AA81" s="230" t="e">
        <f aca="false">IF(AND(A81&gt;=Front!$E$11,A81&lt;=Front!$E$12),A81,"")</f>
        <v>#VALUE!</v>
      </c>
      <c r="AB81" s="231" t="e">
        <f aca="false">IF(AA81="","",VLOOKUP(MONTH(A80),Front!$W$6:$X$17,2)*IF(Front!D$9=0,Swap!Y81,1))</f>
        <v>#VALUE!</v>
      </c>
      <c r="AC81" s="274" t="e">
        <f aca="false">IF(AA81="","",AB81*AH81)</f>
        <v>#VALUE!</v>
      </c>
      <c r="AD81" s="238"/>
      <c r="AE81" s="231" t="e">
        <f aca="false">IF(AA81="","",AD81*AH81)</f>
        <v>#VALUE!</v>
      </c>
      <c r="AF81" s="243" t="n">
        <f aca="false">INDEX(IRTable,MATCH(A81,IRMonth,0),4)</f>
        <v>0.0493391723890317</v>
      </c>
      <c r="AG81" s="243" t="n">
        <f aca="false">AF81+$AG$9</f>
        <v>0.0493391723890317</v>
      </c>
      <c r="AH81" s="195" t="n">
        <f aca="false">1/((1+AG81/2)^(2*((A81-Front!$C$2)/365.25)))</f>
        <v>2.42266213025301</v>
      </c>
      <c r="AI81" s="236" t="e">
        <f aca="false">IF($AA81="","",E81*AC81)</f>
        <v>#VALUE!</v>
      </c>
      <c r="AJ81" s="236" t="e">
        <f aca="false">IF($AA81="","",E81*AE81)</f>
        <v>#VALUE!</v>
      </c>
      <c r="AK81" s="237" t="e">
        <f aca="false">IF($AA81="","",C81*AC81)</f>
        <v>#VALUE!</v>
      </c>
      <c r="AL81" s="160" t="n">
        <f aca="false">(AO81/10000)/30.5</f>
        <v>0</v>
      </c>
      <c r="AM81" s="238" t="n">
        <f aca="false">AD81/10000</f>
        <v>0</v>
      </c>
      <c r="AN81" s="238" t="n">
        <f aca="false">AD81*DAY(EOMONTH(A81,0))/10000</f>
        <v>0</v>
      </c>
      <c r="AO81" s="238"/>
      <c r="AP81" s="238"/>
      <c r="AQ81" s="238"/>
      <c r="AR81" s="239"/>
      <c r="AS81" s="238"/>
      <c r="AT81" s="240"/>
      <c r="AU81" s="12"/>
      <c r="AV81" s="240"/>
      <c r="AW81" s="240"/>
      <c r="AX81" s="238"/>
      <c r="AY81" s="238"/>
      <c r="AZ81" s="233"/>
      <c r="BA81" s="241"/>
      <c r="BB81" s="242"/>
      <c r="BC81" s="243" t="n">
        <v>3.482</v>
      </c>
      <c r="BD81" s="195" t="n">
        <f aca="false">BC81-E81</f>
        <v>0.00150000000000006</v>
      </c>
      <c r="BE81" s="251" t="n">
        <v>2.62468572</v>
      </c>
      <c r="BF81" s="245" t="n">
        <f aca="false">(BE81)*(D81*10)</f>
        <v>-39.3702858000015</v>
      </c>
      <c r="BG81" s="121" t="n">
        <v>37.42583715</v>
      </c>
      <c r="BH81" s="121" t="n">
        <v>1.92170302</v>
      </c>
      <c r="BI81" s="247"/>
      <c r="BJ81" s="121"/>
      <c r="BK81" s="121"/>
      <c r="BL81" s="121"/>
      <c r="BM81" s="121"/>
      <c r="BN81" s="121"/>
      <c r="BO81" s="121"/>
      <c r="BP81" s="275" t="n">
        <v>39295</v>
      </c>
      <c r="BQ81" s="143" t="n">
        <v>3.3945</v>
      </c>
      <c r="BR81" s="143" t="n">
        <v>0.2325</v>
      </c>
      <c r="BS81" s="143" t="n">
        <v>0.0493391723890317</v>
      </c>
      <c r="BT81" s="121"/>
    </row>
    <row r="82" customFormat="false" ht="15" hidden="false" customHeight="false" outlineLevel="0" collapsed="false">
      <c r="A82" s="289" t="n">
        <f aca="false">EOMONTH(A81,0)+1</f>
        <v>39326</v>
      </c>
      <c r="B82" s="215"/>
      <c r="C82" s="281" t="n">
        <v>3.495</v>
      </c>
      <c r="D82" s="282" t="n">
        <f aca="false">(E82-C82)*1000</f>
        <v>-1.50000000000006</v>
      </c>
      <c r="E82" s="283" t="n">
        <f aca="false">VLOOKUP(YEAR(A82),Yr_Sprds,2)+E70</f>
        <v>3.4935</v>
      </c>
      <c r="F82" s="287"/>
      <c r="G82" s="288"/>
      <c r="H82" s="287"/>
      <c r="I82" s="287"/>
      <c r="J82" s="279" t="n">
        <f aca="false">BD82</f>
        <v>0.00150000000000006</v>
      </c>
      <c r="K82" s="279"/>
      <c r="L82" s="279"/>
      <c r="M82" s="112"/>
      <c r="N82" s="278"/>
      <c r="O82" s="278"/>
      <c r="P82" s="278"/>
      <c r="Q82" s="167"/>
      <c r="R82" s="167"/>
      <c r="S82" s="167"/>
      <c r="T82" s="167"/>
      <c r="U82" s="167"/>
      <c r="V82" s="167"/>
      <c r="W82" s="167"/>
      <c r="X82" s="167"/>
      <c r="Y82" s="228" t="n">
        <f aca="false">DAY(EOMONTH(A82,0))</f>
        <v>30</v>
      </c>
      <c r="Z82" s="268" t="n">
        <v>39169</v>
      </c>
      <c r="AA82" s="230" t="e">
        <f aca="false">IF(AND(A82&gt;=Front!$E$11,A82&lt;=Front!$E$12),A82,"")</f>
        <v>#VALUE!</v>
      </c>
      <c r="AB82" s="231" t="e">
        <f aca="false">IF(AA82="","",VLOOKUP(MONTH(A81),Front!$W$6:$X$17,2)*IF(Front!D$9=0,Swap!Y82,1))</f>
        <v>#VALUE!</v>
      </c>
      <c r="AC82" s="274" t="e">
        <f aca="false">IF(AA82="","",AB82*AH82)</f>
        <v>#VALUE!</v>
      </c>
      <c r="AD82" s="238"/>
      <c r="AE82" s="231" t="e">
        <f aca="false">IF(AA82="","",AD82*AH82)</f>
        <v>#VALUE!</v>
      </c>
      <c r="AF82" s="243" t="n">
        <f aca="false">INDEX(IRTable,MATCH(A82,IRMonth,0),4)</f>
        <v>0.049514507446816</v>
      </c>
      <c r="AG82" s="243" t="n">
        <f aca="false">AF82+$AG$9</f>
        <v>0.049514507446816</v>
      </c>
      <c r="AH82" s="195" t="n">
        <f aca="false">1/((1+AG82/2)^(2*((A82-Front!$C$2)/365.25)))</f>
        <v>2.42013200889583</v>
      </c>
      <c r="AI82" s="236" t="e">
        <f aca="false">IF($AA82="","",E82*AC82)</f>
        <v>#VALUE!</v>
      </c>
      <c r="AJ82" s="236" t="e">
        <f aca="false">IF($AA82="","",E82*AE82)</f>
        <v>#VALUE!</v>
      </c>
      <c r="AK82" s="237" t="e">
        <f aca="false">IF($AA82="","",C82*AC82)</f>
        <v>#VALUE!</v>
      </c>
      <c r="AL82" s="160" t="n">
        <f aca="false">(AO82/10000)/30.5</f>
        <v>0</v>
      </c>
      <c r="AM82" s="238" t="n">
        <f aca="false">AD82/10000</f>
        <v>0</v>
      </c>
      <c r="AN82" s="238" t="n">
        <f aca="false">AD82*DAY(EOMONTH(A82,0))/10000</f>
        <v>0</v>
      </c>
      <c r="AO82" s="238"/>
      <c r="AP82" s="238"/>
      <c r="AQ82" s="238"/>
      <c r="AR82" s="239"/>
      <c r="AS82" s="238"/>
      <c r="AT82" s="240"/>
      <c r="AU82" s="12"/>
      <c r="AV82" s="240"/>
      <c r="AW82" s="240"/>
      <c r="AX82" s="238"/>
      <c r="AY82" s="238"/>
      <c r="AZ82" s="233"/>
      <c r="BA82" s="241"/>
      <c r="BB82" s="242"/>
      <c r="BC82" s="243" t="n">
        <v>3.495</v>
      </c>
      <c r="BD82" s="195" t="n">
        <f aca="false">BC82-E82</f>
        <v>0.00150000000000006</v>
      </c>
      <c r="BE82" s="251" t="n">
        <v>2.52696975</v>
      </c>
      <c r="BF82" s="245" t="n">
        <f aca="false">(BE82)*(D82*10)</f>
        <v>-37.9045462500014</v>
      </c>
      <c r="BG82" s="121" t="n">
        <v>-90.4031607</v>
      </c>
      <c r="BH82" s="121" t="n">
        <v>1.72648089</v>
      </c>
      <c r="BI82" s="247"/>
      <c r="BJ82" s="121"/>
      <c r="BK82" s="121"/>
      <c r="BL82" s="121"/>
      <c r="BM82" s="121"/>
      <c r="BN82" s="121"/>
      <c r="BO82" s="121"/>
      <c r="BP82" s="275" t="n">
        <v>39326</v>
      </c>
      <c r="BQ82" s="143" t="n">
        <v>3.4075</v>
      </c>
      <c r="BR82" s="143" t="n">
        <v>0.2325</v>
      </c>
      <c r="BS82" s="143" t="n">
        <v>0.049514507446816</v>
      </c>
      <c r="BT82" s="121"/>
    </row>
    <row r="83" customFormat="false" ht="15" hidden="false" customHeight="false" outlineLevel="0" collapsed="false">
      <c r="A83" s="290" t="n">
        <f aca="false">EOMONTH(A82,0)+1</f>
        <v>39356</v>
      </c>
      <c r="B83" s="215"/>
      <c r="C83" s="281" t="n">
        <v>3.487</v>
      </c>
      <c r="D83" s="282" t="n">
        <f aca="false">(E83-C83)*1000</f>
        <v>-1.50000000000006</v>
      </c>
      <c r="E83" s="283" t="n">
        <f aca="false">VLOOKUP(YEAR(A83),Yr_Sprds,2)+E71</f>
        <v>3.4855</v>
      </c>
      <c r="F83" s="287"/>
      <c r="G83" s="288"/>
      <c r="H83" s="287"/>
      <c r="I83" s="287"/>
      <c r="J83" s="279" t="n">
        <f aca="false">BD83</f>
        <v>0.00150000000000006</v>
      </c>
      <c r="K83" s="279"/>
      <c r="L83" s="279"/>
      <c r="M83" s="112"/>
      <c r="N83" s="278"/>
      <c r="O83" s="278"/>
      <c r="P83" s="278"/>
      <c r="Q83" s="167"/>
      <c r="R83" s="167"/>
      <c r="S83" s="167"/>
      <c r="T83" s="167"/>
      <c r="U83" s="167"/>
      <c r="V83" s="167"/>
      <c r="W83" s="167"/>
      <c r="X83" s="167"/>
      <c r="Y83" s="228" t="n">
        <f aca="false">DAY(EOMONTH(A83,0))</f>
        <v>31</v>
      </c>
      <c r="Z83" s="268" t="n">
        <v>39198</v>
      </c>
      <c r="AA83" s="230" t="e">
        <f aca="false">IF(AND(A83&gt;=Front!$E$11,A83&lt;=Front!$E$12),A83,"")</f>
        <v>#VALUE!</v>
      </c>
      <c r="AB83" s="231" t="e">
        <f aca="false">IF(AA83="","",VLOOKUP(MONTH(A82),Front!$W$6:$X$17,2)*IF(Front!D$9=0,Swap!Y83,1))</f>
        <v>#VALUE!</v>
      </c>
      <c r="AC83" s="274" t="e">
        <f aca="false">IF(AA83="","",AB83*AH83)</f>
        <v>#VALUE!</v>
      </c>
      <c r="AD83" s="238"/>
      <c r="AE83" s="231" t="e">
        <f aca="false">IF(AA83="","",AD83*AH83)</f>
        <v>#VALUE!</v>
      </c>
      <c r="AF83" s="243" t="n">
        <f aca="false">INDEX(IRTable,MATCH(A83,IRMonth,0),4)</f>
        <v>0.0496841865447699</v>
      </c>
      <c r="AG83" s="243" t="n">
        <f aca="false">AF83+$AG$9</f>
        <v>0.0496841865447699</v>
      </c>
      <c r="AH83" s="195" t="n">
        <f aca="false">1/((1+AG83/2)^(2*((A83-Front!$C$2)/365.25)))</f>
        <v>2.41761855566308</v>
      </c>
      <c r="AI83" s="236" t="e">
        <f aca="false">IF($AA83="","",E83*AC83)</f>
        <v>#VALUE!</v>
      </c>
      <c r="AJ83" s="236" t="e">
        <f aca="false">IF($AA83="","",E83*AE83)</f>
        <v>#VALUE!</v>
      </c>
      <c r="AK83" s="237" t="e">
        <f aca="false">IF($AA83="","",C83*AC83)</f>
        <v>#VALUE!</v>
      </c>
      <c r="AL83" s="160" t="n">
        <f aca="false">(AO83/10000)/30.5</f>
        <v>0</v>
      </c>
      <c r="AM83" s="238" t="n">
        <f aca="false">AD83/10000</f>
        <v>0</v>
      </c>
      <c r="AN83" s="238" t="n">
        <f aca="false">AD83*DAY(EOMONTH(A83,0))/10000</f>
        <v>0</v>
      </c>
      <c r="AO83" s="238"/>
      <c r="AP83" s="238"/>
      <c r="AQ83" s="238"/>
      <c r="AR83" s="239"/>
      <c r="AS83" s="238"/>
      <c r="AT83" s="240"/>
      <c r="AU83" s="12"/>
      <c r="AV83" s="240"/>
      <c r="AW83" s="240"/>
      <c r="AX83" s="238"/>
      <c r="AY83" s="238"/>
      <c r="AZ83" s="233"/>
      <c r="BA83" s="241"/>
      <c r="BB83" s="242"/>
      <c r="BC83" s="243" t="n">
        <v>3.487</v>
      </c>
      <c r="BD83" s="195" t="n">
        <f aca="false">BC83-E83</f>
        <v>0.00150000000000006</v>
      </c>
      <c r="BE83" s="251" t="n">
        <v>2.59813795</v>
      </c>
      <c r="BF83" s="245" t="n">
        <f aca="false">(BE83)*(D83*10)</f>
        <v>-38.9720692500015</v>
      </c>
      <c r="BG83" s="121" t="n">
        <v>-108.72524724</v>
      </c>
      <c r="BH83" s="121" t="n">
        <v>1.9022386</v>
      </c>
      <c r="BI83" s="247"/>
      <c r="BJ83" s="121"/>
      <c r="BK83" s="121"/>
      <c r="BL83" s="121"/>
      <c r="BM83" s="121"/>
      <c r="BN83" s="121"/>
      <c r="BO83" s="121"/>
      <c r="BP83" s="275" t="n">
        <v>39356</v>
      </c>
      <c r="BQ83" s="143" t="n">
        <v>3.4295</v>
      </c>
      <c r="BR83" s="143" t="n">
        <v>0.2325</v>
      </c>
      <c r="BS83" s="143" t="n">
        <v>0.0496841865447699</v>
      </c>
      <c r="BT83" s="121"/>
    </row>
    <row r="84" customFormat="false" ht="15" hidden="false" customHeight="false" outlineLevel="0" collapsed="false">
      <c r="A84" s="290" t="n">
        <f aca="false">EOMONTH(A83,0)+1</f>
        <v>39387</v>
      </c>
      <c r="B84" s="215"/>
      <c r="C84" s="281" t="n">
        <v>3.657</v>
      </c>
      <c r="D84" s="282" t="n">
        <f aca="false">(E84-C84)*1000</f>
        <v>-1.50000000000006</v>
      </c>
      <c r="E84" s="283" t="n">
        <f aca="false">VLOOKUP(YEAR(A84),Yr_Sprds,2)+E72</f>
        <v>3.6555</v>
      </c>
      <c r="F84" s="287"/>
      <c r="G84" s="288"/>
      <c r="H84" s="287"/>
      <c r="I84" s="287"/>
      <c r="J84" s="279" t="n">
        <f aca="false">BD84</f>
        <v>0.00150000000000006</v>
      </c>
      <c r="K84" s="279"/>
      <c r="L84" s="279"/>
      <c r="M84" s="112"/>
      <c r="N84" s="278"/>
      <c r="O84" s="278"/>
      <c r="P84" s="278"/>
      <c r="Q84" s="167"/>
      <c r="R84" s="167"/>
      <c r="S84" s="167"/>
      <c r="T84" s="167"/>
      <c r="U84" s="167"/>
      <c r="V84" s="167"/>
      <c r="W84" s="167"/>
      <c r="X84" s="167"/>
      <c r="Y84" s="228" t="n">
        <f aca="false">DAY(EOMONTH(A84,0))</f>
        <v>30</v>
      </c>
      <c r="Z84" s="268" t="n">
        <v>39231</v>
      </c>
      <c r="AA84" s="230" t="e">
        <f aca="false">IF(AND(A84&gt;=Front!$E$11,A84&lt;=Front!$E$12),A84,"")</f>
        <v>#VALUE!</v>
      </c>
      <c r="AB84" s="231" t="e">
        <f aca="false">IF(AA84="","",VLOOKUP(MONTH(A83),Front!$W$6:$X$17,2)*IF(Front!D$9=0,Swap!Y84,1))</f>
        <v>#VALUE!</v>
      </c>
      <c r="AC84" s="274" t="e">
        <f aca="false">IF(AA84="","",AB84*AH84)</f>
        <v>#VALUE!</v>
      </c>
      <c r="AD84" s="238"/>
      <c r="AE84" s="231" t="e">
        <f aca="false">IF(AA84="","",AD84*AH84)</f>
        <v>#VALUE!</v>
      </c>
      <c r="AF84" s="243" t="n">
        <f aca="false">INDEX(IRTable,MATCH(A84,IRMonth,0),4)</f>
        <v>0.0498595216227558</v>
      </c>
      <c r="AG84" s="243" t="n">
        <f aca="false">AF84+$AG$9</f>
        <v>0.0498595216227558</v>
      </c>
      <c r="AH84" s="195" t="n">
        <f aca="false">1/((1+AG84/2)^(2*((A84-Front!$C$2)/365.25)))</f>
        <v>2.41495443520699</v>
      </c>
      <c r="AI84" s="236" t="e">
        <f aca="false">IF($AA84="","",E84*AC84)</f>
        <v>#VALUE!</v>
      </c>
      <c r="AJ84" s="236" t="e">
        <f aca="false">IF($AA84="","",E84*AE84)</f>
        <v>#VALUE!</v>
      </c>
      <c r="AK84" s="237" t="e">
        <f aca="false">IF($AA84="","",C84*AC84)</f>
        <v>#VALUE!</v>
      </c>
      <c r="AL84" s="160" t="n">
        <f aca="false">(AO84/10000)/30.5</f>
        <v>0</v>
      </c>
      <c r="AM84" s="238" t="n">
        <f aca="false">AD84/10000</f>
        <v>0</v>
      </c>
      <c r="AN84" s="238" t="n">
        <f aca="false">AD84*DAY(EOMONTH(A84,0))/10000</f>
        <v>0</v>
      </c>
      <c r="AO84" s="238"/>
      <c r="AP84" s="238"/>
      <c r="AQ84" s="238"/>
      <c r="AR84" s="239"/>
      <c r="AS84" s="238"/>
      <c r="AT84" s="240"/>
      <c r="AU84" s="12"/>
      <c r="AV84" s="240"/>
      <c r="AW84" s="240"/>
      <c r="AX84" s="238"/>
      <c r="AY84" s="238"/>
      <c r="AZ84" s="233"/>
      <c r="BA84" s="241"/>
      <c r="BB84" s="242"/>
      <c r="BC84" s="243" t="n">
        <v>3.657</v>
      </c>
      <c r="BD84" s="195" t="n">
        <f aca="false">BC84-E84</f>
        <v>0.00150000000000006</v>
      </c>
      <c r="BE84" s="251" t="n">
        <v>2.50126782</v>
      </c>
      <c r="BF84" s="245" t="n">
        <f aca="false">(BE84)*(D84*10)</f>
        <v>-37.5190173000014</v>
      </c>
      <c r="BG84" s="121" t="n">
        <v>-102.16958218</v>
      </c>
      <c r="BH84" s="121" t="n">
        <v>1.83102547</v>
      </c>
      <c r="BI84" s="247"/>
      <c r="BJ84" s="121"/>
      <c r="BK84" s="121"/>
      <c r="BL84" s="121"/>
      <c r="BM84" s="121"/>
      <c r="BN84" s="121"/>
      <c r="BO84" s="121"/>
      <c r="BP84" s="275" t="n">
        <v>39387</v>
      </c>
      <c r="BQ84" s="143" t="n">
        <v>3.5995</v>
      </c>
      <c r="BR84" s="143" t="n">
        <v>0.2325</v>
      </c>
      <c r="BS84" s="143" t="n">
        <v>0.0498595216227558</v>
      </c>
      <c r="BT84" s="121"/>
    </row>
    <row r="85" customFormat="false" ht="15" hidden="false" customHeight="false" outlineLevel="0" collapsed="false">
      <c r="A85" s="290" t="n">
        <f aca="false">EOMONTH(A84,0)+1</f>
        <v>39417</v>
      </c>
      <c r="B85" s="215"/>
      <c r="C85" s="281" t="n">
        <v>3.832</v>
      </c>
      <c r="D85" s="282" t="n">
        <f aca="false">(E85-C85)*1000</f>
        <v>-1.50000000000006</v>
      </c>
      <c r="E85" s="283" t="n">
        <f aca="false">VLOOKUP(YEAR(A85),Yr_Sprds,2)+E73</f>
        <v>3.8305</v>
      </c>
      <c r="F85" s="287"/>
      <c r="G85" s="288"/>
      <c r="H85" s="287"/>
      <c r="I85" s="287"/>
      <c r="J85" s="279" t="n">
        <f aca="false">BD85</f>
        <v>0.00150000000000006</v>
      </c>
      <c r="K85" s="279"/>
      <c r="L85" s="279"/>
      <c r="M85" s="112"/>
      <c r="N85" s="278"/>
      <c r="O85" s="278"/>
      <c r="P85" s="278"/>
      <c r="Q85" s="167"/>
      <c r="R85" s="167"/>
      <c r="S85" s="167"/>
      <c r="T85" s="167"/>
      <c r="U85" s="167"/>
      <c r="V85" s="167"/>
      <c r="W85" s="167"/>
      <c r="X85" s="167"/>
      <c r="Y85" s="228" t="n">
        <f aca="false">DAY(EOMONTH(A85,0))</f>
        <v>31</v>
      </c>
      <c r="Z85" s="268" t="n">
        <v>39260</v>
      </c>
      <c r="AA85" s="230" t="e">
        <f aca="false">IF(AND(A85&gt;=Front!$E$11,A85&lt;=Front!$E$12),A85,"")</f>
        <v>#VALUE!</v>
      </c>
      <c r="AB85" s="231" t="e">
        <f aca="false">IF(AA85="","",VLOOKUP(MONTH(A84),Front!$W$6:$X$17,2)*IF(Front!D$9=0,Swap!Y85,1))</f>
        <v>#VALUE!</v>
      </c>
      <c r="AC85" s="274" t="e">
        <f aca="false">IF(AA85="","",AB85*AH85)</f>
        <v>#VALUE!</v>
      </c>
      <c r="AD85" s="238"/>
      <c r="AE85" s="231" t="e">
        <f aca="false">IF(AA85="","",AD85*AH85)</f>
        <v>#VALUE!</v>
      </c>
      <c r="AF85" s="243" t="n">
        <f aca="false">INDEX(IRTable,MATCH(A85,IRMonth,0),4)</f>
        <v>0.0500292007402581</v>
      </c>
      <c r="AG85" s="243" t="n">
        <f aca="false">AF85+$AG$9</f>
        <v>0.0500292007402581</v>
      </c>
      <c r="AH85" s="195" t="n">
        <f aca="false">1/((1+AG85/2)^(2*((A85-Front!$C$2)/365.25)))</f>
        <v>2.41231174991845</v>
      </c>
      <c r="AI85" s="236" t="e">
        <f aca="false">IF($AA85="","",E85*AC85)</f>
        <v>#VALUE!</v>
      </c>
      <c r="AJ85" s="236" t="e">
        <f aca="false">IF($AA85="","",E85*AE85)</f>
        <v>#VALUE!</v>
      </c>
      <c r="AK85" s="237" t="e">
        <f aca="false">IF($AA85="","",C85*AC85)</f>
        <v>#VALUE!</v>
      </c>
      <c r="AL85" s="160" t="n">
        <f aca="false">(AO85/10000)/30.5</f>
        <v>0</v>
      </c>
      <c r="AM85" s="238" t="n">
        <f aca="false">AD85/10000</f>
        <v>0</v>
      </c>
      <c r="AN85" s="238" t="n">
        <f aca="false">AD85*DAY(EOMONTH(A85,0))/10000</f>
        <v>0</v>
      </c>
      <c r="AO85" s="238"/>
      <c r="AP85" s="238"/>
      <c r="AQ85" s="238"/>
      <c r="AR85" s="239"/>
      <c r="AS85" s="238"/>
      <c r="AT85" s="240"/>
      <c r="AU85" s="12"/>
      <c r="AV85" s="240"/>
      <c r="AW85" s="240"/>
      <c r="AX85" s="238"/>
      <c r="AY85" s="238"/>
      <c r="AZ85" s="233"/>
      <c r="BA85" s="241"/>
      <c r="BB85" s="242"/>
      <c r="BC85" s="243" t="n">
        <v>3.832</v>
      </c>
      <c r="BD85" s="195" t="n">
        <f aca="false">BC85-E85</f>
        <v>0.00150000000000006</v>
      </c>
      <c r="BE85" s="251" t="n">
        <v>2.57157039</v>
      </c>
      <c r="BF85" s="245" t="n">
        <f aca="false">(BE85)*(D85*10)</f>
        <v>-38.5735558500015</v>
      </c>
      <c r="BG85" s="121" t="n">
        <v>-105.69744609</v>
      </c>
      <c r="BH85" s="121" t="n">
        <v>1.8822407</v>
      </c>
      <c r="BI85" s="247"/>
      <c r="BJ85" s="121"/>
      <c r="BK85" s="121"/>
      <c r="BL85" s="121"/>
      <c r="BM85" s="121"/>
      <c r="BN85" s="121"/>
      <c r="BO85" s="121"/>
      <c r="BP85" s="275" t="n">
        <v>39417</v>
      </c>
      <c r="BQ85" s="143" t="n">
        <v>3.7745</v>
      </c>
      <c r="BR85" s="143" t="n">
        <v>0.2325</v>
      </c>
      <c r="BS85" s="143" t="n">
        <v>0.0500292007402581</v>
      </c>
      <c r="BT85" s="121"/>
    </row>
    <row r="86" customFormat="false" ht="15" hidden="false" customHeight="false" outlineLevel="0" collapsed="false">
      <c r="A86" s="290" t="n">
        <f aca="false">EOMONTH(A85,0)+1</f>
        <v>39448</v>
      </c>
      <c r="B86" s="215"/>
      <c r="C86" s="281" t="n">
        <v>3.872</v>
      </c>
      <c r="D86" s="282" t="n">
        <f aca="false">(E86-C86)*1000</f>
        <v>0.99999999999989</v>
      </c>
      <c r="E86" s="283" t="n">
        <f aca="false">VLOOKUP(YEAR(A86),Yr_Sprds,2)+E74</f>
        <v>3.873</v>
      </c>
      <c r="F86" s="287"/>
      <c r="G86" s="288"/>
      <c r="H86" s="287"/>
      <c r="I86" s="287"/>
      <c r="J86" s="279" t="n">
        <f aca="false">BD86</f>
        <v>-0.00099999999999989</v>
      </c>
      <c r="K86" s="279"/>
      <c r="L86" s="279"/>
      <c r="M86" s="112"/>
      <c r="N86" s="278"/>
      <c r="O86" s="278"/>
      <c r="P86" s="278"/>
      <c r="Q86" s="167"/>
      <c r="R86" s="167"/>
      <c r="S86" s="167"/>
      <c r="T86" s="167"/>
      <c r="U86" s="167"/>
      <c r="V86" s="167"/>
      <c r="W86" s="167"/>
      <c r="X86" s="167"/>
      <c r="Y86" s="228" t="n">
        <f aca="false">DAY(EOMONTH(A86,0))</f>
        <v>31</v>
      </c>
      <c r="Z86" s="268" t="n">
        <v>39290</v>
      </c>
      <c r="AA86" s="230" t="e">
        <f aca="false">IF(AND(A86&gt;=Front!$E$11,A86&lt;=Front!$E$12),A86,"")</f>
        <v>#VALUE!</v>
      </c>
      <c r="AB86" s="231" t="e">
        <f aca="false">IF(AA86="","",VLOOKUP(MONTH(A85),Front!$W$6:$X$17,2)*IF(Front!D$9=0,Swap!Y86,1))</f>
        <v>#VALUE!</v>
      </c>
      <c r="AC86" s="274" t="e">
        <f aca="false">IF(AA86="","",AB86*AH86)</f>
        <v>#VALUE!</v>
      </c>
      <c r="AD86" s="238"/>
      <c r="AE86" s="231" t="e">
        <f aca="false">IF(AA86="","",AD86*AH86)</f>
        <v>#VALUE!</v>
      </c>
      <c r="AF86" s="243" t="n">
        <f aca="false">INDEX(IRTable,MATCH(A86,IRMonth,0),4)</f>
        <v>0.0502045358384424</v>
      </c>
      <c r="AG86" s="243" t="n">
        <f aca="false">AF86+$AG$9</f>
        <v>0.0502045358384424</v>
      </c>
      <c r="AH86" s="195" t="n">
        <f aca="false">1/((1+AG86/2)^(2*((A86-Front!$C$2)/365.25)))</f>
        <v>2.409514559836</v>
      </c>
      <c r="AI86" s="236" t="e">
        <f aca="false">IF($AA86="","",E86*AC86)</f>
        <v>#VALUE!</v>
      </c>
      <c r="AJ86" s="236" t="e">
        <f aca="false">IF($AA86="","",E86*AE86)</f>
        <v>#VALUE!</v>
      </c>
      <c r="AK86" s="237" t="e">
        <f aca="false">IF($AA86="","",C86*AC86)</f>
        <v>#VALUE!</v>
      </c>
      <c r="AL86" s="160" t="n">
        <f aca="false">(AO86/10000)/30.5</f>
        <v>0</v>
      </c>
      <c r="AM86" s="238" t="n">
        <f aca="false">AD86/10000</f>
        <v>0</v>
      </c>
      <c r="AN86" s="238" t="n">
        <f aca="false">AD86*DAY(EOMONTH(A86,0))/10000</f>
        <v>0</v>
      </c>
      <c r="AO86" s="238"/>
      <c r="AP86" s="238"/>
      <c r="AQ86" s="238"/>
      <c r="AR86" s="239"/>
      <c r="AS86" s="238"/>
      <c r="AT86" s="240"/>
      <c r="AU86" s="12"/>
      <c r="AV86" s="240"/>
      <c r="AW86" s="240"/>
      <c r="AX86" s="238"/>
      <c r="AY86" s="238"/>
      <c r="AZ86" s="233"/>
      <c r="BA86" s="241"/>
      <c r="BB86" s="242"/>
      <c r="BC86" s="243" t="n">
        <v>3.872</v>
      </c>
      <c r="BD86" s="195" t="n">
        <f aca="false">BC86-E86</f>
        <v>-0.00099999999999989</v>
      </c>
      <c r="BE86" s="251" t="n">
        <v>1.91143926</v>
      </c>
      <c r="BF86" s="245" t="n">
        <f aca="false">(BE86)*(D86*10)</f>
        <v>19.1143925999979</v>
      </c>
      <c r="BG86" s="121" t="n">
        <v>-100.5753399</v>
      </c>
      <c r="BH86" s="121" t="n">
        <v>1.81173598000001</v>
      </c>
      <c r="BI86" s="247"/>
      <c r="BJ86" s="121"/>
      <c r="BK86" s="121"/>
      <c r="BL86" s="121"/>
      <c r="BM86" s="121"/>
      <c r="BN86" s="121"/>
      <c r="BO86" s="121"/>
      <c r="BP86" s="275" t="n">
        <v>39448</v>
      </c>
      <c r="BQ86" s="143" t="n">
        <v>3.782</v>
      </c>
      <c r="BR86" s="143" t="n">
        <v>0.2325</v>
      </c>
      <c r="BS86" s="143" t="n">
        <v>0.0502045358384424</v>
      </c>
      <c r="BT86" s="121"/>
    </row>
    <row r="87" customFormat="false" ht="15" hidden="false" customHeight="false" outlineLevel="0" collapsed="false">
      <c r="A87" s="290" t="n">
        <f aca="false">EOMONTH(A86,0)+1</f>
        <v>39479</v>
      </c>
      <c r="B87" s="215"/>
      <c r="C87" s="281" t="n">
        <v>3.758</v>
      </c>
      <c r="D87" s="282" t="n">
        <f aca="false">(E87-C87)*1000</f>
        <v>0.99999999999989</v>
      </c>
      <c r="E87" s="283" t="n">
        <f aca="false">VLOOKUP(YEAR(A87),Yr_Sprds,2)+E75</f>
        <v>3.759</v>
      </c>
      <c r="F87" s="287"/>
      <c r="G87" s="288"/>
      <c r="H87" s="287"/>
      <c r="I87" s="287"/>
      <c r="J87" s="279" t="n">
        <f aca="false">BD87</f>
        <v>-0.00099999999999989</v>
      </c>
      <c r="K87" s="279"/>
      <c r="L87" s="279"/>
      <c r="M87" s="112"/>
      <c r="N87" s="278"/>
      <c r="O87" s="278"/>
      <c r="P87" s="278"/>
      <c r="Q87" s="167"/>
      <c r="R87" s="167"/>
      <c r="S87" s="167"/>
      <c r="T87" s="167"/>
      <c r="U87" s="167"/>
      <c r="V87" s="167"/>
      <c r="W87" s="167"/>
      <c r="X87" s="167"/>
      <c r="Y87" s="228" t="n">
        <f aca="false">DAY(EOMONTH(A87,0))</f>
        <v>29</v>
      </c>
      <c r="Z87" s="268" t="n">
        <v>39323</v>
      </c>
      <c r="AA87" s="230" t="e">
        <f aca="false">IF(AND(A87&gt;=Front!$E$11,A87&lt;=Front!$E$12),A87,"")</f>
        <v>#VALUE!</v>
      </c>
      <c r="AB87" s="231" t="e">
        <f aca="false">IF(AA87="","",VLOOKUP(MONTH(A86),Front!$W$6:$X$17,2)*IF(Front!D$9=0,Swap!Y87,1))</f>
        <v>#VALUE!</v>
      </c>
      <c r="AC87" s="274" t="e">
        <f aca="false">IF(AA87="","",AB87*AH87)</f>
        <v>#VALUE!</v>
      </c>
      <c r="AD87" s="238"/>
      <c r="AE87" s="231" t="e">
        <f aca="false">IF(AA87="","",AD87*AH87)</f>
        <v>#VALUE!</v>
      </c>
      <c r="AF87" s="243" t="n">
        <f aca="false">INDEX(IRTable,MATCH(A87,IRMonth,0),4)</f>
        <v>0.0503798709468901</v>
      </c>
      <c r="AG87" s="243" t="n">
        <f aca="false">AF87+$AG$9</f>
        <v>0.0503798709468901</v>
      </c>
      <c r="AH87" s="195" t="n">
        <f aca="false">1/((1+AG87/2)^(2*((A87-Front!$C$2)/365.25)))</f>
        <v>2.40665011418059</v>
      </c>
      <c r="AI87" s="236" t="e">
        <f aca="false">IF($AA87="","",E87*AC87)</f>
        <v>#VALUE!</v>
      </c>
      <c r="AJ87" s="236" t="e">
        <f aca="false">IF($AA87="","",E87*AE87)</f>
        <v>#VALUE!</v>
      </c>
      <c r="AK87" s="237" t="e">
        <f aca="false">IF($AA87="","",C87*AC87)</f>
        <v>#VALUE!</v>
      </c>
      <c r="AL87" s="160" t="n">
        <f aca="false">(AO87/10000)/30.5</f>
        <v>0</v>
      </c>
      <c r="AM87" s="238" t="n">
        <f aca="false">AD87/10000</f>
        <v>0</v>
      </c>
      <c r="AN87" s="238" t="n">
        <f aca="false">AD87*DAY(EOMONTH(A87,0))/10000</f>
        <v>0</v>
      </c>
      <c r="AO87" s="238"/>
      <c r="AP87" s="238"/>
      <c r="AQ87" s="238"/>
      <c r="AR87" s="239"/>
      <c r="AS87" s="238"/>
      <c r="AT87" s="240"/>
      <c r="AU87" s="12"/>
      <c r="AV87" s="240"/>
      <c r="AW87" s="240"/>
      <c r="AX87" s="238"/>
      <c r="AY87" s="238"/>
      <c r="AZ87" s="233"/>
      <c r="BA87" s="241"/>
      <c r="BB87" s="242"/>
      <c r="BC87" s="243" t="n">
        <v>3.758</v>
      </c>
      <c r="BD87" s="195" t="n">
        <f aca="false">BC87-E87</f>
        <v>-0.00099999999999989</v>
      </c>
      <c r="BE87" s="251" t="n">
        <v>1.77866528</v>
      </c>
      <c r="BF87" s="245" t="n">
        <f aca="false">(BE87)*(D87*10)</f>
        <v>17.786652799998</v>
      </c>
      <c r="BG87" s="121" t="n">
        <v>-104.76694398</v>
      </c>
      <c r="BH87" s="121" t="n">
        <v>1.86237163</v>
      </c>
      <c r="BI87" s="247"/>
      <c r="BJ87" s="121"/>
      <c r="BK87" s="121"/>
      <c r="BL87" s="121"/>
      <c r="BM87" s="121"/>
      <c r="BN87" s="121"/>
      <c r="BO87" s="121"/>
      <c r="BP87" s="275" t="n">
        <v>39479</v>
      </c>
      <c r="BQ87" s="143" t="n">
        <v>3.668</v>
      </c>
      <c r="BR87" s="143" t="n">
        <v>0.2325</v>
      </c>
      <c r="BS87" s="143" t="n">
        <v>0.0503798709468901</v>
      </c>
      <c r="BT87" s="121"/>
    </row>
    <row r="88" customFormat="false" ht="15" hidden="false" customHeight="false" outlineLevel="0" collapsed="false">
      <c r="A88" s="290" t="n">
        <f aca="false">EOMONTH(A87,0)+1</f>
        <v>39508</v>
      </c>
      <c r="B88" s="215"/>
      <c r="C88" s="281" t="n">
        <v>3.626</v>
      </c>
      <c r="D88" s="282" t="n">
        <f aca="false">(E88-C88)*1000</f>
        <v>0.99999999999989</v>
      </c>
      <c r="E88" s="283" t="n">
        <f aca="false">VLOOKUP(YEAR(A88),Yr_Sprds,2)+E76</f>
        <v>3.627</v>
      </c>
      <c r="F88" s="287"/>
      <c r="G88" s="288"/>
      <c r="H88" s="287"/>
      <c r="I88" s="287"/>
      <c r="J88" s="279" t="n">
        <f aca="false">BD88</f>
        <v>-0.00099999999999989</v>
      </c>
      <c r="K88" s="279"/>
      <c r="L88" s="279"/>
      <c r="M88" s="112"/>
      <c r="N88" s="278"/>
      <c r="O88" s="278"/>
      <c r="P88" s="278"/>
      <c r="Q88" s="167"/>
      <c r="R88" s="167"/>
      <c r="S88" s="167"/>
      <c r="T88" s="167"/>
      <c r="U88" s="167"/>
      <c r="V88" s="167"/>
      <c r="W88" s="167"/>
      <c r="X88" s="167"/>
      <c r="Y88" s="228" t="n">
        <f aca="false">DAY(EOMONTH(A88,0))</f>
        <v>31</v>
      </c>
      <c r="Z88" s="268" t="n">
        <v>39351</v>
      </c>
      <c r="AA88" s="230" t="e">
        <f aca="false">IF(AND(A88&gt;=Front!$E$11,A88&lt;=Front!$E$12),A88,"")</f>
        <v>#VALUE!</v>
      </c>
      <c r="AB88" s="231" t="e">
        <f aca="false">IF(AA88="","",VLOOKUP(MONTH(A87),Front!$W$6:$X$17,2)*IF(Front!D$9=0,Swap!Y88,1))</f>
        <v>#VALUE!</v>
      </c>
      <c r="AC88" s="274" t="e">
        <f aca="false">IF(AA88="","",AB88*AH88)</f>
        <v>#VALUE!</v>
      </c>
      <c r="AD88" s="238"/>
      <c r="AE88" s="231" t="e">
        <f aca="false">IF(AA88="","",AD88*AH88)</f>
        <v>#VALUE!</v>
      </c>
      <c r="AF88" s="243" t="n">
        <f aca="false">INDEX(IRTable,MATCH(A88,IRMonth,0),4)</f>
        <v>0.0505438941221486</v>
      </c>
      <c r="AG88" s="243" t="n">
        <f aca="false">AF88+$AG$9</f>
        <v>0.0505438941221486</v>
      </c>
      <c r="AH88" s="195" t="n">
        <f aca="false">1/((1+AG88/2)^(2*((A88-Front!$C$2)/365.25)))</f>
        <v>2.40390981186471</v>
      </c>
      <c r="AI88" s="236" t="e">
        <f aca="false">IF($AA88="","",E88*AC88)</f>
        <v>#VALUE!</v>
      </c>
      <c r="AJ88" s="236" t="e">
        <f aca="false">IF($AA88="","",E88*AE88)</f>
        <v>#VALUE!</v>
      </c>
      <c r="AK88" s="237" t="e">
        <f aca="false">IF($AA88="","",C88*AC88)</f>
        <v>#VALUE!</v>
      </c>
      <c r="AL88" s="160" t="n">
        <f aca="false">(AO88/10000)/30.5</f>
        <v>0</v>
      </c>
      <c r="AM88" s="238" t="n">
        <f aca="false">AD88/10000</f>
        <v>0</v>
      </c>
      <c r="AN88" s="238" t="n">
        <f aca="false">AD88*DAY(EOMONTH(A88,0))/10000</f>
        <v>0</v>
      </c>
      <c r="AO88" s="238"/>
      <c r="AP88" s="238"/>
      <c r="AQ88" s="238"/>
      <c r="AR88" s="239"/>
      <c r="AS88" s="238"/>
      <c r="AT88" s="240"/>
      <c r="AU88" s="12"/>
      <c r="AV88" s="240"/>
      <c r="AW88" s="240"/>
      <c r="AX88" s="238"/>
      <c r="AY88" s="238"/>
      <c r="AZ88" s="233"/>
      <c r="BA88" s="241"/>
      <c r="BB88" s="242"/>
      <c r="BC88" s="243" t="n">
        <v>3.626</v>
      </c>
      <c r="BD88" s="195" t="n">
        <f aca="false">BC88-E88</f>
        <v>-0.00099999999999989</v>
      </c>
      <c r="BE88" s="251" t="n">
        <v>1.89189957</v>
      </c>
      <c r="BF88" s="245" t="n">
        <f aca="false">(BE88)*(D88*10)</f>
        <v>18.9189956999979</v>
      </c>
      <c r="BG88" s="121" t="n">
        <v>-103.92751958</v>
      </c>
      <c r="BH88" s="121" t="n">
        <v>1.85232372999999</v>
      </c>
      <c r="BI88" s="247"/>
      <c r="BJ88" s="121"/>
      <c r="BK88" s="121"/>
      <c r="BL88" s="121"/>
      <c r="BM88" s="121"/>
      <c r="BN88" s="121"/>
      <c r="BO88" s="121"/>
      <c r="BP88" s="275" t="n">
        <v>39508</v>
      </c>
      <c r="BQ88" s="143" t="n">
        <v>3.536</v>
      </c>
      <c r="BR88" s="143" t="n">
        <v>0.2225</v>
      </c>
      <c r="BS88" s="143" t="n">
        <v>0.0505438941221486</v>
      </c>
      <c r="BT88" s="121"/>
    </row>
    <row r="89" customFormat="false" ht="15" hidden="false" customHeight="false" outlineLevel="0" collapsed="false">
      <c r="A89" s="290" t="n">
        <f aca="false">EOMONTH(A88,0)+1</f>
        <v>39539</v>
      </c>
      <c r="B89" s="215"/>
      <c r="C89" s="281" t="n">
        <v>3.456</v>
      </c>
      <c r="D89" s="282" t="n">
        <f aca="false">(E89-C89)*1000</f>
        <v>0.99999999999989</v>
      </c>
      <c r="E89" s="283" t="n">
        <f aca="false">VLOOKUP(YEAR(A89),Yr_Sprds,2)+E77</f>
        <v>3.457</v>
      </c>
      <c r="F89" s="287"/>
      <c r="G89" s="288"/>
      <c r="H89" s="287"/>
      <c r="I89" s="287"/>
      <c r="J89" s="279" t="n">
        <f aca="false">BD89</f>
        <v>-0.00099999999999989</v>
      </c>
      <c r="K89" s="279"/>
      <c r="L89" s="279"/>
      <c r="M89" s="112"/>
      <c r="N89" s="278"/>
      <c r="O89" s="278"/>
      <c r="P89" s="278"/>
      <c r="Q89" s="167"/>
      <c r="R89" s="167"/>
      <c r="S89" s="167"/>
      <c r="T89" s="167"/>
      <c r="U89" s="167"/>
      <c r="V89" s="167"/>
      <c r="W89" s="167"/>
      <c r="X89" s="167"/>
      <c r="Y89" s="228" t="n">
        <f aca="false">DAY(EOMONTH(A89,0))</f>
        <v>30</v>
      </c>
      <c r="Z89" s="268" t="n">
        <v>39384</v>
      </c>
      <c r="AA89" s="230" t="e">
        <f aca="false">IF(AND(A89&gt;=Front!$E$11,A89&lt;=Front!$E$12),A89,"")</f>
        <v>#VALUE!</v>
      </c>
      <c r="AB89" s="231" t="e">
        <f aca="false">IF(AA89="","",VLOOKUP(MONTH(A88),Front!$W$6:$X$17,2)*IF(Front!D$9=0,Swap!Y89,1))</f>
        <v>#VALUE!</v>
      </c>
      <c r="AC89" s="274" t="e">
        <f aca="false">IF(AA89="","",AB89*AH89)</f>
        <v>#VALUE!</v>
      </c>
      <c r="AD89" s="238"/>
      <c r="AE89" s="231" t="e">
        <f aca="false">IF(AA89="","",AD89*AH89)</f>
        <v>#VALUE!</v>
      </c>
      <c r="AF89" s="243" t="n">
        <f aca="false">INDEX(IRTable,MATCH(A89,IRMonth,0),4)</f>
        <v>0.0507192292504577</v>
      </c>
      <c r="AG89" s="243" t="n">
        <f aca="false">AF89+$AG$9</f>
        <v>0.0507192292504577</v>
      </c>
      <c r="AH89" s="195" t="n">
        <f aca="false">1/((1+AG89/2)^(2*((A89-Front!$C$2)/365.25)))</f>
        <v>2.40091592832831</v>
      </c>
      <c r="AI89" s="236" t="e">
        <f aca="false">IF($AA89="","",E89*AC89)</f>
        <v>#VALUE!</v>
      </c>
      <c r="AJ89" s="236" t="e">
        <f aca="false">IF($AA89="","",E89*AE89)</f>
        <v>#VALUE!</v>
      </c>
      <c r="AK89" s="237" t="e">
        <f aca="false">IF($AA89="","",C89*AC89)</f>
        <v>#VALUE!</v>
      </c>
      <c r="AL89" s="160" t="n">
        <f aca="false">(AO89/10000)/30.5</f>
        <v>0</v>
      </c>
      <c r="AM89" s="238" t="n">
        <f aca="false">AD89/10000</f>
        <v>0</v>
      </c>
      <c r="AN89" s="238" t="n">
        <f aca="false">AD89*DAY(EOMONTH(A89,0))/10000</f>
        <v>0</v>
      </c>
      <c r="AO89" s="238"/>
      <c r="AP89" s="238"/>
      <c r="AQ89" s="238"/>
      <c r="AR89" s="239"/>
      <c r="AS89" s="238"/>
      <c r="AT89" s="240"/>
      <c r="AU89" s="12"/>
      <c r="AV89" s="240"/>
      <c r="AW89" s="240"/>
      <c r="AX89" s="238"/>
      <c r="AY89" s="238"/>
      <c r="AZ89" s="233"/>
      <c r="BA89" s="241"/>
      <c r="BB89" s="242"/>
      <c r="BC89" s="243" t="n">
        <v>3.456</v>
      </c>
      <c r="BD89" s="195" t="n">
        <f aca="false">BC89-E89</f>
        <v>-0.00099999999999989</v>
      </c>
      <c r="BE89" s="251" t="n">
        <v>1.82105733</v>
      </c>
      <c r="BF89" s="245" t="n">
        <f aca="false">(BE89)*(D89*10)</f>
        <v>18.210573299998</v>
      </c>
      <c r="BG89" s="121" t="n">
        <v>-85.16876279</v>
      </c>
      <c r="BH89" s="121" t="n">
        <v>1.78287992</v>
      </c>
      <c r="BI89" s="247"/>
      <c r="BJ89" s="121"/>
      <c r="BK89" s="121"/>
      <c r="BL89" s="121"/>
      <c r="BM89" s="121"/>
      <c r="BN89" s="121"/>
      <c r="BO89" s="121"/>
      <c r="BP89" s="275" t="n">
        <v>39539</v>
      </c>
      <c r="BQ89" s="143" t="n">
        <v>3.366</v>
      </c>
      <c r="BR89" s="143" t="n">
        <v>0.2225</v>
      </c>
      <c r="BS89" s="143" t="n">
        <v>0.0507192292504577</v>
      </c>
      <c r="BT89" s="121"/>
    </row>
    <row r="90" customFormat="false" ht="15" hidden="false" customHeight="false" outlineLevel="0" collapsed="false">
      <c r="A90" s="290" t="n">
        <f aca="false">EOMONTH(A89,0)+1</f>
        <v>39569</v>
      </c>
      <c r="B90" s="215"/>
      <c r="C90" s="281" t="n">
        <v>3.456</v>
      </c>
      <c r="D90" s="282" t="n">
        <f aca="false">(E90-C90)*1000</f>
        <v>0.99999999999989</v>
      </c>
      <c r="E90" s="283" t="n">
        <f aca="false">VLOOKUP(YEAR(A90),Yr_Sprds,2)+E78</f>
        <v>3.457</v>
      </c>
      <c r="F90" s="287"/>
      <c r="G90" s="288"/>
      <c r="H90" s="287"/>
      <c r="I90" s="287"/>
      <c r="J90" s="279" t="n">
        <f aca="false">BD90</f>
        <v>-0.00099999999999989</v>
      </c>
      <c r="K90" s="279"/>
      <c r="L90" s="279"/>
      <c r="M90" s="112"/>
      <c r="N90" s="278"/>
      <c r="O90" s="278"/>
      <c r="P90" s="278"/>
      <c r="Q90" s="167"/>
      <c r="R90" s="167"/>
      <c r="S90" s="167"/>
      <c r="T90" s="167"/>
      <c r="U90" s="167"/>
      <c r="V90" s="167"/>
      <c r="W90" s="167"/>
      <c r="X90" s="167"/>
      <c r="Y90" s="228" t="n">
        <f aca="false">DAY(EOMONTH(A90,0))</f>
        <v>31</v>
      </c>
      <c r="Z90" s="268" t="n">
        <v>39414</v>
      </c>
      <c r="AA90" s="230" t="e">
        <f aca="false">IF(AND(A90&gt;=Front!$E$11,A90&lt;=Front!$E$12),A90,"")</f>
        <v>#VALUE!</v>
      </c>
      <c r="AB90" s="231" t="e">
        <f aca="false">IF(AA90="","",VLOOKUP(MONTH(A89),Front!$W$6:$X$17,2)*IF(Front!D$9=0,Swap!Y90,1))</f>
        <v>#VALUE!</v>
      </c>
      <c r="AC90" s="274" t="e">
        <f aca="false">IF(AA90="","",AB90*AH90)</f>
        <v>#VALUE!</v>
      </c>
      <c r="AD90" s="238"/>
      <c r="AE90" s="231" t="e">
        <f aca="false">IF(AA90="","",AD90*AH90)</f>
        <v>#VALUE!</v>
      </c>
      <c r="AF90" s="243" t="n">
        <f aca="false">INDEX(IRTable,MATCH(A90,IRMonth,0),4)</f>
        <v>0.0508889084166566</v>
      </c>
      <c r="AG90" s="243" t="n">
        <f aca="false">AF90+$AG$9</f>
        <v>0.0508889084166566</v>
      </c>
      <c r="AH90" s="195" t="n">
        <f aca="false">1/((1+AG90/2)^(2*((A90-Front!$C$2)/365.25)))</f>
        <v>2.39795531511356</v>
      </c>
      <c r="AI90" s="236" t="e">
        <f aca="false">IF($AA90="","",E90*AC90)</f>
        <v>#VALUE!</v>
      </c>
      <c r="AJ90" s="236" t="e">
        <f aca="false">IF($AA90="","",E90*AE90)</f>
        <v>#VALUE!</v>
      </c>
      <c r="AK90" s="237" t="e">
        <f aca="false">IF($AA90="","",C90*AC90)</f>
        <v>#VALUE!</v>
      </c>
      <c r="AL90" s="160" t="n">
        <f aca="false">(AO90/10000)/30.5</f>
        <v>0</v>
      </c>
      <c r="AM90" s="238" t="n">
        <f aca="false">AD90/10000</f>
        <v>0</v>
      </c>
      <c r="AN90" s="238" t="n">
        <f aca="false">AD90*DAY(EOMONTH(A90,0))/10000</f>
        <v>0</v>
      </c>
      <c r="AO90" s="238"/>
      <c r="AP90" s="238"/>
      <c r="AQ90" s="238"/>
      <c r="AR90" s="239"/>
      <c r="AS90" s="238"/>
      <c r="AT90" s="240"/>
      <c r="AU90" s="12"/>
      <c r="AV90" s="240"/>
      <c r="AW90" s="240"/>
      <c r="AX90" s="238"/>
      <c r="AY90" s="238"/>
      <c r="AZ90" s="233"/>
      <c r="BA90" s="241"/>
      <c r="BB90" s="242"/>
      <c r="BC90" s="243" t="n">
        <v>3.456</v>
      </c>
      <c r="BD90" s="195" t="n">
        <f aca="false">BC90-E90</f>
        <v>-0.00099999999999989</v>
      </c>
      <c r="BE90" s="251" t="n">
        <v>1.87203094</v>
      </c>
      <c r="BF90" s="245" t="n">
        <f aca="false">(BE90)*(D90*10)</f>
        <v>18.7203093999979</v>
      </c>
      <c r="BG90" s="121" t="n">
        <v>-90.34444065</v>
      </c>
      <c r="BH90" s="121" t="n">
        <v>1.83264967</v>
      </c>
      <c r="BI90" s="247"/>
      <c r="BJ90" s="121"/>
      <c r="BK90" s="121"/>
      <c r="BL90" s="121"/>
      <c r="BM90" s="121"/>
      <c r="BN90" s="121"/>
      <c r="BO90" s="121"/>
      <c r="BP90" s="275" t="n">
        <v>39569</v>
      </c>
      <c r="BQ90" s="143" t="n">
        <v>3.366</v>
      </c>
      <c r="BR90" s="143" t="n">
        <v>0.2225</v>
      </c>
      <c r="BS90" s="143" t="n">
        <v>0.0508889084166566</v>
      </c>
      <c r="BT90" s="121"/>
    </row>
    <row r="91" customFormat="false" ht="15" hidden="false" customHeight="false" outlineLevel="0" collapsed="false">
      <c r="A91" s="290" t="n">
        <f aca="false">EOMONTH(A90,0)+1</f>
        <v>39600</v>
      </c>
      <c r="B91" s="215"/>
      <c r="C91" s="281" t="n">
        <v>3.488</v>
      </c>
      <c r="D91" s="282" t="n">
        <f aca="false">(E91-C91)*1000</f>
        <v>0.99999999999989</v>
      </c>
      <c r="E91" s="283" t="n">
        <f aca="false">VLOOKUP(YEAR(A91),Yr_Sprds,2)+E79</f>
        <v>3.489</v>
      </c>
      <c r="F91" s="287"/>
      <c r="G91" s="288"/>
      <c r="H91" s="287"/>
      <c r="I91" s="287"/>
      <c r="J91" s="279" t="n">
        <f aca="false">BD91</f>
        <v>-0.00099999999999989</v>
      </c>
      <c r="K91" s="279"/>
      <c r="L91" s="279"/>
      <c r="M91" s="112"/>
      <c r="N91" s="278"/>
      <c r="O91" s="278"/>
      <c r="P91" s="278"/>
      <c r="Q91" s="167"/>
      <c r="R91" s="167"/>
      <c r="S91" s="167"/>
      <c r="T91" s="167"/>
      <c r="U91" s="167"/>
      <c r="V91" s="167"/>
      <c r="W91" s="167"/>
      <c r="X91" s="167"/>
      <c r="Y91" s="228" t="n">
        <f aca="false">DAY(EOMONTH(A91,0))</f>
        <v>30</v>
      </c>
      <c r="Z91" s="268" t="n">
        <v>39443</v>
      </c>
      <c r="AA91" s="230" t="e">
        <f aca="false">IF(AND(A91&gt;=Front!$E$11,A91&lt;=Front!$E$12),A91,"")</f>
        <v>#VALUE!</v>
      </c>
      <c r="AB91" s="231" t="e">
        <f aca="false">IF(AA91="","",VLOOKUP(MONTH(A90),Front!$W$6:$X$17,2)*IF(Front!D$9=0,Swap!Y91,1))</f>
        <v>#VALUE!</v>
      </c>
      <c r="AC91" s="274" t="e">
        <f aca="false">IF(AA91="","",AB91*AH91)</f>
        <v>#VALUE!</v>
      </c>
      <c r="AD91" s="238"/>
      <c r="AE91" s="231" t="e">
        <f aca="false">IF(AA91="","",AD91*AH91)</f>
        <v>#VALUE!</v>
      </c>
      <c r="AF91" s="243" t="n">
        <f aca="false">INDEX(IRTable,MATCH(A91,IRMonth,0),4)</f>
        <v>0.0510642435651558</v>
      </c>
      <c r="AG91" s="243" t="n">
        <f aca="false">AF91+$AG$9</f>
        <v>0.0510642435651558</v>
      </c>
      <c r="AH91" s="195" t="n">
        <f aca="false">1/((1+AG91/2)^(2*((A91-Front!$C$2)/365.25)))</f>
        <v>2.39483086350317</v>
      </c>
      <c r="AI91" s="236" t="e">
        <f aca="false">IF($AA91="","",E91*AC91)</f>
        <v>#VALUE!</v>
      </c>
      <c r="AJ91" s="236" t="e">
        <f aca="false">IF($AA91="","",E91*AE91)</f>
        <v>#VALUE!</v>
      </c>
      <c r="AK91" s="237" t="e">
        <f aca="false">IF($AA91="","",C91*AC91)</f>
        <v>#VALUE!</v>
      </c>
      <c r="AL91" s="160" t="n">
        <f aca="false">(AO91/10000)/30.5</f>
        <v>0</v>
      </c>
      <c r="AM91" s="238" t="n">
        <f aca="false">AD91/10000</f>
        <v>0</v>
      </c>
      <c r="AN91" s="238" t="n">
        <f aca="false">AD91*DAY(EOMONTH(A91,0))/10000</f>
        <v>0</v>
      </c>
      <c r="AO91" s="238"/>
      <c r="AP91" s="238"/>
      <c r="AQ91" s="238"/>
      <c r="AR91" s="239"/>
      <c r="AS91" s="238"/>
      <c r="AT91" s="240"/>
      <c r="AU91" s="12"/>
      <c r="AV91" s="240"/>
      <c r="AW91" s="240"/>
      <c r="AX91" s="238"/>
      <c r="AY91" s="238"/>
      <c r="AZ91" s="233"/>
      <c r="BA91" s="241"/>
      <c r="BB91" s="242"/>
      <c r="BC91" s="243" t="n">
        <v>3.488</v>
      </c>
      <c r="BD91" s="195" t="n">
        <f aca="false">BC91-E91</f>
        <v>-0.00099999999999989</v>
      </c>
      <c r="BE91" s="251" t="n">
        <v>1.80183011</v>
      </c>
      <c r="BF91" s="245" t="n">
        <f aca="false">(BE91)*(D91*10)</f>
        <v>18.018301099998</v>
      </c>
      <c r="BG91" s="121" t="n">
        <v>-70.86070871</v>
      </c>
      <c r="BH91" s="121" t="n">
        <v>1.76390427</v>
      </c>
      <c r="BI91" s="247"/>
      <c r="BJ91" s="121"/>
      <c r="BK91" s="121"/>
      <c r="BL91" s="121"/>
      <c r="BM91" s="121"/>
      <c r="BN91" s="121"/>
      <c r="BO91" s="121"/>
      <c r="BP91" s="275" t="n">
        <v>39600</v>
      </c>
      <c r="BQ91" s="143" t="n">
        <v>3.398</v>
      </c>
      <c r="BR91" s="143" t="n">
        <v>0.2225</v>
      </c>
      <c r="BS91" s="143" t="n">
        <v>0.0510642435651558</v>
      </c>
      <c r="BT91" s="121"/>
    </row>
    <row r="92" customFormat="false" ht="15" hidden="false" customHeight="false" outlineLevel="0" collapsed="false">
      <c r="A92" s="290" t="n">
        <f aca="false">EOMONTH(A91,0)+1</f>
        <v>39630</v>
      </c>
      <c r="B92" s="215"/>
      <c r="C92" s="281" t="n">
        <v>3.538</v>
      </c>
      <c r="D92" s="282" t="n">
        <f aca="false">(E92-C92)*1000</f>
        <v>0.99999999999989</v>
      </c>
      <c r="E92" s="283" t="n">
        <f aca="false">VLOOKUP(YEAR(A92),Yr_Sprds,2)+E80</f>
        <v>3.539</v>
      </c>
      <c r="F92" s="287"/>
      <c r="G92" s="288"/>
      <c r="H92" s="287"/>
      <c r="I92" s="287"/>
      <c r="J92" s="279" t="n">
        <f aca="false">BD92</f>
        <v>-0.00099999999999989</v>
      </c>
      <c r="K92" s="278"/>
      <c r="L92" s="291"/>
      <c r="M92" s="112"/>
      <c r="N92" s="278"/>
      <c r="O92" s="278"/>
      <c r="P92" s="278"/>
      <c r="Q92" s="167"/>
      <c r="R92" s="167"/>
      <c r="S92" s="167"/>
      <c r="T92" s="167"/>
      <c r="U92" s="167"/>
      <c r="V92" s="167"/>
      <c r="W92" s="167"/>
      <c r="X92" s="167"/>
      <c r="Y92" s="228" t="n">
        <f aca="false">DAY(EOMONTH(A92,0))</f>
        <v>31</v>
      </c>
      <c r="Z92" s="268" t="n">
        <v>39476</v>
      </c>
      <c r="AA92" s="230" t="e">
        <f aca="false">IF(AND(A92&gt;=Front!$E$11,A92&lt;=Front!$E$12),A92,"")</f>
        <v>#VALUE!</v>
      </c>
      <c r="AB92" s="231" t="e">
        <f aca="false">IF(AA92="","",VLOOKUP(MONTH(A91),Front!$W$6:$X$17,2)*IF(Front!D$9=0,Swap!Y92,1))</f>
        <v>#VALUE!</v>
      </c>
      <c r="AC92" s="274" t="e">
        <f aca="false">IF(AA92="","",AB92*AH92)</f>
        <v>#VALUE!</v>
      </c>
      <c r="AD92" s="238"/>
      <c r="AE92" s="231" t="e">
        <f aca="false">IF(AA92="","",AD92*AH92)</f>
        <v>#VALUE!</v>
      </c>
      <c r="AF92" s="243" t="n">
        <f aca="false">INDEX(IRTable,MATCH(A92,IRMonth,0),4)</f>
        <v>0.0512339227508916</v>
      </c>
      <c r="AG92" s="243" t="n">
        <f aca="false">AF92+$AG$9</f>
        <v>0.0512339227508916</v>
      </c>
      <c r="AH92" s="195" t="n">
        <f aca="false">1/((1+AG92/2)^(2*((A92-Front!$C$2)/365.25)))</f>
        <v>2.39174441013243</v>
      </c>
      <c r="AI92" s="236" t="e">
        <f aca="false">IF($AA92="","",E92*AC92)</f>
        <v>#VALUE!</v>
      </c>
      <c r="AJ92" s="236" t="e">
        <f aca="false">IF($AA92="","",E92*AE92)</f>
        <v>#VALUE!</v>
      </c>
      <c r="AK92" s="237" t="e">
        <f aca="false">IF($AA92="","",C92*AC92)</f>
        <v>#VALUE!</v>
      </c>
      <c r="AL92" s="160" t="n">
        <f aca="false">(AO92/10000)/30.5</f>
        <v>0</v>
      </c>
      <c r="AM92" s="238" t="n">
        <f aca="false">AD92/10000</f>
        <v>0</v>
      </c>
      <c r="AN92" s="238" t="n">
        <f aca="false">AD92*DAY(EOMONTH(A92,0))/10000</f>
        <v>0</v>
      </c>
      <c r="AO92" s="238"/>
      <c r="AP92" s="238"/>
      <c r="AQ92" s="238"/>
      <c r="AR92" s="239"/>
      <c r="AS92" s="238"/>
      <c r="AT92" s="240"/>
      <c r="AU92" s="12"/>
      <c r="AV92" s="240"/>
      <c r="AW92" s="240"/>
      <c r="AX92" s="238"/>
      <c r="AY92" s="238"/>
      <c r="AZ92" s="233"/>
      <c r="BA92" s="241"/>
      <c r="BB92" s="242"/>
      <c r="BC92" s="243" t="n">
        <v>3.538</v>
      </c>
      <c r="BD92" s="195" t="n">
        <f aca="false">BC92-E92</f>
        <v>-0.00099999999999989</v>
      </c>
      <c r="BE92" s="251" t="n">
        <v>1.8521635</v>
      </c>
      <c r="BF92" s="245" t="n">
        <f aca="false">(BE92)*(D92*10)</f>
        <v>18.521634999998</v>
      </c>
      <c r="BG92" s="121" t="n">
        <v>-740.49446219</v>
      </c>
      <c r="BH92" s="121" t="n">
        <v>1.81310535</v>
      </c>
      <c r="BI92" s="247"/>
      <c r="BJ92" s="121"/>
      <c r="BK92" s="121"/>
      <c r="BL92" s="121"/>
      <c r="BM92" s="121"/>
      <c r="BN92" s="121"/>
      <c r="BO92" s="121"/>
      <c r="BP92" s="275" t="n">
        <v>39630</v>
      </c>
      <c r="BQ92" s="143" t="n">
        <v>3.448</v>
      </c>
      <c r="BR92" s="143" t="n">
        <v>0.22</v>
      </c>
      <c r="BS92" s="143" t="n">
        <v>0.0512339227508916</v>
      </c>
      <c r="BT92" s="121"/>
    </row>
    <row r="93" customFormat="false" ht="15" hidden="false" customHeight="false" outlineLevel="0" collapsed="false">
      <c r="A93" s="290" t="n">
        <f aca="false">EOMONTH(A92,0)+1</f>
        <v>39661</v>
      </c>
      <c r="B93" s="215"/>
      <c r="C93" s="281" t="n">
        <v>3.572</v>
      </c>
      <c r="D93" s="282" t="n">
        <f aca="false">(E93-C93)*1000</f>
        <v>0.99999999999989</v>
      </c>
      <c r="E93" s="283" t="n">
        <f aca="false">VLOOKUP(YEAR(A93),Yr_Sprds,2)+E81</f>
        <v>3.573</v>
      </c>
      <c r="F93" s="287"/>
      <c r="G93" s="288"/>
      <c r="H93" s="287"/>
      <c r="I93" s="287"/>
      <c r="J93" s="279" t="n">
        <f aca="false">BD93</f>
        <v>-0.00099999999999989</v>
      </c>
      <c r="K93" s="278"/>
      <c r="L93" s="291"/>
      <c r="M93" s="112"/>
      <c r="N93" s="278"/>
      <c r="O93" s="278"/>
      <c r="P93" s="278"/>
      <c r="Q93" s="167"/>
      <c r="R93" s="167"/>
      <c r="S93" s="167"/>
      <c r="T93" s="167"/>
      <c r="U93" s="167"/>
      <c r="V93" s="167"/>
      <c r="W93" s="167"/>
      <c r="X93" s="167"/>
      <c r="Y93" s="228" t="n">
        <f aca="false">DAY(EOMONTH(A93,0))</f>
        <v>31</v>
      </c>
      <c r="Z93" s="268" t="n">
        <v>39505</v>
      </c>
      <c r="AA93" s="230" t="e">
        <f aca="false">IF(AND(A93&gt;=Front!$E$11,A93&lt;=Front!$E$12),A93,"")</f>
        <v>#VALUE!</v>
      </c>
      <c r="AB93" s="231" t="e">
        <f aca="false">IF(AA93="","",VLOOKUP(MONTH(A92),Front!$W$6:$X$17,2)*IF(Front!D$9=0,Swap!Y93,1))</f>
        <v>#VALUE!</v>
      </c>
      <c r="AC93" s="274" t="e">
        <f aca="false">IF(AA93="","",AB93*AH93)</f>
        <v>#VALUE!</v>
      </c>
      <c r="AD93" s="238"/>
      <c r="AE93" s="231" t="e">
        <f aca="false">IF(AA93="","",AD93*AH93)</f>
        <v>#VALUE!</v>
      </c>
      <c r="AF93" s="243" t="n">
        <f aca="false">INDEX(IRTable,MATCH(A93,IRMonth,0),4)</f>
        <v>0.0514092579195773</v>
      </c>
      <c r="AG93" s="243" t="n">
        <f aca="false">AF93+$AG$9</f>
        <v>0.0514092579195773</v>
      </c>
      <c r="AH93" s="195" t="n">
        <f aca="false">1/((1+AG93/2)^(2*((A93-Front!$C$2)/365.25)))</f>
        <v>2.38849046729001</v>
      </c>
      <c r="AI93" s="236" t="e">
        <f aca="false">IF($AA93="","",E93*AC93)</f>
        <v>#VALUE!</v>
      </c>
      <c r="AJ93" s="236" t="e">
        <f aca="false">IF($AA93="","",E93*AE93)</f>
        <v>#VALUE!</v>
      </c>
      <c r="AK93" s="237" t="e">
        <f aca="false">IF($AA93="","",C93*AC93)</f>
        <v>#VALUE!</v>
      </c>
      <c r="AL93" s="160" t="n">
        <f aca="false">(AO93/10000)/30.5</f>
        <v>0</v>
      </c>
      <c r="AM93" s="238" t="n">
        <f aca="false">AD93/10000</f>
        <v>0</v>
      </c>
      <c r="AN93" s="238" t="n">
        <f aca="false">AD93*DAY(EOMONTH(A93,0))/10000</f>
        <v>0</v>
      </c>
      <c r="AO93" s="238"/>
      <c r="AP93" s="238"/>
      <c r="AQ93" s="238"/>
      <c r="AR93" s="239"/>
      <c r="AS93" s="238"/>
      <c r="AT93" s="240"/>
      <c r="AU93" s="12"/>
      <c r="AV93" s="240"/>
      <c r="AW93" s="240"/>
      <c r="AX93" s="238"/>
      <c r="AY93" s="238"/>
      <c r="AZ93" s="233"/>
      <c r="BA93" s="241"/>
      <c r="BB93" s="242"/>
      <c r="BC93" s="243" t="n">
        <v>3.572</v>
      </c>
      <c r="BD93" s="195" t="n">
        <f aca="false">BC93-E93</f>
        <v>-0.00099999999999989</v>
      </c>
      <c r="BE93" s="251" t="n">
        <v>1.84206882</v>
      </c>
      <c r="BF93" s="245" t="n">
        <f aca="false">(BE93)*(D93*10)</f>
        <v>18.420688199998</v>
      </c>
      <c r="BG93" s="121" t="n">
        <v>196.91098073</v>
      </c>
      <c r="BH93" s="121" t="n">
        <v>0</v>
      </c>
      <c r="BI93" s="247"/>
      <c r="BJ93" s="121"/>
      <c r="BK93" s="121"/>
      <c r="BL93" s="121"/>
      <c r="BM93" s="121"/>
      <c r="BN93" s="121"/>
      <c r="BO93" s="121"/>
      <c r="BP93" s="275" t="n">
        <v>39661</v>
      </c>
      <c r="BQ93" s="143" t="n">
        <v>3.482</v>
      </c>
      <c r="BR93" s="143" t="n">
        <v>0.22</v>
      </c>
      <c r="BS93" s="143" t="n">
        <v>0.0514092579195773</v>
      </c>
      <c r="BT93" s="121"/>
    </row>
    <row r="94" customFormat="false" ht="15" hidden="false" customHeight="false" outlineLevel="0" collapsed="false">
      <c r="A94" s="290" t="n">
        <f aca="false">EOMONTH(A93,0)+1</f>
        <v>39692</v>
      </c>
      <c r="B94" s="215"/>
      <c r="C94" s="281" t="n">
        <v>3.585</v>
      </c>
      <c r="D94" s="282" t="n">
        <f aca="false">(E94-C94)*1000</f>
        <v>0.99999999999989</v>
      </c>
      <c r="E94" s="283" t="n">
        <f aca="false">VLOOKUP(YEAR(A94),Yr_Sprds,2)+E82</f>
        <v>3.586</v>
      </c>
      <c r="F94" s="287"/>
      <c r="G94" s="288"/>
      <c r="H94" s="287"/>
      <c r="I94" s="287"/>
      <c r="J94" s="279" t="n">
        <f aca="false">BD94</f>
        <v>-0.00099999999999989</v>
      </c>
      <c r="K94" s="278"/>
      <c r="L94" s="291"/>
      <c r="M94" s="112"/>
      <c r="N94" s="278"/>
      <c r="O94" s="278"/>
      <c r="P94" s="278"/>
      <c r="Q94" s="167"/>
      <c r="R94" s="167"/>
      <c r="S94" s="167"/>
      <c r="T94" s="167"/>
      <c r="U94" s="167"/>
      <c r="V94" s="167"/>
      <c r="W94" s="167"/>
      <c r="X94" s="167"/>
      <c r="Y94" s="228" t="n">
        <f aca="false">DAY(EOMONTH(A94,0))</f>
        <v>30</v>
      </c>
      <c r="Z94" s="268" t="n">
        <v>39534</v>
      </c>
      <c r="AA94" s="230" t="e">
        <f aca="false">IF(AND(A94&gt;=Front!$E$11,A94&lt;=Front!$E$12),A94,"")</f>
        <v>#VALUE!</v>
      </c>
      <c r="AB94" s="231" t="e">
        <f aca="false">IF(AA94="","",VLOOKUP(MONTH(A93),Front!$W$6:$X$17,2)*IF(Front!D$9=0,Swap!Y94,1))</f>
        <v>#VALUE!</v>
      </c>
      <c r="AC94" s="274" t="e">
        <f aca="false">IF(AA94="","",AB94*AH94)</f>
        <v>#VALUE!</v>
      </c>
      <c r="AD94" s="233"/>
      <c r="AE94" s="231" t="e">
        <f aca="false">IF(AA94="","",AD94*AH94)</f>
        <v>#VALUE!</v>
      </c>
      <c r="AF94" s="243" t="n">
        <f aca="false">INDEX(IRTable,MATCH(A94,IRMonth,0),4)</f>
        <v>0.0515845930985206</v>
      </c>
      <c r="AG94" s="243" t="n">
        <f aca="false">AF94+$AG$9</f>
        <v>0.0515845930985206</v>
      </c>
      <c r="AH94" s="195" t="n">
        <f aca="false">1/((1+AG94/2)^(2*((A94-Front!$C$2)/365.25)))</f>
        <v>2.38517114322365</v>
      </c>
      <c r="AI94" s="236" t="e">
        <f aca="false">IF($AA94="","",E94*AC94)</f>
        <v>#VALUE!</v>
      </c>
      <c r="AJ94" s="236" t="e">
        <f aca="false">IF($AA94="","",E94*AE94)</f>
        <v>#VALUE!</v>
      </c>
      <c r="AK94" s="237" t="e">
        <f aca="false">IF($AA94="","",C94*AC94)</f>
        <v>#VALUE!</v>
      </c>
      <c r="AL94" s="160" t="n">
        <f aca="false">(AO94/10000)/30.5</f>
        <v>0</v>
      </c>
      <c r="AM94" s="238" t="n">
        <f aca="false">AD94/10000</f>
        <v>0</v>
      </c>
      <c r="AN94" s="238" t="n">
        <f aca="false">AD94*DAY(EOMONTH(A94,0))/10000</f>
        <v>0</v>
      </c>
      <c r="AO94" s="238"/>
      <c r="AP94" s="238"/>
      <c r="AQ94" s="238"/>
      <c r="AR94" s="239"/>
      <c r="AS94" s="238"/>
      <c r="AT94" s="240"/>
      <c r="AU94" s="12"/>
      <c r="AV94" s="240"/>
      <c r="AW94" s="240"/>
      <c r="AX94" s="238"/>
      <c r="AY94" s="238"/>
      <c r="AZ94" s="233"/>
      <c r="BA94" s="241"/>
      <c r="BB94" s="242"/>
      <c r="BC94" s="243" t="n">
        <v>3.585</v>
      </c>
      <c r="BD94" s="195" t="n">
        <f aca="false">BC94-E94</f>
        <v>-0.00099999999999989</v>
      </c>
      <c r="BE94" s="251" t="n">
        <v>1.7728394</v>
      </c>
      <c r="BF94" s="245" t="n">
        <f aca="false">(BE94)*(D94*10)</f>
        <v>17.728393999998</v>
      </c>
      <c r="BG94" s="121" t="n">
        <v>-433.59449528</v>
      </c>
      <c r="BH94" s="121" t="n">
        <v>0</v>
      </c>
      <c r="BI94" s="247"/>
      <c r="BJ94" s="121"/>
      <c r="BK94" s="121"/>
      <c r="BL94" s="121"/>
      <c r="BM94" s="121"/>
      <c r="BN94" s="121"/>
      <c r="BO94" s="121"/>
      <c r="BP94" s="275" t="n">
        <v>39692</v>
      </c>
      <c r="BQ94" s="143" t="n">
        <v>3.495</v>
      </c>
      <c r="BR94" s="143" t="n">
        <v>0.22</v>
      </c>
      <c r="BS94" s="143" t="n">
        <v>0.0515845930985206</v>
      </c>
      <c r="BT94" s="121"/>
    </row>
    <row r="95" customFormat="false" ht="15" hidden="false" customHeight="false" outlineLevel="0" collapsed="false">
      <c r="A95" s="156" t="n">
        <f aca="false">EOMONTH(A94,0)+1</f>
        <v>39722</v>
      </c>
      <c r="B95" s="215"/>
      <c r="C95" s="281" t="n">
        <v>3.577</v>
      </c>
      <c r="D95" s="282" t="n">
        <f aca="false">(E95-C95)*1000</f>
        <v>0.99999999999989</v>
      </c>
      <c r="E95" s="283" t="n">
        <f aca="false">VLOOKUP(YEAR(A95),Yr_Sprds,2)+E83</f>
        <v>3.578</v>
      </c>
      <c r="F95" s="287"/>
      <c r="G95" s="288"/>
      <c r="H95" s="287"/>
      <c r="I95" s="287"/>
      <c r="J95" s="279" t="n">
        <f aca="false">BD95</f>
        <v>-0.00099999999999989</v>
      </c>
      <c r="K95" s="278"/>
      <c r="L95" s="291"/>
      <c r="M95" s="112"/>
      <c r="N95" s="278"/>
      <c r="O95" s="278"/>
      <c r="P95" s="278"/>
      <c r="Q95" s="167"/>
      <c r="R95" s="167"/>
      <c r="S95" s="167"/>
      <c r="T95" s="167"/>
      <c r="U95" s="167"/>
      <c r="V95" s="167"/>
      <c r="W95" s="167"/>
      <c r="X95" s="167"/>
      <c r="Y95" s="228" t="n">
        <f aca="false">DAY(EOMONTH(A95,0))</f>
        <v>31</v>
      </c>
      <c r="Z95" s="268" t="n">
        <v>39566</v>
      </c>
      <c r="AA95" s="230" t="e">
        <f aca="false">IF(AND(A95&gt;=Front!$E$11,A95&lt;=Front!$E$12),A95,"")</f>
        <v>#VALUE!</v>
      </c>
      <c r="AB95" s="231" t="e">
        <f aca="false">IF(AA95="","",VLOOKUP(MONTH(A94),Front!$W$6:$X$17,2)*IF(Front!D$9=0,Swap!Y95,1))</f>
        <v>#VALUE!</v>
      </c>
      <c r="AC95" s="274" t="e">
        <f aca="false">IF(AA95="","",AB95*AH95)</f>
        <v>#VALUE!</v>
      </c>
      <c r="AD95" s="233"/>
      <c r="AE95" s="231" t="e">
        <f aca="false">IF(AA95="","",AD95*AH95)</f>
        <v>#VALUE!</v>
      </c>
      <c r="AF95" s="243" t="n">
        <f aca="false">INDEX(IRTable,MATCH(A95,IRMonth,0),4)</f>
        <v>0.0517447871679981</v>
      </c>
      <c r="AG95" s="243" t="n">
        <f aca="false">AF95+$AG$9</f>
        <v>0.0517447871679981</v>
      </c>
      <c r="AH95" s="195" t="n">
        <f aca="false">1/((1+AG95/2)^(2*((A95-Front!$C$2)/365.25)))</f>
        <v>2.38152287759085</v>
      </c>
      <c r="AI95" s="236" t="e">
        <f aca="false">IF($AA95="","",E95*AC95)</f>
        <v>#VALUE!</v>
      </c>
      <c r="AJ95" s="236" t="e">
        <f aca="false">IF($AA95="","",E95*AE95)</f>
        <v>#VALUE!</v>
      </c>
      <c r="AK95" s="237" t="e">
        <f aca="false">IF($AA95="","",C95*AC95)</f>
        <v>#VALUE!</v>
      </c>
      <c r="AL95" s="160" t="n">
        <f aca="false">(AO95/10000)/30.5</f>
        <v>0</v>
      </c>
      <c r="AM95" s="238" t="n">
        <f aca="false">AD95/10000</f>
        <v>0</v>
      </c>
      <c r="AN95" s="238" t="n">
        <f aca="false">AD95*DAY(EOMONTH(A95,0))/10000</f>
        <v>0</v>
      </c>
      <c r="AO95" s="238"/>
      <c r="AP95" s="238"/>
      <c r="AQ95" s="238"/>
      <c r="AR95" s="239"/>
      <c r="AS95" s="238"/>
      <c r="AT95" s="240"/>
      <c r="AU95" s="12"/>
      <c r="AV95" s="240"/>
      <c r="AW95" s="240"/>
      <c r="AX95" s="238"/>
      <c r="AY95" s="238"/>
      <c r="AZ95" s="233"/>
      <c r="BA95" s="241"/>
      <c r="BB95" s="242"/>
      <c r="BC95" s="243" t="n">
        <v>3.577</v>
      </c>
      <c r="BD95" s="195" t="n">
        <f aca="false">BC95-E95</f>
        <v>-0.00099999999999989</v>
      </c>
      <c r="BE95" s="251" t="n">
        <v>1.82232988</v>
      </c>
      <c r="BF95" s="245" t="n">
        <f aca="false">(BE95)*(D95*10)</f>
        <v>18.223298799998</v>
      </c>
      <c r="BG95" s="121" t="n">
        <v>-466.13479092</v>
      </c>
      <c r="BH95" s="121" t="n">
        <v>0</v>
      </c>
      <c r="BI95" s="247"/>
      <c r="BJ95" s="121"/>
      <c r="BK95" s="121"/>
      <c r="BL95" s="121"/>
      <c r="BM95" s="121"/>
      <c r="BN95" s="121"/>
      <c r="BO95" s="121"/>
      <c r="BP95" s="275" t="n">
        <v>39722</v>
      </c>
      <c r="BQ95" s="143" t="n">
        <v>3.517</v>
      </c>
      <c r="BR95" s="143" t="n">
        <v>0.22</v>
      </c>
      <c r="BS95" s="143" t="n">
        <v>0.0517447871679981</v>
      </c>
      <c r="BT95" s="121"/>
    </row>
    <row r="96" customFormat="false" ht="15" hidden="false" customHeight="false" outlineLevel="0" collapsed="false">
      <c r="A96" s="156" t="n">
        <f aca="false">EOMONTH(A95,0)+1</f>
        <v>39753</v>
      </c>
      <c r="B96" s="215"/>
      <c r="C96" s="281" t="n">
        <v>3.747</v>
      </c>
      <c r="D96" s="282" t="n">
        <f aca="false">(E96-C96)*1000</f>
        <v>0.99999999999989</v>
      </c>
      <c r="E96" s="283" t="n">
        <f aca="false">VLOOKUP(YEAR(A96),Yr_Sprds,2)+E84</f>
        <v>3.748</v>
      </c>
      <c r="F96" s="287"/>
      <c r="G96" s="288"/>
      <c r="H96" s="287"/>
      <c r="I96" s="287"/>
      <c r="J96" s="279" t="n">
        <f aca="false">BD96</f>
        <v>-0.00099999999999989</v>
      </c>
      <c r="K96" s="278"/>
      <c r="L96" s="291"/>
      <c r="M96" s="112"/>
      <c r="N96" s="278"/>
      <c r="O96" s="278"/>
      <c r="P96" s="278"/>
      <c r="Q96" s="167"/>
      <c r="R96" s="167"/>
      <c r="S96" s="167"/>
      <c r="T96" s="167"/>
      <c r="U96" s="167"/>
      <c r="V96" s="167"/>
      <c r="W96" s="167"/>
      <c r="X96" s="167"/>
      <c r="Y96" s="228" t="n">
        <f aca="false">DAY(EOMONTH(A96,0))</f>
        <v>30</v>
      </c>
      <c r="Z96" s="268" t="n">
        <v>39596</v>
      </c>
      <c r="AA96" s="230" t="e">
        <f aca="false">IF(AND(A96&gt;=Front!$E$11,A96&lt;=Front!$E$12),A96,"")</f>
        <v>#VALUE!</v>
      </c>
      <c r="AB96" s="231" t="e">
        <f aca="false">IF(AA96="","",VLOOKUP(MONTH(A95),Front!$W$6:$X$17,2)*IF(Front!D$9=0,Swap!Y96,1))</f>
        <v>#VALUE!</v>
      </c>
      <c r="AC96" s="274" t="e">
        <f aca="false">IF(AA96="","",AB96*AH96)</f>
        <v>#VALUE!</v>
      </c>
      <c r="AD96" s="233"/>
      <c r="AE96" s="231" t="e">
        <f aca="false">IF(AA96="","",AD96*AH96)</f>
        <v>#VALUE!</v>
      </c>
      <c r="AF96" s="243" t="n">
        <f aca="false">INDEX(IRTable,MATCH(A96,IRMonth,0),4)</f>
        <v>0.0518613144603499</v>
      </c>
      <c r="AG96" s="243" t="n">
        <f aca="false">AF96+$AG$9</f>
        <v>0.0518613144603499</v>
      </c>
      <c r="AH96" s="195" t="n">
        <f aca="false">1/((1+AG96/2)^(2*((A96-Front!$C$2)/365.25)))</f>
        <v>2.37577552407625</v>
      </c>
      <c r="AI96" s="236" t="e">
        <f aca="false">IF($AA96="","",E96*AC96)</f>
        <v>#VALUE!</v>
      </c>
      <c r="AJ96" s="236" t="e">
        <f aca="false">IF($AA96="","",E96*AE96)</f>
        <v>#VALUE!</v>
      </c>
      <c r="AK96" s="237" t="e">
        <f aca="false">IF($AA96="","",C96*AC96)</f>
        <v>#VALUE!</v>
      </c>
      <c r="AL96" s="160" t="n">
        <f aca="false">(AO96/10000)/30.5</f>
        <v>0</v>
      </c>
      <c r="AM96" s="238" t="n">
        <f aca="false">AD96/10000</f>
        <v>0</v>
      </c>
      <c r="AN96" s="238" t="n">
        <f aca="false">AD96*DAY(EOMONTH(A96,0))/10000</f>
        <v>0</v>
      </c>
      <c r="AO96" s="238"/>
      <c r="AP96" s="238"/>
      <c r="AQ96" s="238"/>
      <c r="AR96" s="239"/>
      <c r="AS96" s="238"/>
      <c r="AT96" s="240"/>
      <c r="AU96" s="12"/>
      <c r="AV96" s="240"/>
      <c r="AW96" s="240"/>
      <c r="AX96" s="238"/>
      <c r="AY96" s="238"/>
      <c r="AZ96" s="233"/>
      <c r="BA96" s="241"/>
      <c r="BB96" s="242"/>
      <c r="BC96" s="243" t="n">
        <v>3.747</v>
      </c>
      <c r="BD96" s="195" t="n">
        <f aca="false">BC96-E96</f>
        <v>-0.00099999999999989</v>
      </c>
      <c r="BE96" s="251" t="n">
        <v>1.75445824</v>
      </c>
      <c r="BF96" s="245" t="n">
        <f aca="false">(BE96)*(D96*10)</f>
        <v>17.5445823999981</v>
      </c>
      <c r="BG96" s="121" t="n">
        <v>-445.59536697</v>
      </c>
      <c r="BH96" s="121" t="n">
        <v>0</v>
      </c>
      <c r="BI96" s="247"/>
      <c r="BJ96" s="121"/>
      <c r="BK96" s="121"/>
      <c r="BL96" s="121"/>
      <c r="BM96" s="121"/>
      <c r="BN96" s="121"/>
      <c r="BO96" s="121"/>
      <c r="BP96" s="275" t="n">
        <v>39753</v>
      </c>
      <c r="BQ96" s="143" t="n">
        <v>3.687</v>
      </c>
      <c r="BR96" s="143" t="n">
        <v>0.22</v>
      </c>
      <c r="BS96" s="143" t="n">
        <v>0.0518613144603499</v>
      </c>
      <c r="BT96" s="121"/>
    </row>
    <row r="97" customFormat="false" ht="15" hidden="false" customHeight="false" outlineLevel="0" collapsed="false">
      <c r="A97" s="156" t="n">
        <f aca="false">EOMONTH(A96,0)+1</f>
        <v>39783</v>
      </c>
      <c r="B97" s="215"/>
      <c r="C97" s="281" t="n">
        <v>3.922</v>
      </c>
      <c r="D97" s="282" t="n">
        <f aca="false">(E97-C97)*1000</f>
        <v>0.99999999999989</v>
      </c>
      <c r="E97" s="283" t="n">
        <f aca="false">VLOOKUP(YEAR(A97),Yr_Sprds,2)+E85</f>
        <v>3.923</v>
      </c>
      <c r="F97" s="287"/>
      <c r="G97" s="288"/>
      <c r="H97" s="287"/>
      <c r="I97" s="287"/>
      <c r="J97" s="279" t="n">
        <f aca="false">BD97</f>
        <v>-0.00099999999999989</v>
      </c>
      <c r="K97" s="278"/>
      <c r="L97" s="291"/>
      <c r="M97" s="112"/>
      <c r="N97" s="278"/>
      <c r="O97" s="278"/>
      <c r="P97" s="278"/>
      <c r="Q97" s="167"/>
      <c r="R97" s="167"/>
      <c r="S97" s="167"/>
      <c r="T97" s="167"/>
      <c r="U97" s="167"/>
      <c r="V97" s="167"/>
      <c r="W97" s="167"/>
      <c r="X97" s="167"/>
      <c r="Y97" s="228" t="n">
        <f aca="false">DAY(EOMONTH(A97,0))</f>
        <v>31</v>
      </c>
      <c r="Z97" s="268" t="n">
        <v>39625</v>
      </c>
      <c r="AA97" s="230" t="e">
        <f aca="false">IF(AND(A97&gt;=Front!$E$11,A97&lt;=Front!$E$12),A97,"")</f>
        <v>#VALUE!</v>
      </c>
      <c r="AB97" s="231" t="e">
        <f aca="false">IF(AA97="","",VLOOKUP(MONTH(A96),Front!$W$6:$X$17,2)*IF(Front!D$9=0,Swap!Y97,1))</f>
        <v>#VALUE!</v>
      </c>
      <c r="AC97" s="274" t="e">
        <f aca="false">IF(AA97="","",AB97*AH97)</f>
        <v>#VALUE!</v>
      </c>
      <c r="AD97" s="233"/>
      <c r="AE97" s="231" t="e">
        <f aca="false">IF(AA97="","",AD97*AH97)</f>
        <v>#VALUE!</v>
      </c>
      <c r="AF97" s="243" t="n">
        <f aca="false">INDEX(IRTable,MATCH(A97,IRMonth,0),4)</f>
        <v>0.0519740828120998</v>
      </c>
      <c r="AG97" s="243" t="n">
        <f aca="false">AF97+$AG$9</f>
        <v>0.0519740828120998</v>
      </c>
      <c r="AH97" s="195" t="n">
        <f aca="false">1/((1+AG97/2)^(2*((A97-Front!$C$2)/365.25)))</f>
        <v>2.37018301917123</v>
      </c>
      <c r="AI97" s="236" t="e">
        <f aca="false">IF($AA97="","",E97*AC97)</f>
        <v>#VALUE!</v>
      </c>
      <c r="AJ97" s="236" t="e">
        <f aca="false">IF($AA97="","",E97*AE97)</f>
        <v>#VALUE!</v>
      </c>
      <c r="AK97" s="237" t="e">
        <f aca="false">IF($AA97="","",C97*AC97)</f>
        <v>#VALUE!</v>
      </c>
      <c r="AL97" s="160" t="n">
        <f aca="false">(AO97/10000)/30.5</f>
        <v>0</v>
      </c>
      <c r="AM97" s="238" t="n">
        <f aca="false">AD97/10000</f>
        <v>0</v>
      </c>
      <c r="AN97" s="238" t="n">
        <f aca="false">AD97*DAY(EOMONTH(A97,0))/10000</f>
        <v>0</v>
      </c>
      <c r="AO97" s="238"/>
      <c r="AP97" s="238"/>
      <c r="AQ97" s="238"/>
      <c r="AR97" s="239"/>
      <c r="AS97" s="238"/>
      <c r="AT97" s="240"/>
      <c r="AU97" s="12"/>
      <c r="AV97" s="240"/>
      <c r="AW97" s="240"/>
      <c r="AX97" s="238"/>
      <c r="AY97" s="238"/>
      <c r="AZ97" s="233"/>
      <c r="BA97" s="241"/>
      <c r="BB97" s="242"/>
      <c r="BC97" s="243" t="n">
        <v>3.922</v>
      </c>
      <c r="BD97" s="195" t="n">
        <f aca="false">BC97-E97</f>
        <v>-0.00099999999999989</v>
      </c>
      <c r="BE97" s="251" t="n">
        <v>1.80394806</v>
      </c>
      <c r="BF97" s="245" t="n">
        <f aca="false">(BE97)*(D97*10)</f>
        <v>18.039480599998</v>
      </c>
      <c r="BG97" s="121" t="n">
        <v>-459.15562441</v>
      </c>
      <c r="BH97" s="121" t="n">
        <v>0</v>
      </c>
      <c r="BI97" s="247"/>
      <c r="BJ97" s="121"/>
      <c r="BK97" s="121"/>
      <c r="BL97" s="121"/>
      <c r="BM97" s="121"/>
      <c r="BN97" s="121"/>
      <c r="BO97" s="121"/>
      <c r="BP97" s="275" t="n">
        <v>39783</v>
      </c>
      <c r="BQ97" s="143" t="n">
        <v>3.862</v>
      </c>
      <c r="BR97" s="143" t="n">
        <v>0.2225</v>
      </c>
      <c r="BS97" s="143" t="n">
        <v>0.0519740828120998</v>
      </c>
      <c r="BT97" s="121"/>
    </row>
    <row r="98" customFormat="false" ht="15" hidden="false" customHeight="false" outlineLevel="0" collapsed="false">
      <c r="A98" s="156" t="n">
        <f aca="false">EOMONTH(A97,0)+1</f>
        <v>39814</v>
      </c>
      <c r="B98" s="215"/>
      <c r="C98" s="281" t="n">
        <v>3.9645</v>
      </c>
      <c r="D98" s="282" t="n">
        <f aca="false">(E98-C98)*1000</f>
        <v>3.50000000000028</v>
      </c>
      <c r="E98" s="283" t="n">
        <f aca="false">VLOOKUP(YEAR(A98),Yr_Sprds,2)+E86</f>
        <v>3.968</v>
      </c>
      <c r="F98" s="287"/>
      <c r="G98" s="288"/>
      <c r="H98" s="287"/>
      <c r="I98" s="287"/>
      <c r="J98" s="279" t="n">
        <f aca="false">BD98</f>
        <v>-0.00350000000000028</v>
      </c>
      <c r="K98" s="278"/>
      <c r="L98" s="291"/>
      <c r="M98" s="112"/>
      <c r="N98" s="278"/>
      <c r="O98" s="278"/>
      <c r="P98" s="278"/>
      <c r="Q98" s="167"/>
      <c r="R98" s="167"/>
      <c r="S98" s="167"/>
      <c r="T98" s="167"/>
      <c r="U98" s="167"/>
      <c r="V98" s="167"/>
      <c r="W98" s="167"/>
      <c r="X98" s="167"/>
      <c r="Y98" s="228" t="n">
        <f aca="false">DAY(EOMONTH(A98,0))</f>
        <v>31</v>
      </c>
      <c r="Z98" s="268" t="n">
        <v>39658</v>
      </c>
      <c r="AA98" s="230" t="e">
        <f aca="false">IF(AND(A98&gt;=Front!$E$11,A98&lt;=Front!$E$12),A98,"")</f>
        <v>#VALUE!</v>
      </c>
      <c r="AB98" s="231" t="e">
        <f aca="false">IF(AA98="","",VLOOKUP(MONTH(A97),Front!$W$6:$X$17,2)*IF(Front!D$9=0,Swap!Y98,1))</f>
        <v>#VALUE!</v>
      </c>
      <c r="AC98" s="274" t="e">
        <f aca="false">IF(AA98="","",AB98*AH98)</f>
        <v>#VALUE!</v>
      </c>
      <c r="AD98" s="233"/>
      <c r="AE98" s="231" t="e">
        <f aca="false">IF(AA98="","",AD98*AH98)</f>
        <v>#VALUE!</v>
      </c>
      <c r="AF98" s="243" t="n">
        <f aca="false">INDEX(IRTable,MATCH(A98,IRMonth,0),4)</f>
        <v>0.0520906101133645</v>
      </c>
      <c r="AG98" s="243" t="n">
        <f aca="false">AF98+$AG$9</f>
        <v>0.0520906101133645</v>
      </c>
      <c r="AH98" s="195" t="n">
        <f aca="false">1/((1+AG98/2)^(2*((A98-Front!$C$2)/365.25)))</f>
        <v>2.36437282682757</v>
      </c>
      <c r="AI98" s="236" t="e">
        <f aca="false">IF($AA98="","",E98*AC98)</f>
        <v>#VALUE!</v>
      </c>
      <c r="AJ98" s="236" t="e">
        <f aca="false">IF($AA98="","",E98*AE98)</f>
        <v>#VALUE!</v>
      </c>
      <c r="AK98" s="237" t="e">
        <f aca="false">IF($AA98="","",C98*AC98)</f>
        <v>#VALUE!</v>
      </c>
      <c r="AL98" s="160" t="n">
        <f aca="false">(AO98/10000)/30.5</f>
        <v>0</v>
      </c>
      <c r="AM98" s="238" t="n">
        <f aca="false">AD98/10000</f>
        <v>0</v>
      </c>
      <c r="AN98" s="238" t="n">
        <f aca="false">AD98*DAY(EOMONTH(A98,0))/10000</f>
        <v>0</v>
      </c>
      <c r="AO98" s="238"/>
      <c r="AP98" s="238"/>
      <c r="AQ98" s="238"/>
      <c r="AR98" s="239"/>
      <c r="AS98" s="238"/>
      <c r="AT98" s="240"/>
      <c r="AU98" s="12"/>
      <c r="AV98" s="240"/>
      <c r="AW98" s="240"/>
      <c r="AX98" s="238"/>
      <c r="AY98" s="238"/>
      <c r="AZ98" s="233"/>
      <c r="BA98" s="241"/>
      <c r="BB98" s="242"/>
      <c r="BC98" s="243" t="n">
        <v>3.9645</v>
      </c>
      <c r="BD98" s="195" t="n">
        <f aca="false">BC98-E98</f>
        <v>-0.00350000000000028</v>
      </c>
      <c r="BE98" s="251" t="n">
        <v>1.35587729</v>
      </c>
      <c r="BF98" s="245" t="n">
        <f aca="false">(BE98)*(D98*10)</f>
        <v>47.4557051500038</v>
      </c>
      <c r="BG98" s="121" t="n">
        <v>-440.55538932</v>
      </c>
      <c r="BH98" s="121" t="n">
        <v>0</v>
      </c>
      <c r="BI98" s="247"/>
      <c r="BJ98" s="121"/>
      <c r="BK98" s="121"/>
      <c r="BL98" s="121"/>
      <c r="BM98" s="121"/>
      <c r="BN98" s="121"/>
      <c r="BO98" s="121"/>
      <c r="BP98" s="275" t="n">
        <v>39814</v>
      </c>
      <c r="BQ98" s="143" t="n">
        <v>3.872</v>
      </c>
      <c r="BR98" s="143" t="n">
        <v>0.225</v>
      </c>
      <c r="BS98" s="143" t="n">
        <v>0.0520906101133645</v>
      </c>
      <c r="BT98" s="121"/>
    </row>
    <row r="99" customFormat="false" ht="15" hidden="false" customHeight="false" outlineLevel="0" collapsed="false">
      <c r="A99" s="156" t="n">
        <f aca="false">EOMONTH(A98,0)+1</f>
        <v>39845</v>
      </c>
      <c r="B99" s="215"/>
      <c r="C99" s="281" t="n">
        <v>3.8505</v>
      </c>
      <c r="D99" s="282" t="n">
        <f aca="false">(E99-C99)*1000</f>
        <v>3.50000000000028</v>
      </c>
      <c r="E99" s="283" t="n">
        <f aca="false">VLOOKUP(YEAR(A99),Yr_Sprds,2)+E87</f>
        <v>3.854</v>
      </c>
      <c r="F99" s="287"/>
      <c r="G99" s="288"/>
      <c r="H99" s="287"/>
      <c r="I99" s="287"/>
      <c r="J99" s="279" t="n">
        <f aca="false">BD99</f>
        <v>-0.00350000000000028</v>
      </c>
      <c r="K99" s="278"/>
      <c r="L99" s="291"/>
      <c r="M99" s="112"/>
      <c r="N99" s="278"/>
      <c r="O99" s="278"/>
      <c r="P99" s="278"/>
      <c r="Q99" s="167"/>
      <c r="R99" s="167"/>
      <c r="S99" s="167"/>
      <c r="T99" s="167"/>
      <c r="U99" s="167"/>
      <c r="V99" s="167"/>
      <c r="W99" s="167"/>
      <c r="X99" s="167"/>
      <c r="Y99" s="228" t="n">
        <f aca="false">DAY(EOMONTH(A99,0))</f>
        <v>28</v>
      </c>
      <c r="Z99" s="268" t="n">
        <v>39687</v>
      </c>
      <c r="AA99" s="230" t="e">
        <f aca="false">IF(AND(A99&gt;=Front!$E$11,A99&lt;=Front!$E$12),A99,"")</f>
        <v>#VALUE!</v>
      </c>
      <c r="AB99" s="231" t="e">
        <f aca="false">IF(AA99="","",VLOOKUP(MONTH(A98),Front!$W$6:$X$17,2)*IF(Front!D$9=0,Swap!Y99,1))</f>
        <v>#VALUE!</v>
      </c>
      <c r="AC99" s="274" t="e">
        <f aca="false">IF(AA99="","",AB99*AH99)</f>
        <v>#VALUE!</v>
      </c>
      <c r="AD99" s="233"/>
      <c r="AE99" s="231" t="e">
        <f aca="false">IF(AA99="","",AD99*AH99)</f>
        <v>#VALUE!</v>
      </c>
      <c r="AF99" s="243" t="n">
        <f aca="false">INDEX(IRTable,MATCH(A99,IRMonth,0),4)</f>
        <v>0.0522071374191584</v>
      </c>
      <c r="AG99" s="243" t="n">
        <f aca="false">AF99+$AG$9</f>
        <v>0.0522071374191584</v>
      </c>
      <c r="AH99" s="195" t="n">
        <f aca="false">1/((1+AG99/2)^(2*((A99-Front!$C$2)/365.25)))</f>
        <v>2.35853115478375</v>
      </c>
      <c r="AI99" s="236" t="e">
        <f aca="false">IF($AA99="","",E99*AC99)</f>
        <v>#VALUE!</v>
      </c>
      <c r="AJ99" s="236" t="e">
        <f aca="false">IF($AA99="","",E99*AE99)</f>
        <v>#VALUE!</v>
      </c>
      <c r="AK99" s="237" t="e">
        <f aca="false">IF($AA99="","",C99*AC99)</f>
        <v>#VALUE!</v>
      </c>
      <c r="AL99" s="160" t="n">
        <f aca="false">(AO99/10000)/30.5</f>
        <v>0</v>
      </c>
      <c r="AM99" s="238" t="n">
        <f aca="false">AD99/10000</f>
        <v>0</v>
      </c>
      <c r="AN99" s="238" t="n">
        <f aca="false">AD99*DAY(EOMONTH(A99,0))/10000</f>
        <v>0</v>
      </c>
      <c r="AO99" s="238"/>
      <c r="AP99" s="238"/>
      <c r="AQ99" s="238"/>
      <c r="AR99" s="239"/>
      <c r="AS99" s="238"/>
      <c r="AT99" s="240"/>
      <c r="AU99" s="12"/>
      <c r="AV99" s="240"/>
      <c r="AW99" s="240"/>
      <c r="AX99" s="238"/>
      <c r="AY99" s="238"/>
      <c r="AZ99" s="233"/>
      <c r="BA99" s="241"/>
      <c r="BB99" s="242"/>
      <c r="BC99" s="243" t="n">
        <v>3.8505</v>
      </c>
      <c r="BD99" s="195" t="n">
        <f aca="false">BC99-E99</f>
        <v>-0.00350000000000028</v>
      </c>
      <c r="BE99" s="251" t="n">
        <v>1.21832051</v>
      </c>
      <c r="BF99" s="245" t="n">
        <f aca="false">(BE99)*(D99*10)</f>
        <v>42.6412178500034</v>
      </c>
      <c r="BG99" s="121" t="n">
        <v>-454.90975491</v>
      </c>
      <c r="BH99" s="121" t="n">
        <v>0</v>
      </c>
      <c r="BI99" s="247"/>
      <c r="BJ99" s="121"/>
      <c r="BK99" s="121"/>
      <c r="BL99" s="121"/>
      <c r="BM99" s="121"/>
      <c r="BN99" s="121"/>
      <c r="BO99" s="121"/>
      <c r="BP99" s="275" t="n">
        <v>39845</v>
      </c>
      <c r="BQ99" s="143" t="n">
        <v>3.758</v>
      </c>
      <c r="BR99" s="143" t="n">
        <v>0.22</v>
      </c>
      <c r="BS99" s="143" t="n">
        <v>0.0522071374191584</v>
      </c>
      <c r="BT99" s="121"/>
    </row>
    <row r="100" customFormat="false" ht="15" hidden="false" customHeight="false" outlineLevel="0" collapsed="false">
      <c r="A100" s="156" t="n">
        <f aca="false">EOMONTH(A99,0)+1</f>
        <v>39873</v>
      </c>
      <c r="B100" s="215"/>
      <c r="C100" s="281" t="n">
        <v>3.7185</v>
      </c>
      <c r="D100" s="282" t="n">
        <f aca="false">(E100-C100)*1000</f>
        <v>3.50000000000028</v>
      </c>
      <c r="E100" s="283" t="n">
        <f aca="false">VLOOKUP(YEAR(A100),Yr_Sprds,2)+E88</f>
        <v>3.722</v>
      </c>
      <c r="F100" s="287"/>
      <c r="G100" s="288"/>
      <c r="H100" s="287"/>
      <c r="I100" s="287"/>
      <c r="J100" s="279" t="n">
        <f aca="false">BD100</f>
        <v>-0.00350000000000028</v>
      </c>
      <c r="K100" s="278"/>
      <c r="L100" s="291"/>
      <c r="M100" s="112"/>
      <c r="N100" s="278"/>
      <c r="O100" s="278"/>
      <c r="P100" s="278"/>
      <c r="Q100" s="167"/>
      <c r="R100" s="167"/>
      <c r="S100" s="167"/>
      <c r="T100" s="167"/>
      <c r="U100" s="167"/>
      <c r="V100" s="167"/>
      <c r="W100" s="167"/>
      <c r="X100" s="167"/>
      <c r="Y100" s="228" t="n">
        <f aca="false">DAY(EOMONTH(A100,0))</f>
        <v>31</v>
      </c>
      <c r="Z100" s="268" t="n">
        <v>39717</v>
      </c>
      <c r="AA100" s="230" t="e">
        <f aca="false">IF(AND(A100&gt;=Front!$E$11,A100&lt;=Front!$E$12),A100,"")</f>
        <v>#VALUE!</v>
      </c>
      <c r="AB100" s="231" t="e">
        <f aca="false">IF(AA100="","",VLOOKUP(MONTH(A99),Front!$W$6:$X$17,2)*IF(Front!D$9=0,Swap!Y100,1))</f>
        <v>#VALUE!</v>
      </c>
      <c r="AC100" s="274" t="e">
        <f aca="false">IF(AA100="","",AB100*AH100)</f>
        <v>#VALUE!</v>
      </c>
      <c r="AD100" s="233"/>
      <c r="AE100" s="231" t="e">
        <f aca="false">IF(AA100="","",AD100*AH100)</f>
        <v>#VALUE!</v>
      </c>
      <c r="AF100" s="243" t="n">
        <f aca="false">INDEX(IRTable,MATCH(A100,IRMonth,0),4)</f>
        <v>0.0523123878927998</v>
      </c>
      <c r="AG100" s="243" t="n">
        <f aca="false">AF100+$AG$9</f>
        <v>0.0523123878927998</v>
      </c>
      <c r="AH100" s="195" t="n">
        <f aca="false">1/((1+AG100/2)^(2*((A100-Front!$C$2)/365.25)))</f>
        <v>2.35322800443614</v>
      </c>
      <c r="AI100" s="236" t="e">
        <f aca="false">IF($AA100="","",E100*AC100)</f>
        <v>#VALUE!</v>
      </c>
      <c r="AJ100" s="236" t="e">
        <f aca="false">IF($AA100="","",E100*AE100)</f>
        <v>#VALUE!</v>
      </c>
      <c r="AK100" s="237" t="e">
        <f aca="false">IF($AA100="","",C100*AC100)</f>
        <v>#VALUE!</v>
      </c>
      <c r="AL100" s="160" t="n">
        <f aca="false">(AO100/10000)/30.5</f>
        <v>0</v>
      </c>
      <c r="AM100" s="238" t="n">
        <f aca="false">AD100/10000</f>
        <v>0</v>
      </c>
      <c r="AN100" s="238" t="n">
        <f aca="false">AD100*DAY(EOMONTH(A100,0))/10000</f>
        <v>0</v>
      </c>
      <c r="AO100" s="238"/>
      <c r="AP100" s="238"/>
      <c r="AQ100" s="238"/>
      <c r="AR100" s="239"/>
      <c r="AS100" s="238"/>
      <c r="AT100" s="240"/>
      <c r="AU100" s="12"/>
      <c r="AV100" s="240"/>
      <c r="AW100" s="240"/>
      <c r="AX100" s="238"/>
      <c r="AY100" s="238"/>
      <c r="AZ100" s="233"/>
      <c r="BA100" s="241"/>
      <c r="BB100" s="242"/>
      <c r="BC100" s="243" t="n">
        <v>3.7185</v>
      </c>
      <c r="BD100" s="195" t="n">
        <f aca="false">BC100-E100</f>
        <v>-0.00350000000000028</v>
      </c>
      <c r="BE100" s="251" t="n">
        <v>1.34250254</v>
      </c>
      <c r="BF100" s="245" t="n">
        <f aca="false">(BE100)*(D100*10)</f>
        <v>46.9875889000038</v>
      </c>
      <c r="BG100" s="121" t="n">
        <v>-452.25058744</v>
      </c>
      <c r="BH100" s="121" t="n">
        <v>0</v>
      </c>
      <c r="BI100" s="247"/>
      <c r="BJ100" s="121"/>
      <c r="BK100" s="121"/>
      <c r="BL100" s="121"/>
      <c r="BM100" s="121"/>
      <c r="BN100" s="121"/>
      <c r="BO100" s="121"/>
      <c r="BP100" s="275" t="n">
        <v>39873</v>
      </c>
      <c r="BQ100" s="143" t="n">
        <v>3.626</v>
      </c>
      <c r="BR100" s="143" t="n">
        <v>0.205</v>
      </c>
      <c r="BS100" s="143" t="n">
        <v>0.0523123878927998</v>
      </c>
      <c r="BT100" s="121"/>
    </row>
    <row r="101" customFormat="false" ht="15" hidden="false" customHeight="false" outlineLevel="0" collapsed="false">
      <c r="A101" s="156" t="n">
        <f aca="false">EOMONTH(A100,0)+1</f>
        <v>39904</v>
      </c>
      <c r="B101" s="215"/>
      <c r="C101" s="281" t="n">
        <v>3.5485</v>
      </c>
      <c r="D101" s="282" t="n">
        <f aca="false">(E101-C101)*1000</f>
        <v>3.50000000000028</v>
      </c>
      <c r="E101" s="283" t="n">
        <f aca="false">VLOOKUP(YEAR(A101),Yr_Sprds,2)+E89</f>
        <v>3.552</v>
      </c>
      <c r="F101" s="287"/>
      <c r="G101" s="288"/>
      <c r="H101" s="287"/>
      <c r="I101" s="287"/>
      <c r="J101" s="279" t="n">
        <f aca="false">BD101</f>
        <v>-0.00350000000000028</v>
      </c>
      <c r="K101" s="278"/>
      <c r="L101" s="291"/>
      <c r="M101" s="112"/>
      <c r="N101" s="278"/>
      <c r="O101" s="278"/>
      <c r="P101" s="278"/>
      <c r="Q101" s="167"/>
      <c r="R101" s="167"/>
      <c r="S101" s="167"/>
      <c r="T101" s="167"/>
      <c r="U101" s="167"/>
      <c r="V101" s="167"/>
      <c r="W101" s="167"/>
      <c r="X101" s="167"/>
      <c r="Y101" s="228" t="n">
        <f aca="false">DAY(EOMONTH(A101,0))</f>
        <v>30</v>
      </c>
      <c r="Z101" s="268" t="n">
        <v>39750</v>
      </c>
      <c r="AA101" s="230" t="e">
        <f aca="false">IF(AND(A101&gt;=Front!$E$11,A101&lt;=Front!$E$12),A101,"")</f>
        <v>#VALUE!</v>
      </c>
      <c r="AB101" s="231" t="e">
        <f aca="false">IF(AA101="","",VLOOKUP(MONTH(A100),Front!$W$6:$X$17,2)*IF(Front!D$9=0,Swap!Y101,1))</f>
        <v>#VALUE!</v>
      </c>
      <c r="AC101" s="274" t="e">
        <f aca="false">IF(AA101="","",AB101*AH101)</f>
        <v>#VALUE!</v>
      </c>
      <c r="AD101" s="233"/>
      <c r="AE101" s="231" t="e">
        <f aca="false">IF(AA101="","",AD101*AH101)</f>
        <v>#VALUE!</v>
      </c>
      <c r="AF101" s="243" t="n">
        <f aca="false">INDEX(IRTable,MATCH(A101,IRMonth,0),4)</f>
        <v>0.0524289152072126</v>
      </c>
      <c r="AG101" s="243" t="n">
        <f aca="false">AF101+$AG$9</f>
        <v>0.0524289152072126</v>
      </c>
      <c r="AH101" s="195" t="n">
        <f aca="false">1/((1+AG101/2)^(2*((A101-Front!$C$2)/365.25)))</f>
        <v>2.34732727084461</v>
      </c>
      <c r="AI101" s="236" t="e">
        <f aca="false">IF($AA101="","",E101*AC101)</f>
        <v>#VALUE!</v>
      </c>
      <c r="AJ101" s="236" t="e">
        <f aca="false">IF($AA101="","",E101*AE101)</f>
        <v>#VALUE!</v>
      </c>
      <c r="AK101" s="237" t="e">
        <f aca="false">IF($AA101="","",C101*AC101)</f>
        <v>#VALUE!</v>
      </c>
      <c r="AL101" s="160" t="n">
        <f aca="false">(AO101/10000)/30.5</f>
        <v>0</v>
      </c>
      <c r="AM101" s="238" t="n">
        <f aca="false">AD101/10000</f>
        <v>0</v>
      </c>
      <c r="AN101" s="238" t="n">
        <f aca="false">AD101*DAY(EOMONTH(A101,0))/10000</f>
        <v>0</v>
      </c>
      <c r="AO101" s="238"/>
      <c r="AP101" s="238"/>
      <c r="AQ101" s="238"/>
      <c r="AR101" s="239"/>
      <c r="AS101" s="238"/>
      <c r="AT101" s="240"/>
      <c r="AU101" s="12"/>
      <c r="AV101" s="240"/>
      <c r="AW101" s="240"/>
      <c r="AX101" s="238"/>
      <c r="AY101" s="238"/>
      <c r="AZ101" s="233"/>
      <c r="BA101" s="241"/>
      <c r="BB101" s="242"/>
      <c r="BC101" s="243" t="n">
        <v>3.5485</v>
      </c>
      <c r="BD101" s="195" t="n">
        <f aca="false">BC101-E101</f>
        <v>-0.00350000000000028</v>
      </c>
      <c r="BE101" s="251" t="n">
        <v>1.29239079</v>
      </c>
      <c r="BF101" s="245" t="n">
        <f aca="false">(BE101)*(D101*10)</f>
        <v>45.2336776500036</v>
      </c>
      <c r="BG101" s="121" t="n">
        <v>-434.93615937</v>
      </c>
      <c r="BH101" s="121" t="n">
        <v>0</v>
      </c>
      <c r="BI101" s="247"/>
      <c r="BJ101" s="121"/>
      <c r="BK101" s="121"/>
      <c r="BL101" s="121"/>
      <c r="BM101" s="121"/>
      <c r="BN101" s="121"/>
      <c r="BO101" s="121"/>
      <c r="BP101" s="275" t="n">
        <v>39904</v>
      </c>
      <c r="BQ101" s="143" t="n">
        <v>3.456</v>
      </c>
      <c r="BR101" s="143" t="n">
        <v>0.195</v>
      </c>
      <c r="BS101" s="143" t="n">
        <v>0.0524289152072126</v>
      </c>
      <c r="BT101" s="121"/>
    </row>
    <row r="102" customFormat="false" ht="15" hidden="false" customHeight="false" outlineLevel="0" collapsed="false">
      <c r="A102" s="156" t="n">
        <f aca="false">EOMONTH(A101,0)+1</f>
        <v>39934</v>
      </c>
      <c r="B102" s="215"/>
      <c r="C102" s="281" t="n">
        <v>3.5485</v>
      </c>
      <c r="D102" s="282" t="n">
        <f aca="false">(E102-C102)*1000</f>
        <v>3.50000000000028</v>
      </c>
      <c r="E102" s="283" t="n">
        <f aca="false">VLOOKUP(YEAR(A102),Yr_Sprds,2)+E90</f>
        <v>3.552</v>
      </c>
      <c r="F102" s="287"/>
      <c r="G102" s="288"/>
      <c r="H102" s="287"/>
      <c r="I102" s="287"/>
      <c r="J102" s="279" t="n">
        <f aca="false">BD102</f>
        <v>-0.00350000000000028</v>
      </c>
      <c r="K102" s="278"/>
      <c r="L102" s="291"/>
      <c r="M102" s="112"/>
      <c r="N102" s="278"/>
      <c r="O102" s="278"/>
      <c r="P102" s="278"/>
      <c r="Q102" s="167"/>
      <c r="R102" s="167"/>
      <c r="S102" s="167"/>
      <c r="T102" s="167"/>
      <c r="U102" s="167"/>
      <c r="V102" s="167"/>
      <c r="W102" s="167"/>
      <c r="X102" s="167"/>
      <c r="Y102" s="228" t="n">
        <f aca="false">DAY(EOMONTH(A102,0))</f>
        <v>31</v>
      </c>
      <c r="Z102" s="268" t="n">
        <v>39777</v>
      </c>
      <c r="AA102" s="230" t="e">
        <f aca="false">IF(AND(A102&gt;=Front!$E$11,A102&lt;=Front!$E$12),A102,"")</f>
        <v>#VALUE!</v>
      </c>
      <c r="AB102" s="231" t="e">
        <f aca="false">IF(AA102="","",VLOOKUP(MONTH(A101),Front!$W$6:$X$17,2)*IF(Front!D$9=0,Swap!Y102,1))</f>
        <v>#VALUE!</v>
      </c>
      <c r="AC102" s="274" t="e">
        <f aca="false">IF(AA102="","",AB102*AH102)</f>
        <v>#VALUE!</v>
      </c>
      <c r="AD102" s="233"/>
      <c r="AE102" s="231" t="e">
        <f aca="false">IF(AA102="","",AD102*AH102)</f>
        <v>#VALUE!</v>
      </c>
      <c r="AF102" s="243" t="n">
        <f aca="false">INDEX(IRTable,MATCH(A102,IRMonth,0),4)</f>
        <v>0.0525416835803108</v>
      </c>
      <c r="AG102" s="243" t="n">
        <f aca="false">AF102+$AG$9</f>
        <v>0.0525416835803108</v>
      </c>
      <c r="AH102" s="195" t="n">
        <f aca="false">1/((1+AG102/2)^(2*((A102-Front!$C$2)/365.25)))</f>
        <v>2.34158776115452</v>
      </c>
      <c r="AI102" s="236" t="e">
        <f aca="false">IF($AA102="","",E102*AC102)</f>
        <v>#VALUE!</v>
      </c>
      <c r="AJ102" s="236" t="e">
        <f aca="false">IF($AA102="","",E102*AE102)</f>
        <v>#VALUE!</v>
      </c>
      <c r="AK102" s="237" t="e">
        <f aca="false">IF($AA102="","",C102*AC102)</f>
        <v>#VALUE!</v>
      </c>
      <c r="AL102" s="160" t="n">
        <f aca="false">(AO102/10000)/30.5</f>
        <v>0</v>
      </c>
      <c r="AM102" s="238" t="n">
        <f aca="false">AD102/10000</f>
        <v>0</v>
      </c>
      <c r="AN102" s="238" t="n">
        <f aca="false">AD102*DAY(EOMONTH(A102,0))/10000</f>
        <v>0</v>
      </c>
      <c r="AO102" s="238"/>
      <c r="AP102" s="238"/>
      <c r="AQ102" s="238"/>
      <c r="AR102" s="239"/>
      <c r="AS102" s="238"/>
      <c r="AT102" s="240"/>
      <c r="AU102" s="12"/>
      <c r="AV102" s="240"/>
      <c r="AW102" s="240"/>
      <c r="AX102" s="238"/>
      <c r="AY102" s="238"/>
      <c r="AZ102" s="233"/>
      <c r="BA102" s="241"/>
      <c r="BB102" s="242"/>
      <c r="BC102" s="243" t="n">
        <v>3.5485</v>
      </c>
      <c r="BD102" s="195" t="n">
        <f aca="false">BC102-E102</f>
        <v>-0.00350000000000028</v>
      </c>
      <c r="BE102" s="251" t="n">
        <v>1.32871581</v>
      </c>
      <c r="BF102" s="245" t="n">
        <f aca="false">(BE102)*(D102*10)</f>
        <v>46.5050533500037</v>
      </c>
      <c r="BG102" s="121" t="n">
        <v>-450.33800523</v>
      </c>
      <c r="BH102" s="121" t="n">
        <v>0</v>
      </c>
      <c r="BI102" s="247"/>
      <c r="BJ102" s="121"/>
      <c r="BK102" s="121"/>
      <c r="BL102" s="121"/>
      <c r="BM102" s="121"/>
      <c r="BN102" s="121"/>
      <c r="BO102" s="121"/>
      <c r="BP102" s="275" t="n">
        <v>39934</v>
      </c>
      <c r="BQ102" s="143" t="n">
        <v>3.456</v>
      </c>
      <c r="BR102" s="143" t="n">
        <v>0.195</v>
      </c>
      <c r="BS102" s="143" t="n">
        <v>0.0525416835803108</v>
      </c>
      <c r="BT102" s="121"/>
    </row>
    <row r="103" customFormat="false" ht="15" hidden="false" customHeight="false" outlineLevel="0" collapsed="false">
      <c r="A103" s="156" t="n">
        <f aca="false">EOMONTH(A102,0)+1</f>
        <v>39965</v>
      </c>
      <c r="B103" s="215"/>
      <c r="C103" s="281" t="n">
        <v>3.5805</v>
      </c>
      <c r="D103" s="282" t="n">
        <f aca="false">(E103-C103)*1000</f>
        <v>3.50000000000028</v>
      </c>
      <c r="E103" s="283" t="n">
        <f aca="false">VLOOKUP(YEAR(A103),Yr_Sprds,2)+E91</f>
        <v>3.584</v>
      </c>
      <c r="F103" s="287"/>
      <c r="G103" s="288"/>
      <c r="H103" s="287"/>
      <c r="I103" s="287"/>
      <c r="J103" s="279" t="n">
        <f aca="false">BD103</f>
        <v>-0.00350000000000028</v>
      </c>
      <c r="K103" s="278"/>
      <c r="L103" s="291"/>
      <c r="M103" s="112"/>
      <c r="N103" s="278"/>
      <c r="O103" s="278"/>
      <c r="P103" s="278"/>
      <c r="Q103" s="167"/>
      <c r="R103" s="167"/>
      <c r="S103" s="167"/>
      <c r="T103" s="167"/>
      <c r="U103" s="167"/>
      <c r="V103" s="167"/>
      <c r="W103" s="167"/>
      <c r="X103" s="167"/>
      <c r="Y103" s="228" t="n">
        <f aca="false">DAY(EOMONTH(A103,0))</f>
        <v>30</v>
      </c>
      <c r="Z103" s="268" t="n">
        <v>39811</v>
      </c>
      <c r="AA103" s="230" t="e">
        <f aca="false">IF(AND(A103&gt;=Front!$E$11,A103&lt;=Front!$E$12),A103,"")</f>
        <v>#VALUE!</v>
      </c>
      <c r="AB103" s="231" t="e">
        <f aca="false">IF(AA103="","",VLOOKUP(MONTH(A102),Front!$W$6:$X$17,2)*IF(Front!D$9=0,Swap!Y103,1))</f>
        <v>#VALUE!</v>
      </c>
      <c r="AC103" s="274" t="e">
        <f aca="false">IF(AA103="","",AB103*AH103)</f>
        <v>#VALUE!</v>
      </c>
      <c r="AD103" s="233"/>
      <c r="AE103" s="231" t="e">
        <f aca="false">IF(AA103="","",AD103*AH103)</f>
        <v>#VALUE!</v>
      </c>
      <c r="AF103" s="243" t="n">
        <f aca="false">INDEX(IRTable,MATCH(A103,IRMonth,0),4)</f>
        <v>0.0526582109036342</v>
      </c>
      <c r="AG103" s="243" t="n">
        <f aca="false">AF103+$AG$9</f>
        <v>0.0526582109036342</v>
      </c>
      <c r="AH103" s="195" t="n">
        <f aca="false">1/((1+AG103/2)^(2*((A103-Front!$C$2)/365.25)))</f>
        <v>2.33562714382713</v>
      </c>
      <c r="AI103" s="236" t="e">
        <f aca="false">IF($AA103="","",E103*AC103)</f>
        <v>#VALUE!</v>
      </c>
      <c r="AJ103" s="236" t="e">
        <f aca="false">IF($AA103="","",E103*AE103)</f>
        <v>#VALUE!</v>
      </c>
      <c r="AK103" s="237" t="e">
        <f aca="false">IF($AA103="","",C103*AC103)</f>
        <v>#VALUE!</v>
      </c>
      <c r="AL103" s="160" t="n">
        <f aca="false">(AO103/10000)/30.5</f>
        <v>0</v>
      </c>
      <c r="AM103" s="238" t="n">
        <f aca="false">AD103/10000</f>
        <v>0</v>
      </c>
      <c r="AN103" s="238" t="n">
        <f aca="false">AD103*DAY(EOMONTH(A103,0))/10000</f>
        <v>0</v>
      </c>
      <c r="AO103" s="238"/>
      <c r="AP103" s="238"/>
      <c r="AQ103" s="238"/>
      <c r="AR103" s="239"/>
      <c r="AS103" s="238"/>
      <c r="AT103" s="240"/>
      <c r="AU103" s="12"/>
      <c r="AV103" s="240"/>
      <c r="AW103" s="240"/>
      <c r="AX103" s="238"/>
      <c r="AY103" s="238"/>
      <c r="AZ103" s="233"/>
      <c r="BA103" s="241"/>
      <c r="BB103" s="242"/>
      <c r="BC103" s="243" t="n">
        <v>3.5805</v>
      </c>
      <c r="BD103" s="195" t="n">
        <f aca="false">BC103-E103</f>
        <v>-0.00350000000000028</v>
      </c>
      <c r="BE103" s="251" t="n">
        <v>1.27907028</v>
      </c>
      <c r="BF103" s="245" t="n">
        <f aca="false">(BE103)*(D103*10)</f>
        <v>44.7674598000036</v>
      </c>
      <c r="BG103" s="121" t="n">
        <v>-432.32416033</v>
      </c>
      <c r="BH103" s="121" t="n">
        <v>0</v>
      </c>
      <c r="BI103" s="247"/>
      <c r="BJ103" s="121"/>
      <c r="BK103" s="121"/>
      <c r="BL103" s="121"/>
      <c r="BM103" s="121"/>
      <c r="BN103" s="121"/>
      <c r="BO103" s="121"/>
      <c r="BP103" s="275" t="n">
        <v>39965</v>
      </c>
      <c r="BQ103" s="143" t="n">
        <v>3.488</v>
      </c>
      <c r="BR103" s="143" t="n">
        <v>0.195</v>
      </c>
      <c r="BS103" s="143" t="n">
        <v>0.0526582109036342</v>
      </c>
      <c r="BT103" s="121"/>
    </row>
    <row r="104" customFormat="false" ht="15" hidden="false" customHeight="false" outlineLevel="0" collapsed="false">
      <c r="A104" s="156" t="n">
        <f aca="false">EOMONTH(A103,0)+1</f>
        <v>39995</v>
      </c>
      <c r="B104" s="215"/>
      <c r="C104" s="281" t="n">
        <v>3.6305</v>
      </c>
      <c r="D104" s="282" t="n">
        <f aca="false">(E104-C104)*1000</f>
        <v>3.50000000000028</v>
      </c>
      <c r="E104" s="283" t="n">
        <f aca="false">VLOOKUP(YEAR(A104),Yr_Sprds,2)+E92</f>
        <v>3.634</v>
      </c>
      <c r="F104" s="287"/>
      <c r="G104" s="288"/>
      <c r="H104" s="287"/>
      <c r="I104" s="287"/>
      <c r="J104" s="279" t="n">
        <f aca="false">BD104</f>
        <v>-0.00350000000000028</v>
      </c>
      <c r="K104" s="278"/>
      <c r="L104" s="291"/>
      <c r="M104" s="112"/>
      <c r="N104" s="278"/>
      <c r="O104" s="278"/>
      <c r="P104" s="278"/>
      <c r="Q104" s="167"/>
      <c r="R104" s="167"/>
      <c r="S104" s="167"/>
      <c r="T104" s="167"/>
      <c r="U104" s="167"/>
      <c r="V104" s="167"/>
      <c r="W104" s="167"/>
      <c r="X104" s="167"/>
      <c r="Y104" s="228" t="n">
        <f aca="false">DAY(EOMONTH(A104,0))</f>
        <v>31</v>
      </c>
      <c r="Z104" s="268" t="n">
        <v>39841</v>
      </c>
      <c r="AA104" s="230" t="e">
        <f aca="false">IF(AND(A104&gt;=Front!$E$11,A104&lt;=Front!$E$12),A104,"")</f>
        <v>#VALUE!</v>
      </c>
      <c r="AB104" s="231" t="e">
        <f aca="false">IF(AA104="","",VLOOKUP(MONTH(A103),Front!$W$6:$X$17,2)*IF(Front!D$9=0,Swap!Y104,1))</f>
        <v>#VALUE!</v>
      </c>
      <c r="AC104" s="274" t="e">
        <f aca="false">IF(AA104="","",AB104*AH104)</f>
        <v>#VALUE!</v>
      </c>
      <c r="AD104" s="233"/>
      <c r="AE104" s="231" t="e">
        <f aca="false">IF(AA104="","",AD104*AH104)</f>
        <v>#VALUE!</v>
      </c>
      <c r="AF104" s="243" t="n">
        <f aca="false">INDEX(IRTable,MATCH(A104,IRMonth,0),4)</f>
        <v>0.0527709792853544</v>
      </c>
      <c r="AG104" s="243" t="n">
        <f aca="false">AF104+$AG$9</f>
        <v>0.0527709792853544</v>
      </c>
      <c r="AH104" s="195" t="n">
        <f aca="false">1/((1+AG104/2)^(2*((A104-Front!$C$2)/365.25)))</f>
        <v>2.3298302651839</v>
      </c>
      <c r="AI104" s="236" t="e">
        <f aca="false">IF($AA104="","",E104*AC104)</f>
        <v>#VALUE!</v>
      </c>
      <c r="AJ104" s="236" t="e">
        <f aca="false">IF($AA104="","",E104*AE104)</f>
        <v>#VALUE!</v>
      </c>
      <c r="AK104" s="237" t="e">
        <f aca="false">IF($AA104="","",C104*AC104)</f>
        <v>#VALUE!</v>
      </c>
      <c r="AL104" s="160" t="n">
        <f aca="false">(AO104/10000)/30.5</f>
        <v>0</v>
      </c>
      <c r="AM104" s="238" t="n">
        <f aca="false">AD104/10000</f>
        <v>0</v>
      </c>
      <c r="AN104" s="238" t="n">
        <f aca="false">AD104*DAY(EOMONTH(A104,0))/10000</f>
        <v>0</v>
      </c>
      <c r="AO104" s="238"/>
      <c r="AP104" s="238"/>
      <c r="AQ104" s="238"/>
      <c r="AR104" s="239"/>
      <c r="AS104" s="238"/>
      <c r="AT104" s="240"/>
      <c r="AU104" s="12"/>
      <c r="AV104" s="240"/>
      <c r="AW104" s="240"/>
      <c r="AX104" s="238"/>
      <c r="AY104" s="238"/>
      <c r="AZ104" s="233"/>
      <c r="BA104" s="241"/>
      <c r="BB104" s="242"/>
      <c r="BC104" s="243" t="n">
        <v>3.6305</v>
      </c>
      <c r="BD104" s="195" t="n">
        <f aca="false">BC104-E104</f>
        <v>-0.00350000000000028</v>
      </c>
      <c r="BE104" s="251" t="n">
        <v>0</v>
      </c>
      <c r="BF104" s="245" t="n">
        <f aca="false">(BE104)*(D104*10)</f>
        <v>0</v>
      </c>
      <c r="BG104" s="121" t="n">
        <v>-1079.39610132</v>
      </c>
      <c r="BH104" s="121" t="n">
        <v>0</v>
      </c>
      <c r="BI104" s="247"/>
      <c r="BJ104" s="121"/>
      <c r="BK104" s="121"/>
      <c r="BL104" s="121"/>
      <c r="BM104" s="121"/>
      <c r="BN104" s="121"/>
      <c r="BO104" s="121"/>
      <c r="BP104" s="275" t="n">
        <v>39995</v>
      </c>
      <c r="BQ104" s="143" t="n">
        <v>3.538</v>
      </c>
      <c r="BR104" s="143" t="n">
        <v>0.195</v>
      </c>
      <c r="BS104" s="143" t="n">
        <v>0.0527709792853544</v>
      </c>
      <c r="BT104" s="121"/>
    </row>
    <row r="105" customFormat="false" ht="15" hidden="false" customHeight="false" outlineLevel="0" collapsed="false">
      <c r="A105" s="156" t="n">
        <f aca="false">EOMONTH(A104,0)+1</f>
        <v>40026</v>
      </c>
      <c r="B105" s="215"/>
      <c r="C105" s="281" t="n">
        <v>3.6645</v>
      </c>
      <c r="D105" s="282" t="n">
        <f aca="false">(E105-C105)*1000</f>
        <v>3.50000000000028</v>
      </c>
      <c r="E105" s="283" t="n">
        <f aca="false">VLOOKUP(YEAR(A105),Yr_Sprds,2)+E93</f>
        <v>3.668</v>
      </c>
      <c r="F105" s="287"/>
      <c r="G105" s="288"/>
      <c r="H105" s="287"/>
      <c r="I105" s="287"/>
      <c r="J105" s="279" t="n">
        <f aca="false">BD105</f>
        <v>-0.00350000000000028</v>
      </c>
      <c r="K105" s="278"/>
      <c r="L105" s="291"/>
      <c r="M105" s="112"/>
      <c r="N105" s="278"/>
      <c r="O105" s="278"/>
      <c r="P105" s="278"/>
      <c r="Q105" s="167"/>
      <c r="R105" s="167"/>
      <c r="S105" s="167"/>
      <c r="T105" s="167"/>
      <c r="U105" s="167"/>
      <c r="V105" s="167"/>
      <c r="W105" s="167"/>
      <c r="X105" s="167"/>
      <c r="Y105" s="228" t="n">
        <f aca="false">DAY(EOMONTH(A105,0))</f>
        <v>31</v>
      </c>
      <c r="Z105" s="268" t="n">
        <v>39869</v>
      </c>
      <c r="AA105" s="230" t="e">
        <f aca="false">IF(AND(A105&gt;=Front!$E$11,A105&lt;=Front!$E$12),A105,"")</f>
        <v>#VALUE!</v>
      </c>
      <c r="AB105" s="231" t="e">
        <f aca="false">IF(AA105="","",VLOOKUP(MONTH(A104),Front!$W$6:$X$17,2)*IF(Front!D$9=0,Swap!Y105,1))</f>
        <v>#VALUE!</v>
      </c>
      <c r="AC105" s="274" t="e">
        <f aca="false">IF(AA105="","",AB105*AH105)</f>
        <v>#VALUE!</v>
      </c>
      <c r="AD105" s="233"/>
      <c r="AE105" s="231" t="e">
        <f aca="false">IF(AA105="","",AD105*AH105)</f>
        <v>#VALUE!</v>
      </c>
      <c r="AF105" s="243" t="n">
        <f aca="false">INDEX(IRTable,MATCH(A105,IRMonth,0),4)</f>
        <v>0.0528875066175867</v>
      </c>
      <c r="AG105" s="243" t="n">
        <f aca="false">AF105+$AG$9</f>
        <v>0.0528875066175867</v>
      </c>
      <c r="AH105" s="195" t="n">
        <f aca="false">1/((1+AG105/2)^(2*((A105-Front!$C$2)/365.25)))</f>
        <v>2.3238109708645</v>
      </c>
      <c r="AI105" s="236" t="e">
        <f aca="false">IF($AA105="","",E105*AC105)</f>
        <v>#VALUE!</v>
      </c>
      <c r="AJ105" s="236" t="e">
        <f aca="false">IF($AA105="","",E105*AE105)</f>
        <v>#VALUE!</v>
      </c>
      <c r="AK105" s="237" t="e">
        <f aca="false">IF($AA105="","",C105*AC105)</f>
        <v>#VALUE!</v>
      </c>
      <c r="AL105" s="160" t="n">
        <f aca="false">(AO105/10000)/30.5</f>
        <v>0</v>
      </c>
      <c r="AM105" s="238" t="n">
        <f aca="false">AD105/10000</f>
        <v>0</v>
      </c>
      <c r="AN105" s="238" t="n">
        <f aca="false">AD105*DAY(EOMONTH(A105,0))/10000</f>
        <v>0</v>
      </c>
      <c r="AO105" s="238"/>
      <c r="AP105" s="238"/>
      <c r="AQ105" s="238"/>
      <c r="AR105" s="239"/>
      <c r="AS105" s="238"/>
      <c r="AT105" s="240"/>
      <c r="AU105" s="12"/>
      <c r="AV105" s="240"/>
      <c r="AW105" s="240"/>
      <c r="AX105" s="238"/>
      <c r="AY105" s="238"/>
      <c r="AZ105" s="238"/>
      <c r="BA105" s="241"/>
      <c r="BB105" s="242"/>
      <c r="BC105" s="243" t="n">
        <v>3.6645</v>
      </c>
      <c r="BD105" s="195" t="n">
        <f aca="false">BC105-E105</f>
        <v>-0.00350000000000028</v>
      </c>
      <c r="BE105" s="251" t="n">
        <v>0</v>
      </c>
      <c r="BF105" s="245" t="n">
        <f aca="false">(BE105)*(D105*10)</f>
        <v>0</v>
      </c>
      <c r="BG105" s="121" t="n">
        <v>689.80643576</v>
      </c>
      <c r="BH105" s="121" t="n">
        <v>0</v>
      </c>
      <c r="BI105" s="247"/>
      <c r="BJ105" s="121"/>
      <c r="BK105" s="121"/>
      <c r="BL105" s="121"/>
      <c r="BM105" s="121"/>
      <c r="BN105" s="121"/>
      <c r="BO105" s="121"/>
      <c r="BP105" s="275" t="n">
        <v>40026</v>
      </c>
      <c r="BQ105" s="143" t="n">
        <v>3.572</v>
      </c>
      <c r="BR105" s="143" t="n">
        <v>0.195</v>
      </c>
      <c r="BS105" s="143" t="n">
        <v>0.0528875066175867</v>
      </c>
      <c r="BT105" s="121"/>
    </row>
    <row r="106" customFormat="false" ht="15" hidden="false" customHeight="false" outlineLevel="0" collapsed="false">
      <c r="A106" s="156" t="n">
        <f aca="false">EOMONTH(A105,0)+1</f>
        <v>40057</v>
      </c>
      <c r="B106" s="215"/>
      <c r="C106" s="281" t="n">
        <v>3.6775</v>
      </c>
      <c r="D106" s="282" t="n">
        <f aca="false">(E106-C106)*1000</f>
        <v>3.49999999999984</v>
      </c>
      <c r="E106" s="283" t="n">
        <f aca="false">VLOOKUP(YEAR(A106),Yr_Sprds,2)+E94</f>
        <v>3.681</v>
      </c>
      <c r="F106" s="287"/>
      <c r="G106" s="288"/>
      <c r="H106" s="287"/>
      <c r="I106" s="287"/>
      <c r="J106" s="279" t="n">
        <f aca="false">BD106</f>
        <v>-0.00349999999999984</v>
      </c>
      <c r="K106" s="278"/>
      <c r="L106" s="291"/>
      <c r="M106" s="112"/>
      <c r="N106" s="278"/>
      <c r="O106" s="278"/>
      <c r="P106" s="278"/>
      <c r="Q106" s="167"/>
      <c r="R106" s="167"/>
      <c r="S106" s="167"/>
      <c r="T106" s="167"/>
      <c r="U106" s="167"/>
      <c r="V106" s="167"/>
      <c r="W106" s="167"/>
      <c r="X106" s="167"/>
      <c r="Y106" s="228" t="n">
        <f aca="false">DAY(EOMONTH(A106,0))</f>
        <v>30</v>
      </c>
      <c r="Z106" s="268" t="n">
        <v>39899</v>
      </c>
      <c r="AA106" s="230" t="e">
        <f aca="false">IF(AND(A106&gt;=Front!$E$11,A106&lt;=Front!$E$12),A106,"")</f>
        <v>#VALUE!</v>
      </c>
      <c r="AB106" s="231" t="e">
        <f aca="false">IF(AA106="","",VLOOKUP(MONTH(A105),Front!$W$6:$X$17,2)*IF(Front!D$9=0,Swap!Y106,1))</f>
        <v>#VALUE!</v>
      </c>
      <c r="AC106" s="274" t="e">
        <f aca="false">IF(AA106="","",AB106*AH106)</f>
        <v>#VALUE!</v>
      </c>
      <c r="AD106" s="233"/>
      <c r="AE106" s="231" t="e">
        <f aca="false">IF(AA106="","",AD106*AH106)</f>
        <v>#VALUE!</v>
      </c>
      <c r="AF106" s="243" t="n">
        <f aca="false">INDEX(IRTable,MATCH(A106,IRMonth,0),4)</f>
        <v>0.0530040339543469</v>
      </c>
      <c r="AG106" s="243" t="n">
        <f aca="false">AF106+$AG$9</f>
        <v>0.0530040339543469</v>
      </c>
      <c r="AH106" s="195" t="n">
        <f aca="false">1/((1+AG106/2)^(2*((A106-Front!$C$2)/365.25)))</f>
        <v>2.31776232176527</v>
      </c>
      <c r="AI106" s="236" t="e">
        <f aca="false">IF($AA106="","",E106*AC106)</f>
        <v>#VALUE!</v>
      </c>
      <c r="AJ106" s="236" t="e">
        <f aca="false">IF($AA106="","",E106*AE106)</f>
        <v>#VALUE!</v>
      </c>
      <c r="AK106" s="237" t="e">
        <f aca="false">IF($AA106="","",C106*AC106)</f>
        <v>#VALUE!</v>
      </c>
      <c r="AL106" s="160" t="n">
        <f aca="false">(AO106/10000)/30.5</f>
        <v>0</v>
      </c>
      <c r="AM106" s="238" t="n">
        <f aca="false">AD106/10000</f>
        <v>0</v>
      </c>
      <c r="AN106" s="238" t="n">
        <f aca="false">AD106*DAY(EOMONTH(A106,0))/10000</f>
        <v>0</v>
      </c>
      <c r="AO106" s="238"/>
      <c r="AP106" s="238"/>
      <c r="AQ106" s="238"/>
      <c r="AR106" s="239"/>
      <c r="AS106" s="238"/>
      <c r="AT106" s="240"/>
      <c r="AU106" s="12"/>
      <c r="AV106" s="240"/>
      <c r="AW106" s="240"/>
      <c r="AX106" s="238"/>
      <c r="AY106" s="238"/>
      <c r="AZ106" s="238"/>
      <c r="BA106" s="241"/>
      <c r="BB106" s="242"/>
      <c r="BC106" s="243" t="n">
        <v>3.6775</v>
      </c>
      <c r="BD106" s="195" t="n">
        <f aca="false">BC106-E106</f>
        <v>-0.00349999999999984</v>
      </c>
      <c r="BE106" s="251" t="n">
        <v>0</v>
      </c>
      <c r="BF106" s="245" t="n">
        <f aca="false">(BE106)*(D106*10)</f>
        <v>0</v>
      </c>
      <c r="BG106" s="121" t="n">
        <v>62.53883758</v>
      </c>
      <c r="BH106" s="121" t="n">
        <v>0</v>
      </c>
      <c r="BI106" s="247"/>
      <c r="BJ106" s="121"/>
      <c r="BK106" s="121"/>
      <c r="BL106" s="121"/>
      <c r="BM106" s="121"/>
      <c r="BN106" s="121"/>
      <c r="BO106" s="121"/>
      <c r="BP106" s="275" t="n">
        <v>40057</v>
      </c>
      <c r="BQ106" s="143" t="n">
        <v>3.585</v>
      </c>
      <c r="BR106" s="143" t="n">
        <v>0.195</v>
      </c>
      <c r="BS106" s="143" t="n">
        <v>0.0530040339543469</v>
      </c>
      <c r="BT106" s="121"/>
    </row>
    <row r="107" customFormat="false" ht="15" hidden="false" customHeight="false" outlineLevel="0" collapsed="false">
      <c r="A107" s="156" t="n">
        <f aca="false">EOMONTH(A106,0)+1</f>
        <v>40087</v>
      </c>
      <c r="B107" s="215"/>
      <c r="C107" s="281" t="n">
        <v>3.6695</v>
      </c>
      <c r="D107" s="282" t="n">
        <f aca="false">(E107-C107)*1000</f>
        <v>3.50000000000028</v>
      </c>
      <c r="E107" s="283" t="n">
        <f aca="false">VLOOKUP(YEAR(A107),Yr_Sprds,2)+E95</f>
        <v>3.673</v>
      </c>
      <c r="F107" s="287"/>
      <c r="G107" s="288"/>
      <c r="H107" s="287"/>
      <c r="I107" s="287"/>
      <c r="J107" s="279" t="n">
        <f aca="false">BD107</f>
        <v>-0.00350000000000028</v>
      </c>
      <c r="K107" s="278"/>
      <c r="L107" s="291"/>
      <c r="M107" s="112"/>
      <c r="N107" s="278"/>
      <c r="O107" s="278"/>
      <c r="P107" s="278"/>
      <c r="Q107" s="167"/>
      <c r="R107" s="167"/>
      <c r="S107" s="167"/>
      <c r="T107" s="167"/>
      <c r="U107" s="167"/>
      <c r="V107" s="167"/>
      <c r="W107" s="167"/>
      <c r="X107" s="167"/>
      <c r="Y107" s="228" t="n">
        <f aca="false">DAY(EOMONTH(A107,0))</f>
        <v>31</v>
      </c>
      <c r="Z107" s="268" t="n">
        <v>39931</v>
      </c>
      <c r="AA107" s="230" t="e">
        <f aca="false">IF(AND(A107&gt;=Front!$E$11,A107&lt;=Front!$E$12),A107,"")</f>
        <v>#VALUE!</v>
      </c>
      <c r="AB107" s="231" t="e">
        <f aca="false">IF(AA107="","",VLOOKUP(MONTH(A106),Front!$W$6:$X$17,2)*IF(Front!D$9=0,Swap!Y107,1))</f>
        <v>#VALUE!</v>
      </c>
      <c r="AC107" s="274" t="e">
        <f aca="false">IF(AA107="","",AB107*AH107)</f>
        <v>#VALUE!</v>
      </c>
      <c r="AD107" s="233"/>
      <c r="AE107" s="231" t="e">
        <f aca="false">IF(AA107="","",AD107*AH107)</f>
        <v>#VALUE!</v>
      </c>
      <c r="AF107" s="243" t="n">
        <f aca="false">INDEX(IRTable,MATCH(A107,IRMonth,0),4)</f>
        <v>0.0531168023490696</v>
      </c>
      <c r="AG107" s="243" t="n">
        <f aca="false">AF107+$AG$9</f>
        <v>0.0531168023490696</v>
      </c>
      <c r="AH107" s="195" t="n">
        <f aca="false">1/((1+AG107/2)^(2*((A107-Front!$C$2)/365.25)))</f>
        <v>2.31188113674757</v>
      </c>
      <c r="AI107" s="236" t="e">
        <f aca="false">IF($AA107="","",E107*AC107)</f>
        <v>#VALUE!</v>
      </c>
      <c r="AJ107" s="236" t="e">
        <f aca="false">IF($AA107="","",E107*AE107)</f>
        <v>#VALUE!</v>
      </c>
      <c r="AK107" s="237" t="e">
        <f aca="false">IF($AA107="","",C107*AC107)</f>
        <v>#VALUE!</v>
      </c>
      <c r="AL107" s="160" t="n">
        <f aca="false">(AO107/10000)/30.5</f>
        <v>0</v>
      </c>
      <c r="AM107" s="238" t="n">
        <f aca="false">AD107/10000</f>
        <v>0</v>
      </c>
      <c r="AN107" s="238" t="n">
        <f aca="false">AD107*DAY(EOMONTH(A107,0))/10000</f>
        <v>0</v>
      </c>
      <c r="AO107" s="238"/>
      <c r="AP107" s="238"/>
      <c r="AQ107" s="238"/>
      <c r="AR107" s="239"/>
      <c r="AS107" s="238"/>
      <c r="AT107" s="240"/>
      <c r="AU107" s="12"/>
      <c r="AV107" s="240"/>
      <c r="AW107" s="240"/>
      <c r="AX107" s="238"/>
      <c r="AY107" s="238"/>
      <c r="AZ107" s="238"/>
      <c r="BA107" s="241"/>
      <c r="BB107" s="242"/>
      <c r="BC107" s="243" t="n">
        <v>3.6695</v>
      </c>
      <c r="BD107" s="195" t="n">
        <f aca="false">BC107-E107</f>
        <v>-0.00350000000000028</v>
      </c>
      <c r="BE107" s="251" t="n">
        <v>0</v>
      </c>
      <c r="BF107" s="245" t="n">
        <f aca="false">(BE107)*(D107*10)</f>
        <v>0</v>
      </c>
      <c r="BG107" s="121" t="n">
        <v>62.81948036</v>
      </c>
      <c r="BH107" s="121" t="n">
        <v>0</v>
      </c>
      <c r="BI107" s="247"/>
      <c r="BJ107" s="121"/>
      <c r="BK107" s="121"/>
      <c r="BL107" s="121"/>
      <c r="BM107" s="121"/>
      <c r="BN107" s="121"/>
      <c r="BO107" s="121"/>
      <c r="BP107" s="275" t="n">
        <v>40087</v>
      </c>
      <c r="BQ107" s="143" t="n">
        <v>3.607</v>
      </c>
      <c r="BR107" s="143" t="n">
        <v>0.195</v>
      </c>
      <c r="BS107" s="143" t="n">
        <v>0.0531168023490696</v>
      </c>
      <c r="BT107" s="121"/>
    </row>
    <row r="108" customFormat="false" ht="15" hidden="false" customHeight="false" outlineLevel="0" collapsed="false">
      <c r="A108" s="156" t="n">
        <f aca="false">EOMONTH(A107,0)+1</f>
        <v>40118</v>
      </c>
      <c r="B108" s="215"/>
      <c r="C108" s="281" t="n">
        <v>3.8395</v>
      </c>
      <c r="D108" s="282" t="n">
        <f aca="false">(E108-C108)*1000</f>
        <v>3.50000000000028</v>
      </c>
      <c r="E108" s="283" t="n">
        <f aca="false">VLOOKUP(YEAR(A108),Yr_Sprds,2)+E96</f>
        <v>3.843</v>
      </c>
      <c r="F108" s="287"/>
      <c r="G108" s="288"/>
      <c r="H108" s="287"/>
      <c r="I108" s="287"/>
      <c r="J108" s="279" t="n">
        <f aca="false">BD108</f>
        <v>-0.00350000000000028</v>
      </c>
      <c r="K108" s="278"/>
      <c r="L108" s="291"/>
      <c r="M108" s="112"/>
      <c r="N108" s="278"/>
      <c r="O108" s="278"/>
      <c r="P108" s="278"/>
      <c r="Q108" s="167"/>
      <c r="R108" s="167"/>
      <c r="S108" s="167"/>
      <c r="T108" s="167"/>
      <c r="U108" s="167"/>
      <c r="V108" s="167"/>
      <c r="W108" s="167"/>
      <c r="X108" s="167"/>
      <c r="Y108" s="228" t="n">
        <f aca="false">DAY(EOMONTH(A108,0))</f>
        <v>30</v>
      </c>
      <c r="Z108" s="268" t="n">
        <v>39960</v>
      </c>
      <c r="AA108" s="230" t="e">
        <f aca="false">IF(AND(A108&gt;=Front!$E$11,A108&lt;=Front!$E$12),A108,"")</f>
        <v>#VALUE!</v>
      </c>
      <c r="AB108" s="231" t="e">
        <f aca="false">IF(AA108="","",VLOOKUP(MONTH(A107),Front!$W$6:$X$17,2)*IF(Front!D$9=0,Swap!Y108,1))</f>
        <v>#VALUE!</v>
      </c>
      <c r="AC108" s="274" t="e">
        <f aca="false">IF(AA108="","",AB108*AH108)</f>
        <v>#VALUE!</v>
      </c>
      <c r="AD108" s="233"/>
      <c r="AE108" s="231" t="e">
        <f aca="false">IF(AA108="","",AD108*AH108)</f>
        <v>#VALUE!</v>
      </c>
      <c r="AF108" s="243" t="n">
        <f aca="false">INDEX(IRTable,MATCH(A108,IRMonth,0),4)</f>
        <v>0.0532333296947369</v>
      </c>
      <c r="AG108" s="243" t="n">
        <f aca="false">AF108+$AG$9</f>
        <v>0.0532333296947369</v>
      </c>
      <c r="AH108" s="195" t="n">
        <f aca="false">1/((1+AG108/2)^(2*((A108-Front!$C$2)/365.25)))</f>
        <v>2.30577564351231</v>
      </c>
      <c r="AI108" s="236" t="e">
        <f aca="false">IF($AA108="","",E108*AC108)</f>
        <v>#VALUE!</v>
      </c>
      <c r="AJ108" s="236" t="e">
        <f aca="false">IF($AA108="","",E108*AE108)</f>
        <v>#VALUE!</v>
      </c>
      <c r="AK108" s="237" t="e">
        <f aca="false">IF($AA108="","",C108*AC108)</f>
        <v>#VALUE!</v>
      </c>
      <c r="AL108" s="160" t="n">
        <f aca="false">(AO108/10000)/30.5</f>
        <v>0</v>
      </c>
      <c r="AM108" s="238" t="n">
        <f aca="false">AD108/10000</f>
        <v>0</v>
      </c>
      <c r="AN108" s="238" t="n">
        <f aca="false">AD108*DAY(EOMONTH(A108,0))/10000</f>
        <v>0</v>
      </c>
      <c r="AO108" s="238"/>
      <c r="AP108" s="238"/>
      <c r="AQ108" s="238"/>
      <c r="AR108" s="239"/>
      <c r="AS108" s="238"/>
      <c r="AT108" s="240"/>
      <c r="AU108" s="12"/>
      <c r="AV108" s="240"/>
      <c r="AW108" s="240"/>
      <c r="AX108" s="238"/>
      <c r="AY108" s="238"/>
      <c r="AZ108" s="238"/>
      <c r="BA108" s="241"/>
      <c r="BB108" s="242"/>
      <c r="BC108" s="243" t="n">
        <v>3.8395</v>
      </c>
      <c r="BD108" s="195" t="n">
        <f aca="false">BC108-E108</f>
        <v>-0.00350000000000028</v>
      </c>
      <c r="BE108" s="251" t="n">
        <v>0</v>
      </c>
      <c r="BF108" s="245" t="n">
        <f aca="false">(BE108)*(D108*10)</f>
        <v>0</v>
      </c>
      <c r="BG108" s="121" t="n">
        <v>19.11813046</v>
      </c>
      <c r="BH108" s="121" t="n">
        <v>0</v>
      </c>
      <c r="BI108" s="247"/>
      <c r="BJ108" s="121"/>
      <c r="BK108" s="121"/>
      <c r="BL108" s="121"/>
      <c r="BM108" s="121"/>
      <c r="BN108" s="121"/>
      <c r="BO108" s="121"/>
      <c r="BP108" s="275" t="n">
        <v>40118</v>
      </c>
      <c r="BQ108" s="143" t="n">
        <v>3.777</v>
      </c>
      <c r="BR108" s="143" t="n">
        <v>0.195</v>
      </c>
      <c r="BS108" s="143" t="n">
        <v>0.0532333296947369</v>
      </c>
      <c r="BT108" s="121"/>
    </row>
    <row r="109" customFormat="false" ht="15" hidden="false" customHeight="false" outlineLevel="0" collapsed="false">
      <c r="A109" s="156" t="n">
        <f aca="false">EOMONTH(A108,0)+1</f>
        <v>40148</v>
      </c>
      <c r="B109" s="215"/>
      <c r="C109" s="281" t="n">
        <v>4.0145</v>
      </c>
      <c r="D109" s="282" t="n">
        <f aca="false">(E109-C109)*1000</f>
        <v>3.49999999999984</v>
      </c>
      <c r="E109" s="283" t="n">
        <f aca="false">VLOOKUP(YEAR(A109),Yr_Sprds,2)+E97</f>
        <v>4.018</v>
      </c>
      <c r="F109" s="287"/>
      <c r="G109" s="288"/>
      <c r="H109" s="287"/>
      <c r="I109" s="287"/>
      <c r="J109" s="279" t="n">
        <f aca="false">BD109</f>
        <v>-0.00349999999999984</v>
      </c>
      <c r="K109" s="278"/>
      <c r="L109" s="291"/>
      <c r="M109" s="112"/>
      <c r="N109" s="278"/>
      <c r="O109" s="278"/>
      <c r="P109" s="278"/>
      <c r="Q109" s="167"/>
      <c r="R109" s="167"/>
      <c r="S109" s="167"/>
      <c r="T109" s="167"/>
      <c r="U109" s="167"/>
      <c r="V109" s="167"/>
      <c r="W109" s="167"/>
      <c r="X109" s="167"/>
      <c r="Y109" s="228" t="n">
        <f aca="false">DAY(EOMONTH(A109,0))</f>
        <v>31</v>
      </c>
      <c r="Z109" s="268" t="n">
        <v>39990</v>
      </c>
      <c r="AA109" s="230" t="e">
        <f aca="false">IF(AND(A109&gt;=Front!$E$11,A109&lt;=Front!$E$12),A109,"")</f>
        <v>#VALUE!</v>
      </c>
      <c r="AB109" s="231" t="e">
        <f aca="false">IF(AA109="","",VLOOKUP(MONTH(A108),Front!$W$6:$X$17,2)*IF(Front!D$9=0,Swap!Y109,1))</f>
        <v>#VALUE!</v>
      </c>
      <c r="AC109" s="274" t="e">
        <f aca="false">IF(AA109="","",AB109*AH109)</f>
        <v>#VALUE!</v>
      </c>
      <c r="AD109" s="233"/>
      <c r="AE109" s="231" t="e">
        <f aca="false">IF(AA109="","",AD109*AH109)</f>
        <v>#VALUE!</v>
      </c>
      <c r="AF109" s="243" t="n">
        <f aca="false">INDEX(IRTable,MATCH(A109,IRMonth,0),4)</f>
        <v>0.0533460980980802</v>
      </c>
      <c r="AG109" s="243" t="n">
        <f aca="false">AF109+$AG$9</f>
        <v>0.0533460980980802</v>
      </c>
      <c r="AH109" s="195" t="n">
        <f aca="false">1/((1+AG109/2)^(2*((A109-Front!$C$2)/365.25)))</f>
        <v>2.29984003917149</v>
      </c>
      <c r="AI109" s="236" t="e">
        <f aca="false">IF($AA109="","",E109*AC109)</f>
        <v>#VALUE!</v>
      </c>
      <c r="AJ109" s="236" t="e">
        <f aca="false">IF($AA109="","",E109*AE109)</f>
        <v>#VALUE!</v>
      </c>
      <c r="AK109" s="237" t="e">
        <f aca="false">IF($AA109="","",C109*AC109)</f>
        <v>#VALUE!</v>
      </c>
      <c r="AL109" s="160" t="n">
        <f aca="false">(AO109/10000)/30.5</f>
        <v>0</v>
      </c>
      <c r="AM109" s="238" t="n">
        <f aca="false">AD109/10000</f>
        <v>0</v>
      </c>
      <c r="AN109" s="238" t="n">
        <f aca="false">AD109*DAY(EOMONTH(A109,0))/10000</f>
        <v>0</v>
      </c>
      <c r="AO109" s="238"/>
      <c r="AP109" s="238"/>
      <c r="AQ109" s="238"/>
      <c r="AR109" s="239"/>
      <c r="AS109" s="238"/>
      <c r="AT109" s="240"/>
      <c r="AU109" s="12"/>
      <c r="AV109" s="240"/>
      <c r="AW109" s="240"/>
      <c r="AX109" s="238"/>
      <c r="AY109" s="238"/>
      <c r="AZ109" s="238"/>
      <c r="BA109" s="241"/>
      <c r="BB109" s="242"/>
      <c r="BC109" s="243" t="n">
        <v>4.0145</v>
      </c>
      <c r="BD109" s="195" t="n">
        <f aca="false">BC109-E109</f>
        <v>-0.00349999999999984</v>
      </c>
      <c r="BE109" s="251" t="n">
        <v>0</v>
      </c>
      <c r="BF109" s="245" t="n">
        <f aca="false">(BE109)*(D109*10)</f>
        <v>0</v>
      </c>
      <c r="BG109" s="121" t="n">
        <v>18.79826413</v>
      </c>
      <c r="BH109" s="121" t="n">
        <v>0</v>
      </c>
      <c r="BI109" s="247"/>
      <c r="BJ109" s="121"/>
      <c r="BK109" s="121"/>
      <c r="BL109" s="121"/>
      <c r="BM109" s="121"/>
      <c r="BN109" s="121"/>
      <c r="BO109" s="121"/>
      <c r="BP109" s="275" t="n">
        <v>40148</v>
      </c>
      <c r="BQ109" s="143" t="n">
        <v>3.952</v>
      </c>
      <c r="BR109" s="143" t="n">
        <v>0.195</v>
      </c>
      <c r="BS109" s="143" t="n">
        <v>0.0533460980980802</v>
      </c>
      <c r="BT109" s="121"/>
    </row>
    <row r="110" customFormat="false" ht="15" hidden="false" customHeight="false" outlineLevel="0" collapsed="false">
      <c r="A110" s="156" t="n">
        <f aca="false">EOMONTH(A109,0)+1</f>
        <v>40179</v>
      </c>
      <c r="B110" s="215"/>
      <c r="C110" s="281" t="n">
        <v>4.0595</v>
      </c>
      <c r="D110" s="282" t="n">
        <f aca="false">(E110-C110)*1000</f>
        <v>6.00000000000023</v>
      </c>
      <c r="E110" s="283" t="n">
        <f aca="false">VLOOKUP(YEAR(A110),Yr_Sprds,2)+E98</f>
        <v>4.0655</v>
      </c>
      <c r="F110" s="287"/>
      <c r="G110" s="288"/>
      <c r="H110" s="287"/>
      <c r="I110" s="287"/>
      <c r="J110" s="279" t="n">
        <f aca="false">BD110</f>
        <v>-0.00600000000000023</v>
      </c>
      <c r="K110" s="278"/>
      <c r="L110" s="291"/>
      <c r="M110" s="112"/>
      <c r="N110" s="278"/>
      <c r="O110" s="278"/>
      <c r="P110" s="278"/>
      <c r="Q110" s="167"/>
      <c r="R110" s="167"/>
      <c r="S110" s="167"/>
      <c r="T110" s="167"/>
      <c r="U110" s="167"/>
      <c r="V110" s="167"/>
      <c r="W110" s="167"/>
      <c r="X110" s="167"/>
      <c r="Y110" s="228" t="n">
        <f aca="false">DAY(EOMONTH(A110,0))</f>
        <v>31</v>
      </c>
      <c r="Z110" s="268" t="n">
        <v>40023</v>
      </c>
      <c r="AA110" s="230" t="e">
        <f aca="false">IF(AND(A110&gt;=Front!$E$11,A110&lt;=Front!$E$12),A110,"")</f>
        <v>#VALUE!</v>
      </c>
      <c r="AB110" s="231" t="e">
        <f aca="false">IF(AA110="","",VLOOKUP(MONTH(A109),Front!$W$6:$X$17,2)*IF(Front!D$9=0,Swap!Y110,1))</f>
        <v>#VALUE!</v>
      </c>
      <c r="AC110" s="274" t="e">
        <f aca="false">IF(AA110="","",AB110*AH110)</f>
        <v>#VALUE!</v>
      </c>
      <c r="AD110" s="233"/>
      <c r="AE110" s="231" t="e">
        <f aca="false">IF(AA110="","",AD110*AH110)</f>
        <v>#VALUE!</v>
      </c>
      <c r="AF110" s="243" t="n">
        <f aca="false">INDEX(IRTable,MATCH(A110,IRMonth,0),4)</f>
        <v>0.0534626254526547</v>
      </c>
      <c r="AG110" s="243" t="n">
        <f aca="false">AF110+$AG$9</f>
        <v>0.0534626254526547</v>
      </c>
      <c r="AH110" s="195" t="n">
        <f aca="false">1/((1+AG110/2)^(2*((A110-Front!$C$2)/365.25)))</f>
        <v>2.29367892499263</v>
      </c>
      <c r="AI110" s="236" t="e">
        <f aca="false">IF($AA110="","",E110*AC110)</f>
        <v>#VALUE!</v>
      </c>
      <c r="AJ110" s="236" t="e">
        <f aca="false">IF($AA110="","",E110*AE110)</f>
        <v>#VALUE!</v>
      </c>
      <c r="AK110" s="237" t="e">
        <f aca="false">IF($AA110="","",C110*AC110)</f>
        <v>#VALUE!</v>
      </c>
      <c r="AL110" s="160" t="n">
        <f aca="false">(AO110/10000)/30.5</f>
        <v>0</v>
      </c>
      <c r="AM110" s="238" t="n">
        <f aca="false">AD110/10000</f>
        <v>0</v>
      </c>
      <c r="AN110" s="238" t="n">
        <f aca="false">AD110*DAY(EOMONTH(A110,0))/10000</f>
        <v>0</v>
      </c>
      <c r="AO110" s="238"/>
      <c r="AP110" s="238"/>
      <c r="AQ110" s="238"/>
      <c r="AR110" s="239"/>
      <c r="AS110" s="238"/>
      <c r="AT110" s="240"/>
      <c r="AU110" s="12"/>
      <c r="AV110" s="240"/>
      <c r="AW110" s="240"/>
      <c r="AX110" s="238"/>
      <c r="AY110" s="238"/>
      <c r="AZ110" s="238"/>
      <c r="BA110" s="241"/>
      <c r="BB110" s="242"/>
      <c r="BC110" s="243" t="n">
        <v>4.0595</v>
      </c>
      <c r="BD110" s="195" t="n">
        <f aca="false">BC110-E110</f>
        <v>-0.00600000000000023</v>
      </c>
      <c r="BE110" s="251" t="n">
        <v>0</v>
      </c>
      <c r="BF110" s="245" t="n">
        <f aca="false">(BE110)*(D110*10)</f>
        <v>0</v>
      </c>
      <c r="BG110" s="121" t="n">
        <v>19.28099249</v>
      </c>
      <c r="BH110" s="121" t="n">
        <v>0</v>
      </c>
      <c r="BI110" s="247"/>
      <c r="BJ110" s="121"/>
      <c r="BK110" s="121"/>
      <c r="BL110" s="121"/>
      <c r="BM110" s="121"/>
      <c r="BN110" s="121"/>
      <c r="BO110" s="121"/>
      <c r="BP110" s="275" t="n">
        <v>40179</v>
      </c>
      <c r="BQ110" s="143" t="n">
        <v>3.9645</v>
      </c>
      <c r="BR110" s="143" t="n">
        <v>0.195</v>
      </c>
      <c r="BS110" s="143" t="n">
        <v>0.0534626254526547</v>
      </c>
      <c r="BT110" s="121"/>
    </row>
    <row r="111" customFormat="false" ht="15" hidden="false" customHeight="false" outlineLevel="0" collapsed="false">
      <c r="A111" s="156" t="n">
        <f aca="false">EOMONTH(A110,0)+1</f>
        <v>40210</v>
      </c>
      <c r="B111" s="215"/>
      <c r="C111" s="281" t="n">
        <v>3.9455</v>
      </c>
      <c r="D111" s="282" t="n">
        <f aca="false">(E111-C111)*1000</f>
        <v>6.00000000000023</v>
      </c>
      <c r="E111" s="283" t="n">
        <f aca="false">VLOOKUP(YEAR(A111),Yr_Sprds,2)+E99</f>
        <v>3.9515</v>
      </c>
      <c r="F111" s="287"/>
      <c r="G111" s="288"/>
      <c r="H111" s="287"/>
      <c r="I111" s="287"/>
      <c r="J111" s="279"/>
      <c r="K111" s="278"/>
      <c r="L111" s="291"/>
      <c r="M111" s="112"/>
      <c r="N111" s="278"/>
      <c r="O111" s="278"/>
      <c r="P111" s="278"/>
      <c r="Q111" s="167"/>
      <c r="R111" s="167"/>
      <c r="S111" s="167"/>
      <c r="T111" s="167"/>
      <c r="U111" s="167"/>
      <c r="V111" s="167"/>
      <c r="W111" s="167"/>
      <c r="X111" s="167"/>
      <c r="Y111" s="228" t="n">
        <f aca="false">DAY(EOMONTH(A111,0))</f>
        <v>28</v>
      </c>
      <c r="Z111" s="268" t="n">
        <v>40052</v>
      </c>
      <c r="AA111" s="230" t="e">
        <f aca="false">IF(AND(A111&gt;=Front!$E$11,A111&lt;=Front!$E$12),A111,"")</f>
        <v>#VALUE!</v>
      </c>
      <c r="AB111" s="231" t="e">
        <f aca="false">IF(AA111="","",VLOOKUP(MONTH(A110),Front!$W$6:$X$17,2)*IF(Front!D$9=0,Swap!Y111,1))</f>
        <v>#VALUE!</v>
      </c>
      <c r="AC111" s="274" t="e">
        <f aca="false">IF(AA111="","",AB111*AH111)</f>
        <v>#VALUE!</v>
      </c>
      <c r="AD111" s="233"/>
      <c r="AE111" s="231" t="e">
        <f aca="false">IF(AA111="","",AD111*AH111)</f>
        <v>#VALUE!</v>
      </c>
      <c r="AF111" s="243" t="n">
        <f aca="false">INDEX(IRTable,MATCH(A111,IRMonth,0),4)</f>
        <v>0.0535791528117548</v>
      </c>
      <c r="AG111" s="243" t="n">
        <f aca="false">AF111+$AG$9</f>
        <v>0.0535791528117548</v>
      </c>
      <c r="AH111" s="195" t="n">
        <f aca="false">1/((1+AG111/2)^(2*((A111-Front!$C$2)/365.25)))</f>
        <v>2.28749001508781</v>
      </c>
      <c r="AI111" s="236" t="e">
        <f aca="false">IF($AA111="","",E111*AC111)</f>
        <v>#VALUE!</v>
      </c>
      <c r="AJ111" s="236" t="e">
        <f aca="false">IF($AA111="","",E111*AE111)</f>
        <v>#VALUE!</v>
      </c>
      <c r="AK111" s="237" t="e">
        <f aca="false">IF($AA111="","",C111*AC111)</f>
        <v>#VALUE!</v>
      </c>
      <c r="AL111" s="160" t="n">
        <f aca="false">(AO111/10000)/30.5</f>
        <v>0</v>
      </c>
      <c r="AM111" s="238" t="n">
        <f aca="false">AD111/10000</f>
        <v>0</v>
      </c>
      <c r="AN111" s="238" t="n">
        <f aca="false">AD111*DAY(EOMONTH(A111,0))/10000</f>
        <v>0</v>
      </c>
      <c r="AO111" s="238"/>
      <c r="AP111" s="238"/>
      <c r="AQ111" s="238"/>
      <c r="AR111" s="239"/>
      <c r="AS111" s="238"/>
      <c r="AT111" s="240"/>
      <c r="AU111" s="12"/>
      <c r="AV111" s="240"/>
      <c r="AW111" s="240"/>
      <c r="AX111" s="238"/>
      <c r="AY111" s="238"/>
      <c r="AZ111" s="238"/>
      <c r="BA111" s="241"/>
      <c r="BB111" s="242"/>
      <c r="BC111" s="243" t="n">
        <v>3.9455</v>
      </c>
      <c r="BD111" s="195" t="n">
        <f aca="false">BC111-E111</f>
        <v>-0.00600000000000023</v>
      </c>
      <c r="BE111" s="251" t="n">
        <v>0</v>
      </c>
      <c r="BF111" s="245" t="n">
        <f aca="false">(BE111)*(D111*10)</f>
        <v>0</v>
      </c>
      <c r="BG111" s="121" t="n">
        <v>18.11134985</v>
      </c>
      <c r="BH111" s="121" t="n">
        <v>0</v>
      </c>
      <c r="BI111" s="247"/>
      <c r="BJ111" s="121"/>
      <c r="BK111" s="121"/>
      <c r="BL111" s="121"/>
      <c r="BM111" s="121"/>
      <c r="BN111" s="121"/>
      <c r="BO111" s="121"/>
      <c r="BP111" s="275" t="n">
        <v>40210</v>
      </c>
      <c r="BQ111" s="143" t="n">
        <v>3.8505</v>
      </c>
      <c r="BR111" s="143" t="n">
        <v>0.19</v>
      </c>
      <c r="BS111" s="143" t="n">
        <v>0.0535791528117548</v>
      </c>
      <c r="BT111" s="121"/>
    </row>
    <row r="112" customFormat="false" ht="15" hidden="false" customHeight="false" outlineLevel="0" collapsed="false">
      <c r="A112" s="156" t="n">
        <f aca="false">EOMONTH(A111,0)+1</f>
        <v>40238</v>
      </c>
      <c r="B112" s="215"/>
      <c r="C112" s="281" t="n">
        <v>3.8135</v>
      </c>
      <c r="D112" s="282" t="n">
        <f aca="false">(E112-C112)*1000</f>
        <v>6.00000000000023</v>
      </c>
      <c r="E112" s="283" t="n">
        <f aca="false">VLOOKUP(YEAR(A112),Yr_Sprds,2)+E100</f>
        <v>3.8195</v>
      </c>
      <c r="F112" s="287"/>
      <c r="G112" s="288"/>
      <c r="H112" s="287"/>
      <c r="I112" s="287"/>
      <c r="J112" s="279"/>
      <c r="K112" s="278"/>
      <c r="L112" s="291"/>
      <c r="M112" s="112"/>
      <c r="N112" s="278"/>
      <c r="O112" s="278"/>
      <c r="P112" s="278"/>
      <c r="Q112" s="167"/>
      <c r="R112" s="167"/>
      <c r="S112" s="167"/>
      <c r="T112" s="167"/>
      <c r="U112" s="167"/>
      <c r="V112" s="167"/>
      <c r="W112" s="167"/>
      <c r="X112" s="167"/>
      <c r="Y112" s="228" t="n">
        <f aca="false">DAY(EOMONTH(A112,0))</f>
        <v>31</v>
      </c>
      <c r="Z112" s="268" t="n">
        <v>40084</v>
      </c>
      <c r="AA112" s="230" t="e">
        <f aca="false">IF(AND(A112&gt;=Front!$E$11,A112&lt;=Front!$E$12),A112,"")</f>
        <v>#VALUE!</v>
      </c>
      <c r="AB112" s="231" t="e">
        <f aca="false">IF(AA112="","",VLOOKUP(MONTH(A111),Front!$W$6:$X$17,2)*IF(Front!D$9=0,Swap!Y112,1))</f>
        <v>#VALUE!</v>
      </c>
      <c r="AC112" s="274" t="e">
        <f aca="false">IF(AA112="","",AB112*AH112)</f>
        <v>#VALUE!</v>
      </c>
      <c r="AD112" s="233"/>
      <c r="AE112" s="231" t="e">
        <f aca="false">IF(AA112="","",AD112*AH112)</f>
        <v>#VALUE!</v>
      </c>
      <c r="AF112" s="243" t="n">
        <f aca="false">INDEX(IRTable,MATCH(A112,IRMonth,0),4)</f>
        <v>0.0536844033335422</v>
      </c>
      <c r="AG112" s="243" t="n">
        <f aca="false">AF112+$AG$9</f>
        <v>0.0536844033335422</v>
      </c>
      <c r="AH112" s="195" t="n">
        <f aca="false">1/((1+AG112/2)^(2*((A112-Front!$C$2)/365.25)))</f>
        <v>2.28187640555189</v>
      </c>
      <c r="AI112" s="236" t="e">
        <f aca="false">IF($AA112="","",E112*AC112)</f>
        <v>#VALUE!</v>
      </c>
      <c r="AJ112" s="236" t="e">
        <f aca="false">IF($AA112="","",E112*AE112)</f>
        <v>#VALUE!</v>
      </c>
      <c r="AK112" s="237" t="e">
        <f aca="false">IF($AA112="","",C112*AC112)</f>
        <v>#VALUE!</v>
      </c>
      <c r="AL112" s="160" t="n">
        <f aca="false">(AO112/10000)/30.5</f>
        <v>0</v>
      </c>
      <c r="AM112" s="238" t="n">
        <f aca="false">AD112/10000</f>
        <v>0</v>
      </c>
      <c r="AN112" s="238" t="n">
        <f aca="false">AD112*DAY(EOMONTH(A112,0))/10000</f>
        <v>0</v>
      </c>
      <c r="AO112" s="238"/>
      <c r="AP112" s="238"/>
      <c r="AQ112" s="238"/>
      <c r="AR112" s="239"/>
      <c r="AS112" s="238"/>
      <c r="AT112" s="240"/>
      <c r="AU112" s="12"/>
      <c r="AV112" s="240"/>
      <c r="AW112" s="240"/>
      <c r="AX112" s="238"/>
      <c r="AY112" s="238"/>
      <c r="AZ112" s="238"/>
      <c r="BA112" s="241"/>
      <c r="BB112" s="242"/>
      <c r="BC112" s="243" t="n">
        <v>3.8135</v>
      </c>
      <c r="BD112" s="195" t="n">
        <f aca="false">BC112-E112</f>
        <v>-0.00600000000000023</v>
      </c>
      <c r="BE112" s="251" t="n">
        <v>0</v>
      </c>
      <c r="BF112" s="245" t="n">
        <f aca="false">(BE112)*(D112*10)</f>
        <v>0</v>
      </c>
      <c r="BG112" s="121" t="n">
        <v>18.24052061</v>
      </c>
      <c r="BH112" s="121" t="n">
        <v>0</v>
      </c>
      <c r="BI112" s="247"/>
      <c r="BJ112" s="121"/>
      <c r="BK112" s="121"/>
      <c r="BL112" s="121"/>
      <c r="BM112" s="121"/>
      <c r="BN112" s="121"/>
      <c r="BO112" s="121"/>
      <c r="BP112" s="275" t="n">
        <v>40238</v>
      </c>
      <c r="BQ112" s="143" t="n">
        <v>3.7185</v>
      </c>
      <c r="BR112" s="143" t="n">
        <v>0.1875</v>
      </c>
      <c r="BS112" s="143" t="n">
        <v>0.0536844033335422</v>
      </c>
      <c r="BT112" s="121"/>
    </row>
    <row r="113" customFormat="false" ht="15" hidden="false" customHeight="false" outlineLevel="0" collapsed="false">
      <c r="A113" s="156" t="n">
        <f aca="false">EOMONTH(A112,0)+1</f>
        <v>40269</v>
      </c>
      <c r="B113" s="215"/>
      <c r="C113" s="281" t="n">
        <v>3.6435</v>
      </c>
      <c r="D113" s="282" t="n">
        <f aca="false">(E113-C113)*1000</f>
        <v>6.00000000000023</v>
      </c>
      <c r="E113" s="283" t="n">
        <f aca="false">VLOOKUP(YEAR(A113),Yr_Sprds,2)+E101</f>
        <v>3.6495</v>
      </c>
      <c r="F113" s="287"/>
      <c r="G113" s="288"/>
      <c r="H113" s="287"/>
      <c r="I113" s="287"/>
      <c r="J113" s="279"/>
      <c r="K113" s="278"/>
      <c r="L113" s="291"/>
      <c r="M113" s="112"/>
      <c r="N113" s="278"/>
      <c r="O113" s="278"/>
      <c r="P113" s="278"/>
      <c r="Q113" s="167"/>
      <c r="R113" s="167"/>
      <c r="S113" s="167"/>
      <c r="T113" s="167"/>
      <c r="U113" s="167"/>
      <c r="V113" s="167"/>
      <c r="W113" s="167"/>
      <c r="X113" s="167"/>
      <c r="Y113" s="228" t="n">
        <f aca="false">DAY(EOMONTH(A113,0))</f>
        <v>30</v>
      </c>
      <c r="Z113" s="268" t="n">
        <v>40114</v>
      </c>
      <c r="AA113" s="230" t="e">
        <f aca="false">IF(AND(A113&gt;=Front!$E$11,A113&lt;=Front!$E$12),A113,"")</f>
        <v>#VALUE!</v>
      </c>
      <c r="AB113" s="231" t="e">
        <f aca="false">IF(AA113="","",VLOOKUP(MONTH(A112),Front!$W$6:$X$17,2)*IF(Front!D$9=0,Swap!Y113,1))</f>
        <v>#VALUE!</v>
      </c>
      <c r="AC113" s="274" t="e">
        <f aca="false">IF(AA113="","",AB113*AH113)</f>
        <v>#VALUE!</v>
      </c>
      <c r="AD113" s="233"/>
      <c r="AE113" s="231" t="e">
        <f aca="false">IF(AA113="","",AD113*AH113)</f>
        <v>#VALUE!</v>
      </c>
      <c r="AF113" s="243" t="n">
        <f aca="false">INDEX(IRTable,MATCH(A113,IRMonth,0),4)</f>
        <v>0.0538009307012564</v>
      </c>
      <c r="AG113" s="243" t="n">
        <f aca="false">AF113+$AG$9</f>
        <v>0.0538009307012564</v>
      </c>
      <c r="AH113" s="195" t="n">
        <f aca="false">1/((1+AG113/2)^(2*((A113-Front!$C$2)/365.25)))</f>
        <v>2.27563547366269</v>
      </c>
      <c r="AI113" s="236" t="e">
        <f aca="false">IF($AA113="","",E113*AC113)</f>
        <v>#VALUE!</v>
      </c>
      <c r="AJ113" s="236" t="e">
        <f aca="false">IF($AA113="","",E113*AE113)</f>
        <v>#VALUE!</v>
      </c>
      <c r="AK113" s="237" t="e">
        <f aca="false">IF($AA113="","",C113*AC113)</f>
        <v>#VALUE!</v>
      </c>
      <c r="AL113" s="160" t="n">
        <f aca="false">(AO113/10000)/30.5</f>
        <v>0</v>
      </c>
      <c r="AM113" s="238" t="n">
        <f aca="false">AD113/10000</f>
        <v>0</v>
      </c>
      <c r="AN113" s="238" t="n">
        <f aca="false">AD113*DAY(EOMONTH(A113,0))/10000</f>
        <v>0</v>
      </c>
      <c r="AO113" s="238"/>
      <c r="AP113" s="238"/>
      <c r="AQ113" s="238"/>
      <c r="AR113" s="239"/>
      <c r="AS113" s="238"/>
      <c r="AT113" s="240"/>
      <c r="AU113" s="12"/>
      <c r="AV113" s="240"/>
      <c r="AW113" s="240"/>
      <c r="AX113" s="238"/>
      <c r="AY113" s="238"/>
      <c r="AZ113" s="238"/>
      <c r="BA113" s="241"/>
      <c r="BB113" s="242"/>
      <c r="BC113" s="243" t="n">
        <v>3.6435</v>
      </c>
      <c r="BD113" s="195" t="n">
        <f aca="false">BC113-E113</f>
        <v>-0.00600000000000023</v>
      </c>
      <c r="BE113" s="251" t="n">
        <v>0</v>
      </c>
      <c r="BF113" s="245" t="n">
        <f aca="false">(BE113)*(D113*10)</f>
        <v>0</v>
      </c>
      <c r="BG113" s="121" t="n">
        <v>19.10612953</v>
      </c>
      <c r="BH113" s="121" t="n">
        <v>0</v>
      </c>
      <c r="BI113" s="247"/>
      <c r="BJ113" s="121"/>
      <c r="BK113" s="121"/>
      <c r="BL113" s="121"/>
      <c r="BM113" s="121"/>
      <c r="BN113" s="121"/>
      <c r="BO113" s="121"/>
      <c r="BP113" s="275" t="n">
        <v>40269</v>
      </c>
      <c r="BQ113" s="143" t="n">
        <v>3.5485</v>
      </c>
      <c r="BR113" s="143" t="n">
        <v>0.185</v>
      </c>
      <c r="BS113" s="143" t="n">
        <v>0.0538009307012564</v>
      </c>
      <c r="BT113" s="121"/>
    </row>
    <row r="114" customFormat="false" ht="15" hidden="false" customHeight="false" outlineLevel="0" collapsed="false">
      <c r="A114" s="156" t="n">
        <f aca="false">EOMONTH(A113,0)+1</f>
        <v>40299</v>
      </c>
      <c r="B114" s="215"/>
      <c r="C114" s="281" t="n">
        <v>3.6435</v>
      </c>
      <c r="D114" s="282" t="n">
        <f aca="false">(E114-C114)*1000</f>
        <v>6.00000000000023</v>
      </c>
      <c r="E114" s="283" t="n">
        <f aca="false">VLOOKUP(YEAR(A114),Yr_Sprds,2)+E102</f>
        <v>3.6495</v>
      </c>
      <c r="F114" s="287"/>
      <c r="G114" s="288"/>
      <c r="H114" s="287"/>
      <c r="I114" s="287"/>
      <c r="J114" s="279"/>
      <c r="K114" s="278"/>
      <c r="L114" s="291"/>
      <c r="M114" s="112"/>
      <c r="N114" s="278"/>
      <c r="O114" s="278"/>
      <c r="P114" s="278"/>
      <c r="Q114" s="167"/>
      <c r="R114" s="167"/>
      <c r="S114" s="167"/>
      <c r="T114" s="167"/>
      <c r="U114" s="167"/>
      <c r="V114" s="167"/>
      <c r="W114" s="167"/>
      <c r="X114" s="167"/>
      <c r="Y114" s="228" t="n">
        <f aca="false">DAY(EOMONTH(A114,0))</f>
        <v>31</v>
      </c>
      <c r="Z114" s="268" t="n">
        <v>40142</v>
      </c>
      <c r="AA114" s="230" t="e">
        <f aca="false">IF(AND(A114&gt;=Front!$E$11,A114&lt;=Front!$E$12),A114,"")</f>
        <v>#VALUE!</v>
      </c>
      <c r="AB114" s="231" t="e">
        <f aca="false">IF(AA114="","",VLOOKUP(MONTH(A113),Front!$W$6:$X$17,2)*IF(Front!D$9=0,Swap!Y114,1))</f>
        <v>#VALUE!</v>
      </c>
      <c r="AC114" s="274" t="e">
        <f aca="false">IF(AA114="","",AB114*AH114)</f>
        <v>#VALUE!</v>
      </c>
      <c r="AD114" s="233"/>
      <c r="AE114" s="231" t="e">
        <f aca="false">IF(AA114="","",AD114*AH114)</f>
        <v>#VALUE!</v>
      </c>
      <c r="AF114" s="243" t="n">
        <f aca="false">INDEX(IRTable,MATCH(A114,IRMonth,0),4)</f>
        <v>0.0539136991259332</v>
      </c>
      <c r="AG114" s="243" t="n">
        <f aca="false">AF114+$AG$9</f>
        <v>0.0539136991259332</v>
      </c>
      <c r="AH114" s="195" t="n">
        <f aca="false">1/((1+AG114/2)^(2*((A114-Front!$C$2)/365.25)))</f>
        <v>2.26957027492688</v>
      </c>
      <c r="AI114" s="236" t="e">
        <f aca="false">IF($AA114="","",E114*AC114)</f>
        <v>#VALUE!</v>
      </c>
      <c r="AJ114" s="236" t="e">
        <f aca="false">IF($AA114="","",E114*AE114)</f>
        <v>#VALUE!</v>
      </c>
      <c r="AK114" s="237" t="e">
        <f aca="false">IF($AA114="","",C114*AC114)</f>
        <v>#VALUE!</v>
      </c>
      <c r="AL114" s="160" t="n">
        <f aca="false">(AO114/10000)/30.5</f>
        <v>0</v>
      </c>
      <c r="AM114" s="238" t="n">
        <f aca="false">AD114/10000</f>
        <v>0</v>
      </c>
      <c r="AN114" s="238" t="n">
        <f aca="false">AD114*DAY(EOMONTH(A114,0))/10000</f>
        <v>0</v>
      </c>
      <c r="AO114" s="238"/>
      <c r="AP114" s="238"/>
      <c r="AQ114" s="238"/>
      <c r="AR114" s="239"/>
      <c r="AS114" s="238"/>
      <c r="AT114" s="240"/>
      <c r="AU114" s="12"/>
      <c r="AV114" s="240"/>
      <c r="AW114" s="240"/>
      <c r="AX114" s="238"/>
      <c r="AY114" s="238"/>
      <c r="AZ114" s="238"/>
      <c r="BA114" s="241"/>
      <c r="BB114" s="242"/>
      <c r="BC114" s="243" t="n">
        <v>3.6435</v>
      </c>
      <c r="BD114" s="195" t="n">
        <f aca="false">BC114-E114</f>
        <v>-0.00600000000000023</v>
      </c>
      <c r="BE114" s="251" t="n">
        <v>0</v>
      </c>
      <c r="BF114" s="245" t="n">
        <f aca="false">(BE114)*(D114*10)</f>
        <v>0</v>
      </c>
      <c r="BG114" s="121" t="n">
        <v>16.89707817</v>
      </c>
      <c r="BH114" s="121" t="n">
        <v>0</v>
      </c>
      <c r="BI114" s="247"/>
      <c r="BJ114" s="121"/>
      <c r="BK114" s="121"/>
      <c r="BL114" s="121"/>
      <c r="BM114" s="121"/>
      <c r="BN114" s="121"/>
      <c r="BO114" s="121"/>
      <c r="BP114" s="275" t="n">
        <v>40299</v>
      </c>
      <c r="BQ114" s="143" t="n">
        <v>3.5485</v>
      </c>
      <c r="BR114" s="143" t="n">
        <v>0.185</v>
      </c>
      <c r="BS114" s="143" t="n">
        <v>0.0539136991259332</v>
      </c>
      <c r="BT114" s="121"/>
    </row>
    <row r="115" customFormat="false" ht="15" hidden="false" customHeight="false" outlineLevel="0" collapsed="false">
      <c r="A115" s="156" t="n">
        <f aca="false">EOMONTH(A114,0)+1</f>
        <v>40330</v>
      </c>
      <c r="B115" s="215"/>
      <c r="C115" s="281" t="n">
        <v>3.6755</v>
      </c>
      <c r="D115" s="282" t="n">
        <f aca="false">(E115-C115)*1000</f>
        <v>6.00000000000023</v>
      </c>
      <c r="E115" s="283" t="n">
        <f aca="false">VLOOKUP(YEAR(A115),Yr_Sprds,2)+E103</f>
        <v>3.6815</v>
      </c>
      <c r="F115" s="287"/>
      <c r="G115" s="288"/>
      <c r="H115" s="287"/>
      <c r="I115" s="287"/>
      <c r="J115" s="279"/>
      <c r="K115" s="278"/>
      <c r="L115" s="291"/>
      <c r="M115" s="112"/>
      <c r="N115" s="278"/>
      <c r="O115" s="278"/>
      <c r="P115" s="278"/>
      <c r="Q115" s="167"/>
      <c r="R115" s="167"/>
      <c r="S115" s="167"/>
      <c r="T115" s="167"/>
      <c r="U115" s="167"/>
      <c r="V115" s="167"/>
      <c r="W115" s="167"/>
      <c r="X115" s="167"/>
      <c r="Y115" s="228" t="n">
        <f aca="false">DAY(EOMONTH(A115,0))</f>
        <v>30</v>
      </c>
      <c r="Z115" s="268" t="n">
        <v>40176</v>
      </c>
      <c r="AA115" s="230" t="e">
        <f aca="false">IF(AND(A115&gt;=Front!$E$11,A115&lt;=Front!$E$12),A115,"")</f>
        <v>#VALUE!</v>
      </c>
      <c r="AB115" s="231" t="e">
        <f aca="false">IF(AA115="","",VLOOKUP(MONTH(A114),Front!$W$6:$X$17,2)*IF(Front!D$9=0,Swap!Y115,1))</f>
        <v>#VALUE!</v>
      </c>
      <c r="AC115" s="274" t="e">
        <f aca="false">IF(AA115="","",AB115*AH115)</f>
        <v>#VALUE!</v>
      </c>
      <c r="AD115" s="233"/>
      <c r="AE115" s="231" t="e">
        <f aca="false">IF(AA115="","",AD115*AH115)</f>
        <v>#VALUE!</v>
      </c>
      <c r="AF115" s="243" t="n">
        <f aca="false">INDEX(IRTable,MATCH(A115,IRMonth,0),4)</f>
        <v>0.054030226502551</v>
      </c>
      <c r="AG115" s="243" t="n">
        <f aca="false">AF115+$AG$9</f>
        <v>0.054030226502551</v>
      </c>
      <c r="AH115" s="195" t="n">
        <f aca="false">1/((1+AG115/2)^(2*((A115-Front!$C$2)/365.25)))</f>
        <v>2.2632767743169</v>
      </c>
      <c r="AI115" s="236" t="e">
        <f aca="false">IF($AA115="","",E115*AC115)</f>
        <v>#VALUE!</v>
      </c>
      <c r="AJ115" s="236" t="e">
        <f aca="false">IF($AA115="","",E115*AE115)</f>
        <v>#VALUE!</v>
      </c>
      <c r="AK115" s="237" t="e">
        <f aca="false">IF($AA115="","",C115*AC115)</f>
        <v>#VALUE!</v>
      </c>
      <c r="AL115" s="160" t="n">
        <f aca="false">(AO115/10000)/30.5</f>
        <v>0</v>
      </c>
      <c r="AM115" s="238" t="n">
        <f aca="false">AD115/10000</f>
        <v>0</v>
      </c>
      <c r="AN115" s="238" t="n">
        <f aca="false">AD115*DAY(EOMONTH(A115,0))/10000</f>
        <v>0</v>
      </c>
      <c r="AO115" s="238"/>
      <c r="AP115" s="238"/>
      <c r="AQ115" s="238"/>
      <c r="AR115" s="239"/>
      <c r="AS115" s="238"/>
      <c r="AT115" s="240"/>
      <c r="AU115" s="12"/>
      <c r="AV115" s="240"/>
      <c r="AW115" s="240"/>
      <c r="AX115" s="238"/>
      <c r="AY115" s="238"/>
      <c r="AZ115" s="238"/>
      <c r="BA115" s="241"/>
      <c r="BB115" s="242"/>
      <c r="BC115" s="243" t="n">
        <v>3.6755</v>
      </c>
      <c r="BD115" s="195" t="n">
        <f aca="false">BC115-E115</f>
        <v>-0.00600000000000023</v>
      </c>
      <c r="BE115" s="251" t="n">
        <v>0</v>
      </c>
      <c r="BF115" s="245" t="n">
        <f aca="false">(BE115)*(D115*10)</f>
        <v>0</v>
      </c>
      <c r="BG115" s="121" t="n">
        <v>16.88341502</v>
      </c>
      <c r="BH115" s="121" t="n">
        <v>0</v>
      </c>
      <c r="BI115" s="247"/>
      <c r="BJ115" s="121"/>
      <c r="BK115" s="121"/>
      <c r="BL115" s="121"/>
      <c r="BM115" s="121"/>
      <c r="BN115" s="121"/>
      <c r="BO115" s="121"/>
      <c r="BP115" s="275" t="n">
        <v>40330</v>
      </c>
      <c r="BQ115" s="143" t="n">
        <v>3.5805</v>
      </c>
      <c r="BR115" s="143" t="n">
        <v>0.185</v>
      </c>
      <c r="BS115" s="143" t="n">
        <v>0.054030226502551</v>
      </c>
      <c r="BT115" s="121"/>
    </row>
    <row r="116" customFormat="false" ht="15" hidden="false" customHeight="false" outlineLevel="0" collapsed="false">
      <c r="A116" s="156" t="n">
        <f aca="false">EOMONTH(A115,0)+1</f>
        <v>40360</v>
      </c>
      <c r="B116" s="215"/>
      <c r="C116" s="281" t="n">
        <v>3.7255</v>
      </c>
      <c r="D116" s="282" t="n">
        <f aca="false">(E116-C116)*1000</f>
        <v>6.00000000000023</v>
      </c>
      <c r="E116" s="283" t="n">
        <f aca="false">VLOOKUP(YEAR(A116),Yr_Sprds,2)+E104</f>
        <v>3.7315</v>
      </c>
      <c r="F116" s="287"/>
      <c r="G116" s="288"/>
      <c r="H116" s="287"/>
      <c r="I116" s="287"/>
      <c r="J116" s="279"/>
      <c r="K116" s="278"/>
      <c r="L116" s="291"/>
      <c r="M116" s="112"/>
      <c r="N116" s="278"/>
      <c r="O116" s="278"/>
      <c r="P116" s="278"/>
      <c r="Q116" s="167"/>
      <c r="R116" s="167"/>
      <c r="S116" s="167"/>
      <c r="T116" s="167"/>
      <c r="U116" s="167"/>
      <c r="V116" s="167"/>
      <c r="W116" s="167"/>
      <c r="X116" s="167"/>
      <c r="Y116" s="228" t="n">
        <f aca="false">DAY(EOMONTH(A116,0))</f>
        <v>31</v>
      </c>
      <c r="Z116" s="268" t="n">
        <v>40205</v>
      </c>
      <c r="AA116" s="230" t="e">
        <f aca="false">IF(AND(A116&gt;=Front!$E$11,A116&lt;=Front!$E$12),A116,"")</f>
        <v>#VALUE!</v>
      </c>
      <c r="AB116" s="231" t="e">
        <f aca="false">IF(AA116="","",VLOOKUP(MONTH(A115),Front!$W$6:$X$17,2)*IF(Front!D$9=0,Swap!Y116,1))</f>
        <v>#VALUE!</v>
      </c>
      <c r="AC116" s="274" t="e">
        <f aca="false">IF(AA116="","",AB116*AH116)</f>
        <v>#VALUE!</v>
      </c>
      <c r="AD116" s="233"/>
      <c r="AE116" s="231" t="e">
        <f aca="false">IF(AA116="","",AD116*AH116)</f>
        <v>#VALUE!</v>
      </c>
      <c r="AF116" s="243" t="n">
        <f aca="false">INDEX(IRTable,MATCH(A116,IRMonth,0),4)</f>
        <v>0.0541429949358445</v>
      </c>
      <c r="AG116" s="243" t="n">
        <f aca="false">AF116+$AG$9</f>
        <v>0.0541429949358445</v>
      </c>
      <c r="AH116" s="195" t="n">
        <f aca="false">1/((1+AG116/2)^(2*((A116-Front!$C$2)/365.25)))</f>
        <v>2.25716130292982</v>
      </c>
      <c r="AI116" s="236" t="e">
        <f aca="false">IF($AA116="","",E116*AC116)</f>
        <v>#VALUE!</v>
      </c>
      <c r="AJ116" s="236" t="e">
        <f aca="false">IF($AA116="","",E116*AE116)</f>
        <v>#VALUE!</v>
      </c>
      <c r="AK116" s="237" t="e">
        <f aca="false">IF($AA116="","",C116*AC116)</f>
        <v>#VALUE!</v>
      </c>
      <c r="AL116" s="160" t="n">
        <f aca="false">(AO116/10000)/30.5</f>
        <v>0</v>
      </c>
      <c r="AM116" s="238" t="n">
        <f aca="false">AD116/10000</f>
        <v>0</v>
      </c>
      <c r="AN116" s="238" t="n">
        <f aca="false">AD116*DAY(EOMONTH(A116,0))/10000</f>
        <v>0</v>
      </c>
      <c r="AO116" s="238"/>
      <c r="AP116" s="238"/>
      <c r="AQ116" s="238"/>
      <c r="AR116" s="239"/>
      <c r="AS116" s="238"/>
      <c r="AT116" s="240"/>
      <c r="AU116" s="12"/>
      <c r="AV116" s="240"/>
      <c r="AW116" s="240"/>
      <c r="AX116" s="238"/>
      <c r="AY116" s="238"/>
      <c r="AZ116" s="238"/>
      <c r="BA116" s="241"/>
      <c r="BB116" s="242"/>
      <c r="BC116" s="243" t="n">
        <v>3.7255</v>
      </c>
      <c r="BD116" s="195" t="n">
        <f aca="false">BC116-E116</f>
        <v>-0.00600000000000023</v>
      </c>
      <c r="BE116" s="251" t="n">
        <v>0</v>
      </c>
      <c r="BF116" s="245" t="n">
        <f aca="false">(BE116)*(D116*10)</f>
        <v>0</v>
      </c>
      <c r="BG116" s="121" t="n">
        <v>15.87323544</v>
      </c>
      <c r="BH116" s="121" t="n">
        <v>0</v>
      </c>
      <c r="BI116" s="247"/>
      <c r="BJ116" s="121"/>
      <c r="BK116" s="121"/>
      <c r="BL116" s="121"/>
      <c r="BM116" s="121"/>
      <c r="BN116" s="121"/>
      <c r="BO116" s="121"/>
      <c r="BP116" s="275" t="n">
        <v>40360</v>
      </c>
      <c r="BQ116" s="143" t="n">
        <v>3.6305</v>
      </c>
      <c r="BR116" s="143" t="n">
        <v>0.185</v>
      </c>
      <c r="BS116" s="143" t="n">
        <v>0.0541429949358445</v>
      </c>
      <c r="BT116" s="121"/>
    </row>
    <row r="117" customFormat="false" ht="15" hidden="false" customHeight="false" outlineLevel="0" collapsed="false">
      <c r="A117" s="156" t="n">
        <f aca="false">EOMONTH(A116,0)+1</f>
        <v>40391</v>
      </c>
      <c r="B117" s="215"/>
      <c r="C117" s="281" t="n">
        <v>3.7595</v>
      </c>
      <c r="D117" s="282" t="n">
        <f aca="false">(E117-C117)*1000</f>
        <v>6.00000000000023</v>
      </c>
      <c r="E117" s="283" t="n">
        <f aca="false">VLOOKUP(YEAR(A117),Yr_Sprds,2)+E105</f>
        <v>3.7655</v>
      </c>
      <c r="F117" s="287"/>
      <c r="G117" s="288"/>
      <c r="H117" s="287"/>
      <c r="I117" s="287"/>
      <c r="J117" s="279"/>
      <c r="K117" s="278"/>
      <c r="L117" s="291"/>
      <c r="M117" s="112"/>
      <c r="N117" s="278"/>
      <c r="O117" s="278"/>
      <c r="P117" s="278"/>
      <c r="Q117" s="167"/>
      <c r="R117" s="167"/>
      <c r="S117" s="167"/>
      <c r="T117" s="167"/>
      <c r="U117" s="167"/>
      <c r="V117" s="167"/>
      <c r="W117" s="167"/>
      <c r="X117" s="167"/>
      <c r="Y117" s="228" t="n">
        <f aca="false">DAY(EOMONTH(A117,0))</f>
        <v>31</v>
      </c>
      <c r="Z117" s="268" t="n">
        <v>40233</v>
      </c>
      <c r="AA117" s="230" t="e">
        <f aca="false">IF(AND(A117&gt;=Front!$E$11,A117&lt;=Front!$E$12),A117,"")</f>
        <v>#VALUE!</v>
      </c>
      <c r="AB117" s="231" t="e">
        <f aca="false">IF(AA117="","",VLOOKUP(MONTH(A116),Front!$W$6:$X$17,2)*IF(Front!D$9=0,Swap!Y117,1))</f>
        <v>#VALUE!</v>
      </c>
      <c r="AC117" s="274" t="e">
        <f aca="false">IF(AA117="","",AB117*AH117)</f>
        <v>#VALUE!</v>
      </c>
      <c r="AD117" s="233"/>
      <c r="AE117" s="231" t="e">
        <f aca="false">IF(AA117="","",AD117*AH117)</f>
        <v>#VALUE!</v>
      </c>
      <c r="AF117" s="243" t="n">
        <f aca="false">INDEX(IRTable,MATCH(A117,IRMonth,0),4)</f>
        <v>0.0542595223213667</v>
      </c>
      <c r="AG117" s="243" t="n">
        <f aca="false">AF117+$AG$9</f>
        <v>0.0542595223213667</v>
      </c>
      <c r="AH117" s="195" t="n">
        <f aca="false">1/((1+AG117/2)^(2*((A117-Front!$C$2)/365.25)))</f>
        <v>2.25081647539813</v>
      </c>
      <c r="AI117" s="236" t="e">
        <f aca="false">IF($AA117="","",E117*AC117)</f>
        <v>#VALUE!</v>
      </c>
      <c r="AJ117" s="236" t="e">
        <f aca="false">IF($AA117="","",E117*AE117)</f>
        <v>#VALUE!</v>
      </c>
      <c r="AK117" s="237" t="e">
        <f aca="false">IF($AA117="","",C117*AC117)</f>
        <v>#VALUE!</v>
      </c>
      <c r="AL117" s="160" t="n">
        <f aca="false">(AO117/10000)/30.5</f>
        <v>0</v>
      </c>
      <c r="AM117" s="238" t="n">
        <f aca="false">AD117/10000</f>
        <v>0</v>
      </c>
      <c r="AN117" s="238" t="n">
        <f aca="false">AD117*DAY(EOMONTH(A117,0))/10000</f>
        <v>0</v>
      </c>
      <c r="AO117" s="238"/>
      <c r="AP117" s="238"/>
      <c r="AQ117" s="238"/>
      <c r="AR117" s="239"/>
      <c r="AS117" s="238"/>
      <c r="AT117" s="240"/>
      <c r="AU117" s="12"/>
      <c r="AV117" s="240"/>
      <c r="AW117" s="240"/>
      <c r="AX117" s="238"/>
      <c r="AY117" s="238"/>
      <c r="AZ117" s="238"/>
      <c r="BA117" s="241"/>
      <c r="BB117" s="242"/>
      <c r="BC117" s="243" t="n">
        <v>3.7595</v>
      </c>
      <c r="BD117" s="195" t="n">
        <f aca="false">BC117-E117</f>
        <v>-0.00600000000000023</v>
      </c>
      <c r="BE117" s="251" t="n">
        <v>0</v>
      </c>
      <c r="BF117" s="245" t="n">
        <f aca="false">(BE117)*(D117*10)</f>
        <v>0</v>
      </c>
      <c r="BG117" s="121" t="n">
        <v>-211.66226847</v>
      </c>
      <c r="BH117" s="121" t="n">
        <v>0</v>
      </c>
      <c r="BI117" s="247"/>
      <c r="BJ117" s="121"/>
      <c r="BK117" s="121"/>
      <c r="BL117" s="121"/>
      <c r="BM117" s="121"/>
      <c r="BN117" s="121"/>
      <c r="BO117" s="121"/>
      <c r="BP117" s="275" t="n">
        <v>40391</v>
      </c>
      <c r="BQ117" s="143" t="n">
        <v>3.6645</v>
      </c>
      <c r="BR117" s="143" t="n">
        <v>0.185</v>
      </c>
      <c r="BS117" s="143" t="n">
        <v>0.0542595223213667</v>
      </c>
      <c r="BT117" s="121"/>
    </row>
    <row r="118" customFormat="false" ht="15" hidden="false" customHeight="false" outlineLevel="0" collapsed="false">
      <c r="A118" s="156" t="n">
        <f aca="false">EOMONTH(A117,0)+1</f>
        <v>40422</v>
      </c>
      <c r="B118" s="215"/>
      <c r="C118" s="281" t="n">
        <v>3.7725</v>
      </c>
      <c r="D118" s="282" t="n">
        <f aca="false">(E118-C118)*1000</f>
        <v>6.00000000000023</v>
      </c>
      <c r="E118" s="283" t="n">
        <f aca="false">VLOOKUP(YEAR(A118),Yr_Sprds,2)+E106</f>
        <v>3.7785</v>
      </c>
      <c r="F118" s="287"/>
      <c r="G118" s="288"/>
      <c r="H118" s="287"/>
      <c r="I118" s="287"/>
      <c r="J118" s="279"/>
      <c r="K118" s="278"/>
      <c r="L118" s="291"/>
      <c r="M118" s="112"/>
      <c r="N118" s="278"/>
      <c r="O118" s="278"/>
      <c r="P118" s="278"/>
      <c r="Q118" s="167"/>
      <c r="R118" s="167"/>
      <c r="S118" s="167"/>
      <c r="T118" s="167"/>
      <c r="U118" s="167"/>
      <c r="V118" s="167"/>
      <c r="W118" s="167"/>
      <c r="X118" s="167"/>
      <c r="Y118" s="228" t="n">
        <f aca="false">DAY(EOMONTH(A118,0))</f>
        <v>30</v>
      </c>
      <c r="Z118" s="268" t="n">
        <v>40266</v>
      </c>
      <c r="AA118" s="230" t="e">
        <f aca="false">IF(AND(A118&gt;=Front!$E$11,A118&lt;=Front!$E$12),A118,"")</f>
        <v>#VALUE!</v>
      </c>
      <c r="AB118" s="231" t="e">
        <f aca="false">IF(AA118="","",VLOOKUP(MONTH(A117),Front!$W$6:$X$17,2)*IF(Front!D$9=0,Swap!Y118,1))</f>
        <v>#VALUE!</v>
      </c>
      <c r="AC118" s="274" t="e">
        <f aca="false">IF(AA118="","",AB118*AH118)</f>
        <v>#VALUE!</v>
      </c>
      <c r="AD118" s="233"/>
      <c r="AE118" s="231" t="e">
        <f aca="false">IF(AA118="","",AD118*AH118)</f>
        <v>#VALUE!</v>
      </c>
      <c r="AF118" s="243" t="n">
        <f aca="false">INDEX(IRTable,MATCH(A118,IRMonth,0),4)</f>
        <v>0.0543760497114123</v>
      </c>
      <c r="AG118" s="243" t="n">
        <f aca="false">AF118+$AG$9</f>
        <v>0.0543760497114123</v>
      </c>
      <c r="AH118" s="195" t="n">
        <f aca="false">1/((1+AG118/2)^(2*((A118-Front!$C$2)/365.25)))</f>
        <v>2.2444460410311</v>
      </c>
      <c r="AI118" s="236" t="e">
        <f aca="false">IF($AA118="","",E118*AC118)</f>
        <v>#VALUE!</v>
      </c>
      <c r="AJ118" s="236" t="e">
        <f aca="false">IF($AA118="","",E118*AE118)</f>
        <v>#VALUE!</v>
      </c>
      <c r="AK118" s="237" t="e">
        <f aca="false">IF($AA118="","",C118*AC118)</f>
        <v>#VALUE!</v>
      </c>
      <c r="AL118" s="160" t="n">
        <f aca="false">(AO118/10000)/30.5</f>
        <v>0</v>
      </c>
      <c r="AM118" s="238" t="n">
        <f aca="false">AD118/10000</f>
        <v>0</v>
      </c>
      <c r="AN118" s="238" t="n">
        <f aca="false">AD118*DAY(EOMONTH(A118,0))/10000</f>
        <v>0</v>
      </c>
      <c r="AO118" s="238"/>
      <c r="AP118" s="238"/>
      <c r="AQ118" s="238"/>
      <c r="AR118" s="239"/>
      <c r="AS118" s="238"/>
      <c r="AT118" s="240"/>
      <c r="AU118" s="12"/>
      <c r="AV118" s="240"/>
      <c r="AW118" s="240"/>
      <c r="AX118" s="238"/>
      <c r="AY118" s="238"/>
      <c r="AZ118" s="238"/>
      <c r="BA118" s="241"/>
      <c r="BB118" s="242"/>
      <c r="BC118" s="243" t="n">
        <v>3.7725</v>
      </c>
      <c r="BD118" s="195" t="n">
        <f aca="false">BC118-E118</f>
        <v>-0.00600000000000023</v>
      </c>
      <c r="BE118" s="251" t="n">
        <v>0</v>
      </c>
      <c r="BF118" s="245" t="n">
        <f aca="false">(BE118)*(D118*10)</f>
        <v>0</v>
      </c>
      <c r="BG118" s="121" t="n">
        <v>-185.9319799</v>
      </c>
      <c r="BH118" s="121" t="n">
        <v>0</v>
      </c>
      <c r="BI118" s="247"/>
      <c r="BJ118" s="121"/>
      <c r="BK118" s="121"/>
      <c r="BL118" s="121"/>
      <c r="BM118" s="121"/>
      <c r="BN118" s="121"/>
      <c r="BO118" s="121"/>
      <c r="BP118" s="275" t="n">
        <v>40422</v>
      </c>
      <c r="BQ118" s="143" t="n">
        <v>3.6775</v>
      </c>
      <c r="BR118" s="143" t="n">
        <v>0.185</v>
      </c>
      <c r="BS118" s="143" t="n">
        <v>0.0543760497114123</v>
      </c>
      <c r="BT118" s="121"/>
    </row>
    <row r="119" customFormat="false" ht="15" hidden="false" customHeight="false" outlineLevel="0" collapsed="false">
      <c r="A119" s="156" t="n">
        <f aca="false">EOMONTH(A118,0)+1</f>
        <v>40452</v>
      </c>
      <c r="B119" s="215"/>
      <c r="C119" s="281" t="n">
        <v>3.7645</v>
      </c>
      <c r="D119" s="282" t="n">
        <f aca="false">(E119-C119)*1000</f>
        <v>6.00000000000023</v>
      </c>
      <c r="E119" s="283" t="n">
        <f aca="false">VLOOKUP(YEAR(A119),Yr_Sprds,2)+E107</f>
        <v>3.7705</v>
      </c>
      <c r="F119" s="287"/>
      <c r="G119" s="288"/>
      <c r="H119" s="287"/>
      <c r="I119" s="287"/>
      <c r="J119" s="279"/>
      <c r="K119" s="278"/>
      <c r="L119" s="291"/>
      <c r="M119" s="112"/>
      <c r="N119" s="278"/>
      <c r="O119" s="278"/>
      <c r="P119" s="278"/>
      <c r="Q119" s="167"/>
      <c r="R119" s="167"/>
      <c r="S119" s="167"/>
      <c r="T119" s="167"/>
      <c r="U119" s="167"/>
      <c r="V119" s="167"/>
      <c r="W119" s="167"/>
      <c r="X119" s="167"/>
      <c r="Y119" s="228" t="n">
        <f aca="false">DAY(EOMONTH(A119,0))</f>
        <v>31</v>
      </c>
      <c r="Z119" s="268" t="n">
        <v>40296</v>
      </c>
      <c r="AA119" s="230" t="e">
        <f aca="false">IF(AND(A119&gt;=Front!$E$11,A119&lt;=Front!$E$12),A119,"")</f>
        <v>#VALUE!</v>
      </c>
      <c r="AB119" s="231" t="e">
        <f aca="false">IF(AA119="","",VLOOKUP(MONTH(A118),Front!$W$6:$X$17,2)*IF(Front!D$9=0,Swap!Y119,1))</f>
        <v>#VALUE!</v>
      </c>
      <c r="AC119" s="274" t="e">
        <f aca="false">IF(AA119="","",AB119*AH119)</f>
        <v>#VALUE!</v>
      </c>
      <c r="AD119" s="233"/>
      <c r="AE119" s="231" t="e">
        <f aca="false">IF(AA119="","",AD119*AH119)</f>
        <v>#VALUE!</v>
      </c>
      <c r="AF119" s="243" t="n">
        <f aca="false">INDEX(IRTable,MATCH(A119,IRMonth,0),4)</f>
        <v>0.0544888181576999</v>
      </c>
      <c r="AG119" s="243" t="n">
        <f aca="false">AF119+$AG$9</f>
        <v>0.0544888181576999</v>
      </c>
      <c r="AH119" s="195" t="n">
        <f aca="false">1/((1+AG119/2)^(2*((A119-Front!$C$2)/365.25)))</f>
        <v>2.23825702710483</v>
      </c>
      <c r="AI119" s="236" t="e">
        <f aca="false">IF($AA119="","",E119*AC119)</f>
        <v>#VALUE!</v>
      </c>
      <c r="AJ119" s="236" t="e">
        <f aca="false">IF($AA119="","",E119*AE119)</f>
        <v>#VALUE!</v>
      </c>
      <c r="AK119" s="237" t="e">
        <f aca="false">IF($AA119="","",C119*AC119)</f>
        <v>#VALUE!</v>
      </c>
      <c r="AL119" s="160" t="n">
        <f aca="false">(AO119/10000)/30.5</f>
        <v>0</v>
      </c>
      <c r="AM119" s="238" t="n">
        <f aca="false">AD119/10000</f>
        <v>0</v>
      </c>
      <c r="AN119" s="238" t="n">
        <f aca="false">AD119*DAY(EOMONTH(A119,0))/10000</f>
        <v>0</v>
      </c>
      <c r="AO119" s="238"/>
      <c r="AP119" s="238"/>
      <c r="AQ119" s="238"/>
      <c r="AR119" s="239"/>
      <c r="AS119" s="238"/>
      <c r="AT119" s="240"/>
      <c r="AU119" s="12"/>
      <c r="AV119" s="240"/>
      <c r="AW119" s="240"/>
      <c r="AX119" s="238"/>
      <c r="AY119" s="238"/>
      <c r="AZ119" s="238"/>
      <c r="BA119" s="241"/>
      <c r="BB119" s="242"/>
      <c r="BC119" s="243" t="n">
        <v>3.7645</v>
      </c>
      <c r="BD119" s="195" t="n">
        <f aca="false">BC119-E119</f>
        <v>-0.00600000000000023</v>
      </c>
      <c r="BE119" s="251" t="n">
        <v>0</v>
      </c>
      <c r="BF119" s="245" t="n">
        <f aca="false">(BE119)*(D119*10)</f>
        <v>0</v>
      </c>
      <c r="BG119" s="121" t="n">
        <v>-210.5747965</v>
      </c>
      <c r="BH119" s="121" t="n">
        <v>0</v>
      </c>
      <c r="BI119" s="247"/>
      <c r="BJ119" s="121"/>
      <c r="BK119" s="121"/>
      <c r="BL119" s="121"/>
      <c r="BM119" s="121"/>
      <c r="BN119" s="121"/>
      <c r="BO119" s="121"/>
      <c r="BP119" s="275" t="n">
        <v>40452</v>
      </c>
      <c r="BQ119" s="143" t="n">
        <v>3.6995</v>
      </c>
      <c r="BR119" s="143" t="n">
        <v>0.185</v>
      </c>
      <c r="BS119" s="143" t="n">
        <v>0.0544888181576999</v>
      </c>
      <c r="BT119" s="121"/>
    </row>
    <row r="120" customFormat="false" ht="15" hidden="false" customHeight="false" outlineLevel="0" collapsed="false">
      <c r="A120" s="156" t="n">
        <f aca="false">EOMONTH(A119,0)+1</f>
        <v>40483</v>
      </c>
      <c r="B120" s="215"/>
      <c r="C120" s="281" t="n">
        <v>3.9345</v>
      </c>
      <c r="D120" s="282" t="n">
        <f aca="false">(E120-C120)*1000</f>
        <v>6.00000000000023</v>
      </c>
      <c r="E120" s="283" t="n">
        <f aca="false">VLOOKUP(YEAR(A120),Yr_Sprds,2)+E108</f>
        <v>3.9405</v>
      </c>
      <c r="F120" s="287"/>
      <c r="G120" s="288"/>
      <c r="H120" s="287"/>
      <c r="I120" s="287"/>
      <c r="J120" s="279"/>
      <c r="K120" s="278"/>
      <c r="L120" s="291"/>
      <c r="M120" s="112"/>
      <c r="N120" s="278"/>
      <c r="O120" s="278"/>
      <c r="P120" s="278"/>
      <c r="Q120" s="167"/>
      <c r="R120" s="167"/>
      <c r="S120" s="167"/>
      <c r="T120" s="167"/>
      <c r="U120" s="167"/>
      <c r="V120" s="167"/>
      <c r="W120" s="167"/>
      <c r="X120" s="167"/>
      <c r="Y120" s="228" t="n">
        <f aca="false">DAY(EOMONTH(A120,0))</f>
        <v>30</v>
      </c>
      <c r="Z120" s="268" t="n">
        <v>40324</v>
      </c>
      <c r="AA120" s="230" t="e">
        <f aca="false">IF(AND(A120&gt;=Front!$E$11,A120&lt;=Front!$E$12),A120,"")</f>
        <v>#VALUE!</v>
      </c>
      <c r="AB120" s="231" t="e">
        <f aca="false">IF(AA120="","",VLOOKUP(MONTH(A119),Front!$W$6:$X$17,2)*IF(Front!D$9=0,Swap!Y120,1))</f>
        <v>#VALUE!</v>
      </c>
      <c r="AC120" s="274" t="e">
        <f aca="false">IF(AA120="","",AB120*AH120)</f>
        <v>#VALUE!</v>
      </c>
      <c r="AD120" s="233"/>
      <c r="AE120" s="231" t="e">
        <f aca="false">IF(AA120="","",AD120*AH120)</f>
        <v>#VALUE!</v>
      </c>
      <c r="AF120" s="243" t="n">
        <f aca="false">INDEX(IRTable,MATCH(A120,IRMonth,0),4)</f>
        <v>0.0546053455566473</v>
      </c>
      <c r="AG120" s="243" t="n">
        <f aca="false">AF120+$AG$9</f>
        <v>0.0546053455566473</v>
      </c>
      <c r="AH120" s="195" t="n">
        <f aca="false">1/((1+AG120/2)^(2*((A120-Front!$C$2)/365.25)))</f>
        <v>2.23183714698987</v>
      </c>
      <c r="AI120" s="236" t="e">
        <f aca="false">IF($AA120="","",E120*AC120)</f>
        <v>#VALUE!</v>
      </c>
      <c r="AJ120" s="236" t="e">
        <f aca="false">IF($AA120="","",E120*AE120)</f>
        <v>#VALUE!</v>
      </c>
      <c r="AK120" s="237" t="e">
        <f aca="false">IF($AA120="","",C120*AC120)</f>
        <v>#VALUE!</v>
      </c>
      <c r="AL120" s="160" t="n">
        <f aca="false">(AO120/10000)/30.5</f>
        <v>0</v>
      </c>
      <c r="AM120" s="238" t="n">
        <f aca="false">AD120/10000</f>
        <v>0</v>
      </c>
      <c r="AN120" s="238" t="n">
        <f aca="false">AD120*DAY(EOMONTH(A120,0))/10000</f>
        <v>0</v>
      </c>
      <c r="AO120" s="238"/>
      <c r="AP120" s="238"/>
      <c r="AQ120" s="238"/>
      <c r="AR120" s="239"/>
      <c r="AS120" s="238"/>
      <c r="AT120" s="240"/>
      <c r="AU120" s="12"/>
      <c r="AV120" s="240"/>
      <c r="AW120" s="240"/>
      <c r="AX120" s="238"/>
      <c r="AY120" s="238"/>
      <c r="AZ120" s="238"/>
      <c r="BA120" s="241"/>
      <c r="BB120" s="242"/>
      <c r="BC120" s="243" t="n">
        <v>3.9345</v>
      </c>
      <c r="BD120" s="195" t="n">
        <f aca="false">BC120-E120</f>
        <v>-0.00600000000000023</v>
      </c>
      <c r="BE120" s="251" t="n">
        <v>0</v>
      </c>
      <c r="BF120" s="245" t="n">
        <f aca="false">(BE120)*(D120*10)</f>
        <v>0</v>
      </c>
      <c r="BG120" s="121" t="n">
        <v>-200.4569663</v>
      </c>
      <c r="BH120" s="121" t="n">
        <v>0</v>
      </c>
      <c r="BI120" s="247"/>
      <c r="BJ120" s="121"/>
      <c r="BK120" s="121"/>
      <c r="BL120" s="121"/>
      <c r="BM120" s="121"/>
      <c r="BN120" s="121"/>
      <c r="BO120" s="121"/>
      <c r="BP120" s="275" t="n">
        <v>40483</v>
      </c>
      <c r="BQ120" s="143" t="n">
        <v>3.8695</v>
      </c>
      <c r="BR120" s="143" t="n">
        <v>0.185</v>
      </c>
      <c r="BS120" s="143" t="n">
        <v>0.0546053455566473</v>
      </c>
      <c r="BT120" s="121"/>
    </row>
    <row r="121" customFormat="false" ht="15" hidden="false" customHeight="false" outlineLevel="0" collapsed="false">
      <c r="A121" s="156" t="n">
        <f aca="false">EOMONTH(A120,0)+1</f>
        <v>40513</v>
      </c>
      <c r="B121" s="215"/>
      <c r="C121" s="281" t="n">
        <v>4.1095</v>
      </c>
      <c r="D121" s="282" t="n">
        <f aca="false">(E121-C121)*1000</f>
        <v>6.00000000000023</v>
      </c>
      <c r="E121" s="283" t="n">
        <f aca="false">VLOOKUP(YEAR(A121),Yr_Sprds,2)+E109</f>
        <v>4.1155</v>
      </c>
      <c r="F121" s="287"/>
      <c r="G121" s="288"/>
      <c r="H121" s="287"/>
      <c r="I121" s="287"/>
      <c r="J121" s="279"/>
      <c r="K121" s="278"/>
      <c r="L121" s="291"/>
      <c r="M121" s="112"/>
      <c r="N121" s="278"/>
      <c r="O121" s="278"/>
      <c r="P121" s="278"/>
      <c r="Q121" s="167"/>
      <c r="R121" s="167"/>
      <c r="S121" s="167"/>
      <c r="T121" s="167"/>
      <c r="U121" s="167"/>
      <c r="V121" s="167"/>
      <c r="W121" s="167"/>
      <c r="X121" s="167"/>
      <c r="Y121" s="228" t="n">
        <f aca="false">DAY(EOMONTH(A121,0))</f>
        <v>31</v>
      </c>
      <c r="Z121" s="268" t="n">
        <v>40357</v>
      </c>
      <c r="AA121" s="230" t="e">
        <f aca="false">IF(AND(A121&gt;=Front!$E$11,A121&lt;=Front!$E$12),A121,"")</f>
        <v>#VALUE!</v>
      </c>
      <c r="AB121" s="231" t="e">
        <f aca="false">IF(AA121="","",VLOOKUP(MONTH(A120),Front!$W$6:$X$17,2)*IF(Front!D$9=0,Swap!Y121,1))</f>
        <v>#VALUE!</v>
      </c>
      <c r="AC121" s="274" t="e">
        <f aca="false">IF(AA121="","",AB121*AH121)</f>
        <v>#VALUE!</v>
      </c>
      <c r="AD121" s="233"/>
      <c r="AE121" s="231" t="e">
        <f aca="false">IF(AA121="","",AD121*AH121)</f>
        <v>#VALUE!</v>
      </c>
      <c r="AF121" s="243" t="n">
        <f aca="false">INDEX(IRTable,MATCH(A121,IRMonth,0),4)</f>
        <v>0.0547181140115489</v>
      </c>
      <c r="AG121" s="243" t="n">
        <f aca="false">AF121+$AG$9</f>
        <v>0.0547181140115489</v>
      </c>
      <c r="AH121" s="195" t="n">
        <f aca="false">1/((1+AG121/2)^(2*((A121-Front!$C$2)/365.25)))</f>
        <v>2.22560088780557</v>
      </c>
      <c r="AI121" s="236" t="e">
        <f aca="false">IF($AA121="","",E121*AC121)</f>
        <v>#VALUE!</v>
      </c>
      <c r="AJ121" s="236" t="e">
        <f aca="false">IF($AA121="","",E121*AE121)</f>
        <v>#VALUE!</v>
      </c>
      <c r="AK121" s="237" t="e">
        <f aca="false">IF($AA121="","",C121*AC121)</f>
        <v>#VALUE!</v>
      </c>
      <c r="AL121" s="160" t="n">
        <f aca="false">(AO121/10000)/30.5</f>
        <v>0</v>
      </c>
      <c r="AM121" s="238" t="n">
        <f aca="false">AD121/10000</f>
        <v>0</v>
      </c>
      <c r="AN121" s="238" t="n">
        <f aca="false">AD121*DAY(EOMONTH(A121,0))/10000</f>
        <v>0</v>
      </c>
      <c r="AO121" s="238"/>
      <c r="AP121" s="238"/>
      <c r="AQ121" s="238"/>
      <c r="AR121" s="239"/>
      <c r="AS121" s="238"/>
      <c r="AT121" s="240"/>
      <c r="AU121" s="12"/>
      <c r="AV121" s="240"/>
      <c r="AW121" s="240"/>
      <c r="AX121" s="238"/>
      <c r="AY121" s="238"/>
      <c r="AZ121" s="238"/>
      <c r="BA121" s="241"/>
      <c r="BB121" s="242"/>
      <c r="BC121" s="243" t="n">
        <v>4.1095</v>
      </c>
      <c r="BD121" s="195" t="n">
        <f aca="false">BC121-E121</f>
        <v>-0.00600000000000023</v>
      </c>
      <c r="BE121" s="251" t="n">
        <v>0</v>
      </c>
      <c r="BF121" s="245" t="n">
        <f aca="false">(BE121)*(D121*10)</f>
        <v>0</v>
      </c>
      <c r="BG121" s="121" t="n">
        <v>-197.87512894</v>
      </c>
      <c r="BH121" s="121" t="n">
        <v>0</v>
      </c>
      <c r="BI121" s="247"/>
      <c r="BJ121" s="121"/>
      <c r="BK121" s="121"/>
      <c r="BL121" s="121"/>
      <c r="BM121" s="121"/>
      <c r="BN121" s="121"/>
      <c r="BO121" s="121"/>
      <c r="BP121" s="275" t="n">
        <v>40513</v>
      </c>
      <c r="BQ121" s="143" t="n">
        <v>4.0445</v>
      </c>
      <c r="BR121" s="143" t="n">
        <v>0.185</v>
      </c>
      <c r="BS121" s="143" t="n">
        <v>0.0547181140115489</v>
      </c>
      <c r="BT121" s="121"/>
    </row>
    <row r="122" customFormat="false" ht="15" hidden="false" customHeight="false" outlineLevel="0" collapsed="false">
      <c r="A122" s="156" t="n">
        <f aca="false">EOMONTH(A121,0)+1</f>
        <v>40544</v>
      </c>
      <c r="B122" s="215"/>
      <c r="C122" s="281" t="n">
        <v>4.157</v>
      </c>
      <c r="D122" s="282" t="n">
        <f aca="false">(E122-C122)*1000</f>
        <v>8.49999999999973</v>
      </c>
      <c r="E122" s="283" t="n">
        <f aca="false">VLOOKUP(YEAR(A122),Yr_Sprds,2)+E110</f>
        <v>4.1655</v>
      </c>
      <c r="F122" s="287"/>
      <c r="G122" s="288"/>
      <c r="H122" s="287"/>
      <c r="I122" s="287"/>
      <c r="J122" s="279"/>
      <c r="K122" s="278"/>
      <c r="L122" s="291"/>
      <c r="M122" s="112"/>
      <c r="N122" s="278"/>
      <c r="O122" s="278"/>
      <c r="P122" s="278"/>
      <c r="Q122" s="167"/>
      <c r="R122" s="167"/>
      <c r="S122" s="167"/>
      <c r="T122" s="167"/>
      <c r="U122" s="167"/>
      <c r="V122" s="167"/>
      <c r="W122" s="167"/>
      <c r="X122" s="167"/>
      <c r="Y122" s="228" t="n">
        <f aca="false">DAY(EOMONTH(A122,0))</f>
        <v>31</v>
      </c>
      <c r="Z122" s="268" t="n">
        <v>40387</v>
      </c>
      <c r="AA122" s="230" t="e">
        <f aca="false">IF(AND(A122&gt;=Front!$E$11,A122&lt;=Front!$E$12),A122,"")</f>
        <v>#VALUE!</v>
      </c>
      <c r="AB122" s="231" t="e">
        <f aca="false">IF(AA122="","",VLOOKUP(MONTH(A121),Front!$W$6:$X$17,2)*IF(Front!D$9=0,Swap!Y122,1))</f>
        <v>#VALUE!</v>
      </c>
      <c r="AC122" s="274" t="e">
        <f aca="false">IF(AA122="","",AB122*AH122)</f>
        <v>#VALUE!</v>
      </c>
      <c r="AD122" s="233"/>
      <c r="AE122" s="231" t="e">
        <f aca="false">IF(AA122="","",AD122*AH122)</f>
        <v>#VALUE!</v>
      </c>
      <c r="AF122" s="243" t="n">
        <f aca="false">INDEX(IRTable,MATCH(A122,IRMonth,0),4)</f>
        <v>0.0548346414193981</v>
      </c>
      <c r="AG122" s="243" t="n">
        <f aca="false">AF122+$AG$9</f>
        <v>0.0548346414193981</v>
      </c>
      <c r="AH122" s="195" t="n">
        <f aca="false">1/((1+AG122/2)^(2*((A122-Front!$C$2)/365.25)))</f>
        <v>2.21913281415618</v>
      </c>
      <c r="AI122" s="236" t="e">
        <f aca="false">IF($AA122="","",E122*AC122)</f>
        <v>#VALUE!</v>
      </c>
      <c r="AJ122" s="236" t="e">
        <f aca="false">IF($AA122="","",E122*AE122)</f>
        <v>#VALUE!</v>
      </c>
      <c r="AK122" s="237" t="e">
        <f aca="false">IF($AA122="","",C122*AC122)</f>
        <v>#VALUE!</v>
      </c>
      <c r="AL122" s="160" t="n">
        <f aca="false">(AO122/10000)/30.5</f>
        <v>0</v>
      </c>
      <c r="AM122" s="238" t="n">
        <f aca="false">AD122/10000</f>
        <v>0</v>
      </c>
      <c r="AN122" s="238" t="n">
        <f aca="false">AD122*DAY(EOMONTH(A122,0))/10000</f>
        <v>0</v>
      </c>
      <c r="AO122" s="238"/>
      <c r="AP122" s="238"/>
      <c r="AQ122" s="238"/>
      <c r="AR122" s="239"/>
      <c r="AS122" s="238"/>
      <c r="AT122" s="240"/>
      <c r="AU122" s="12"/>
      <c r="AV122" s="240"/>
      <c r="AW122" s="240"/>
      <c r="AX122" s="238"/>
      <c r="AY122" s="238"/>
      <c r="AZ122" s="238"/>
      <c r="BA122" s="241"/>
      <c r="BB122" s="242"/>
      <c r="BC122" s="243" t="n">
        <v>4.157</v>
      </c>
      <c r="BD122" s="195" t="n">
        <f aca="false">BC122-E122</f>
        <v>-0.00849999999999973</v>
      </c>
      <c r="BE122" s="251" t="n">
        <v>0</v>
      </c>
      <c r="BF122" s="245" t="n">
        <f aca="false">(BE122)*(D122*10)</f>
        <v>0</v>
      </c>
      <c r="BG122" s="121" t="n">
        <v>-189.3901873</v>
      </c>
      <c r="BH122" s="121" t="n">
        <v>0</v>
      </c>
      <c r="BI122" s="247"/>
      <c r="BJ122" s="121"/>
      <c r="BK122" s="121"/>
      <c r="BL122" s="121"/>
      <c r="BM122" s="121"/>
      <c r="BN122" s="121"/>
      <c r="BO122" s="121"/>
      <c r="BP122" s="275" t="n">
        <v>40544</v>
      </c>
      <c r="BQ122" s="143" t="n">
        <v>4.0595</v>
      </c>
      <c r="BR122" s="143" t="n">
        <v>0.185</v>
      </c>
      <c r="BS122" s="143" t="n">
        <v>0.0548346414193981</v>
      </c>
      <c r="BT122" s="121"/>
    </row>
    <row r="123" customFormat="false" ht="15" hidden="false" customHeight="false" outlineLevel="0" collapsed="false">
      <c r="A123" s="156" t="n">
        <f aca="false">EOMONTH(A122,0)+1</f>
        <v>40575</v>
      </c>
      <c r="B123" s="215"/>
      <c r="C123" s="281" t="n">
        <v>4.043</v>
      </c>
      <c r="D123" s="282" t="n">
        <f aca="false">(E123-C123)*1000</f>
        <v>8.50000000000062</v>
      </c>
      <c r="E123" s="283" t="n">
        <f aca="false">VLOOKUP(YEAR(A123),Yr_Sprds,2)+E111</f>
        <v>4.0515</v>
      </c>
      <c r="F123" s="287"/>
      <c r="G123" s="288"/>
      <c r="H123" s="287"/>
      <c r="I123" s="287"/>
      <c r="J123" s="279"/>
      <c r="K123" s="278"/>
      <c r="L123" s="291"/>
      <c r="M123" s="112"/>
      <c r="N123" s="278"/>
      <c r="O123" s="278"/>
      <c r="P123" s="278"/>
      <c r="Q123" s="167"/>
      <c r="R123" s="167"/>
      <c r="S123" s="167"/>
      <c r="T123" s="167"/>
      <c r="U123" s="167"/>
      <c r="V123" s="167"/>
      <c r="W123" s="167"/>
      <c r="X123" s="167"/>
      <c r="Y123" s="228" t="n">
        <f aca="false">DAY(EOMONTH(A123,0))</f>
        <v>28</v>
      </c>
      <c r="Z123" s="268" t="n">
        <v>40417</v>
      </c>
      <c r="AA123" s="230" t="e">
        <f aca="false">IF(AND(A123&gt;=Front!$E$11,A123&lt;=Front!$E$12),A123,"")</f>
        <v>#VALUE!</v>
      </c>
      <c r="AB123" s="231" t="e">
        <f aca="false">IF(AA123="","",VLOOKUP(MONTH(A122),Front!$W$6:$X$17,2)*IF(Front!D$9=0,Swap!Y123,1))</f>
        <v>#VALUE!</v>
      </c>
      <c r="AC123" s="274" t="e">
        <f aca="false">IF(AA123="","",AB123*AH123)</f>
        <v>#VALUE!</v>
      </c>
      <c r="AD123" s="233"/>
      <c r="AE123" s="231" t="e">
        <f aca="false">IF(AA123="","",AD123*AH123)</f>
        <v>#VALUE!</v>
      </c>
      <c r="AF123" s="243" t="n">
        <f aca="false">INDEX(IRTable,MATCH(A123,IRMonth,0),4)</f>
        <v>0.0549511688317694</v>
      </c>
      <c r="AG123" s="243" t="n">
        <f aca="false">AF123+$AG$9</f>
        <v>0.0549511688317694</v>
      </c>
      <c r="AH123" s="195" t="n">
        <f aca="false">1/((1+AG123/2)^(2*((A123-Front!$C$2)/365.25)))</f>
        <v>2.21264072971801</v>
      </c>
      <c r="AI123" s="236" t="e">
        <f aca="false">IF($AA123="","",E123*AC123)</f>
        <v>#VALUE!</v>
      </c>
      <c r="AJ123" s="236" t="e">
        <f aca="false">IF($AA123="","",E123*AE123)</f>
        <v>#VALUE!</v>
      </c>
      <c r="AK123" s="237" t="e">
        <f aca="false">IF($AA123="","",C123*AC123)</f>
        <v>#VALUE!</v>
      </c>
      <c r="AL123" s="160" t="n">
        <f aca="false">(AO123/10000)/30.5</f>
        <v>0</v>
      </c>
      <c r="AM123" s="238" t="n">
        <f aca="false">AD123/10000</f>
        <v>0</v>
      </c>
      <c r="AN123" s="238" t="n">
        <f aca="false">AD123*DAY(EOMONTH(A123,0))/10000</f>
        <v>0</v>
      </c>
      <c r="AO123" s="238"/>
      <c r="AP123" s="238"/>
      <c r="AQ123" s="238"/>
      <c r="AR123" s="239"/>
      <c r="AS123" s="238"/>
      <c r="AT123" s="240"/>
      <c r="AU123" s="12"/>
      <c r="AV123" s="240"/>
      <c r="AW123" s="240"/>
      <c r="AX123" s="238"/>
      <c r="AY123" s="238"/>
      <c r="AZ123" s="238"/>
      <c r="BA123" s="241"/>
      <c r="BB123" s="242"/>
      <c r="BC123" s="243" t="n">
        <v>4.043</v>
      </c>
      <c r="BD123" s="195" t="n">
        <f aca="false">BC123-E123</f>
        <v>-0.00850000000000062</v>
      </c>
      <c r="BE123" s="251" t="n">
        <v>0</v>
      </c>
      <c r="BF123" s="245" t="n">
        <f aca="false">(BE123)*(D123*10)</f>
        <v>0</v>
      </c>
      <c r="BG123" s="121" t="n">
        <v>-196.19798183</v>
      </c>
      <c r="BH123" s="121" t="n">
        <v>0</v>
      </c>
      <c r="BI123" s="247"/>
      <c r="BJ123" s="121"/>
      <c r="BK123" s="121"/>
      <c r="BL123" s="121"/>
      <c r="BM123" s="121"/>
      <c r="BN123" s="121"/>
      <c r="BO123" s="121"/>
      <c r="BP123" s="275" t="n">
        <v>40575</v>
      </c>
      <c r="BQ123" s="143" t="n">
        <v>3.9455</v>
      </c>
      <c r="BR123" s="143" t="n">
        <v>0.185</v>
      </c>
      <c r="BS123" s="143" t="n">
        <v>0.0549511688317694</v>
      </c>
      <c r="BT123" s="121"/>
    </row>
    <row r="124" customFormat="false" ht="15" hidden="false" customHeight="false" outlineLevel="0" collapsed="false">
      <c r="A124" s="156" t="n">
        <f aca="false">EOMONTH(A123,0)+1</f>
        <v>40603</v>
      </c>
      <c r="B124" s="215"/>
      <c r="C124" s="281" t="n">
        <v>3.911</v>
      </c>
      <c r="D124" s="282" t="n">
        <f aca="false">(E124-C124)*1000</f>
        <v>8.50000000000017</v>
      </c>
      <c r="E124" s="283" t="n">
        <f aca="false">VLOOKUP(YEAR(A124),Yr_Sprds,2)+E112</f>
        <v>3.9195</v>
      </c>
      <c r="F124" s="287"/>
      <c r="G124" s="288"/>
      <c r="H124" s="287"/>
      <c r="I124" s="287"/>
      <c r="J124" s="279"/>
      <c r="K124" s="278"/>
      <c r="L124" s="291"/>
      <c r="M124" s="112"/>
      <c r="N124" s="278"/>
      <c r="O124" s="278"/>
      <c r="P124" s="278"/>
      <c r="Q124" s="167"/>
      <c r="R124" s="167"/>
      <c r="S124" s="167"/>
      <c r="T124" s="167"/>
      <c r="U124" s="167"/>
      <c r="V124" s="167"/>
      <c r="W124" s="167"/>
      <c r="X124" s="167"/>
      <c r="Y124" s="228" t="n">
        <f aca="false">DAY(EOMONTH(A124,0))</f>
        <v>31</v>
      </c>
      <c r="Z124" s="268" t="n">
        <v>40449</v>
      </c>
      <c r="AA124" s="230" t="e">
        <f aca="false">IF(AND(A124&gt;=Front!$E$11,A124&lt;=Front!$E$12),A124,"")</f>
        <v>#VALUE!</v>
      </c>
      <c r="AB124" s="231" t="e">
        <f aca="false">IF(AA124="","",VLOOKUP(MONTH(A123),Front!$W$6:$X$17,2)*IF(Front!D$9=0,Swap!Y124,1))</f>
        <v>#VALUE!</v>
      </c>
      <c r="AC124" s="274" t="e">
        <f aca="false">IF(AA124="","",AB124*AH124)</f>
        <v>#VALUE!</v>
      </c>
      <c r="AD124" s="233"/>
      <c r="AE124" s="231" t="e">
        <f aca="false">IF(AA124="","",AD124*AH124)</f>
        <v>#VALUE!</v>
      </c>
      <c r="AF124" s="243" t="n">
        <f aca="false">INDEX(IRTable,MATCH(A124,IRMonth,0),4)</f>
        <v>0.0550564194016703</v>
      </c>
      <c r="AG124" s="243" t="n">
        <f aca="false">AF124+$AG$9</f>
        <v>0.0550564194016703</v>
      </c>
      <c r="AH124" s="195" t="n">
        <f aca="false">1/((1+AG124/2)^(2*((A124-Front!$C$2)/365.25)))</f>
        <v>2.20675654381697</v>
      </c>
      <c r="AI124" s="236" t="e">
        <f aca="false">IF($AA124="","",E124*AC124)</f>
        <v>#VALUE!</v>
      </c>
      <c r="AJ124" s="236" t="e">
        <f aca="false">IF($AA124="","",E124*AE124)</f>
        <v>#VALUE!</v>
      </c>
      <c r="AK124" s="237" t="e">
        <f aca="false">IF($AA124="","",C124*AC124)</f>
        <v>#VALUE!</v>
      </c>
      <c r="AL124" s="160" t="n">
        <f aca="false">(AO124/10000)/30.5</f>
        <v>0</v>
      </c>
      <c r="AM124" s="238" t="n">
        <f aca="false">AD124/10000</f>
        <v>0</v>
      </c>
      <c r="AN124" s="238" t="n">
        <f aca="false">AD124*DAY(EOMONTH(A124,0))/10000</f>
        <v>0</v>
      </c>
      <c r="AO124" s="238"/>
      <c r="AP124" s="238"/>
      <c r="AQ124" s="238"/>
      <c r="AR124" s="239"/>
      <c r="AS124" s="238"/>
      <c r="AT124" s="240"/>
      <c r="AU124" s="12"/>
      <c r="AV124" s="240"/>
      <c r="AW124" s="240"/>
      <c r="AX124" s="238"/>
      <c r="AY124" s="238"/>
      <c r="AZ124" s="238"/>
      <c r="BA124" s="241"/>
      <c r="BB124" s="242"/>
      <c r="BC124" s="243" t="n">
        <v>3.911</v>
      </c>
      <c r="BD124" s="195" t="n">
        <f aca="false">BC124-E124</f>
        <v>-0.00850000000000017</v>
      </c>
      <c r="BE124" s="251" t="n">
        <v>0</v>
      </c>
      <c r="BF124" s="245" t="n">
        <f aca="false">(BE124)*(D124*10)</f>
        <v>0</v>
      </c>
      <c r="BG124" s="121" t="n">
        <v>-201.95347088</v>
      </c>
      <c r="BH124" s="121" t="n">
        <v>0</v>
      </c>
      <c r="BI124" s="247"/>
      <c r="BJ124" s="121"/>
      <c r="BK124" s="121"/>
      <c r="BL124" s="121"/>
      <c r="BM124" s="121"/>
      <c r="BN124" s="121"/>
      <c r="BO124" s="121"/>
      <c r="BP124" s="275" t="n">
        <v>40603</v>
      </c>
      <c r="BQ124" s="143" t="n">
        <v>3.8135</v>
      </c>
      <c r="BR124" s="143" t="n">
        <v>0.18</v>
      </c>
      <c r="BS124" s="143" t="n">
        <v>0.0550564194016703</v>
      </c>
      <c r="BT124" s="121"/>
    </row>
    <row r="125" customFormat="false" ht="15" hidden="false" customHeight="false" outlineLevel="0" collapsed="false">
      <c r="A125" s="156" t="n">
        <f aca="false">EOMONTH(A124,0)+1</f>
        <v>40634</v>
      </c>
      <c r="B125" s="215"/>
      <c r="C125" s="281" t="n">
        <v>3.741</v>
      </c>
      <c r="D125" s="282" t="n">
        <f aca="false">(E125-C125)*1000</f>
        <v>8.50000000000017</v>
      </c>
      <c r="E125" s="283" t="n">
        <f aca="false">VLOOKUP(YEAR(A125),Yr_Sprds,2)+E113</f>
        <v>3.7495</v>
      </c>
      <c r="F125" s="287"/>
      <c r="G125" s="288"/>
      <c r="H125" s="287"/>
      <c r="I125" s="287"/>
      <c r="J125" s="279"/>
      <c r="K125" s="278"/>
      <c r="L125" s="291"/>
      <c r="M125" s="112"/>
      <c r="N125" s="278"/>
      <c r="O125" s="278"/>
      <c r="P125" s="278"/>
      <c r="Q125" s="167"/>
      <c r="R125" s="167"/>
      <c r="S125" s="167"/>
      <c r="T125" s="167"/>
      <c r="U125" s="167"/>
      <c r="V125" s="167"/>
      <c r="W125" s="167"/>
      <c r="X125" s="167"/>
      <c r="Y125" s="228" t="n">
        <f aca="false">DAY(EOMONTH(A125,0))</f>
        <v>30</v>
      </c>
      <c r="Z125" s="268" t="n">
        <v>40478</v>
      </c>
      <c r="AA125" s="230" t="e">
        <f aca="false">IF(AND(A125&gt;=Front!$E$11,A125&lt;=Front!$E$12),A125,"")</f>
        <v>#VALUE!</v>
      </c>
      <c r="AB125" s="231" t="e">
        <f aca="false">IF(AA125="","",VLOOKUP(MONTH(A124),Front!$W$6:$X$17,2)*IF(Front!D$9=0,Swap!Y125,1))</f>
        <v>#VALUE!</v>
      </c>
      <c r="AC125" s="274" t="e">
        <f aca="false">IF(AA125="","",AB125*AH125)</f>
        <v>#VALUE!</v>
      </c>
      <c r="AD125" s="233"/>
      <c r="AE125" s="231" t="e">
        <f aca="false">IF(AA125="","",AD125*AH125)</f>
        <v>#VALUE!</v>
      </c>
      <c r="AF125" s="243" t="n">
        <f aca="false">INDEX(IRTable,MATCH(A125,IRMonth,0),4)</f>
        <v>0.0551729468226494</v>
      </c>
      <c r="AG125" s="243" t="n">
        <f aca="false">AF125+$AG$9</f>
        <v>0.0551729468226494</v>
      </c>
      <c r="AH125" s="195" t="n">
        <f aca="false">1/((1+AG125/2)^(2*((A125-Front!$C$2)/365.25)))</f>
        <v>2.2002196588469</v>
      </c>
      <c r="AI125" s="236" t="e">
        <f aca="false">IF($AA125="","",E125*AC125)</f>
        <v>#VALUE!</v>
      </c>
      <c r="AJ125" s="236" t="e">
        <f aca="false">IF($AA125="","",E125*AE125)</f>
        <v>#VALUE!</v>
      </c>
      <c r="AK125" s="237" t="e">
        <f aca="false">IF($AA125="","",C125*AC125)</f>
        <v>#VALUE!</v>
      </c>
      <c r="AL125" s="160" t="n">
        <f aca="false">(AO125/10000)/30.5</f>
        <v>0</v>
      </c>
      <c r="AM125" s="238" t="n">
        <f aca="false">AD125/10000</f>
        <v>0</v>
      </c>
      <c r="AN125" s="238" t="n">
        <f aca="false">AD125*DAY(EOMONTH(A125,0))/10000</f>
        <v>0</v>
      </c>
      <c r="AO125" s="238"/>
      <c r="AP125" s="238"/>
      <c r="AQ125" s="238"/>
      <c r="AR125" s="239"/>
      <c r="AS125" s="238"/>
      <c r="AT125" s="240"/>
      <c r="AU125" s="12"/>
      <c r="AV125" s="240"/>
      <c r="AW125" s="240"/>
      <c r="AX125" s="238"/>
      <c r="AY125" s="238"/>
      <c r="AZ125" s="238"/>
      <c r="BA125" s="241"/>
      <c r="BB125" s="242"/>
      <c r="BC125" s="243" t="n">
        <v>3.741</v>
      </c>
      <c r="BD125" s="195" t="n">
        <f aca="false">BC125-E125</f>
        <v>-0.00850000000000017</v>
      </c>
      <c r="BE125" s="251" t="n">
        <v>0</v>
      </c>
      <c r="BF125" s="245" t="n">
        <f aca="false">(BE125)*(D125*10)</f>
        <v>0</v>
      </c>
      <c r="BG125" s="121" t="n">
        <v>-193.27967537</v>
      </c>
      <c r="BH125" s="121" t="n">
        <v>0</v>
      </c>
      <c r="BI125" s="247"/>
      <c r="BJ125" s="121"/>
      <c r="BK125" s="121"/>
      <c r="BL125" s="121"/>
      <c r="BM125" s="121"/>
      <c r="BN125" s="121"/>
      <c r="BO125" s="121"/>
      <c r="BP125" s="275" t="n">
        <v>40634</v>
      </c>
      <c r="BQ125" s="143" t="n">
        <v>3.6435</v>
      </c>
      <c r="BR125" s="143" t="n">
        <v>0.18</v>
      </c>
      <c r="BS125" s="143" t="n">
        <v>0.0551729468226494</v>
      </c>
      <c r="BT125" s="121"/>
    </row>
    <row r="126" customFormat="false" ht="15" hidden="false" customHeight="false" outlineLevel="0" collapsed="false">
      <c r="A126" s="156" t="n">
        <f aca="false">EOMONTH(A125,0)+1</f>
        <v>40664</v>
      </c>
      <c r="B126" s="215"/>
      <c r="C126" s="281" t="n">
        <v>3.741</v>
      </c>
      <c r="D126" s="282" t="n">
        <f aca="false">(E126-C126)*1000</f>
        <v>8.50000000000017</v>
      </c>
      <c r="E126" s="283" t="n">
        <f aca="false">VLOOKUP(YEAR(A126),Yr_Sprds,2)+E114</f>
        <v>3.7495</v>
      </c>
      <c r="F126" s="287"/>
      <c r="G126" s="288"/>
      <c r="H126" s="287"/>
      <c r="I126" s="287"/>
      <c r="J126" s="279"/>
      <c r="K126" s="278"/>
      <c r="L126" s="291"/>
      <c r="M126" s="112"/>
      <c r="N126" s="278"/>
      <c r="O126" s="278"/>
      <c r="P126" s="278"/>
      <c r="Q126" s="167"/>
      <c r="R126" s="167"/>
      <c r="S126" s="167"/>
      <c r="T126" s="167"/>
      <c r="U126" s="167"/>
      <c r="V126" s="167"/>
      <c r="W126" s="167"/>
      <c r="X126" s="167"/>
      <c r="Y126" s="228" t="n">
        <f aca="false">DAY(EOMONTH(A126,0))</f>
        <v>31</v>
      </c>
      <c r="Z126" s="268" t="n">
        <v>40508</v>
      </c>
      <c r="AA126" s="230" t="e">
        <f aca="false">IF(AND(A126&gt;=Front!$E$11,A126&lt;=Front!$E$12),A126,"")</f>
        <v>#VALUE!</v>
      </c>
      <c r="AB126" s="231" t="e">
        <f aca="false">IF(AA126="","",VLOOKUP(MONTH(A125),Front!$W$6:$X$17,2)*IF(Front!D$9=0,Swap!Y126,1))</f>
        <v>#VALUE!</v>
      </c>
      <c r="AC126" s="274" t="e">
        <f aca="false">IF(AA126="","",AB126*AH126)</f>
        <v>#VALUE!</v>
      </c>
      <c r="AD126" s="233"/>
      <c r="AE126" s="231" t="e">
        <f aca="false">IF(AA126="","",AD126*AH126)</f>
        <v>#VALUE!</v>
      </c>
      <c r="AF126" s="243" t="n">
        <f aca="false">INDEX(IRTable,MATCH(A126,IRMonth,0),4)</f>
        <v>0.0552857152988704</v>
      </c>
      <c r="AG126" s="243" t="n">
        <f aca="false">AF126+$AG$9</f>
        <v>0.0552857152988704</v>
      </c>
      <c r="AH126" s="195" t="n">
        <f aca="false">1/((1+AG126/2)^(2*((A126-Front!$C$2)/365.25)))</f>
        <v>2.19387167491639</v>
      </c>
      <c r="AI126" s="236" t="e">
        <f aca="false">IF($AA126="","",E126*AC126)</f>
        <v>#VALUE!</v>
      </c>
      <c r="AJ126" s="236" t="e">
        <f aca="false">IF($AA126="","",E126*AE126)</f>
        <v>#VALUE!</v>
      </c>
      <c r="AK126" s="237" t="e">
        <f aca="false">IF($AA126="","",C126*AC126)</f>
        <v>#VALUE!</v>
      </c>
      <c r="AL126" s="160" t="n">
        <f aca="false">(AO126/10000)/30.5</f>
        <v>0</v>
      </c>
      <c r="AM126" s="238" t="n">
        <f aca="false">AD126/10000</f>
        <v>0</v>
      </c>
      <c r="AN126" s="238" t="n">
        <f aca="false">AD126*DAY(EOMONTH(A126,0))/10000</f>
        <v>0</v>
      </c>
      <c r="AO126" s="238"/>
      <c r="AP126" s="238"/>
      <c r="AQ126" s="238"/>
      <c r="AR126" s="239"/>
      <c r="AS126" s="238"/>
      <c r="AT126" s="240"/>
      <c r="AU126" s="12"/>
      <c r="AV126" s="240"/>
      <c r="AW126" s="240"/>
      <c r="AX126" s="238"/>
      <c r="AY126" s="238"/>
      <c r="AZ126" s="238"/>
      <c r="BA126" s="241"/>
      <c r="BB126" s="242"/>
      <c r="BC126" s="243" t="n">
        <v>3.741</v>
      </c>
      <c r="BD126" s="195" t="n">
        <f aca="false">BC126-E126</f>
        <v>-0.00850000000000017</v>
      </c>
      <c r="BE126" s="251" t="n">
        <v>0</v>
      </c>
      <c r="BF126" s="245" t="n">
        <f aca="false">(BE126)*(D126*10)</f>
        <v>0</v>
      </c>
      <c r="BG126" s="121" t="n">
        <v>-200.92201962</v>
      </c>
      <c r="BH126" s="121" t="n">
        <v>0</v>
      </c>
      <c r="BI126" s="247"/>
      <c r="BJ126" s="121"/>
      <c r="BK126" s="121"/>
      <c r="BL126" s="121"/>
      <c r="BM126" s="121"/>
      <c r="BN126" s="121"/>
      <c r="BO126" s="121"/>
      <c r="BP126" s="275" t="n">
        <v>40664</v>
      </c>
      <c r="BQ126" s="143" t="n">
        <v>3.6435</v>
      </c>
      <c r="BR126" s="143" t="n">
        <v>0.18</v>
      </c>
      <c r="BS126" s="143" t="n">
        <v>0.0552857152988704</v>
      </c>
      <c r="BT126" s="121"/>
    </row>
    <row r="127" customFormat="false" ht="15" hidden="false" customHeight="false" outlineLevel="0" collapsed="false">
      <c r="A127" s="156" t="n">
        <f aca="false">EOMONTH(A126,0)+1</f>
        <v>40695</v>
      </c>
      <c r="B127" s="215"/>
      <c r="C127" s="281" t="n">
        <v>3.773</v>
      </c>
      <c r="D127" s="282" t="n">
        <f aca="false">(E127-C127)*1000</f>
        <v>8.50000000000017</v>
      </c>
      <c r="E127" s="283" t="n">
        <f aca="false">VLOOKUP(YEAR(A127),Yr_Sprds,2)+E115</f>
        <v>3.7815</v>
      </c>
      <c r="F127" s="287"/>
      <c r="G127" s="288"/>
      <c r="H127" s="287"/>
      <c r="I127" s="287"/>
      <c r="J127" s="279"/>
      <c r="K127" s="278"/>
      <c r="L127" s="291"/>
      <c r="M127" s="112"/>
      <c r="N127" s="278"/>
      <c r="O127" s="278"/>
      <c r="P127" s="278"/>
      <c r="Q127" s="167"/>
      <c r="R127" s="167"/>
      <c r="S127" s="167"/>
      <c r="T127" s="167"/>
      <c r="U127" s="167"/>
      <c r="V127" s="167"/>
      <c r="W127" s="167"/>
      <c r="X127" s="167"/>
      <c r="Y127" s="228" t="n">
        <f aca="false">DAY(EOMONTH(A127,0))</f>
        <v>30</v>
      </c>
      <c r="Z127" s="268" t="n">
        <v>40540</v>
      </c>
      <c r="AA127" s="230" t="e">
        <f aca="false">IF(AND(A127&gt;=Front!$E$11,A127&lt;=Front!$E$12),A127,"")</f>
        <v>#VALUE!</v>
      </c>
      <c r="AB127" s="231" t="e">
        <f aca="false">IF(AA127="","",VLOOKUP(MONTH(A126),Front!$W$6:$X$17,2)*IF(Front!D$9=0,Swap!Y127,1))</f>
        <v>#VALUE!</v>
      </c>
      <c r="AC127" s="274" t="e">
        <f aca="false">IF(AA127="","",AB127*AH127)</f>
        <v>#VALUE!</v>
      </c>
      <c r="AD127" s="233"/>
      <c r="AE127" s="231" t="e">
        <f aca="false">IF(AA127="","",AD127*AH127)</f>
        <v>#VALUE!</v>
      </c>
      <c r="AF127" s="243" t="n">
        <f aca="false">INDEX(IRTable,MATCH(A127,IRMonth,0),4)</f>
        <v>0.0554022427287486</v>
      </c>
      <c r="AG127" s="243" t="n">
        <f aca="false">AF127+$AG$9</f>
        <v>0.0554022427287486</v>
      </c>
      <c r="AH127" s="195" t="n">
        <f aca="false">1/((1+AG127/2)^(2*((A127-Front!$C$2)/365.25)))</f>
        <v>2.18728971015383</v>
      </c>
      <c r="AI127" s="236" t="e">
        <f aca="false">IF($AA127="","",E127*AC127)</f>
        <v>#VALUE!</v>
      </c>
      <c r="AJ127" s="236" t="e">
        <f aca="false">IF($AA127="","",E127*AE127)</f>
        <v>#VALUE!</v>
      </c>
      <c r="AK127" s="237" t="e">
        <f aca="false">IF($AA127="","",C127*AC127)</f>
        <v>#VALUE!</v>
      </c>
      <c r="AL127" s="160" t="n">
        <f aca="false">(AO127/10000)/30.5</f>
        <v>0</v>
      </c>
      <c r="AM127" s="238" t="n">
        <f aca="false">AD127/10000</f>
        <v>0</v>
      </c>
      <c r="AN127" s="238" t="n">
        <f aca="false">AD127*DAY(EOMONTH(A127,0))/10000</f>
        <v>0</v>
      </c>
      <c r="AO127" s="238"/>
      <c r="AP127" s="238"/>
      <c r="AQ127" s="238"/>
      <c r="AR127" s="239"/>
      <c r="AS127" s="238"/>
      <c r="AT127" s="240"/>
      <c r="AU127" s="12"/>
      <c r="AV127" s="240"/>
      <c r="AW127" s="240"/>
      <c r="AX127" s="238"/>
      <c r="AY127" s="238"/>
      <c r="AZ127" s="238"/>
      <c r="BA127" s="241"/>
      <c r="BB127" s="242"/>
      <c r="BC127" s="243" t="n">
        <v>3.773</v>
      </c>
      <c r="BD127" s="195" t="n">
        <f aca="false">BC127-E127</f>
        <v>-0.00850000000000017</v>
      </c>
      <c r="BE127" s="251" t="n">
        <v>0</v>
      </c>
      <c r="BF127" s="245" t="n">
        <f aca="false">(BE127)*(D127*10)</f>
        <v>0</v>
      </c>
      <c r="BG127" s="121" t="n">
        <v>-183.55094401</v>
      </c>
      <c r="BH127" s="121" t="n">
        <v>0</v>
      </c>
      <c r="BI127" s="247"/>
      <c r="BJ127" s="121"/>
      <c r="BK127" s="121"/>
      <c r="BL127" s="121"/>
      <c r="BM127" s="121"/>
      <c r="BN127" s="121"/>
      <c r="BO127" s="121"/>
      <c r="BP127" s="275" t="n">
        <v>40695</v>
      </c>
      <c r="BQ127" s="143" t="n">
        <v>3.6755</v>
      </c>
      <c r="BR127" s="143" t="n">
        <v>0.18</v>
      </c>
      <c r="BS127" s="143" t="n">
        <v>0.0554022427287486</v>
      </c>
      <c r="BT127" s="121"/>
    </row>
    <row r="128" customFormat="false" ht="15" hidden="false" customHeight="false" outlineLevel="0" collapsed="false">
      <c r="A128" s="156" t="n">
        <f aca="false">EOMONTH(A127,0)+1</f>
        <v>40725</v>
      </c>
      <c r="B128" s="215"/>
      <c r="C128" s="281" t="n">
        <v>3.823</v>
      </c>
      <c r="D128" s="282" t="n">
        <f aca="false">(E128-C128)*1000</f>
        <v>8.50000000000017</v>
      </c>
      <c r="E128" s="283" t="n">
        <f aca="false">VLOOKUP(YEAR(A128),Yr_Sprds,2)+E116</f>
        <v>3.8315</v>
      </c>
      <c r="F128" s="287"/>
      <c r="G128" s="288"/>
      <c r="H128" s="287"/>
      <c r="I128" s="287"/>
      <c r="J128" s="279"/>
      <c r="K128" s="278"/>
      <c r="L128" s="291"/>
      <c r="M128" s="112"/>
      <c r="N128" s="278"/>
      <c r="O128" s="278"/>
      <c r="P128" s="278"/>
      <c r="Q128" s="167"/>
      <c r="R128" s="167"/>
      <c r="S128" s="167"/>
      <c r="T128" s="167"/>
      <c r="U128" s="167"/>
      <c r="V128" s="167"/>
      <c r="W128" s="167"/>
      <c r="X128" s="167"/>
      <c r="Y128" s="228" t="n">
        <f aca="false">DAY(EOMONTH(A128,0))</f>
        <v>31</v>
      </c>
      <c r="Z128" s="268" t="n">
        <v>40570</v>
      </c>
      <c r="AA128" s="230" t="e">
        <f aca="false">IF(AND(A128&gt;=Front!$E$11,A128&lt;=Front!$E$12),A128,"")</f>
        <v>#VALUE!</v>
      </c>
      <c r="AB128" s="231" t="e">
        <f aca="false">IF(AA128="","",VLOOKUP(MONTH(A127),Front!$W$6:$X$17,2)*IF(Front!D$9=0,Swap!Y128,1))</f>
        <v>#VALUE!</v>
      </c>
      <c r="AC128" s="274" t="e">
        <f aca="false">IF(AA128="","",AB128*AH128)</f>
        <v>#VALUE!</v>
      </c>
      <c r="AD128" s="233"/>
      <c r="AE128" s="231" t="e">
        <f aca="false">IF(AA128="","",AD128*AH128)</f>
        <v>#VALUE!</v>
      </c>
      <c r="AF128" s="243" t="n">
        <f aca="false">INDEX(IRTable,MATCH(A128,IRMonth,0),4)</f>
        <v>0.0555150112135805</v>
      </c>
      <c r="AG128" s="243" t="n">
        <f aca="false">AF128+$AG$9</f>
        <v>0.0555150112135805</v>
      </c>
      <c r="AH128" s="195" t="n">
        <f aca="false">1/((1+AG128/2)^(2*((A128-Front!$C$2)/365.25)))</f>
        <v>2.18089871122631</v>
      </c>
      <c r="AI128" s="236" t="e">
        <f aca="false">IF($AA128="","",E128*AC128)</f>
        <v>#VALUE!</v>
      </c>
      <c r="AJ128" s="236" t="e">
        <f aca="false">IF($AA128="","",E128*AE128)</f>
        <v>#VALUE!</v>
      </c>
      <c r="AK128" s="237" t="e">
        <f aca="false">IF($AA128="","",C128*AC128)</f>
        <v>#VALUE!</v>
      </c>
      <c r="AL128" s="160" t="n">
        <f aca="false">(AO128/10000)/30.5</f>
        <v>0</v>
      </c>
      <c r="AM128" s="238" t="n">
        <f aca="false">AD128/10000</f>
        <v>0</v>
      </c>
      <c r="AN128" s="238" t="n">
        <f aca="false">AD128*DAY(EOMONTH(A128,0))/10000</f>
        <v>0</v>
      </c>
      <c r="AO128" s="238"/>
      <c r="AP128" s="238"/>
      <c r="AQ128" s="238"/>
      <c r="AR128" s="239"/>
      <c r="AS128" s="238"/>
      <c r="AT128" s="240"/>
      <c r="AU128" s="12"/>
      <c r="AV128" s="240"/>
      <c r="AW128" s="240"/>
      <c r="AX128" s="238"/>
      <c r="AY128" s="238"/>
      <c r="AZ128" s="238"/>
      <c r="BA128" s="241"/>
      <c r="BB128" s="242"/>
      <c r="BC128" s="243" t="n">
        <v>3.823</v>
      </c>
      <c r="BD128" s="195" t="n">
        <f aca="false">BC128-E128</f>
        <v>-0.00850000000000017</v>
      </c>
      <c r="BE128" s="251" t="n">
        <v>0</v>
      </c>
      <c r="BF128" s="245" t="n">
        <f aca="false">(BE128)*(D128*10)</f>
        <v>0</v>
      </c>
      <c r="BG128" s="121" t="n">
        <v>-190.13833799</v>
      </c>
      <c r="BH128" s="121" t="n">
        <v>0</v>
      </c>
      <c r="BI128" s="247"/>
      <c r="BJ128" s="121"/>
      <c r="BK128" s="121"/>
      <c r="BL128" s="121"/>
      <c r="BM128" s="121"/>
      <c r="BN128" s="121"/>
      <c r="BO128" s="121"/>
      <c r="BP128" s="275" t="n">
        <v>40725</v>
      </c>
      <c r="BQ128" s="143" t="n">
        <v>3.7255</v>
      </c>
      <c r="BR128" s="143" t="n">
        <v>0.18</v>
      </c>
      <c r="BS128" s="143" t="n">
        <v>0.0555150112135805</v>
      </c>
      <c r="BT128" s="121"/>
    </row>
    <row r="129" customFormat="false" ht="15" hidden="false" customHeight="false" outlineLevel="0" collapsed="false">
      <c r="A129" s="156" t="n">
        <f aca="false">EOMONTH(A128,0)+1</f>
        <v>40756</v>
      </c>
      <c r="B129" s="215"/>
      <c r="C129" s="281" t="n">
        <v>3.857</v>
      </c>
      <c r="D129" s="282" t="n">
        <f aca="false">(E129-C129)*1000</f>
        <v>8.50000000000017</v>
      </c>
      <c r="E129" s="283" t="n">
        <f aca="false">VLOOKUP(YEAR(A129),Yr_Sprds,2)+E117</f>
        <v>3.8655</v>
      </c>
      <c r="F129" s="287"/>
      <c r="G129" s="288"/>
      <c r="H129" s="287"/>
      <c r="I129" s="287"/>
      <c r="J129" s="279"/>
      <c r="K129" s="278"/>
      <c r="L129" s="291"/>
      <c r="M129" s="112"/>
      <c r="N129" s="278"/>
      <c r="O129" s="278"/>
      <c r="P129" s="278"/>
      <c r="Q129" s="167"/>
      <c r="R129" s="167"/>
      <c r="S129" s="167"/>
      <c r="T129" s="167"/>
      <c r="U129" s="167"/>
      <c r="V129" s="167"/>
      <c r="W129" s="167"/>
      <c r="X129" s="167"/>
      <c r="Y129" s="228" t="n">
        <f aca="false">DAY(EOMONTH(A129,0))</f>
        <v>31</v>
      </c>
      <c r="Z129" s="268" t="n">
        <v>40598</v>
      </c>
      <c r="AA129" s="230" t="e">
        <f aca="false">IF(AND(A129&gt;=Front!$E$11,A129&lt;=Front!$E$12),A129,"")</f>
        <v>#VALUE!</v>
      </c>
      <c r="AB129" s="231" t="e">
        <f aca="false">IF(AA129="","",VLOOKUP(MONTH(A128),Front!$W$6:$X$17,2)*IF(Front!D$9=0,Swap!Y129,1))</f>
        <v>#VALUE!</v>
      </c>
      <c r="AC129" s="274" t="e">
        <f aca="false">IF(AA129="","",AB129*AH129)</f>
        <v>#VALUE!</v>
      </c>
      <c r="AD129" s="233"/>
      <c r="AE129" s="231" t="e">
        <f aca="false">IF(AA129="","",AD129*AH129)</f>
        <v>#VALUE!</v>
      </c>
      <c r="AF129" s="243" t="n">
        <f aca="false">INDEX(IRTable,MATCH(A129,IRMonth,0),4)</f>
        <v>0.055631538652356</v>
      </c>
      <c r="AG129" s="243" t="n">
        <f aca="false">AF129+$AG$9</f>
        <v>0.055631538652356</v>
      </c>
      <c r="AH129" s="195" t="n">
        <f aca="false">1/((1+AG129/2)^(2*((A129-Front!$C$2)/365.25)))</f>
        <v>2.17427292916618</v>
      </c>
      <c r="AI129" s="236" t="e">
        <f aca="false">IF($AA129="","",E129*AC129)</f>
        <v>#VALUE!</v>
      </c>
      <c r="AJ129" s="236" t="e">
        <f aca="false">IF($AA129="","",E129*AE129)</f>
        <v>#VALUE!</v>
      </c>
      <c r="AK129" s="237" t="e">
        <f aca="false">IF($AA129="","",C129*AC129)</f>
        <v>#VALUE!</v>
      </c>
      <c r="AL129" s="160" t="n">
        <f aca="false">(AO129/10000)/30.5</f>
        <v>0</v>
      </c>
      <c r="AM129" s="238" t="n">
        <f aca="false">AD129/10000</f>
        <v>0</v>
      </c>
      <c r="AN129" s="238" t="n">
        <f aca="false">AD129*DAY(EOMONTH(A129,0))/10000</f>
        <v>0</v>
      </c>
      <c r="AO129" s="238"/>
      <c r="AP129" s="238"/>
      <c r="AQ129" s="238"/>
      <c r="AR129" s="239"/>
      <c r="AS129" s="238"/>
      <c r="AT129" s="240"/>
      <c r="AU129" s="12"/>
      <c r="AV129" s="240"/>
      <c r="AW129" s="240"/>
      <c r="AX129" s="238"/>
      <c r="AY129" s="238"/>
      <c r="AZ129" s="238"/>
      <c r="BA129" s="241"/>
      <c r="BB129" s="242"/>
      <c r="BC129" s="243" t="n">
        <v>3.857</v>
      </c>
      <c r="BD129" s="195" t="n">
        <f aca="false">BC129-E129</f>
        <v>-0.00850000000000017</v>
      </c>
      <c r="BE129" s="251" t="n">
        <v>0</v>
      </c>
      <c r="BF129" s="245" t="n">
        <f aca="false">(BE129)*(D129*10)</f>
        <v>0</v>
      </c>
      <c r="BG129" s="121" t="n">
        <v>57.67620996</v>
      </c>
      <c r="BH129" s="121" t="n">
        <v>0</v>
      </c>
      <c r="BI129" s="247"/>
      <c r="BJ129" s="121"/>
      <c r="BK129" s="121"/>
      <c r="BL129" s="121"/>
      <c r="BM129" s="121"/>
      <c r="BN129" s="121"/>
      <c r="BO129" s="121"/>
      <c r="BP129" s="275" t="n">
        <v>40756</v>
      </c>
      <c r="BQ129" s="143" t="n">
        <v>3.7595</v>
      </c>
      <c r="BR129" s="143" t="n">
        <v>0.18</v>
      </c>
      <c r="BS129" s="143" t="n">
        <v>0.055631538652356</v>
      </c>
      <c r="BT129" s="121"/>
    </row>
    <row r="130" customFormat="false" ht="15" hidden="false" customHeight="false" outlineLevel="0" collapsed="false">
      <c r="A130" s="156" t="n">
        <f aca="false">EOMONTH(A129,0)+1</f>
        <v>40787</v>
      </c>
      <c r="B130" s="215"/>
      <c r="C130" s="281" t="n">
        <v>3.87</v>
      </c>
      <c r="D130" s="282" t="n">
        <f aca="false">(E130-C130)*1000</f>
        <v>8.50000000000017</v>
      </c>
      <c r="E130" s="283" t="n">
        <f aca="false">VLOOKUP(YEAR(A130),Yr_Sprds,2)+E118</f>
        <v>3.8785</v>
      </c>
      <c r="F130" s="287"/>
      <c r="G130" s="288"/>
      <c r="H130" s="287"/>
      <c r="I130" s="287"/>
      <c r="J130" s="279"/>
      <c r="K130" s="278"/>
      <c r="L130" s="291"/>
      <c r="M130" s="112"/>
      <c r="N130" s="278"/>
      <c r="O130" s="278"/>
      <c r="P130" s="278"/>
      <c r="Q130" s="167"/>
      <c r="R130" s="167"/>
      <c r="S130" s="167"/>
      <c r="T130" s="167"/>
      <c r="U130" s="167"/>
      <c r="V130" s="167"/>
      <c r="W130" s="167"/>
      <c r="X130" s="167"/>
      <c r="Y130" s="228" t="n">
        <f aca="false">DAY(EOMONTH(A130,0))</f>
        <v>30</v>
      </c>
      <c r="Z130" s="268" t="n">
        <v>40631</v>
      </c>
      <c r="AA130" s="230" t="e">
        <f aca="false">IF(AND(A130&gt;=Front!$E$11,A130&lt;=Front!$E$12),A130,"")</f>
        <v>#VALUE!</v>
      </c>
      <c r="AB130" s="231" t="e">
        <f aca="false">IF(AA130="","",VLOOKUP(MONTH(A129),Front!$W$6:$X$17,2)*IF(Front!D$9=0,Swap!Y130,1))</f>
        <v>#VALUE!</v>
      </c>
      <c r="AC130" s="274" t="e">
        <f aca="false">IF(AA130="","",AB130*AH130)</f>
        <v>#VALUE!</v>
      </c>
      <c r="AD130" s="233"/>
      <c r="AE130" s="231" t="e">
        <f aca="false">IF(AA130="","",AD130*AH130)</f>
        <v>#VALUE!</v>
      </c>
      <c r="AF130" s="243" t="n">
        <f aca="false">INDEX(IRTable,MATCH(A130,IRMonth,0),4)</f>
        <v>0.0557480660956524</v>
      </c>
      <c r="AG130" s="243" t="n">
        <f aca="false">AF130+$AG$9</f>
        <v>0.0557480660956524</v>
      </c>
      <c r="AH130" s="195" t="n">
        <f aca="false">1/((1+AG130/2)^(2*((A130-Front!$C$2)/365.25)))</f>
        <v>2.16762536380485</v>
      </c>
      <c r="AI130" s="236" t="e">
        <f aca="false">IF($AA130="","",E130*AC130)</f>
        <v>#VALUE!</v>
      </c>
      <c r="AJ130" s="236" t="e">
        <f aca="false">IF($AA130="","",E130*AE130)</f>
        <v>#VALUE!</v>
      </c>
      <c r="AK130" s="237" t="e">
        <f aca="false">IF($AA130="","",C130*AC130)</f>
        <v>#VALUE!</v>
      </c>
      <c r="AL130" s="160" t="n">
        <f aca="false">(AO130/10000)/30.5</f>
        <v>0</v>
      </c>
      <c r="AM130" s="238" t="n">
        <f aca="false">AD130/10000</f>
        <v>0</v>
      </c>
      <c r="AN130" s="238" t="n">
        <f aca="false">AD130*DAY(EOMONTH(A130,0))/10000</f>
        <v>0</v>
      </c>
      <c r="AO130" s="238"/>
      <c r="AP130" s="238"/>
      <c r="AQ130" s="238"/>
      <c r="AR130" s="239"/>
      <c r="AS130" s="238"/>
      <c r="AT130" s="240"/>
      <c r="AU130" s="12"/>
      <c r="AV130" s="240"/>
      <c r="AW130" s="240"/>
      <c r="AX130" s="238"/>
      <c r="AY130" s="238"/>
      <c r="AZ130" s="238"/>
      <c r="BA130" s="241"/>
      <c r="BB130" s="242"/>
      <c r="BC130" s="243" t="n">
        <v>3.87</v>
      </c>
      <c r="BD130" s="195" t="n">
        <f aca="false">BC130-E130</f>
        <v>-0.00850000000000017</v>
      </c>
      <c r="BE130" s="251" t="n">
        <v>0</v>
      </c>
      <c r="BF130" s="245" t="n">
        <f aca="false">(BE130)*(D130*10)</f>
        <v>0</v>
      </c>
      <c r="BG130" s="121" t="n">
        <v>55.73218233</v>
      </c>
      <c r="BH130" s="121" t="n">
        <v>0</v>
      </c>
      <c r="BI130" s="247"/>
      <c r="BJ130" s="121"/>
      <c r="BK130" s="121"/>
      <c r="BL130" s="121"/>
      <c r="BM130" s="121"/>
      <c r="BN130" s="121"/>
      <c r="BO130" s="121"/>
      <c r="BP130" s="275" t="n">
        <v>40787</v>
      </c>
      <c r="BQ130" s="143" t="n">
        <v>3.7725</v>
      </c>
      <c r="BR130" s="143" t="n">
        <v>0.18</v>
      </c>
      <c r="BS130" s="143" t="n">
        <v>0.0557480660956524</v>
      </c>
      <c r="BT130" s="121"/>
    </row>
    <row r="131" customFormat="false" ht="15" hidden="false" customHeight="false" outlineLevel="0" collapsed="false">
      <c r="A131" s="156" t="n">
        <f aca="false">EOMONTH(A130,0)+1</f>
        <v>40817</v>
      </c>
      <c r="B131" s="215"/>
      <c r="C131" s="281" t="n">
        <v>3.862</v>
      </c>
      <c r="D131" s="282" t="n">
        <f aca="false">(E131-C131)*1000</f>
        <v>8.50000000000017</v>
      </c>
      <c r="E131" s="283" t="n">
        <f aca="false">VLOOKUP(YEAR(A131),Yr_Sprds,2)+E119</f>
        <v>3.8705</v>
      </c>
      <c r="F131" s="287"/>
      <c r="G131" s="288"/>
      <c r="H131" s="287"/>
      <c r="I131" s="287"/>
      <c r="J131" s="279"/>
      <c r="K131" s="278"/>
      <c r="L131" s="291"/>
      <c r="M131" s="112"/>
      <c r="N131" s="278"/>
      <c r="O131" s="278"/>
      <c r="P131" s="278"/>
      <c r="Q131" s="167"/>
      <c r="R131" s="167"/>
      <c r="S131" s="167"/>
      <c r="T131" s="167"/>
      <c r="U131" s="167"/>
      <c r="V131" s="167"/>
      <c r="W131" s="167"/>
      <c r="X131" s="167"/>
      <c r="Y131" s="228" t="n">
        <f aca="false">DAY(EOMONTH(A131,0))</f>
        <v>31</v>
      </c>
      <c r="Z131" s="268" t="n">
        <v>40660</v>
      </c>
      <c r="AA131" s="230" t="e">
        <f aca="false">IF(AND(A131&gt;=Front!$E$11,A131&lt;=Front!$E$12),A131,"")</f>
        <v>#VALUE!</v>
      </c>
      <c r="AB131" s="231" t="e">
        <f aca="false">IF(AA131="","",VLOOKUP(MONTH(A130),Front!$W$6:$X$17,2)*IF(Front!D$9=0,Swap!Y131,1))</f>
        <v>#VALUE!</v>
      </c>
      <c r="AC131" s="274" t="e">
        <f aca="false">IF(AA131="","",AB131*AH131)</f>
        <v>#VALUE!</v>
      </c>
      <c r="AD131" s="233"/>
      <c r="AE131" s="231" t="e">
        <f aca="false">IF(AA131="","",AD131*AH131)</f>
        <v>#VALUE!</v>
      </c>
      <c r="AF131" s="243" t="n">
        <f aca="false">INDEX(IRTable,MATCH(A131,IRMonth,0),4)</f>
        <v>0.0558528794161926</v>
      </c>
      <c r="AG131" s="243" t="n">
        <f aca="false">AF131+$AG$9</f>
        <v>0.0558528794161926</v>
      </c>
      <c r="AH131" s="195" t="n">
        <f aca="false">1/((1+AG131/2)^(2*((A131-Front!$C$2)/365.25)))</f>
        <v>2.1609378665223</v>
      </c>
      <c r="AI131" s="236" t="e">
        <f aca="false">IF($AA131="","",E131*AC131)</f>
        <v>#VALUE!</v>
      </c>
      <c r="AJ131" s="236" t="e">
        <f aca="false">IF($AA131="","",E131*AE131)</f>
        <v>#VALUE!</v>
      </c>
      <c r="AK131" s="237" t="e">
        <f aca="false">IF($AA131="","",C131*AC131)</f>
        <v>#VALUE!</v>
      </c>
      <c r="AL131" s="160" t="n">
        <f aca="false">(AO131/10000)/30.5</f>
        <v>0</v>
      </c>
      <c r="AM131" s="238" t="n">
        <f aca="false">AD131/10000</f>
        <v>0</v>
      </c>
      <c r="AN131" s="238" t="n">
        <f aca="false">AD131*DAY(EOMONTH(A131,0))/10000</f>
        <v>0</v>
      </c>
      <c r="AO131" s="238"/>
      <c r="AP131" s="238"/>
      <c r="AQ131" s="238"/>
      <c r="AR131" s="239"/>
      <c r="AS131" s="238"/>
      <c r="AT131" s="240"/>
      <c r="AU131" s="12"/>
      <c r="AV131" s="240"/>
      <c r="AW131" s="240"/>
      <c r="AX131" s="238"/>
      <c r="AY131" s="238"/>
      <c r="AZ131" s="238"/>
      <c r="BA131" s="241"/>
      <c r="BB131" s="242"/>
      <c r="BC131" s="243" t="n">
        <v>3.862</v>
      </c>
      <c r="BD131" s="195" t="n">
        <f aca="false">BC131-E131</f>
        <v>-0.00850000000000017</v>
      </c>
      <c r="BE131" s="251" t="n">
        <v>0</v>
      </c>
      <c r="BF131" s="245" t="n">
        <f aca="false">(BE131)*(D131*10)</f>
        <v>0</v>
      </c>
      <c r="BG131" s="121" t="n">
        <v>55.98586229</v>
      </c>
      <c r="BH131" s="121" t="n">
        <v>0</v>
      </c>
      <c r="BI131" s="247"/>
      <c r="BJ131" s="121"/>
      <c r="BK131" s="121"/>
      <c r="BL131" s="121"/>
      <c r="BM131" s="121"/>
      <c r="BN131" s="121"/>
      <c r="BO131" s="121"/>
      <c r="BP131" s="275" t="n">
        <v>40817</v>
      </c>
      <c r="BQ131" s="143" t="n">
        <v>3.7945</v>
      </c>
      <c r="BR131" s="143" t="n">
        <v>0.18</v>
      </c>
      <c r="BS131" s="143" t="n">
        <v>0.0558528794161926</v>
      </c>
      <c r="BT131" s="121"/>
    </row>
    <row r="132" customFormat="false" ht="15" hidden="false" customHeight="false" outlineLevel="0" collapsed="false">
      <c r="A132" s="156" t="n">
        <f aca="false">EOMONTH(A131,0)+1</f>
        <v>40848</v>
      </c>
      <c r="B132" s="215"/>
      <c r="C132" s="281" t="n">
        <v>4.032</v>
      </c>
      <c r="D132" s="282" t="n">
        <f aca="false">(E132-C132)*1000</f>
        <v>8.49999999999973</v>
      </c>
      <c r="E132" s="283" t="n">
        <f aca="false">VLOOKUP(YEAR(A132),Yr_Sprds,2)+E120</f>
        <v>4.0405</v>
      </c>
      <c r="F132" s="287"/>
      <c r="G132" s="288"/>
      <c r="H132" s="287"/>
      <c r="I132" s="287"/>
      <c r="J132" s="279"/>
      <c r="K132" s="278"/>
      <c r="L132" s="291"/>
      <c r="M132" s="112"/>
      <c r="N132" s="278"/>
      <c r="O132" s="278"/>
      <c r="P132" s="278"/>
      <c r="Q132" s="167"/>
      <c r="R132" s="167"/>
      <c r="S132" s="167"/>
      <c r="T132" s="167"/>
      <c r="U132" s="167"/>
      <c r="V132" s="167"/>
      <c r="W132" s="167"/>
      <c r="X132" s="167"/>
      <c r="Y132" s="228" t="n">
        <f aca="false">DAY(EOMONTH(A132,0))</f>
        <v>30</v>
      </c>
      <c r="Z132" s="268" t="n">
        <v>40689</v>
      </c>
      <c r="AA132" s="230" t="e">
        <f aca="false">IF(AND(A132&gt;=Front!$E$11,A132&lt;=Front!$E$12),A132,"")</f>
        <v>#VALUE!</v>
      </c>
      <c r="AB132" s="231" t="e">
        <f aca="false">IF(AA132="","",VLOOKUP(MONTH(A131),Front!$W$6:$X$17,2)*IF(Front!D$9=0,Swap!Y132,1))</f>
        <v>#VALUE!</v>
      </c>
      <c r="AC132" s="274" t="e">
        <f aca="false">IF(AA132="","",AB132*AH132)</f>
        <v>#VALUE!</v>
      </c>
      <c r="AD132" s="233"/>
      <c r="AE132" s="231" t="e">
        <f aca="false">IF(AA132="","",AD132*AH132)</f>
        <v>#VALUE!</v>
      </c>
      <c r="AF132" s="243" t="n">
        <f aca="false">INDEX(IRTable,MATCH(A132,IRMonth,0),4)</f>
        <v>0.0559200847675165</v>
      </c>
      <c r="AG132" s="243" t="n">
        <f aca="false">AF132+$AG$9</f>
        <v>0.0559200847675165</v>
      </c>
      <c r="AH132" s="195" t="n">
        <f aca="false">1/((1+AG132/2)^(2*((A132-Front!$C$2)/365.25)))</f>
        <v>2.15281401641122</v>
      </c>
      <c r="AI132" s="236" t="e">
        <f aca="false">IF($AA132="","",E132*AC132)</f>
        <v>#VALUE!</v>
      </c>
      <c r="AJ132" s="236" t="e">
        <f aca="false">IF($AA132="","",E132*AE132)</f>
        <v>#VALUE!</v>
      </c>
      <c r="AK132" s="237" t="e">
        <f aca="false">IF($AA132="","",C132*AC132)</f>
        <v>#VALUE!</v>
      </c>
      <c r="AL132" s="160" t="n">
        <f aca="false">(AO132/10000)/30.5</f>
        <v>0</v>
      </c>
      <c r="AM132" s="238" t="n">
        <f aca="false">AD132/10000</f>
        <v>0</v>
      </c>
      <c r="AN132" s="238" t="n">
        <f aca="false">AD132*DAY(EOMONTH(A132,0))/10000</f>
        <v>0</v>
      </c>
      <c r="AO132" s="238"/>
      <c r="AP132" s="238"/>
      <c r="AQ132" s="238"/>
      <c r="AR132" s="239"/>
      <c r="AS132" s="238"/>
      <c r="AT132" s="240"/>
      <c r="AU132" s="12"/>
      <c r="AV132" s="240"/>
      <c r="AW132" s="240"/>
      <c r="AX132" s="238"/>
      <c r="AY132" s="238"/>
      <c r="AZ132" s="238"/>
      <c r="BA132" s="241"/>
      <c r="BB132" s="242"/>
      <c r="BC132" s="243" t="n">
        <v>4.032</v>
      </c>
      <c r="BD132" s="195" t="n">
        <f aca="false">BC132-E132</f>
        <v>-0.00849999999999973</v>
      </c>
      <c r="BE132" s="251" t="n">
        <v>0</v>
      </c>
      <c r="BF132" s="245" t="n">
        <f aca="false">(BE132)*(D132*10)</f>
        <v>0</v>
      </c>
      <c r="BG132" s="121" t="n">
        <v>56.22386186</v>
      </c>
      <c r="BH132" s="121" t="n">
        <v>0</v>
      </c>
      <c r="BI132" s="247"/>
      <c r="BJ132" s="121"/>
      <c r="BK132" s="121"/>
      <c r="BL132" s="121"/>
      <c r="BM132" s="121"/>
      <c r="BN132" s="121"/>
      <c r="BO132" s="121"/>
      <c r="BP132" s="275" t="n">
        <v>40848</v>
      </c>
      <c r="BQ132" s="143" t="n">
        <v>3.9645</v>
      </c>
      <c r="BR132" s="143" t="n">
        <v>0.18</v>
      </c>
      <c r="BS132" s="143" t="n">
        <v>0.0559200847675165</v>
      </c>
      <c r="BT132" s="121"/>
    </row>
    <row r="133" customFormat="false" ht="15" hidden="false" customHeight="false" outlineLevel="0" collapsed="false">
      <c r="A133" s="156" t="n">
        <f aca="false">EOMONTH(A132,0)+1</f>
        <v>40878</v>
      </c>
      <c r="B133" s="215"/>
      <c r="C133" s="281" t="n">
        <v>4.207</v>
      </c>
      <c r="D133" s="282" t="n">
        <f aca="false">(E133-C133)*1000</f>
        <v>8.49999999999973</v>
      </c>
      <c r="E133" s="283" t="n">
        <f aca="false">VLOOKUP(YEAR(A133),Yr_Sprds,2)+E121</f>
        <v>4.2155</v>
      </c>
      <c r="F133" s="287"/>
      <c r="G133" s="288"/>
      <c r="H133" s="287"/>
      <c r="I133" s="287"/>
      <c r="J133" s="279"/>
      <c r="K133" s="278"/>
      <c r="L133" s="291"/>
      <c r="M133" s="112"/>
      <c r="N133" s="278"/>
      <c r="O133" s="278"/>
      <c r="P133" s="278"/>
      <c r="Q133" s="167"/>
      <c r="R133" s="167"/>
      <c r="S133" s="167"/>
      <c r="T133" s="167"/>
      <c r="U133" s="167"/>
      <c r="V133" s="167"/>
      <c r="W133" s="167"/>
      <c r="X133" s="167"/>
      <c r="Y133" s="228" t="n">
        <f aca="false">DAY(EOMONTH(A133,0))</f>
        <v>31</v>
      </c>
      <c r="Z133" s="268" t="n">
        <v>40722</v>
      </c>
      <c r="AA133" s="230" t="e">
        <f aca="false">IF(AND(A133&gt;=Front!$E$11,A133&lt;=Front!$E$12),A133,"")</f>
        <v>#VALUE!</v>
      </c>
      <c r="AB133" s="231" t="e">
        <f aca="false">IF(AA133="","",VLOOKUP(MONTH(A132),Front!$W$6:$X$17,2)*IF(Front!D$9=0,Swap!Y133,1))</f>
        <v>#VALUE!</v>
      </c>
      <c r="AC133" s="274" t="e">
        <f aca="false">IF(AA133="","",AB133*AH133)</f>
        <v>#VALUE!</v>
      </c>
      <c r="AD133" s="233"/>
      <c r="AE133" s="231" t="e">
        <f aca="false">IF(AA133="","",AD133*AH133)</f>
        <v>#VALUE!</v>
      </c>
      <c r="AF133" s="243" t="n">
        <f aca="false">INDEX(IRTable,MATCH(A133,IRMonth,0),4)</f>
        <v>0.0559851222057133</v>
      </c>
      <c r="AG133" s="243" t="n">
        <f aca="false">AF133+$AG$9</f>
        <v>0.0559851222057133</v>
      </c>
      <c r="AH133" s="195" t="n">
        <f aca="false">1/((1+AG133/2)^(2*((A133-Front!$C$2)/365.25)))</f>
        <v>2.14495858089386</v>
      </c>
      <c r="AI133" s="236" t="e">
        <f aca="false">IF($AA133="","",E133*AC133)</f>
        <v>#VALUE!</v>
      </c>
      <c r="AJ133" s="236" t="e">
        <f aca="false">IF($AA133="","",E133*AE133)</f>
        <v>#VALUE!</v>
      </c>
      <c r="AK133" s="237" t="e">
        <f aca="false">IF($AA133="","",C133*AC133)</f>
        <v>#VALUE!</v>
      </c>
      <c r="AL133" s="160" t="n">
        <f aca="false">(AO133/10000)/30.5</f>
        <v>0</v>
      </c>
      <c r="AM133" s="238" t="n">
        <f aca="false">AD133/10000</f>
        <v>0</v>
      </c>
      <c r="AN133" s="238" t="n">
        <f aca="false">AD133*DAY(EOMONTH(A133,0))/10000</f>
        <v>0</v>
      </c>
      <c r="AO133" s="238"/>
      <c r="AP133" s="238"/>
      <c r="AQ133" s="238"/>
      <c r="AR133" s="239"/>
      <c r="AS133" s="238"/>
      <c r="AT133" s="240"/>
      <c r="AU133" s="12"/>
      <c r="AV133" s="240"/>
      <c r="AW133" s="240"/>
      <c r="AX133" s="238"/>
      <c r="AY133" s="238"/>
      <c r="AZ133" s="238"/>
      <c r="BA133" s="241"/>
      <c r="BB133" s="242"/>
      <c r="BC133" s="243" t="n">
        <v>4.207</v>
      </c>
      <c r="BD133" s="195" t="n">
        <f aca="false">BC133-E133</f>
        <v>-0.00849999999999973</v>
      </c>
      <c r="BE133" s="251" t="n">
        <v>0</v>
      </c>
      <c r="BF133" s="245" t="n">
        <f aca="false">(BE133)*(D133*10)</f>
        <v>0</v>
      </c>
      <c r="BG133" s="121" t="n">
        <v>56.86673911</v>
      </c>
      <c r="BH133" s="121" t="n">
        <v>0</v>
      </c>
      <c r="BI133" s="247"/>
      <c r="BJ133" s="121"/>
      <c r="BK133" s="121"/>
      <c r="BL133" s="121"/>
      <c r="BM133" s="121"/>
      <c r="BN133" s="121"/>
      <c r="BO133" s="121"/>
      <c r="BP133" s="275" t="n">
        <v>40878</v>
      </c>
      <c r="BQ133" s="143" t="n">
        <v>4.1395</v>
      </c>
      <c r="BR133" s="143" t="n">
        <v>0.18</v>
      </c>
      <c r="BS133" s="143" t="n">
        <v>0.0559851222057133</v>
      </c>
      <c r="BT133" s="121"/>
    </row>
    <row r="134" customFormat="false" ht="15" hidden="false" customHeight="false" outlineLevel="0" collapsed="false">
      <c r="A134" s="156" t="n">
        <f aca="false">EOMONTH(A133,0)+1</f>
        <v>40909</v>
      </c>
      <c r="B134" s="215"/>
      <c r="C134" s="281" t="n">
        <v>4.257</v>
      </c>
      <c r="D134" s="282" t="n">
        <f aca="false">(E134-C134)*1000</f>
        <v>11.0000000000001</v>
      </c>
      <c r="E134" s="283" t="n">
        <f aca="false">VLOOKUP(YEAR(A134),Yr_Sprds,2)+E122</f>
        <v>4.268</v>
      </c>
      <c r="F134" s="287"/>
      <c r="G134" s="288"/>
      <c r="H134" s="287"/>
      <c r="I134" s="287"/>
      <c r="J134" s="279"/>
      <c r="K134" s="278"/>
      <c r="L134" s="291"/>
      <c r="M134" s="112"/>
      <c r="N134" s="278"/>
      <c r="O134" s="278"/>
      <c r="P134" s="278"/>
      <c r="Q134" s="167"/>
      <c r="R134" s="167"/>
      <c r="S134" s="167"/>
      <c r="T134" s="167"/>
      <c r="U134" s="167"/>
      <c r="V134" s="167"/>
      <c r="W134" s="167"/>
      <c r="X134" s="167"/>
      <c r="Y134" s="228" t="n">
        <f aca="false">DAY(EOMONTH(A134,0))</f>
        <v>31</v>
      </c>
      <c r="Z134" s="268" t="n">
        <v>40751</v>
      </c>
      <c r="AA134" s="230" t="e">
        <f aca="false">IF(AND(A134&gt;=Front!$E$11,A134&lt;=Front!$E$12),A134,"")</f>
        <v>#VALUE!</v>
      </c>
      <c r="AB134" s="231" t="e">
        <f aca="false">IF(AA134="","",VLOOKUP(MONTH(A133),Front!$W$6:$X$17,2)*IF(Front!D$9=0,Swap!Y134,1))</f>
        <v>#VALUE!</v>
      </c>
      <c r="AC134" s="274" t="e">
        <f aca="false">IF(AA134="","",AB134*AH134)</f>
        <v>#VALUE!</v>
      </c>
      <c r="AD134" s="233"/>
      <c r="AE134" s="231" t="e">
        <f aca="false">IF(AA134="","",AD134*AH134)</f>
        <v>#VALUE!</v>
      </c>
      <c r="AF134" s="243" t="n">
        <f aca="false">INDEX(IRTable,MATCH(A134,IRMonth,0),4)</f>
        <v>0.0560523275599953</v>
      </c>
      <c r="AG134" s="243" t="n">
        <f aca="false">AF134+$AG$9</f>
        <v>0.0560523275599953</v>
      </c>
      <c r="AH134" s="195" t="n">
        <f aca="false">1/((1+AG134/2)^(2*((A134-Front!$C$2)/365.25)))</f>
        <v>2.13684801640423</v>
      </c>
      <c r="AI134" s="236" t="e">
        <f aca="false">IF($AA134="","",E134*AC134)</f>
        <v>#VALUE!</v>
      </c>
      <c r="AJ134" s="236" t="e">
        <f aca="false">IF($AA134="","",E134*AE134)</f>
        <v>#VALUE!</v>
      </c>
      <c r="AK134" s="237" t="e">
        <f aca="false">IF($AA134="","",C134*AC134)</f>
        <v>#VALUE!</v>
      </c>
      <c r="AL134" s="160" t="n">
        <f aca="false">(AO134/10000)/30.5</f>
        <v>0</v>
      </c>
      <c r="AM134" s="238" t="n">
        <f aca="false">AD134/10000</f>
        <v>0</v>
      </c>
      <c r="AN134" s="238" t="n">
        <f aca="false">AD134*DAY(EOMONTH(A134,0))/10000</f>
        <v>0</v>
      </c>
      <c r="AO134" s="238"/>
      <c r="AP134" s="238"/>
      <c r="AQ134" s="238"/>
      <c r="AR134" s="239"/>
      <c r="AS134" s="238"/>
      <c r="AT134" s="240"/>
      <c r="AU134" s="12"/>
      <c r="AV134" s="240"/>
      <c r="AW134" s="240"/>
      <c r="AX134" s="238"/>
      <c r="AY134" s="238"/>
      <c r="AZ134" s="238"/>
      <c r="BA134" s="241"/>
      <c r="BB134" s="242"/>
      <c r="BC134" s="243" t="n">
        <v>4.257</v>
      </c>
      <c r="BD134" s="195" t="n">
        <f aca="false">BC134-E134</f>
        <v>-0.0110000000000001</v>
      </c>
      <c r="BE134" s="251" t="n">
        <v>0</v>
      </c>
      <c r="BF134" s="245" t="n">
        <f aca="false">(BE134)*(D134*10)</f>
        <v>0</v>
      </c>
      <c r="BG134" s="121" t="n">
        <v>55.82964933</v>
      </c>
      <c r="BH134" s="121" t="n">
        <v>0</v>
      </c>
      <c r="BI134" s="247"/>
      <c r="BJ134" s="121"/>
      <c r="BK134" s="121"/>
      <c r="BL134" s="121"/>
      <c r="BM134" s="121"/>
      <c r="BN134" s="121"/>
      <c r="BO134" s="121"/>
      <c r="BP134" s="275" t="n">
        <v>40909</v>
      </c>
      <c r="BQ134" s="143" t="n">
        <v>4.157</v>
      </c>
      <c r="BR134" s="143" t="n">
        <v>0.18</v>
      </c>
      <c r="BS134" s="143" t="n">
        <v>0.0560523275599953</v>
      </c>
      <c r="BT134" s="121"/>
    </row>
    <row r="135" customFormat="false" ht="15" hidden="false" customHeight="false" outlineLevel="0" collapsed="false">
      <c r="A135" s="156" t="n">
        <f aca="false">EOMONTH(A134,0)+1</f>
        <v>40940</v>
      </c>
      <c r="B135" s="215"/>
      <c r="C135" s="281" t="n">
        <v>4.143</v>
      </c>
      <c r="D135" s="282" t="n">
        <f aca="false">(E135-C135)*1000</f>
        <v>11.000000000001</v>
      </c>
      <c r="E135" s="283" t="n">
        <f aca="false">VLOOKUP(YEAR(A135),Yr_Sprds,2)+E123</f>
        <v>4.154</v>
      </c>
      <c r="F135" s="287"/>
      <c r="G135" s="288"/>
      <c r="H135" s="287"/>
      <c r="I135" s="287"/>
      <c r="J135" s="279"/>
      <c r="K135" s="278"/>
      <c r="L135" s="291"/>
      <c r="M135" s="112"/>
      <c r="N135" s="278"/>
      <c r="O135" s="278"/>
      <c r="P135" s="278"/>
      <c r="Q135" s="167"/>
      <c r="R135" s="167"/>
      <c r="S135" s="167"/>
      <c r="T135" s="167"/>
      <c r="U135" s="167"/>
      <c r="V135" s="167"/>
      <c r="W135" s="167"/>
      <c r="X135" s="167"/>
      <c r="Y135" s="228" t="n">
        <f aca="false">DAY(EOMONTH(A135,0))</f>
        <v>29</v>
      </c>
      <c r="Z135" s="268" t="n">
        <v>40784</v>
      </c>
      <c r="AA135" s="230" t="e">
        <f aca="false">IF(AND(A135&gt;=Front!$E$11,A135&lt;=Front!$E$12),A135,"")</f>
        <v>#VALUE!</v>
      </c>
      <c r="AB135" s="231" t="e">
        <f aca="false">IF(AA135="","",VLOOKUP(MONTH(A134),Front!$W$6:$X$17,2)*IF(Front!D$9=0,Swap!Y135,1))</f>
        <v>#VALUE!</v>
      </c>
      <c r="AC135" s="274" t="e">
        <f aca="false">IF(AA135="","",AB135*AH135)</f>
        <v>#VALUE!</v>
      </c>
      <c r="AD135" s="233"/>
      <c r="AE135" s="231" t="e">
        <f aca="false">IF(AA135="","",AD135*AH135)</f>
        <v>#VALUE!</v>
      </c>
      <c r="AF135" s="243" t="n">
        <f aca="false">INDEX(IRTable,MATCH(A135,IRMonth,0),4)</f>
        <v>0.056119532915782</v>
      </c>
      <c r="AG135" s="243" t="n">
        <f aca="false">AF135+$AG$9</f>
        <v>0.056119532915782</v>
      </c>
      <c r="AH135" s="195" t="n">
        <f aca="false">1/((1+AG135/2)^(2*((A135-Front!$C$2)/365.25)))</f>
        <v>2.12874443475219</v>
      </c>
      <c r="AI135" s="236" t="e">
        <f aca="false">IF($AA135="","",E135*AC135)</f>
        <v>#VALUE!</v>
      </c>
      <c r="AJ135" s="236" t="e">
        <f aca="false">IF($AA135="","",E135*AE135)</f>
        <v>#VALUE!</v>
      </c>
      <c r="AK135" s="237" t="e">
        <f aca="false">IF($AA135="","",C135*AC135)</f>
        <v>#VALUE!</v>
      </c>
      <c r="AL135" s="160" t="n">
        <f aca="false">(AO135/10000)/30.5</f>
        <v>0</v>
      </c>
      <c r="AM135" s="238" t="n">
        <f aca="false">AD135/10000</f>
        <v>0</v>
      </c>
      <c r="AN135" s="238" t="n">
        <f aca="false">AD135*DAY(EOMONTH(A135,0))/10000</f>
        <v>0</v>
      </c>
      <c r="AO135" s="238"/>
      <c r="AP135" s="238"/>
      <c r="AQ135" s="238"/>
      <c r="AR135" s="239"/>
      <c r="AS135" s="238"/>
      <c r="AT135" s="240"/>
      <c r="AU135" s="292"/>
      <c r="AV135" s="240"/>
      <c r="AW135" s="240"/>
      <c r="AX135" s="238"/>
      <c r="AY135" s="238"/>
      <c r="AZ135" s="238"/>
      <c r="BA135" s="241"/>
      <c r="BB135" s="242"/>
      <c r="BC135" s="243" t="n">
        <v>4.143</v>
      </c>
      <c r="BD135" s="195" t="n">
        <f aca="false">BC135-E135</f>
        <v>-0.011000000000001</v>
      </c>
      <c r="BE135" s="251" t="n">
        <v>0</v>
      </c>
      <c r="BF135" s="245" t="n">
        <f aca="false">(BE135)*(D135*10)</f>
        <v>0</v>
      </c>
      <c r="BG135" s="121" t="n">
        <v>55.8668676</v>
      </c>
      <c r="BH135" s="121" t="n">
        <v>0</v>
      </c>
      <c r="BI135" s="247"/>
      <c r="BJ135" s="121"/>
      <c r="BK135" s="121"/>
      <c r="BL135" s="121"/>
      <c r="BM135" s="121"/>
      <c r="BN135" s="121"/>
      <c r="BO135" s="121"/>
      <c r="BP135" s="275" t="n">
        <v>40940</v>
      </c>
      <c r="BQ135" s="143" t="n">
        <v>4.043</v>
      </c>
      <c r="BR135" s="143" t="n">
        <v>0.175</v>
      </c>
      <c r="BS135" s="143" t="n">
        <v>0.056119532915782</v>
      </c>
      <c r="BT135" s="121"/>
    </row>
    <row r="136" customFormat="false" ht="15" hidden="false" customHeight="false" outlineLevel="0" collapsed="false">
      <c r="A136" s="156" t="n">
        <f aca="false">EOMONTH(A135,0)+1</f>
        <v>40969</v>
      </c>
      <c r="B136" s="215"/>
      <c r="C136" s="281" t="n">
        <v>4.011</v>
      </c>
      <c r="D136" s="282" t="n">
        <f aca="false">(E136-C136)*1000</f>
        <v>11.0000000000001</v>
      </c>
      <c r="E136" s="283" t="n">
        <f aca="false">VLOOKUP(YEAR(A136),Yr_Sprds,2)+E124</f>
        <v>4.022</v>
      </c>
      <c r="F136" s="287"/>
      <c r="G136" s="288"/>
      <c r="H136" s="287"/>
      <c r="I136" s="287"/>
      <c r="J136" s="279"/>
      <c r="K136" s="278"/>
      <c r="L136" s="291"/>
      <c r="M136" s="112"/>
      <c r="N136" s="278"/>
      <c r="O136" s="278"/>
      <c r="P136" s="278"/>
      <c r="Q136" s="167"/>
      <c r="R136" s="167"/>
      <c r="S136" s="167"/>
      <c r="T136" s="167"/>
      <c r="U136" s="167"/>
      <c r="V136" s="167"/>
      <c r="W136" s="167"/>
      <c r="X136" s="167"/>
      <c r="Y136" s="228" t="n">
        <f aca="false">DAY(EOMONTH(A136,0))</f>
        <v>31</v>
      </c>
      <c r="Z136" s="268" t="n">
        <v>40814</v>
      </c>
      <c r="AA136" s="230" t="e">
        <f aca="false">IF(AND(A136&gt;=Front!$E$11,A136&lt;=Front!$E$12),A136,"")</f>
        <v>#VALUE!</v>
      </c>
      <c r="AB136" s="231" t="e">
        <f aca="false">IF(AA136="","",VLOOKUP(MONTH(A135),Front!$W$6:$X$17,2)*IF(Front!D$9=0,Swap!Y136,1))</f>
        <v>#VALUE!</v>
      </c>
      <c r="AC136" s="274" t="e">
        <f aca="false">IF(AA136="","",AB136*AH136)</f>
        <v>#VALUE!</v>
      </c>
      <c r="AD136" s="233"/>
      <c r="AE136" s="231" t="e">
        <f aca="false">IF(AA136="","",AD136*AH136)</f>
        <v>#VALUE!</v>
      </c>
      <c r="AF136" s="243" t="n">
        <f aca="false">INDEX(IRTable,MATCH(A136,IRMonth,0),4)</f>
        <v>0.0561824024435231</v>
      </c>
      <c r="AG136" s="243" t="n">
        <f aca="false">AF136+$AG$9</f>
        <v>0.0561824024435231</v>
      </c>
      <c r="AH136" s="195" t="n">
        <f aca="false">1/((1+AG136/2)^(2*((A136-Front!$C$2)/365.25)))</f>
        <v>2.12117012344457</v>
      </c>
      <c r="AI136" s="236" t="e">
        <f aca="false">IF($AA136="","",E136*AC136)</f>
        <v>#VALUE!</v>
      </c>
      <c r="AJ136" s="236" t="e">
        <f aca="false">IF($AA136="","",E136*AE136)</f>
        <v>#VALUE!</v>
      </c>
      <c r="AK136" s="237" t="e">
        <f aca="false">IF($AA136="","",C136*AC136)</f>
        <v>#VALUE!</v>
      </c>
      <c r="AL136" s="160" t="n">
        <f aca="false">(AO136/10000)/30.5</f>
        <v>0</v>
      </c>
      <c r="AM136" s="238" t="n">
        <f aca="false">AD136/10000</f>
        <v>0</v>
      </c>
      <c r="AN136" s="238" t="n">
        <f aca="false">AD136*DAY(EOMONTH(A136,0))/10000</f>
        <v>0</v>
      </c>
      <c r="AO136" s="238"/>
      <c r="AP136" s="238"/>
      <c r="AQ136" s="238"/>
      <c r="AR136" s="239"/>
      <c r="AS136" s="238"/>
      <c r="AT136" s="240"/>
      <c r="AU136" s="0"/>
      <c r="AV136" s="240"/>
      <c r="AW136" s="240"/>
      <c r="AX136" s="238"/>
      <c r="AY136" s="238"/>
      <c r="AZ136" s="238"/>
      <c r="BA136" s="241"/>
      <c r="BB136" s="242"/>
      <c r="BC136" s="243" t="n">
        <v>4.011</v>
      </c>
      <c r="BD136" s="195" t="n">
        <f aca="false">BC136-E136</f>
        <v>-0.0110000000000001</v>
      </c>
      <c r="BE136" s="251" t="n">
        <v>0</v>
      </c>
      <c r="BF136" s="245" t="n">
        <f aca="false">(BE136)*(D136*10)</f>
        <v>0</v>
      </c>
      <c r="BG136" s="121" t="n">
        <v>55.85845469</v>
      </c>
      <c r="BH136" s="121" t="n">
        <v>0</v>
      </c>
      <c r="BI136" s="247"/>
      <c r="BJ136" s="121"/>
      <c r="BK136" s="121"/>
      <c r="BL136" s="121"/>
      <c r="BM136" s="121"/>
      <c r="BN136" s="121"/>
      <c r="BO136" s="121"/>
      <c r="BP136" s="275" t="n">
        <v>40969</v>
      </c>
      <c r="BQ136" s="143" t="n">
        <v>3.911</v>
      </c>
      <c r="BR136" s="143" t="n">
        <v>0.17</v>
      </c>
      <c r="BS136" s="143" t="n">
        <v>0.0561824024435231</v>
      </c>
      <c r="BT136" s="121"/>
    </row>
    <row r="137" customFormat="false" ht="15" hidden="false" customHeight="false" outlineLevel="0" collapsed="false">
      <c r="A137" s="156" t="n">
        <f aca="false">EOMONTH(A136,0)+1</f>
        <v>41000</v>
      </c>
      <c r="B137" s="215"/>
      <c r="C137" s="281" t="n">
        <v>3.841</v>
      </c>
      <c r="D137" s="282" t="n">
        <f aca="false">(E137-C137)*1000</f>
        <v>11.0000000000001</v>
      </c>
      <c r="E137" s="283" t="n">
        <f aca="false">VLOOKUP(YEAR(A137),Yr_Sprds,2)+E125</f>
        <v>3.852</v>
      </c>
      <c r="F137" s="287"/>
      <c r="G137" s="288"/>
      <c r="H137" s="287"/>
      <c r="I137" s="287"/>
      <c r="J137" s="279"/>
      <c r="K137" s="278"/>
      <c r="L137" s="291"/>
      <c r="M137" s="112"/>
      <c r="N137" s="278"/>
      <c r="O137" s="278"/>
      <c r="P137" s="278"/>
      <c r="Q137" s="167"/>
      <c r="R137" s="167"/>
      <c r="S137" s="167"/>
      <c r="T137" s="167"/>
      <c r="U137" s="167"/>
      <c r="V137" s="167"/>
      <c r="W137" s="167"/>
      <c r="X137" s="167"/>
      <c r="Y137" s="228" t="n">
        <f aca="false">DAY(EOMONTH(A137,0))</f>
        <v>30</v>
      </c>
      <c r="Z137" s="268" t="n">
        <v>40843</v>
      </c>
      <c r="AA137" s="230" t="e">
        <f aca="false">IF(AND(A137&gt;=Front!$E$11,A137&lt;=Front!$E$12),A137,"")</f>
        <v>#VALUE!</v>
      </c>
      <c r="AB137" s="231" t="e">
        <f aca="false">IF(AA137="","",VLOOKUP(MONTH(A136),Front!$W$6:$X$17,2)*IF(Front!D$9=0,Swap!Y137,1))</f>
        <v>#VALUE!</v>
      </c>
      <c r="AC137" s="274" t="e">
        <f aca="false">IF(AA137="","",AB137*AH137)</f>
        <v>#VALUE!</v>
      </c>
      <c r="AD137" s="233"/>
      <c r="AE137" s="231" t="e">
        <f aca="false">IF(AA137="","",AD137*AH137)</f>
        <v>#VALUE!</v>
      </c>
      <c r="AF137" s="243" t="n">
        <f aca="false">INDEX(IRTable,MATCH(A137,IRMonth,0),4)</f>
        <v>0.0562496078022199</v>
      </c>
      <c r="AG137" s="243" t="n">
        <f aca="false">AF137+$AG$9</f>
        <v>0.0562496078022199</v>
      </c>
      <c r="AH137" s="195" t="n">
        <f aca="false">1/((1+AG137/2)^(2*((A137-Front!$C$2)/365.25)))</f>
        <v>2.11308049556884</v>
      </c>
      <c r="AI137" s="236" t="e">
        <f aca="false">IF($AA137="","",E137*AC137)</f>
        <v>#VALUE!</v>
      </c>
      <c r="AJ137" s="236" t="e">
        <f aca="false">IF($AA137="","",E137*AE137)</f>
        <v>#VALUE!</v>
      </c>
      <c r="AK137" s="237" t="e">
        <f aca="false">IF($AA137="","",C137*AC137)</f>
        <v>#VALUE!</v>
      </c>
      <c r="AL137" s="160" t="n">
        <f aca="false">(AO137/10000)/30.5</f>
        <v>0</v>
      </c>
      <c r="AM137" s="238" t="n">
        <f aca="false">AD137/10000</f>
        <v>0</v>
      </c>
      <c r="AN137" s="238" t="n">
        <f aca="false">AD137*DAY(EOMONTH(A137,0))/10000</f>
        <v>0</v>
      </c>
      <c r="AO137" s="238"/>
      <c r="AP137" s="238"/>
      <c r="AQ137" s="238"/>
      <c r="AR137" s="239"/>
      <c r="AS137" s="238"/>
      <c r="AT137" s="240"/>
      <c r="AU137" s="0"/>
      <c r="AV137" s="240"/>
      <c r="AW137" s="240"/>
      <c r="AX137" s="238"/>
      <c r="AY137" s="238"/>
      <c r="AZ137" s="238"/>
      <c r="BA137" s="241"/>
      <c r="BB137" s="242"/>
      <c r="BC137" s="243" t="n">
        <v>3.841</v>
      </c>
      <c r="BD137" s="195" t="n">
        <f aca="false">BC137-E137</f>
        <v>-0.0110000000000001</v>
      </c>
      <c r="BE137" s="251" t="n">
        <v>0</v>
      </c>
      <c r="BF137" s="245" t="n">
        <f aca="false">(BE137)*(D137*10)</f>
        <v>0</v>
      </c>
      <c r="BG137" s="121" t="n">
        <v>55.02654108</v>
      </c>
      <c r="BH137" s="121" t="n">
        <v>0</v>
      </c>
      <c r="BI137" s="247"/>
      <c r="BJ137" s="121"/>
      <c r="BK137" s="121"/>
      <c r="BL137" s="121"/>
      <c r="BM137" s="121"/>
      <c r="BN137" s="121"/>
      <c r="BO137" s="121"/>
      <c r="BP137" s="275" t="n">
        <v>41000</v>
      </c>
      <c r="BQ137" s="143" t="n">
        <v>3.741</v>
      </c>
      <c r="BR137" s="143" t="n">
        <v>0.17</v>
      </c>
      <c r="BS137" s="143" t="n">
        <v>0.0562496078022199</v>
      </c>
      <c r="BT137" s="121"/>
    </row>
    <row r="138" customFormat="false" ht="15" hidden="false" customHeight="false" outlineLevel="0" collapsed="false">
      <c r="A138" s="156" t="n">
        <f aca="false">EOMONTH(A137,0)+1</f>
        <v>41030</v>
      </c>
      <c r="B138" s="215"/>
      <c r="C138" s="281" t="n">
        <v>3.841</v>
      </c>
      <c r="D138" s="282" t="n">
        <f aca="false">(E138-C138)*1000</f>
        <v>11.0000000000001</v>
      </c>
      <c r="E138" s="283" t="n">
        <f aca="false">VLOOKUP(YEAR(A138),Yr_Sprds,2)+E126</f>
        <v>3.852</v>
      </c>
      <c r="F138" s="287"/>
      <c r="G138" s="288"/>
      <c r="H138" s="287"/>
      <c r="I138" s="287"/>
      <c r="J138" s="279"/>
      <c r="K138" s="278"/>
      <c r="L138" s="291"/>
      <c r="M138" s="112"/>
      <c r="N138" s="278"/>
      <c r="O138" s="278"/>
      <c r="P138" s="278"/>
      <c r="Q138" s="167"/>
      <c r="R138" s="167"/>
      <c r="S138" s="167"/>
      <c r="T138" s="167"/>
      <c r="U138" s="167"/>
      <c r="V138" s="167"/>
      <c r="W138" s="167"/>
      <c r="X138" s="167"/>
      <c r="Y138" s="228" t="n">
        <f aca="false">DAY(EOMONTH(A138,0))</f>
        <v>31</v>
      </c>
      <c r="Z138" s="268" t="n">
        <v>40875</v>
      </c>
      <c r="AA138" s="230" t="e">
        <f aca="false">IF(AND(A138&gt;=Front!$E$11,A138&lt;=Front!$E$12),A138,"")</f>
        <v>#VALUE!</v>
      </c>
      <c r="AB138" s="231" t="e">
        <f aca="false">IF(AA138="","",VLOOKUP(MONTH(A137),Front!$W$6:$X$17,2)*IF(Front!D$9=0,Swap!Y138,1))</f>
        <v>#VALUE!</v>
      </c>
      <c r="AC138" s="274" t="e">
        <f aca="false">IF(AA138="","",AB138*AH138)</f>
        <v>#VALUE!</v>
      </c>
      <c r="AD138" s="233"/>
      <c r="AE138" s="231" t="e">
        <f aca="false">IF(AA138="","",AD138*AH138)</f>
        <v>#VALUE!</v>
      </c>
      <c r="AF138" s="243" t="n">
        <f aca="false">INDEX(IRTable,MATCH(A138,IRMonth,0),4)</f>
        <v>0.0563146452475505</v>
      </c>
      <c r="AG138" s="243" t="n">
        <f aca="false">AF138+$AG$9</f>
        <v>0.0563146452475505</v>
      </c>
      <c r="AH138" s="195" t="n">
        <f aca="false">1/((1+AG138/2)^(2*((A138-Front!$C$2)/365.25)))</f>
        <v>2.10525890045444</v>
      </c>
      <c r="AI138" s="236" t="e">
        <f aca="false">IF($AA138="","",E138*AC138)</f>
        <v>#VALUE!</v>
      </c>
      <c r="AJ138" s="236" t="e">
        <f aca="false">IF($AA138="","",E138*AE138)</f>
        <v>#VALUE!</v>
      </c>
      <c r="AK138" s="237" t="e">
        <f aca="false">IF($AA138="","",C138*AC138)</f>
        <v>#VALUE!</v>
      </c>
      <c r="AL138" s="160" t="n">
        <f aca="false">(AO138/10000)/30.5</f>
        <v>0</v>
      </c>
      <c r="AM138" s="238" t="n">
        <f aca="false">AD138/10000</f>
        <v>0</v>
      </c>
      <c r="AN138" s="238" t="n">
        <f aca="false">AD138*DAY(EOMONTH(A138,0))/10000</f>
        <v>0</v>
      </c>
      <c r="AO138" s="238"/>
      <c r="AP138" s="238"/>
      <c r="AQ138" s="238"/>
      <c r="AR138" s="239"/>
      <c r="AS138" s="238"/>
      <c r="AT138" s="240"/>
      <c r="AU138" s="0"/>
      <c r="AV138" s="240"/>
      <c r="AW138" s="240"/>
      <c r="AX138" s="238"/>
      <c r="AY138" s="238"/>
      <c r="AZ138" s="238"/>
      <c r="BA138" s="241"/>
      <c r="BB138" s="242"/>
      <c r="BC138" s="243" t="n">
        <v>3.841</v>
      </c>
      <c r="BD138" s="195" t="n">
        <f aca="false">BC138-E138</f>
        <v>-0.0110000000000001</v>
      </c>
      <c r="BE138" s="251" t="n">
        <v>0</v>
      </c>
      <c r="BF138" s="245" t="n">
        <f aca="false">(BE138)*(D138*10)</f>
        <v>0</v>
      </c>
      <c r="BG138" s="121" t="n">
        <v>55.71197846</v>
      </c>
      <c r="BH138" s="121" t="n">
        <v>0</v>
      </c>
      <c r="BI138" s="247"/>
      <c r="BJ138" s="121"/>
      <c r="BK138" s="121"/>
      <c r="BL138" s="121"/>
      <c r="BM138" s="121"/>
      <c r="BN138" s="121"/>
      <c r="BO138" s="121"/>
      <c r="BP138" s="275" t="n">
        <v>41030</v>
      </c>
      <c r="BQ138" s="143" t="n">
        <v>3.741</v>
      </c>
      <c r="BR138" s="143" t="n">
        <v>0.17</v>
      </c>
      <c r="BS138" s="143" t="n">
        <v>0.0563146452475505</v>
      </c>
      <c r="BT138" s="121"/>
    </row>
    <row r="139" customFormat="false" ht="15" hidden="false" customHeight="false" outlineLevel="0" collapsed="false">
      <c r="A139" s="156" t="n">
        <f aca="false">EOMONTH(A138,0)+1</f>
        <v>41061</v>
      </c>
      <c r="B139" s="215"/>
      <c r="C139" s="281" t="n">
        <v>3.873</v>
      </c>
      <c r="D139" s="282" t="n">
        <f aca="false">(E139-C139)*1000</f>
        <v>11.0000000000001</v>
      </c>
      <c r="E139" s="283" t="n">
        <f aca="false">VLOOKUP(YEAR(A139),Yr_Sprds,2)+E127</f>
        <v>3.884</v>
      </c>
      <c r="F139" s="287"/>
      <c r="G139" s="288"/>
      <c r="H139" s="287"/>
      <c r="I139" s="287"/>
      <c r="J139" s="279"/>
      <c r="K139" s="278"/>
      <c r="L139" s="291"/>
      <c r="M139" s="112"/>
      <c r="N139" s="278"/>
      <c r="O139" s="278"/>
      <c r="P139" s="278"/>
      <c r="Q139" s="167"/>
      <c r="R139" s="167"/>
      <c r="S139" s="167"/>
      <c r="T139" s="167"/>
      <c r="U139" s="167"/>
      <c r="V139" s="167"/>
      <c r="W139" s="167"/>
      <c r="X139" s="167"/>
      <c r="Y139" s="228" t="n">
        <f aca="false">DAY(EOMONTH(A139,0))</f>
        <v>30</v>
      </c>
      <c r="Z139" s="268" t="n">
        <v>40905</v>
      </c>
      <c r="AA139" s="230" t="e">
        <f aca="false">IF(AND(A139&gt;=Front!$E$11,A139&lt;=Front!$E$12),A139,"")</f>
        <v>#VALUE!</v>
      </c>
      <c r="AB139" s="231" t="e">
        <f aca="false">IF(AA139="","",VLOOKUP(MONTH(A138),Front!$W$6:$X$17,2)*IF(Front!D$9=0,Swap!Y139,1))</f>
        <v>#VALUE!</v>
      </c>
      <c r="AC139" s="274" t="e">
        <f aca="false">IF(AA139="","",AB139*AH139)</f>
        <v>#VALUE!</v>
      </c>
      <c r="AD139" s="233"/>
      <c r="AE139" s="231" t="e">
        <f aca="false">IF(AA139="","",AD139*AH139)</f>
        <v>#VALUE!</v>
      </c>
      <c r="AF139" s="243" t="n">
        <f aca="false">INDEX(IRTable,MATCH(A139,IRMonth,0),4)</f>
        <v>0.0563818506092044</v>
      </c>
      <c r="AG139" s="243" t="n">
        <f aca="false">AF139+$AG$9</f>
        <v>0.0563818506092044</v>
      </c>
      <c r="AH139" s="195" t="n">
        <f aca="false">1/((1+AG139/2)^(2*((A139-Front!$C$2)/365.25)))</f>
        <v>2.09718404656171</v>
      </c>
      <c r="AI139" s="236" t="e">
        <f aca="false">IF($AA139="","",E139*AC139)</f>
        <v>#VALUE!</v>
      </c>
      <c r="AJ139" s="236" t="e">
        <f aca="false">IF($AA139="","",E139*AE139)</f>
        <v>#VALUE!</v>
      </c>
      <c r="AK139" s="237" t="e">
        <f aca="false">IF($AA139="","",C139*AC139)</f>
        <v>#VALUE!</v>
      </c>
      <c r="AL139" s="160" t="n">
        <f aca="false">(AO139/10000)/30.5</f>
        <v>0</v>
      </c>
      <c r="AM139" s="238" t="n">
        <f aca="false">AD139/10000</f>
        <v>0</v>
      </c>
      <c r="AN139" s="238" t="n">
        <f aca="false">AD139*DAY(EOMONTH(A139,0))/10000</f>
        <v>0</v>
      </c>
      <c r="AO139" s="238"/>
      <c r="AP139" s="238"/>
      <c r="AQ139" s="238"/>
      <c r="AR139" s="239"/>
      <c r="AS139" s="238"/>
      <c r="AT139" s="240"/>
      <c r="AU139" s="0"/>
      <c r="AV139" s="240"/>
      <c r="AW139" s="240"/>
      <c r="AX139" s="238"/>
      <c r="AY139" s="238"/>
      <c r="AZ139" s="238"/>
      <c r="BA139" s="241"/>
      <c r="BB139" s="242"/>
      <c r="BC139" s="243" t="n">
        <v>3.873</v>
      </c>
      <c r="BD139" s="195" t="n">
        <f aca="false">BC139-E139</f>
        <v>-0.0110000000000001</v>
      </c>
      <c r="BE139" s="251" t="n">
        <v>0</v>
      </c>
      <c r="BF139" s="245" t="n">
        <f aca="false">(BE139)*(D139*10)</f>
        <v>0</v>
      </c>
      <c r="BG139" s="121" t="n">
        <v>54.21527676</v>
      </c>
      <c r="BH139" s="121" t="n">
        <v>0</v>
      </c>
      <c r="BI139" s="247"/>
      <c r="BJ139" s="121"/>
      <c r="BK139" s="121"/>
      <c r="BL139" s="121"/>
      <c r="BM139" s="121"/>
      <c r="BN139" s="121"/>
      <c r="BO139" s="121"/>
      <c r="BP139" s="275" t="n">
        <v>41061</v>
      </c>
      <c r="BQ139" s="143" t="n">
        <v>3.773</v>
      </c>
      <c r="BR139" s="143" t="n">
        <v>0.17</v>
      </c>
      <c r="BS139" s="143" t="n">
        <v>0.0563818506092044</v>
      </c>
      <c r="BT139" s="121"/>
    </row>
    <row r="140" customFormat="false" ht="15" hidden="false" customHeight="false" outlineLevel="0" collapsed="false">
      <c r="A140" s="156" t="n">
        <f aca="false">EOMONTH(A139,0)+1</f>
        <v>41091</v>
      </c>
      <c r="B140" s="215"/>
      <c r="C140" s="281" t="n">
        <v>3.923</v>
      </c>
      <c r="D140" s="282" t="n">
        <f aca="false">(E140-C140)*1000</f>
        <v>11.0000000000001</v>
      </c>
      <c r="E140" s="283" t="n">
        <f aca="false">VLOOKUP(YEAR(A140),Yr_Sprds,2)+E128</f>
        <v>3.934</v>
      </c>
      <c r="F140" s="287"/>
      <c r="G140" s="288"/>
      <c r="H140" s="287"/>
      <c r="I140" s="287"/>
      <c r="J140" s="279"/>
      <c r="K140" s="278"/>
      <c r="L140" s="291"/>
      <c r="M140" s="112"/>
      <c r="N140" s="278"/>
      <c r="O140" s="278"/>
      <c r="P140" s="278"/>
      <c r="Q140" s="167"/>
      <c r="R140" s="167"/>
      <c r="S140" s="167"/>
      <c r="T140" s="167"/>
      <c r="U140" s="167"/>
      <c r="V140" s="167"/>
      <c r="W140" s="167"/>
      <c r="X140" s="167"/>
      <c r="Y140" s="228" t="n">
        <f aca="false">DAY(EOMONTH(A140,0))</f>
        <v>31</v>
      </c>
      <c r="Z140" s="268" t="n">
        <v>40935</v>
      </c>
      <c r="AA140" s="230" t="e">
        <f aca="false">IF(AND(A140&gt;=Front!$E$11,A140&lt;=Front!$E$12),A140,"")</f>
        <v>#VALUE!</v>
      </c>
      <c r="AB140" s="231" t="e">
        <f aca="false">IF(AA140="","",VLOOKUP(MONTH(A139),Front!$W$6:$X$17,2)*IF(Front!D$9=0,Swap!Y140,1))</f>
        <v>#VALUE!</v>
      </c>
      <c r="AC140" s="274" t="e">
        <f aca="false">IF(AA140="","",AB140*AH140)</f>
        <v>#VALUE!</v>
      </c>
      <c r="AD140" s="233"/>
      <c r="AE140" s="231" t="e">
        <f aca="false">IF(AA140="","",AD140*AH140)</f>
        <v>#VALUE!</v>
      </c>
      <c r="AF140" s="243" t="n">
        <f aca="false">INDEX(IRTable,MATCH(A140,IRMonth,0),4)</f>
        <v>0.0564468880573985</v>
      </c>
      <c r="AG140" s="243" t="n">
        <f aca="false">AF140+$AG$9</f>
        <v>0.0564468880573985</v>
      </c>
      <c r="AH140" s="195" t="n">
        <f aca="false">1/((1+AG140/2)^(2*((A140-Front!$C$2)/365.25)))</f>
        <v>2.08937703322613</v>
      </c>
      <c r="AI140" s="236" t="e">
        <f aca="false">IF($AA140="","",E140*AC140)</f>
        <v>#VALUE!</v>
      </c>
      <c r="AJ140" s="236" t="e">
        <f aca="false">IF($AA140="","",E140*AE140)</f>
        <v>#VALUE!</v>
      </c>
      <c r="AK140" s="237" t="e">
        <f aca="false">IF($AA140="","",C140*AC140)</f>
        <v>#VALUE!</v>
      </c>
      <c r="AL140" s="160" t="n">
        <f aca="false">(AO140/10000)/30.5</f>
        <v>0</v>
      </c>
      <c r="AM140" s="238" t="n">
        <f aca="false">AD140/10000</f>
        <v>0</v>
      </c>
      <c r="AN140" s="238" t="n">
        <f aca="false">AD140*DAY(EOMONTH(A140,0))/10000</f>
        <v>0</v>
      </c>
      <c r="AO140" s="238"/>
      <c r="AP140" s="238"/>
      <c r="AQ140" s="238"/>
      <c r="AR140" s="239"/>
      <c r="AS140" s="238"/>
      <c r="AT140" s="240"/>
      <c r="AU140" s="0"/>
      <c r="AV140" s="240"/>
      <c r="AW140" s="240"/>
      <c r="AX140" s="238"/>
      <c r="AY140" s="238"/>
      <c r="AZ140" s="238"/>
      <c r="BA140" s="241"/>
      <c r="BB140" s="242"/>
      <c r="BC140" s="243" t="n">
        <v>3.923</v>
      </c>
      <c r="BD140" s="195" t="n">
        <f aca="false">BC140-E140</f>
        <v>-0.0110000000000001</v>
      </c>
      <c r="BE140" s="251" t="n">
        <v>0</v>
      </c>
      <c r="BF140" s="245" t="n">
        <f aca="false">(BE140)*(D140*10)</f>
        <v>0</v>
      </c>
      <c r="BG140" s="121" t="n">
        <v>54.53046955</v>
      </c>
      <c r="BH140" s="121" t="n">
        <v>0</v>
      </c>
      <c r="BI140" s="247"/>
      <c r="BJ140" s="121"/>
      <c r="BK140" s="121"/>
      <c r="BL140" s="121"/>
      <c r="BM140" s="121"/>
      <c r="BN140" s="121"/>
      <c r="BO140" s="121"/>
      <c r="BP140" s="275" t="n">
        <v>41091</v>
      </c>
      <c r="BQ140" s="143" t="n">
        <v>3.823</v>
      </c>
      <c r="BR140" s="143" t="n">
        <v>0.17</v>
      </c>
      <c r="BS140" s="143" t="n">
        <v>0.0564468880573985</v>
      </c>
      <c r="BT140" s="121"/>
    </row>
    <row r="141" customFormat="false" ht="15" hidden="false" customHeight="false" outlineLevel="0" collapsed="false">
      <c r="A141" s="156" t="n">
        <f aca="false">EOMONTH(A140,0)+1</f>
        <v>41122</v>
      </c>
      <c r="B141" s="215"/>
      <c r="C141" s="281" t="n">
        <v>3.957</v>
      </c>
      <c r="D141" s="282" t="n">
        <f aca="false">(E141-C141)*1000</f>
        <v>11.0000000000001</v>
      </c>
      <c r="E141" s="283" t="n">
        <f aca="false">VLOOKUP(YEAR(A141),Yr_Sprds,2)+E129</f>
        <v>3.968</v>
      </c>
      <c r="F141" s="287"/>
      <c r="G141" s="288"/>
      <c r="H141" s="287"/>
      <c r="I141" s="287"/>
      <c r="J141" s="279"/>
      <c r="K141" s="278"/>
      <c r="L141" s="291"/>
      <c r="M141" s="112"/>
      <c r="N141" s="278"/>
      <c r="O141" s="278"/>
      <c r="P141" s="278"/>
      <c r="Q141" s="167"/>
      <c r="R141" s="167"/>
      <c r="S141" s="167"/>
      <c r="T141" s="167"/>
      <c r="U141" s="167"/>
      <c r="V141" s="167"/>
      <c r="W141" s="167"/>
      <c r="X141" s="167"/>
      <c r="Y141" s="228" t="n">
        <f aca="false">DAY(EOMONTH(A141,0))</f>
        <v>31</v>
      </c>
      <c r="Z141" s="268" t="n">
        <v>40966</v>
      </c>
      <c r="AA141" s="230" t="e">
        <f aca="false">IF(AND(A141&gt;=Front!$E$11,A141&lt;=Front!$E$12),A141,"")</f>
        <v>#VALUE!</v>
      </c>
      <c r="AB141" s="231" t="e">
        <f aca="false">IF(AA141="","",VLOOKUP(MONTH(A140),Front!$W$6:$X$17,2)*IF(Front!D$9=0,Swap!Y141,1))</f>
        <v>#VALUE!</v>
      </c>
      <c r="AC141" s="274" t="e">
        <f aca="false">IF(AA141="","",AB141*AH141)</f>
        <v>#VALUE!</v>
      </c>
      <c r="AD141" s="233"/>
      <c r="AE141" s="231" t="e">
        <f aca="false">IF(AA141="","",AD141*AH141)</f>
        <v>#VALUE!</v>
      </c>
      <c r="AF141" s="243" t="n">
        <f aca="false">INDEX(IRTable,MATCH(A141,IRMonth,0),4)</f>
        <v>0.056514093422011</v>
      </c>
      <c r="AG141" s="243" t="n">
        <f aca="false">AF141+$AG$9</f>
        <v>0.056514093422011</v>
      </c>
      <c r="AH141" s="195" t="n">
        <f aca="false">1/((1+AG141/2)^(2*((A141-Front!$C$2)/365.25)))</f>
        <v>2.08131753939769</v>
      </c>
      <c r="AI141" s="236" t="e">
        <f aca="false">IF($AA141="","",E141*AC141)</f>
        <v>#VALUE!</v>
      </c>
      <c r="AJ141" s="236" t="e">
        <f aca="false">IF($AA141="","",E141*AE141)</f>
        <v>#VALUE!</v>
      </c>
      <c r="AK141" s="237" t="e">
        <f aca="false">IF($AA141="","",C141*AC141)</f>
        <v>#VALUE!</v>
      </c>
      <c r="AL141" s="160" t="n">
        <f aca="false">(AO141/10000)/30.5</f>
        <v>0</v>
      </c>
      <c r="AM141" s="238" t="n">
        <f aca="false">AD141/10000</f>
        <v>0</v>
      </c>
      <c r="AN141" s="238" t="n">
        <f aca="false">AD141*DAY(EOMONTH(A141,0))/10000</f>
        <v>0</v>
      </c>
      <c r="AO141" s="238"/>
      <c r="AP141" s="238"/>
      <c r="AQ141" s="238"/>
      <c r="AR141" s="239"/>
      <c r="AS141" s="238"/>
      <c r="AT141" s="240"/>
      <c r="AU141" s="0"/>
      <c r="AV141" s="240"/>
      <c r="AW141" s="240"/>
      <c r="AX141" s="238"/>
      <c r="AY141" s="238"/>
      <c r="AZ141" s="238"/>
      <c r="BA141" s="241"/>
      <c r="BB141" s="242"/>
      <c r="BC141" s="243" t="n">
        <v>3.957</v>
      </c>
      <c r="BD141" s="195" t="n">
        <f aca="false">BC141-E141</f>
        <v>-0.0110000000000001</v>
      </c>
      <c r="BE141" s="251" t="n">
        <v>0</v>
      </c>
      <c r="BF141" s="245" t="n">
        <f aca="false">(BE141)*(D141*10)</f>
        <v>0</v>
      </c>
      <c r="BG141" s="121" t="n">
        <v>54.1044282</v>
      </c>
      <c r="BH141" s="121" t="n">
        <v>0</v>
      </c>
      <c r="BI141" s="247"/>
      <c r="BJ141" s="121"/>
      <c r="BK141" s="121"/>
      <c r="BL141" s="121"/>
      <c r="BM141" s="121"/>
      <c r="BN141" s="121"/>
      <c r="BO141" s="121"/>
      <c r="BP141" s="275" t="n">
        <v>41122</v>
      </c>
      <c r="BQ141" s="143" t="n">
        <v>3.857</v>
      </c>
      <c r="BR141" s="143" t="n">
        <v>0.17</v>
      </c>
      <c r="BS141" s="143" t="n">
        <v>0.056514093422011</v>
      </c>
      <c r="BT141" s="121"/>
    </row>
    <row r="142" customFormat="false" ht="15" hidden="false" customHeight="false" outlineLevel="0" collapsed="false">
      <c r="A142" s="156" t="n">
        <f aca="false">EOMONTH(A141,0)+1</f>
        <v>41153</v>
      </c>
      <c r="B142" s="215"/>
      <c r="C142" s="281" t="n">
        <v>3.97</v>
      </c>
      <c r="D142" s="282" t="n">
        <f aca="false">(E142-C142)*1000</f>
        <v>11.0000000000001</v>
      </c>
      <c r="E142" s="283" t="n">
        <f aca="false">VLOOKUP(YEAR(A142),Yr_Sprds,2)+E130</f>
        <v>3.981</v>
      </c>
      <c r="F142" s="287"/>
      <c r="G142" s="288"/>
      <c r="H142" s="287"/>
      <c r="I142" s="287"/>
      <c r="J142" s="279"/>
      <c r="K142" s="278"/>
      <c r="L142" s="291"/>
      <c r="M142" s="112"/>
      <c r="N142" s="278"/>
      <c r="O142" s="278"/>
      <c r="P142" s="278"/>
      <c r="Q142" s="167"/>
      <c r="R142" s="167"/>
      <c r="S142" s="167"/>
      <c r="T142" s="167"/>
      <c r="U142" s="167"/>
      <c r="V142" s="167"/>
      <c r="W142" s="167"/>
      <c r="X142" s="167"/>
      <c r="Y142" s="228" t="n">
        <f aca="false">DAY(EOMONTH(A142,0))</f>
        <v>30</v>
      </c>
      <c r="Z142" s="268" t="n">
        <v>40996</v>
      </c>
      <c r="AA142" s="230" t="e">
        <f aca="false">IF(AND(A142&gt;=Front!$E$11,A142&lt;=Front!$E$12),A142,"")</f>
        <v>#VALUE!</v>
      </c>
      <c r="AB142" s="231" t="e">
        <f aca="false">IF(AA142="","",VLOOKUP(MONTH(A141),Front!$W$6:$X$17,2)*IF(Front!D$9=0,Swap!Y142,1))</f>
        <v>#VALUE!</v>
      </c>
      <c r="AC142" s="274" t="e">
        <f aca="false">IF(AA142="","",AB142*AH142)</f>
        <v>#VALUE!</v>
      </c>
      <c r="AD142" s="233"/>
      <c r="AE142" s="231" t="e">
        <f aca="false">IF(AA142="","",AD142*AH142)</f>
        <v>#VALUE!</v>
      </c>
      <c r="AF142" s="243" t="n">
        <f aca="false">INDEX(IRTable,MATCH(A142,IRMonth,0),4)</f>
        <v>0.0565812987881267</v>
      </c>
      <c r="AG142" s="243" t="n">
        <f aca="false">AF142+$AG$9</f>
        <v>0.0565812987881267</v>
      </c>
      <c r="AH142" s="195" t="n">
        <f aca="false">1/((1+AG142/2)^(2*((A142-Front!$C$2)/365.25)))</f>
        <v>2.07326607402517</v>
      </c>
      <c r="AI142" s="236" t="e">
        <f aca="false">IF($AA142="","",E142*AC142)</f>
        <v>#VALUE!</v>
      </c>
      <c r="AJ142" s="236" t="e">
        <f aca="false">IF($AA142="","",E142*AE142)</f>
        <v>#VALUE!</v>
      </c>
      <c r="AK142" s="237" t="e">
        <f aca="false">IF($AA142="","",C142*AC142)</f>
        <v>#VALUE!</v>
      </c>
      <c r="AL142" s="160" t="n">
        <f aca="false">(AO142/10000)/30.5</f>
        <v>0</v>
      </c>
      <c r="AM142" s="238" t="n">
        <f aca="false">AD142/10000</f>
        <v>0</v>
      </c>
      <c r="AN142" s="238" t="n">
        <f aca="false">AD142*DAY(EOMONTH(A142,0))/10000</f>
        <v>0</v>
      </c>
      <c r="AO142" s="238"/>
      <c r="AP142" s="238"/>
      <c r="AQ142" s="238"/>
      <c r="AR142" s="239"/>
      <c r="AS142" s="238"/>
      <c r="AT142" s="240"/>
      <c r="AU142" s="0"/>
      <c r="AV142" s="240"/>
      <c r="AW142" s="240"/>
      <c r="AX142" s="238"/>
      <c r="AY142" s="238"/>
      <c r="AZ142" s="238"/>
      <c r="BA142" s="241"/>
      <c r="BB142" s="242"/>
      <c r="BC142" s="243" t="n">
        <v>3.97</v>
      </c>
      <c r="BD142" s="195" t="n">
        <f aca="false">BC142-E142</f>
        <v>-0.0110000000000001</v>
      </c>
      <c r="BE142" s="251" t="n">
        <v>0</v>
      </c>
      <c r="BF142" s="245" t="n">
        <f aca="false">(BE142)*(D142*10)</f>
        <v>0</v>
      </c>
      <c r="BG142" s="121" t="n">
        <v>52.59585774</v>
      </c>
      <c r="BH142" s="121" t="n">
        <v>0</v>
      </c>
      <c r="BI142" s="247"/>
      <c r="BJ142" s="121"/>
      <c r="BK142" s="121"/>
      <c r="BL142" s="121"/>
      <c r="BM142" s="121"/>
      <c r="BN142" s="121"/>
      <c r="BO142" s="121"/>
      <c r="BP142" s="275" t="n">
        <v>41153</v>
      </c>
      <c r="BQ142" s="143" t="n">
        <v>3.87</v>
      </c>
      <c r="BR142" s="143" t="n">
        <v>0.17</v>
      </c>
      <c r="BS142" s="143" t="n">
        <v>0.0565812987881267</v>
      </c>
      <c r="BT142" s="121"/>
    </row>
    <row r="143" customFormat="false" ht="15" hidden="false" customHeight="false" outlineLevel="0" collapsed="false">
      <c r="A143" s="156" t="n">
        <f aca="false">EOMONTH(A142,0)+1</f>
        <v>41183</v>
      </c>
      <c r="B143" s="215"/>
      <c r="C143" s="281" t="n">
        <v>3.962</v>
      </c>
      <c r="D143" s="282" t="n">
        <f aca="false">(E143-C143)*1000</f>
        <v>11.0000000000001</v>
      </c>
      <c r="E143" s="283" t="n">
        <f aca="false">VLOOKUP(YEAR(A143),Yr_Sprds,2)+E131</f>
        <v>3.973</v>
      </c>
      <c r="F143" s="287"/>
      <c r="G143" s="288"/>
      <c r="H143" s="287"/>
      <c r="I143" s="287"/>
      <c r="J143" s="279"/>
      <c r="K143" s="278"/>
      <c r="L143" s="291"/>
      <c r="M143" s="112"/>
      <c r="N143" s="278"/>
      <c r="O143" s="278"/>
      <c r="P143" s="278"/>
      <c r="Q143" s="167"/>
      <c r="R143" s="167"/>
      <c r="S143" s="167"/>
      <c r="T143" s="167"/>
      <c r="U143" s="167"/>
      <c r="V143" s="167"/>
      <c r="W143" s="167"/>
      <c r="X143" s="167"/>
      <c r="Y143" s="228" t="n">
        <f aca="false">DAY(EOMONTH(A143,0))</f>
        <v>31</v>
      </c>
      <c r="Z143" s="268" t="n">
        <v>41025</v>
      </c>
      <c r="AA143" s="230" t="e">
        <f aca="false">IF(AND(A143&gt;=Front!$E$11,A143&lt;=Front!$E$12),A143,"")</f>
        <v>#VALUE!</v>
      </c>
      <c r="AB143" s="231" t="e">
        <f aca="false">IF(AA143="","",VLOOKUP(MONTH(A142),Front!$W$6:$X$17,2)*IF(Front!D$9=0,Swap!Y143,1))</f>
        <v>#VALUE!</v>
      </c>
      <c r="AC143" s="274" t="e">
        <f aca="false">IF(AA143="","",AB143*AH143)</f>
        <v>#VALUE!</v>
      </c>
      <c r="AD143" s="233"/>
      <c r="AE143" s="231" t="e">
        <f aca="false">IF(AA143="","",AD143*AH143)</f>
        <v>#VALUE!</v>
      </c>
      <c r="AF143" s="243" t="n">
        <f aca="false">INDEX(IRTable,MATCH(A143,IRMonth,0),4)</f>
        <v>0.0566463362406378</v>
      </c>
      <c r="AG143" s="243" t="n">
        <f aca="false">AF143+$AG$9</f>
        <v>0.0566463362406378</v>
      </c>
      <c r="AH143" s="195" t="n">
        <f aca="false">1/((1+AG143/2)^(2*((A143-Front!$C$2)/365.25)))</f>
        <v>2.06548211768596</v>
      </c>
      <c r="AI143" s="236" t="e">
        <f aca="false">IF($AA143="","",E143*AC143)</f>
        <v>#VALUE!</v>
      </c>
      <c r="AJ143" s="236" t="e">
        <f aca="false">IF($AA143="","",E143*AE143)</f>
        <v>#VALUE!</v>
      </c>
      <c r="AK143" s="237" t="e">
        <f aca="false">IF($AA143="","",C143*AC143)</f>
        <v>#VALUE!</v>
      </c>
      <c r="AL143" s="160" t="n">
        <f aca="false">(AO143/10000)/30.5</f>
        <v>0</v>
      </c>
      <c r="AM143" s="238" t="n">
        <f aca="false">AD143/10000</f>
        <v>0</v>
      </c>
      <c r="AN143" s="238" t="n">
        <f aca="false">AD143*DAY(EOMONTH(A143,0))/10000</f>
        <v>0</v>
      </c>
      <c r="AO143" s="238"/>
      <c r="AP143" s="238"/>
      <c r="AQ143" s="238"/>
      <c r="AR143" s="239"/>
      <c r="AS143" s="238"/>
      <c r="AT143" s="240"/>
      <c r="AU143" s="0"/>
      <c r="AV143" s="240"/>
      <c r="AW143" s="240"/>
      <c r="AX143" s="238"/>
      <c r="AY143" s="238"/>
      <c r="AZ143" s="238"/>
      <c r="BA143" s="241"/>
      <c r="BB143" s="242"/>
      <c r="BC143" s="243" t="n">
        <v>3.962</v>
      </c>
      <c r="BD143" s="195" t="n">
        <f aca="false">BC143-E143</f>
        <v>-0.0110000000000001</v>
      </c>
      <c r="BE143" s="251" t="n">
        <v>0</v>
      </c>
      <c r="BF143" s="245" t="n">
        <f aca="false">(BE143)*(D143*10)</f>
        <v>0</v>
      </c>
      <c r="BG143" s="121" t="n">
        <v>52.50201275</v>
      </c>
      <c r="BH143" s="121" t="n">
        <v>0</v>
      </c>
      <c r="BI143" s="247"/>
      <c r="BJ143" s="121"/>
      <c r="BK143" s="121"/>
      <c r="BL143" s="121"/>
      <c r="BM143" s="121"/>
      <c r="BN143" s="121"/>
      <c r="BO143" s="121"/>
      <c r="BP143" s="275" t="n">
        <v>41183</v>
      </c>
      <c r="BQ143" s="143" t="n">
        <v>3.892</v>
      </c>
      <c r="BR143" s="143" t="n">
        <v>0.17</v>
      </c>
      <c r="BS143" s="143" t="n">
        <v>0.0566463362406378</v>
      </c>
      <c r="BT143" s="121"/>
    </row>
    <row r="144" customFormat="false" ht="15" hidden="false" customHeight="false" outlineLevel="0" collapsed="false">
      <c r="A144" s="156" t="n">
        <f aca="false">EOMONTH(A143,0)+1</f>
        <v>41214</v>
      </c>
      <c r="B144" s="215"/>
      <c r="C144" s="281" t="n">
        <v>4.132</v>
      </c>
      <c r="D144" s="282" t="n">
        <f aca="false">(E144-C144)*1000</f>
        <v>11.0000000000001</v>
      </c>
      <c r="E144" s="283" t="n">
        <f aca="false">VLOOKUP(YEAR(A144),Yr_Sprds,2)+E132</f>
        <v>4.143</v>
      </c>
      <c r="F144" s="287"/>
      <c r="G144" s="288"/>
      <c r="H144" s="287"/>
      <c r="I144" s="287"/>
      <c r="J144" s="279"/>
      <c r="K144" s="278"/>
      <c r="L144" s="291"/>
      <c r="M144" s="112"/>
      <c r="N144" s="278"/>
      <c r="O144" s="278"/>
      <c r="P144" s="278"/>
      <c r="Q144" s="167"/>
      <c r="R144" s="167"/>
      <c r="S144" s="167"/>
      <c r="T144" s="167"/>
      <c r="U144" s="167"/>
      <c r="V144" s="167"/>
      <c r="W144" s="167"/>
      <c r="X144" s="167"/>
      <c r="Y144" s="228" t="n">
        <f aca="false">DAY(EOMONTH(A144,0))</f>
        <v>30</v>
      </c>
      <c r="Z144" s="268" t="n">
        <v>41058</v>
      </c>
      <c r="AA144" s="230" t="e">
        <f aca="false">IF(AND(A144&gt;=Front!$E$11,A144&lt;=Front!$E$12),A144,"")</f>
        <v>#VALUE!</v>
      </c>
      <c r="AB144" s="231" t="e">
        <f aca="false">IF(AA144="","",VLOOKUP(MONTH(A143),Front!$W$6:$X$17,2)*IF(Front!D$9=0,Swap!Y144,1))</f>
        <v>#VALUE!</v>
      </c>
      <c r="AC144" s="274" t="e">
        <f aca="false">IF(AA144="","",AB144*AH144)</f>
        <v>#VALUE!</v>
      </c>
      <c r="AD144" s="233"/>
      <c r="AE144" s="231" t="e">
        <f aca="false">IF(AA144="","",AD144*AH144)</f>
        <v>#VALUE!</v>
      </c>
      <c r="AF144" s="243" t="n">
        <f aca="false">INDEX(IRTable,MATCH(A144,IRMonth,0),4)</f>
        <v>0.0567135416097111</v>
      </c>
      <c r="AG144" s="243" t="n">
        <f aca="false">AF144+$AG$9</f>
        <v>0.0567135416097111</v>
      </c>
      <c r="AH144" s="195" t="n">
        <f aca="false">1/((1+AG144/2)^(2*((A144-Front!$C$2)/365.25)))</f>
        <v>2.05744688398247</v>
      </c>
      <c r="AI144" s="236" t="e">
        <f aca="false">IF($AA144="","",E144*AC144)</f>
        <v>#VALUE!</v>
      </c>
      <c r="AJ144" s="236" t="e">
        <f aca="false">IF($AA144="","",E144*AE144)</f>
        <v>#VALUE!</v>
      </c>
      <c r="AK144" s="237" t="e">
        <f aca="false">IF($AA144="","",C144*AC144)</f>
        <v>#VALUE!</v>
      </c>
      <c r="AL144" s="160" t="n">
        <f aca="false">(AO144/10000)/30.5</f>
        <v>0</v>
      </c>
      <c r="AM144" s="238" t="n">
        <f aca="false">AD144/10000</f>
        <v>0</v>
      </c>
      <c r="AN144" s="238" t="n">
        <f aca="false">AD144*DAY(EOMONTH(A144,0))/10000</f>
        <v>0</v>
      </c>
      <c r="AO144" s="238"/>
      <c r="AP144" s="238"/>
      <c r="AQ144" s="238"/>
      <c r="AR144" s="239"/>
      <c r="AS144" s="238"/>
      <c r="AT144" s="240"/>
      <c r="AU144" s="0"/>
      <c r="AV144" s="240"/>
      <c r="AW144" s="240"/>
      <c r="AX144" s="238"/>
      <c r="AY144" s="238"/>
      <c r="AZ144" s="238"/>
      <c r="BA144" s="241"/>
      <c r="BB144" s="242"/>
      <c r="BC144" s="243" t="n">
        <v>4.132</v>
      </c>
      <c r="BD144" s="195" t="n">
        <f aca="false">BC144-E144</f>
        <v>-0.0110000000000001</v>
      </c>
      <c r="BE144" s="251" t="n">
        <v>0</v>
      </c>
      <c r="BF144" s="245" t="n">
        <f aca="false">(BE144)*(D144*10)</f>
        <v>0</v>
      </c>
      <c r="BG144" s="121" t="n">
        <v>52.54135536</v>
      </c>
      <c r="BH144" s="121" t="n">
        <v>0</v>
      </c>
      <c r="BI144" s="247"/>
      <c r="BJ144" s="121"/>
      <c r="BK144" s="121"/>
      <c r="BL144" s="121"/>
      <c r="BM144" s="121"/>
      <c r="BN144" s="121"/>
      <c r="BO144" s="121"/>
      <c r="BP144" s="275" t="n">
        <v>41214</v>
      </c>
      <c r="BQ144" s="143" t="n">
        <v>4.062</v>
      </c>
      <c r="BR144" s="143" t="n">
        <v>0.17</v>
      </c>
      <c r="BS144" s="143" t="n">
        <v>0.0567135416097111</v>
      </c>
      <c r="BT144" s="121"/>
    </row>
    <row r="145" customFormat="false" ht="15" hidden="false" customHeight="false" outlineLevel="0" collapsed="false">
      <c r="A145" s="156" t="n">
        <f aca="false">EOMONTH(A144,0)+1</f>
        <v>41244</v>
      </c>
      <c r="B145" s="215"/>
      <c r="C145" s="281" t="n">
        <v>4.307</v>
      </c>
      <c r="D145" s="282" t="n">
        <f aca="false">(E145-C145)*1000</f>
        <v>11.0000000000001</v>
      </c>
      <c r="E145" s="283" t="n">
        <f aca="false">VLOOKUP(YEAR(A145),Yr_Sprds,2)+E133</f>
        <v>4.318</v>
      </c>
      <c r="F145" s="287"/>
      <c r="G145" s="288"/>
      <c r="H145" s="287"/>
      <c r="I145" s="287"/>
      <c r="J145" s="279"/>
      <c r="K145" s="278"/>
      <c r="L145" s="291"/>
      <c r="M145" s="112"/>
      <c r="N145" s="278"/>
      <c r="O145" s="278"/>
      <c r="P145" s="278"/>
      <c r="Q145" s="167"/>
      <c r="R145" s="167"/>
      <c r="S145" s="167"/>
      <c r="T145" s="167"/>
      <c r="U145" s="167"/>
      <c r="V145" s="167"/>
      <c r="W145" s="167"/>
      <c r="X145" s="167"/>
      <c r="Y145" s="228" t="n">
        <f aca="false">DAY(EOMONTH(A145,0))</f>
        <v>31</v>
      </c>
      <c r="Z145" s="268" t="n">
        <v>41087</v>
      </c>
      <c r="AA145" s="230" t="e">
        <f aca="false">IF(AND(A145&gt;=Front!$E$11,A145&lt;=Front!$E$12),A145,"")</f>
        <v>#VALUE!</v>
      </c>
      <c r="AB145" s="231" t="e">
        <f aca="false">IF(AA145="","",VLOOKUP(MONTH(A144),Front!$W$6:$X$17,2)*IF(Front!D$9=0,Swap!Y145,1))</f>
        <v>#VALUE!</v>
      </c>
      <c r="AC145" s="274" t="e">
        <f aca="false">IF(AA145="","",AB145*AH145)</f>
        <v>#VALUE!</v>
      </c>
      <c r="AD145" s="233"/>
      <c r="AE145" s="231" t="e">
        <f aca="false">IF(AA145="","",AD145*AH145)</f>
        <v>#VALUE!</v>
      </c>
      <c r="AF145" s="243" t="n">
        <f aca="false">INDEX(IRTable,MATCH(A145,IRMonth,0),4)</f>
        <v>0.0567785790650848</v>
      </c>
      <c r="AG145" s="243" t="n">
        <f aca="false">AF145+$AG$9</f>
        <v>0.0567785790650848</v>
      </c>
      <c r="AH145" s="195" t="n">
        <f aca="false">1/((1+AG145/2)^(2*((A145-Front!$C$2)/365.25)))</f>
        <v>2.04967891216015</v>
      </c>
      <c r="AI145" s="236" t="e">
        <f aca="false">IF($AA145="","",E145*AC145)</f>
        <v>#VALUE!</v>
      </c>
      <c r="AJ145" s="236" t="e">
        <f aca="false">IF($AA145="","",E145*AE145)</f>
        <v>#VALUE!</v>
      </c>
      <c r="AK145" s="237" t="e">
        <f aca="false">IF($AA145="","",C145*AC145)</f>
        <v>#VALUE!</v>
      </c>
      <c r="AL145" s="160" t="n">
        <f aca="false">(AO145/10000)/30.5</f>
        <v>0</v>
      </c>
      <c r="AM145" s="238" t="n">
        <f aca="false">AD145/10000</f>
        <v>0</v>
      </c>
      <c r="AN145" s="238" t="n">
        <f aca="false">AD145*DAY(EOMONTH(A145,0))/10000</f>
        <v>0</v>
      </c>
      <c r="AO145" s="238"/>
      <c r="AP145" s="238"/>
      <c r="AQ145" s="238"/>
      <c r="AR145" s="239"/>
      <c r="AS145" s="238"/>
      <c r="AT145" s="240"/>
      <c r="AU145" s="0"/>
      <c r="AV145" s="240"/>
      <c r="AW145" s="240"/>
      <c r="AX145" s="238"/>
      <c r="AY145" s="238"/>
      <c r="AZ145" s="238"/>
      <c r="BA145" s="241"/>
      <c r="BB145" s="242"/>
      <c r="BC145" s="243" t="n">
        <v>4.307</v>
      </c>
      <c r="BD145" s="195" t="n">
        <f aca="false">BC145-E145</f>
        <v>-0.0110000000000001</v>
      </c>
      <c r="BE145" s="251" t="n">
        <v>0</v>
      </c>
      <c r="BF145" s="245" t="n">
        <f aca="false">(BE145)*(D145*10)</f>
        <v>0</v>
      </c>
      <c r="BG145" s="121" t="n">
        <v>53.30723958</v>
      </c>
      <c r="BH145" s="121" t="n">
        <v>0</v>
      </c>
      <c r="BI145" s="247"/>
      <c r="BJ145" s="121"/>
      <c r="BK145" s="121"/>
      <c r="BL145" s="121"/>
      <c r="BM145" s="121"/>
      <c r="BN145" s="121"/>
      <c r="BO145" s="121"/>
      <c r="BP145" s="275" t="n">
        <v>41244</v>
      </c>
      <c r="BQ145" s="143" t="n">
        <v>4.237</v>
      </c>
      <c r="BR145" s="143" t="n">
        <v>0.17</v>
      </c>
      <c r="BS145" s="143" t="n">
        <v>0.0567785790650848</v>
      </c>
      <c r="BT145" s="121"/>
    </row>
    <row r="146" customFormat="false" ht="15" hidden="false" customHeight="false" outlineLevel="0" collapsed="false">
      <c r="A146" s="156" t="n">
        <f aca="false">EOMONTH(A145,0)+1</f>
        <v>41275</v>
      </c>
      <c r="B146" s="215"/>
      <c r="C146" s="281" t="n">
        <v>4.3595</v>
      </c>
      <c r="D146" s="282" t="n">
        <f aca="false">(E146-C146)*1000</f>
        <v>13.5000000000005</v>
      </c>
      <c r="E146" s="283" t="n">
        <f aca="false">VLOOKUP(YEAR(A146),Yr_Sprds,2)+E134</f>
        <v>4.373</v>
      </c>
      <c r="F146" s="287"/>
      <c r="G146" s="288"/>
      <c r="H146" s="287"/>
      <c r="I146" s="287"/>
      <c r="J146" s="279"/>
      <c r="K146" s="278"/>
      <c r="L146" s="291"/>
      <c r="M146" s="112"/>
      <c r="N146" s="278"/>
      <c r="O146" s="278"/>
      <c r="P146" s="278"/>
      <c r="Q146" s="167"/>
      <c r="R146" s="167"/>
      <c r="S146" s="167"/>
      <c r="T146" s="167"/>
      <c r="U146" s="167"/>
      <c r="V146" s="167"/>
      <c r="W146" s="167"/>
      <c r="X146" s="167"/>
      <c r="Y146" s="228" t="n">
        <f aca="false">DAY(EOMONTH(A146,0))</f>
        <v>31</v>
      </c>
      <c r="Z146" s="268" t="n">
        <v>41117</v>
      </c>
      <c r="AA146" s="230" t="e">
        <f aca="false">IF(AND(A146&gt;=Front!$E$11,A146&lt;=Front!$E$12),A146,"")</f>
        <v>#VALUE!</v>
      </c>
      <c r="AB146" s="231" t="e">
        <f aca="false">IF(AA146="","",VLOOKUP(MONTH(A145),Front!$W$6:$X$17,2)*IF(Front!D$9=0,Swap!Y146,1))</f>
        <v>#VALUE!</v>
      </c>
      <c r="AC146" s="274" t="e">
        <f aca="false">IF(AA146="","",AB146*AH146)</f>
        <v>#VALUE!</v>
      </c>
      <c r="AD146" s="233"/>
      <c r="AE146" s="231" t="e">
        <f aca="false">IF(AA146="","",AD146*AH146)</f>
        <v>#VALUE!</v>
      </c>
      <c r="AF146" s="243" t="n">
        <f aca="false">INDEX(IRTable,MATCH(A146,IRMonth,0),4)</f>
        <v>0.0568457844371157</v>
      </c>
      <c r="AG146" s="243" t="n">
        <f aca="false">AF146+$AG$9</f>
        <v>0.0568457844371157</v>
      </c>
      <c r="AH146" s="195" t="n">
        <f aca="false">1/((1+AG146/2)^(2*((A146-Front!$C$2)/365.25)))</f>
        <v>2.04166047979583</v>
      </c>
      <c r="AI146" s="236" t="e">
        <f aca="false">IF($AA146="","",E146*AC146)</f>
        <v>#VALUE!</v>
      </c>
      <c r="AJ146" s="236" t="e">
        <f aca="false">IF($AA146="","",E146*AE146)</f>
        <v>#VALUE!</v>
      </c>
      <c r="AK146" s="237" t="e">
        <f aca="false">IF($AA146="","",C146*AC146)</f>
        <v>#VALUE!</v>
      </c>
      <c r="AL146" s="160" t="n">
        <f aca="false">(AO146/10000)/30.5</f>
        <v>0</v>
      </c>
      <c r="AM146" s="238" t="n">
        <f aca="false">AD146/10000</f>
        <v>0</v>
      </c>
      <c r="AN146" s="238" t="n">
        <f aca="false">AD146*DAY(EOMONTH(A146,0))/10000</f>
        <v>0</v>
      </c>
      <c r="AO146" s="238"/>
      <c r="AP146" s="238"/>
      <c r="AQ146" s="238"/>
      <c r="AR146" s="239"/>
      <c r="AS146" s="238"/>
      <c r="AT146" s="240"/>
      <c r="AU146" s="0"/>
      <c r="AV146" s="240"/>
      <c r="AW146" s="240"/>
      <c r="AX146" s="238"/>
      <c r="AY146" s="238"/>
      <c r="AZ146" s="238"/>
      <c r="BA146" s="241"/>
      <c r="BB146" s="242"/>
      <c r="BC146" s="243" t="n">
        <v>4.3595</v>
      </c>
      <c r="BD146" s="195" t="n">
        <f aca="false">BC146-E146</f>
        <v>-0.0135000000000005</v>
      </c>
      <c r="BE146" s="251" t="n">
        <v>0</v>
      </c>
      <c r="BF146" s="245" t="n">
        <f aca="false">(BE146)*(D146*10)</f>
        <v>0</v>
      </c>
      <c r="BG146" s="121" t="n">
        <v>52.27456199</v>
      </c>
      <c r="BH146" s="121" t="n">
        <v>0</v>
      </c>
      <c r="BI146" s="247"/>
      <c r="BJ146" s="121"/>
      <c r="BK146" s="121"/>
      <c r="BL146" s="121"/>
      <c r="BM146" s="121"/>
      <c r="BN146" s="121"/>
      <c r="BO146" s="121"/>
      <c r="BP146" s="275" t="n">
        <v>41275</v>
      </c>
      <c r="BQ146" s="143" t="n">
        <v>4.257</v>
      </c>
      <c r="BR146" s="143" t="n">
        <v>0.17</v>
      </c>
      <c r="BS146" s="143" t="n">
        <v>0.0568457844371157</v>
      </c>
      <c r="BT146" s="121"/>
    </row>
    <row r="147" customFormat="false" ht="15" hidden="false" customHeight="false" outlineLevel="0" collapsed="false">
      <c r="A147" s="156" t="n">
        <f aca="false">EOMONTH(A146,0)+1</f>
        <v>41306</v>
      </c>
      <c r="B147" s="215"/>
      <c r="C147" s="281" t="n">
        <v>4.2455</v>
      </c>
      <c r="D147" s="282" t="n">
        <f aca="false">(E147-C147)*1000</f>
        <v>13.5000000000014</v>
      </c>
      <c r="E147" s="283" t="n">
        <f aca="false">VLOOKUP(YEAR(A147),Yr_Sprds,2)+E135</f>
        <v>4.259</v>
      </c>
      <c r="F147" s="287"/>
      <c r="G147" s="288"/>
      <c r="H147" s="287"/>
      <c r="I147" s="287"/>
      <c r="J147" s="279"/>
      <c r="K147" s="278"/>
      <c r="L147" s="291"/>
      <c r="M147" s="112"/>
      <c r="N147" s="278"/>
      <c r="O147" s="278"/>
      <c r="P147" s="278"/>
      <c r="Q147" s="167"/>
      <c r="R147" s="167"/>
      <c r="S147" s="167"/>
      <c r="T147" s="167"/>
      <c r="U147" s="167"/>
      <c r="V147" s="167"/>
      <c r="W147" s="167"/>
      <c r="X147" s="167"/>
      <c r="Y147" s="228" t="n">
        <f aca="false">DAY(EOMONTH(A147,0))</f>
        <v>28</v>
      </c>
      <c r="Z147" s="268" t="n">
        <v>41150</v>
      </c>
      <c r="AA147" s="230" t="e">
        <f aca="false">IF(AND(A147&gt;=Front!$E$11,A147&lt;=Front!$E$12),A147,"")</f>
        <v>#VALUE!</v>
      </c>
      <c r="AB147" s="231" t="e">
        <f aca="false">IF(AA147="","",VLOOKUP(MONTH(A146),Front!$W$6:$X$17,2)*IF(Front!D$9=0,Swap!Y147,1))</f>
        <v>#VALUE!</v>
      </c>
      <c r="AC147" s="274" t="e">
        <f aca="false">IF(AA147="","",AB147*AH147)</f>
        <v>#VALUE!</v>
      </c>
      <c r="AD147" s="233"/>
      <c r="AE147" s="231" t="e">
        <f aca="false">IF(AA147="","",AD147*AH147)</f>
        <v>#VALUE!</v>
      </c>
      <c r="AF147" s="243" t="n">
        <f aca="false">INDEX(IRTable,MATCH(A147,IRMonth,0),4)</f>
        <v>0.0569129898106495</v>
      </c>
      <c r="AG147" s="243" t="n">
        <f aca="false">AF147+$AG$9</f>
        <v>0.0569129898106495</v>
      </c>
      <c r="AH147" s="195" t="n">
        <f aca="false">1/((1+AG147/2)^(2*((A147-Front!$C$2)/365.25)))</f>
        <v>2.0336508020103</v>
      </c>
      <c r="AI147" s="236" t="e">
        <f aca="false">IF($AA147="","",E147*AC147)</f>
        <v>#VALUE!</v>
      </c>
      <c r="AJ147" s="236" t="e">
        <f aca="false">IF($AA147="","",E147*AE147)</f>
        <v>#VALUE!</v>
      </c>
      <c r="AK147" s="237" t="e">
        <f aca="false">IF($AA147="","",C147*AC147)</f>
        <v>#VALUE!</v>
      </c>
      <c r="AL147" s="160" t="n">
        <f aca="false">(AO147/10000)/30.5</f>
        <v>0</v>
      </c>
      <c r="AM147" s="238" t="n">
        <f aca="false">AD147/10000</f>
        <v>0</v>
      </c>
      <c r="AN147" s="238" t="n">
        <f aca="false">AD147*DAY(EOMONTH(A147,0))/10000</f>
        <v>0</v>
      </c>
      <c r="AO147" s="238"/>
      <c r="AP147" s="238"/>
      <c r="AQ147" s="238"/>
      <c r="AR147" s="239"/>
      <c r="AS147" s="238"/>
      <c r="AT147" s="240"/>
      <c r="AU147" s="0"/>
      <c r="AV147" s="240"/>
      <c r="AW147" s="240"/>
      <c r="AX147" s="238"/>
      <c r="AY147" s="238"/>
      <c r="AZ147" s="238"/>
      <c r="BA147" s="241"/>
      <c r="BB147" s="242"/>
      <c r="BC147" s="243" t="n">
        <v>4.2455</v>
      </c>
      <c r="BD147" s="195" t="n">
        <f aca="false">BC147-E147</f>
        <v>-0.0135000000000014</v>
      </c>
      <c r="BE147" s="251" t="n">
        <v>0</v>
      </c>
      <c r="BF147" s="245" t="n">
        <f aca="false">(BE147)*(D147*10)</f>
        <v>0</v>
      </c>
      <c r="BG147" s="121" t="n">
        <v>71.75568011</v>
      </c>
      <c r="BH147" s="121" t="n">
        <v>0</v>
      </c>
      <c r="BI147" s="247"/>
      <c r="BJ147" s="121"/>
      <c r="BK147" s="121"/>
      <c r="BL147" s="121"/>
      <c r="BM147" s="121"/>
      <c r="BN147" s="121"/>
      <c r="BO147" s="121"/>
      <c r="BP147" s="275" t="n">
        <v>41306</v>
      </c>
      <c r="BQ147" s="143" t="n">
        <v>4.143</v>
      </c>
      <c r="BR147" s="143" t="n">
        <v>0.17</v>
      </c>
      <c r="BS147" s="143" t="n">
        <v>0.0569129898106495</v>
      </c>
      <c r="BT147" s="121"/>
    </row>
    <row r="148" customFormat="false" ht="15" hidden="false" customHeight="false" outlineLevel="0" collapsed="false">
      <c r="A148" s="156" t="n">
        <f aca="false">EOMONTH(A147,0)+1</f>
        <v>41334</v>
      </c>
      <c r="B148" s="215"/>
      <c r="C148" s="281" t="n">
        <v>4.1135</v>
      </c>
      <c r="D148" s="282" t="n">
        <f aca="false">(E148-C148)*1000</f>
        <v>13.5000000000005</v>
      </c>
      <c r="E148" s="283" t="n">
        <f aca="false">VLOOKUP(YEAR(A148),Yr_Sprds,2)+E136</f>
        <v>4.127</v>
      </c>
      <c r="F148" s="287"/>
      <c r="G148" s="288"/>
      <c r="H148" s="287"/>
      <c r="I148" s="287"/>
      <c r="J148" s="279"/>
      <c r="K148" s="278"/>
      <c r="L148" s="291"/>
      <c r="M148" s="112"/>
      <c r="N148" s="278"/>
      <c r="O148" s="278"/>
      <c r="P148" s="278"/>
      <c r="Q148" s="167"/>
      <c r="R148" s="167"/>
      <c r="S148" s="167"/>
      <c r="T148" s="167"/>
      <c r="U148" s="167"/>
      <c r="V148" s="167"/>
      <c r="W148" s="167"/>
      <c r="X148" s="167"/>
      <c r="Y148" s="228" t="n">
        <f aca="false">DAY(EOMONTH(A148,0))</f>
        <v>31</v>
      </c>
      <c r="Z148" s="268" t="n">
        <v>41178</v>
      </c>
      <c r="AA148" s="230" t="e">
        <f aca="false">IF(AND(A148&gt;=Front!$E$11,A148&lt;=Front!$E$12),A148,"")</f>
        <v>#VALUE!</v>
      </c>
      <c r="AB148" s="231" t="e">
        <f aca="false">IF(AA148="","",VLOOKUP(MONTH(A147),Front!$W$6:$X$17,2)*IF(Front!D$9=0,Swap!Y148,1))</f>
        <v>#VALUE!</v>
      </c>
      <c r="AC148" s="274" t="e">
        <f aca="false">IF(AA148="","",AB148*AH148)</f>
        <v>#VALUE!</v>
      </c>
      <c r="AD148" s="233"/>
      <c r="AE148" s="231" t="e">
        <f aca="false">IF(AA148="","",AD148*AH148)</f>
        <v>#VALUE!</v>
      </c>
      <c r="AF148" s="243" t="n">
        <f aca="false">INDEX(IRTable,MATCH(A148,IRMonth,0),4)</f>
        <v>0.0569736914396501</v>
      </c>
      <c r="AG148" s="243" t="n">
        <f aca="false">AF148+$AG$9</f>
        <v>0.0569736914396501</v>
      </c>
      <c r="AH148" s="195" t="n">
        <f aca="false">1/((1+AG148/2)^(2*((A148-Front!$C$2)/365.25)))</f>
        <v>2.02642389932565</v>
      </c>
      <c r="AI148" s="236" t="e">
        <f aca="false">IF($AA148="","",E148*AC148)</f>
        <v>#VALUE!</v>
      </c>
      <c r="AJ148" s="236" t="e">
        <f aca="false">IF($AA148="","",E148*AE148)</f>
        <v>#VALUE!</v>
      </c>
      <c r="AK148" s="237" t="e">
        <f aca="false">IF($AA148="","",C148*AC148)</f>
        <v>#VALUE!</v>
      </c>
      <c r="AL148" s="160" t="n">
        <f aca="false">(AO148/10000)/30.5</f>
        <v>0</v>
      </c>
      <c r="AM148" s="238" t="n">
        <f aca="false">AD148/10000</f>
        <v>0</v>
      </c>
      <c r="AN148" s="238" t="n">
        <f aca="false">AD148*DAY(EOMONTH(A148,0))/10000</f>
        <v>0</v>
      </c>
      <c r="AO148" s="238"/>
      <c r="AP148" s="238"/>
      <c r="AQ148" s="238"/>
      <c r="AR148" s="239"/>
      <c r="AS148" s="238"/>
      <c r="AT148" s="240"/>
      <c r="AU148" s="0"/>
      <c r="AV148" s="240"/>
      <c r="AW148" s="240"/>
      <c r="AX148" s="238"/>
      <c r="AY148" s="238"/>
      <c r="AZ148" s="238"/>
      <c r="BA148" s="241"/>
      <c r="BB148" s="242"/>
      <c r="BC148" s="243" t="n">
        <v>4.1135</v>
      </c>
      <c r="BD148" s="195" t="n">
        <f aca="false">BC148-E148</f>
        <v>-0.0135000000000005</v>
      </c>
      <c r="BE148" s="251" t="n">
        <v>0</v>
      </c>
      <c r="BF148" s="245" t="n">
        <f aca="false">(BE148)*(D148*10)</f>
        <v>0</v>
      </c>
      <c r="BG148" s="121" t="n">
        <v>71.63170116</v>
      </c>
      <c r="BH148" s="121" t="n">
        <v>0</v>
      </c>
      <c r="BI148" s="247"/>
      <c r="BJ148" s="121"/>
      <c r="BK148" s="121"/>
      <c r="BL148" s="121"/>
      <c r="BM148" s="121"/>
      <c r="BN148" s="121"/>
      <c r="BO148" s="121"/>
      <c r="BP148" s="275" t="n">
        <v>41334</v>
      </c>
      <c r="BQ148" s="143" t="n">
        <v>4.011</v>
      </c>
      <c r="BR148" s="143" t="n">
        <v>0.17</v>
      </c>
      <c r="BS148" s="143" t="n">
        <v>0.0569736914396501</v>
      </c>
      <c r="BT148" s="121"/>
    </row>
    <row r="149" customFormat="false" ht="15" hidden="false" customHeight="false" outlineLevel="0" collapsed="false">
      <c r="A149" s="156" t="n">
        <f aca="false">EOMONTH(A148,0)+1</f>
        <v>41365</v>
      </c>
      <c r="B149" s="215"/>
      <c r="C149" s="281" t="n">
        <v>3.9435</v>
      </c>
      <c r="D149" s="282" t="n">
        <f aca="false">(E149-C149)*1000</f>
        <v>13.5000000000001</v>
      </c>
      <c r="E149" s="283" t="n">
        <f aca="false">VLOOKUP(YEAR(A149),Yr_Sprds,2)+E137</f>
        <v>3.957</v>
      </c>
      <c r="F149" s="287"/>
      <c r="G149" s="288"/>
      <c r="H149" s="287"/>
      <c r="I149" s="287"/>
      <c r="J149" s="279"/>
      <c r="K149" s="278"/>
      <c r="L149" s="291"/>
      <c r="M149" s="112"/>
      <c r="N149" s="278"/>
      <c r="O149" s="278"/>
      <c r="P149" s="278"/>
      <c r="Q149" s="167"/>
      <c r="R149" s="167"/>
      <c r="S149" s="167"/>
      <c r="T149" s="167"/>
      <c r="U149" s="167"/>
      <c r="V149" s="167"/>
      <c r="W149" s="167"/>
      <c r="X149" s="167"/>
      <c r="Y149" s="228" t="n">
        <f aca="false">DAY(EOMONTH(A149,0))</f>
        <v>30</v>
      </c>
      <c r="Z149" s="268" t="n">
        <v>41211</v>
      </c>
      <c r="AA149" s="230" t="e">
        <f aca="false">IF(AND(A149&gt;=Front!$E$11,A149&lt;=Front!$E$12),A149,"")</f>
        <v>#VALUE!</v>
      </c>
      <c r="AB149" s="231" t="e">
        <f aca="false">IF(AA149="","",VLOOKUP(MONTH(A148),Front!$W$6:$X$17,2)*IF(Front!D$9=0,Swap!Y149,1))</f>
        <v>#VALUE!</v>
      </c>
      <c r="AC149" s="274" t="e">
        <f aca="false">IF(AA149="","",AB149*AH149)</f>
        <v>#VALUE!</v>
      </c>
      <c r="AD149" s="233"/>
      <c r="AE149" s="231" t="e">
        <f aca="false">IF(AA149="","",AD149*AH149)</f>
        <v>#VALUE!</v>
      </c>
      <c r="AF149" s="243" t="n">
        <f aca="false">INDEX(IRTable,MATCH(A149,IRMonth,0),4)</f>
        <v>0.0570408968160447</v>
      </c>
      <c r="AG149" s="243" t="n">
        <f aca="false">AF149+$AG$9</f>
        <v>0.0570408968160447</v>
      </c>
      <c r="AH149" s="195" t="n">
        <f aca="false">1/((1+AG149/2)^(2*((A149-Front!$C$2)/365.25)))</f>
        <v>2.01843128207851</v>
      </c>
      <c r="AI149" s="236" t="e">
        <f aca="false">IF($AA149="","",E149*AC149)</f>
        <v>#VALUE!</v>
      </c>
      <c r="AJ149" s="236" t="e">
        <f aca="false">IF($AA149="","",E149*AE149)</f>
        <v>#VALUE!</v>
      </c>
      <c r="AK149" s="237" t="e">
        <f aca="false">IF($AA149="","",C149*AC149)</f>
        <v>#VALUE!</v>
      </c>
      <c r="AL149" s="160" t="n">
        <f aca="false">(AO149/10000)/30.5</f>
        <v>0</v>
      </c>
      <c r="AM149" s="238" t="n">
        <f aca="false">AD149/10000</f>
        <v>0</v>
      </c>
      <c r="AN149" s="238" t="n">
        <f aca="false">AD149*DAY(EOMONTH(A149,0))/10000</f>
        <v>0</v>
      </c>
      <c r="AO149" s="238"/>
      <c r="AP149" s="238"/>
      <c r="AQ149" s="238"/>
      <c r="AR149" s="239"/>
      <c r="AS149" s="238"/>
      <c r="AT149" s="240"/>
      <c r="AU149" s="0"/>
      <c r="AV149" s="240"/>
      <c r="AW149" s="240"/>
      <c r="AX149" s="238"/>
      <c r="AY149" s="238"/>
      <c r="AZ149" s="238"/>
      <c r="BA149" s="241"/>
      <c r="BB149" s="242"/>
      <c r="BC149" s="243" t="n">
        <v>3.9435</v>
      </c>
      <c r="BD149" s="195" t="n">
        <f aca="false">BC149-E149</f>
        <v>-0.0135000000000001</v>
      </c>
      <c r="BE149" s="251" t="n">
        <v>0</v>
      </c>
      <c r="BF149" s="245" t="n">
        <f aca="false">(BE149)*(D149*10)</f>
        <v>0</v>
      </c>
      <c r="BG149" s="121" t="n">
        <v>70.06773589</v>
      </c>
      <c r="BH149" s="121" t="n">
        <v>0</v>
      </c>
      <c r="BI149" s="247"/>
      <c r="BJ149" s="121"/>
      <c r="BK149" s="121"/>
      <c r="BL149" s="121"/>
      <c r="BM149" s="121"/>
      <c r="BN149" s="121"/>
      <c r="BO149" s="121"/>
      <c r="BP149" s="275" t="n">
        <v>41365</v>
      </c>
      <c r="BQ149" s="143" t="n">
        <v>3.841</v>
      </c>
      <c r="BR149" s="143" t="n">
        <v>0.17</v>
      </c>
      <c r="BS149" s="143" t="n">
        <v>0.0570408968160447</v>
      </c>
      <c r="BT149" s="121"/>
    </row>
    <row r="150" customFormat="false" ht="15" hidden="false" customHeight="false" outlineLevel="0" collapsed="false">
      <c r="A150" s="156" t="n">
        <f aca="false">EOMONTH(A149,0)+1</f>
        <v>41395</v>
      </c>
      <c r="B150" s="215"/>
      <c r="C150" s="281" t="n">
        <v>3.9435</v>
      </c>
      <c r="D150" s="282" t="n">
        <f aca="false">(E150-C150)*1000</f>
        <v>13.5000000000001</v>
      </c>
      <c r="E150" s="283" t="n">
        <f aca="false">VLOOKUP(YEAR(A150),Yr_Sprds,2)+E138</f>
        <v>3.957</v>
      </c>
      <c r="F150" s="287"/>
      <c r="G150" s="288"/>
      <c r="H150" s="287"/>
      <c r="I150" s="287"/>
      <c r="J150" s="279"/>
      <c r="K150" s="278"/>
      <c r="L150" s="291"/>
      <c r="M150" s="112"/>
      <c r="N150" s="278"/>
      <c r="O150" s="278"/>
      <c r="P150" s="278"/>
      <c r="Q150" s="167"/>
      <c r="R150" s="167"/>
      <c r="S150" s="167"/>
      <c r="T150" s="167"/>
      <c r="U150" s="167"/>
      <c r="V150" s="167"/>
      <c r="W150" s="167"/>
      <c r="X150" s="167"/>
      <c r="Y150" s="228" t="n">
        <f aca="false">DAY(EOMONTH(A150,0))</f>
        <v>31</v>
      </c>
      <c r="Z150" s="268" t="n">
        <v>41241</v>
      </c>
      <c r="AA150" s="230" t="e">
        <f aca="false">IF(AND(A150&gt;=Front!$E$11,A150&lt;=Front!$E$12),A150,"")</f>
        <v>#VALUE!</v>
      </c>
      <c r="AB150" s="231" t="e">
        <f aca="false">IF(AA150="","",VLOOKUP(MONTH(A149),Front!$W$6:$X$17,2)*IF(Front!D$9=0,Swap!Y150,1))</f>
        <v>#VALUE!</v>
      </c>
      <c r="AC150" s="274" t="e">
        <f aca="false">IF(AA150="","",AB150*AH150)</f>
        <v>#VALUE!</v>
      </c>
      <c r="AD150" s="233"/>
      <c r="AE150" s="231" t="e">
        <f aca="false">IF(AA150="","",AD150*AH150)</f>
        <v>#VALUE!</v>
      </c>
      <c r="AF150" s="243" t="n">
        <f aca="false">INDEX(IRTable,MATCH(A150,IRMonth,0),4)</f>
        <v>0.0571059342785025</v>
      </c>
      <c r="AG150" s="243" t="n">
        <f aca="false">AF150+$AG$9</f>
        <v>0.0571059342785025</v>
      </c>
      <c r="AH150" s="195" t="n">
        <f aca="false">1/((1+AG150/2)^(2*((A150-Front!$C$2)/365.25)))</f>
        <v>2.01070522249938</v>
      </c>
      <c r="AI150" s="236" t="e">
        <f aca="false">IF($AA150="","",E150*AC150)</f>
        <v>#VALUE!</v>
      </c>
      <c r="AJ150" s="236" t="e">
        <f aca="false">IF($AA150="","",E150*AE150)</f>
        <v>#VALUE!</v>
      </c>
      <c r="AK150" s="237" t="e">
        <f aca="false">IF($AA150="","",C150*AC150)</f>
        <v>#VALUE!</v>
      </c>
      <c r="AL150" s="160" t="n">
        <f aca="false">(AO150/10000)/30.5</f>
        <v>0</v>
      </c>
      <c r="AM150" s="238" t="n">
        <f aca="false">AD150/10000</f>
        <v>0</v>
      </c>
      <c r="AN150" s="238" t="n">
        <f aca="false">AD150*DAY(EOMONTH(A150,0))/10000</f>
        <v>0</v>
      </c>
      <c r="AO150" s="238"/>
      <c r="AP150" s="238"/>
      <c r="AQ150" s="238"/>
      <c r="AR150" s="239"/>
      <c r="AS150" s="238"/>
      <c r="AT150" s="240"/>
      <c r="AU150" s="0"/>
      <c r="AV150" s="240"/>
      <c r="AW150" s="240"/>
      <c r="AX150" s="238"/>
      <c r="AY150" s="238"/>
      <c r="AZ150" s="238"/>
      <c r="BA150" s="241"/>
      <c r="BB150" s="242"/>
      <c r="BC150" s="243" t="n">
        <v>3.9435</v>
      </c>
      <c r="BD150" s="195" t="n">
        <f aca="false">BC150-E150</f>
        <v>-0.0135000000000001</v>
      </c>
      <c r="BE150" s="251" t="n">
        <v>0</v>
      </c>
      <c r="BF150" s="245" t="n">
        <f aca="false">(BE150)*(D150*10)</f>
        <v>0</v>
      </c>
      <c r="BG150" s="121" t="n">
        <v>69.73847203</v>
      </c>
      <c r="BH150" s="121" t="n">
        <v>0</v>
      </c>
      <c r="BI150" s="247"/>
      <c r="BJ150" s="121"/>
      <c r="BK150" s="121"/>
      <c r="BL150" s="121"/>
      <c r="BM150" s="121"/>
      <c r="BN150" s="121"/>
      <c r="BO150" s="121"/>
      <c r="BP150" s="275" t="n">
        <v>41395</v>
      </c>
      <c r="BQ150" s="143" t="n">
        <v>3.841</v>
      </c>
      <c r="BR150" s="143" t="n">
        <v>0.17</v>
      </c>
      <c r="BS150" s="143" t="n">
        <v>0.0571059342785025</v>
      </c>
      <c r="BT150" s="121"/>
    </row>
    <row r="151" customFormat="false" ht="15" hidden="false" customHeight="false" outlineLevel="0" collapsed="false">
      <c r="A151" s="156" t="n">
        <f aca="false">EOMONTH(A150,0)+1</f>
        <v>41426</v>
      </c>
      <c r="B151" s="215"/>
      <c r="C151" s="281" t="n">
        <v>3.9755</v>
      </c>
      <c r="D151" s="282" t="n">
        <f aca="false">(E151-C151)*1000</f>
        <v>13.5000000000001</v>
      </c>
      <c r="E151" s="283" t="n">
        <f aca="false">VLOOKUP(YEAR(A151),Yr_Sprds,2)+E139</f>
        <v>3.989</v>
      </c>
      <c r="F151" s="287"/>
      <c r="G151" s="288"/>
      <c r="H151" s="287"/>
      <c r="I151" s="287"/>
      <c r="J151" s="279"/>
      <c r="K151" s="278"/>
      <c r="L151" s="291"/>
      <c r="M151" s="112"/>
      <c r="N151" s="278"/>
      <c r="O151" s="278"/>
      <c r="P151" s="278"/>
      <c r="Q151" s="167"/>
      <c r="R151" s="167"/>
      <c r="S151" s="167"/>
      <c r="T151" s="167"/>
      <c r="U151" s="167"/>
      <c r="V151" s="167"/>
      <c r="W151" s="167"/>
      <c r="X151" s="167"/>
      <c r="Y151" s="228" t="n">
        <f aca="false">DAY(EOMONTH(A151,0))</f>
        <v>30</v>
      </c>
      <c r="Z151" s="268" t="n">
        <v>41270</v>
      </c>
      <c r="AA151" s="230" t="e">
        <f aca="false">IF(AND(A151&gt;=Front!$E$11,A151&lt;=Front!$E$12),A151,"")</f>
        <v>#VALUE!</v>
      </c>
      <c r="AB151" s="231" t="e">
        <f aca="false">IF(AA151="","",VLOOKUP(MONTH(A150),Front!$W$6:$X$17,2)*IF(Front!D$9=0,Swap!Y151,1))</f>
        <v>#VALUE!</v>
      </c>
      <c r="AC151" s="274" t="e">
        <f aca="false">IF(AA151="","",AB151*AH151)</f>
        <v>#VALUE!</v>
      </c>
      <c r="AD151" s="233"/>
      <c r="AE151" s="231" t="e">
        <f aca="false">IF(AA151="","",AD151*AH151)</f>
        <v>#VALUE!</v>
      </c>
      <c r="AF151" s="243" t="n">
        <f aca="false">INDEX(IRTable,MATCH(A151,IRMonth,0),4)</f>
        <v>0.0571731396578543</v>
      </c>
      <c r="AG151" s="243" t="n">
        <f aca="false">AF151+$AG$9</f>
        <v>0.0571731396578543</v>
      </c>
      <c r="AH151" s="195" t="n">
        <f aca="false">1/((1+AG151/2)^(2*((A151-Front!$C$2)/365.25)))</f>
        <v>2.00273078815659</v>
      </c>
      <c r="AI151" s="236" t="e">
        <f aca="false">IF($AA151="","",E151*AC151)</f>
        <v>#VALUE!</v>
      </c>
      <c r="AJ151" s="236" t="e">
        <f aca="false">IF($AA151="","",E151*AE151)</f>
        <v>#VALUE!</v>
      </c>
      <c r="AK151" s="237" t="e">
        <f aca="false">IF($AA151="","",C151*AC151)</f>
        <v>#VALUE!</v>
      </c>
      <c r="AL151" s="160" t="n">
        <f aca="false">(AO151/10000)/30.5</f>
        <v>0</v>
      </c>
      <c r="AM151" s="238" t="n">
        <f aca="false">AD151/10000</f>
        <v>0</v>
      </c>
      <c r="AN151" s="238" t="n">
        <f aca="false">AD151*DAY(EOMONTH(A151,0))/10000</f>
        <v>0</v>
      </c>
      <c r="AO151" s="238"/>
      <c r="AP151" s="238"/>
      <c r="AQ151" s="238"/>
      <c r="AR151" s="239"/>
      <c r="AS151" s="238"/>
      <c r="AT151" s="240"/>
      <c r="AU151" s="0"/>
      <c r="AV151" s="240"/>
      <c r="AW151" s="240"/>
      <c r="AX151" s="238"/>
      <c r="AY151" s="238"/>
      <c r="AZ151" s="238"/>
      <c r="BA151" s="241"/>
      <c r="BB151" s="242"/>
      <c r="BC151" s="243" t="n">
        <v>3.9755</v>
      </c>
      <c r="BD151" s="195" t="n">
        <f aca="false">BC151-E151</f>
        <v>-0.0135000000000001</v>
      </c>
      <c r="BE151" s="251" t="n">
        <v>0</v>
      </c>
      <c r="BF151" s="245" t="n">
        <f aca="false">(BE151)*(D151*10)</f>
        <v>0</v>
      </c>
      <c r="BG151" s="121" t="n">
        <v>67.61714801</v>
      </c>
      <c r="BH151" s="121" t="n">
        <v>0</v>
      </c>
      <c r="BI151" s="247"/>
      <c r="BJ151" s="121"/>
      <c r="BK151" s="121"/>
      <c r="BL151" s="121"/>
      <c r="BM151" s="121"/>
      <c r="BN151" s="121"/>
      <c r="BO151" s="121"/>
      <c r="BP151" s="275" t="n">
        <v>41426</v>
      </c>
      <c r="BQ151" s="143" t="n">
        <v>3.873</v>
      </c>
      <c r="BR151" s="143" t="n">
        <v>0.17</v>
      </c>
      <c r="BS151" s="143" t="n">
        <v>0.0571731396578543</v>
      </c>
      <c r="BT151" s="121"/>
    </row>
    <row r="152" customFormat="false" ht="15" hidden="false" customHeight="false" outlineLevel="0" collapsed="false">
      <c r="A152" s="156" t="n">
        <f aca="false">EOMONTH(A151,0)+1</f>
        <v>41456</v>
      </c>
      <c r="B152" s="215"/>
      <c r="C152" s="281" t="n">
        <v>4.0255</v>
      </c>
      <c r="D152" s="282" t="n">
        <f aca="false">(E152-C152)*1000</f>
        <v>13.5000000000005</v>
      </c>
      <c r="E152" s="283" t="n">
        <f aca="false">VLOOKUP(YEAR(A152),Yr_Sprds,2)+E140</f>
        <v>4.039</v>
      </c>
      <c r="F152" s="287"/>
      <c r="G152" s="288"/>
      <c r="H152" s="287"/>
      <c r="I152" s="287"/>
      <c r="J152" s="279"/>
      <c r="K152" s="278"/>
      <c r="L152" s="291"/>
      <c r="M152" s="112"/>
      <c r="N152" s="278"/>
      <c r="O152" s="278"/>
      <c r="P152" s="278"/>
      <c r="Q152" s="167"/>
      <c r="R152" s="167"/>
      <c r="S152" s="167"/>
      <c r="T152" s="167"/>
      <c r="U152" s="167"/>
      <c r="V152" s="167"/>
      <c r="W152" s="167"/>
      <c r="X152" s="167"/>
      <c r="Y152" s="228" t="n">
        <f aca="false">DAY(EOMONTH(A152,0))</f>
        <v>31</v>
      </c>
      <c r="Z152" s="268" t="n">
        <v>41303</v>
      </c>
      <c r="AA152" s="230" t="e">
        <f aca="false">IF(AND(A152&gt;=Front!$E$11,A152&lt;=Front!$E$12),A152,"")</f>
        <v>#VALUE!</v>
      </c>
      <c r="AB152" s="231" t="e">
        <f aca="false">IF(AA152="","",VLOOKUP(MONTH(A151),Front!$W$6:$X$17,2)*IF(Front!D$9=0,Swap!Y152,1))</f>
        <v>#VALUE!</v>
      </c>
      <c r="AC152" s="274" t="e">
        <f aca="false">IF(AA152="","",AB152*AH152)</f>
        <v>#VALUE!</v>
      </c>
      <c r="AD152" s="233"/>
      <c r="AE152" s="231" t="e">
        <f aca="false">IF(AA152="","",AD152*AH152)</f>
        <v>#VALUE!</v>
      </c>
      <c r="AF152" s="243" t="n">
        <f aca="false">INDEX(IRTable,MATCH(A152,IRMonth,0),4)</f>
        <v>0.0572381771231738</v>
      </c>
      <c r="AG152" s="243" t="n">
        <f aca="false">AF152+$AG$9</f>
        <v>0.0572381771231738</v>
      </c>
      <c r="AH152" s="195" t="n">
        <f aca="false">1/((1+AG152/2)^(2*((A152-Front!$C$2)/365.25)))</f>
        <v>1.99502259016839</v>
      </c>
      <c r="AI152" s="236" t="e">
        <f aca="false">IF($AA152="","",E152*AC152)</f>
        <v>#VALUE!</v>
      </c>
      <c r="AJ152" s="236" t="e">
        <f aca="false">IF($AA152="","",E152*AE152)</f>
        <v>#VALUE!</v>
      </c>
      <c r="AK152" s="237" t="e">
        <f aca="false">IF($AA152="","",C152*AC152)</f>
        <v>#VALUE!</v>
      </c>
      <c r="AL152" s="160" t="n">
        <f aca="false">(AO152/10000)/30.5</f>
        <v>0</v>
      </c>
      <c r="AM152" s="238" t="n">
        <f aca="false">AD152/10000</f>
        <v>0</v>
      </c>
      <c r="AN152" s="238" t="n">
        <f aca="false">AD152*DAY(EOMONTH(A152,0))/10000</f>
        <v>0</v>
      </c>
      <c r="AO152" s="238"/>
      <c r="AP152" s="238"/>
      <c r="AQ152" s="238"/>
      <c r="AR152" s="239"/>
      <c r="AS152" s="238"/>
      <c r="AT152" s="240"/>
      <c r="AU152" s="0"/>
      <c r="AV152" s="240"/>
      <c r="AW152" s="240"/>
      <c r="AX152" s="238"/>
      <c r="AY152" s="238"/>
      <c r="AZ152" s="238"/>
      <c r="BA152" s="241"/>
      <c r="BB152" s="242"/>
      <c r="BC152" s="243" t="n">
        <v>4.0255</v>
      </c>
      <c r="BD152" s="195" t="n">
        <f aca="false">BC152-E152</f>
        <v>-0.0135000000000005</v>
      </c>
      <c r="BE152" s="251" t="n">
        <v>0</v>
      </c>
      <c r="BF152" s="245" t="n">
        <f aca="false">(BE152)*(D152*10)</f>
        <v>0</v>
      </c>
      <c r="BG152" s="121" t="n">
        <v>68.30807874</v>
      </c>
      <c r="BH152" s="121" t="n">
        <v>0</v>
      </c>
      <c r="BI152" s="247"/>
      <c r="BJ152" s="121"/>
      <c r="BK152" s="121"/>
      <c r="BL152" s="121"/>
      <c r="BM152" s="121"/>
      <c r="BN152" s="121"/>
      <c r="BO152" s="121"/>
      <c r="BP152" s="275" t="n">
        <v>41456</v>
      </c>
      <c r="BQ152" s="143" t="n">
        <v>3.923</v>
      </c>
      <c r="BR152" s="143" t="n">
        <v>0.17</v>
      </c>
      <c r="BS152" s="143" t="n">
        <v>0.0572381771231738</v>
      </c>
      <c r="BT152" s="121"/>
    </row>
    <row r="153" customFormat="false" ht="15" hidden="false" customHeight="false" outlineLevel="0" collapsed="false">
      <c r="A153" s="156" t="n">
        <f aca="false">EOMONTH(A152,0)+1</f>
        <v>41487</v>
      </c>
      <c r="B153" s="215"/>
      <c r="C153" s="281" t="n">
        <v>4.0595</v>
      </c>
      <c r="D153" s="282" t="n">
        <f aca="false">(E153-C153)*1000</f>
        <v>13.5000000000005</v>
      </c>
      <c r="E153" s="283" t="n">
        <f aca="false">VLOOKUP(YEAR(A153),Yr_Sprds,2)+E141</f>
        <v>4.073</v>
      </c>
      <c r="F153" s="287"/>
      <c r="G153" s="288"/>
      <c r="H153" s="287"/>
      <c r="I153" s="287"/>
      <c r="J153" s="279"/>
      <c r="K153" s="278"/>
      <c r="L153" s="291"/>
      <c r="M153" s="112"/>
      <c r="N153" s="278"/>
      <c r="O153" s="278"/>
      <c r="P153" s="278"/>
      <c r="Q153" s="167"/>
      <c r="R153" s="167"/>
      <c r="S153" s="167"/>
      <c r="T153" s="167"/>
      <c r="U153" s="167"/>
      <c r="V153" s="167"/>
      <c r="W153" s="167"/>
      <c r="X153" s="167"/>
      <c r="Y153" s="228" t="n">
        <f aca="false">DAY(EOMONTH(A153,0))</f>
        <v>31</v>
      </c>
      <c r="Z153" s="268" t="n">
        <v>41331</v>
      </c>
      <c r="AA153" s="230" t="e">
        <f aca="false">IF(AND(A153&gt;=Front!$E$11,A153&lt;=Front!$E$12),A153,"")</f>
        <v>#VALUE!</v>
      </c>
      <c r="AB153" s="231" t="e">
        <f aca="false">IF(AA153="","",VLOOKUP(MONTH(A152),Front!$W$6:$X$17,2)*IF(Front!D$9=0,Swap!Y153,1))</f>
        <v>#VALUE!</v>
      </c>
      <c r="AC153" s="274" t="e">
        <f aca="false">IF(AA153="","",AB153*AH153)</f>
        <v>#VALUE!</v>
      </c>
      <c r="AD153" s="233"/>
      <c r="AE153" s="231" t="e">
        <f aca="false">IF(AA153="","",AD153*AH153)</f>
        <v>#VALUE!</v>
      </c>
      <c r="AF153" s="243" t="n">
        <f aca="false">INDEX(IRTable,MATCH(A153,IRMonth,0),4)</f>
        <v>0.0573053825054828</v>
      </c>
      <c r="AG153" s="243" t="n">
        <f aca="false">AF153+$AG$9</f>
        <v>0.0573053825054828</v>
      </c>
      <c r="AH153" s="195" t="n">
        <f aca="false">1/((1+AG153/2)^(2*((A153-Front!$C$2)/365.25)))</f>
        <v>1.98706688517747</v>
      </c>
      <c r="AI153" s="236" t="e">
        <f aca="false">IF($AA153="","",E153*AC153)</f>
        <v>#VALUE!</v>
      </c>
      <c r="AJ153" s="236" t="e">
        <f aca="false">IF($AA153="","",E153*AE153)</f>
        <v>#VALUE!</v>
      </c>
      <c r="AK153" s="237" t="e">
        <f aca="false">IF($AA153="","",C153*AC153)</f>
        <v>#VALUE!</v>
      </c>
      <c r="AL153" s="160" t="n">
        <f aca="false">(AO153/10000)/30.5</f>
        <v>0</v>
      </c>
      <c r="AM153" s="238" t="n">
        <f aca="false">AD153/10000</f>
        <v>0</v>
      </c>
      <c r="AN153" s="238" t="n">
        <f aca="false">AD153*DAY(EOMONTH(A153,0))/10000</f>
        <v>0</v>
      </c>
      <c r="AO153" s="238"/>
      <c r="AP153" s="238"/>
      <c r="AQ153" s="238"/>
      <c r="AR153" s="239"/>
      <c r="AS153" s="238"/>
      <c r="AT153" s="240"/>
      <c r="AU153" s="0"/>
      <c r="AV153" s="240"/>
      <c r="AW153" s="240"/>
      <c r="AX153" s="238"/>
      <c r="AY153" s="238"/>
      <c r="AZ153" s="238"/>
      <c r="BA153" s="241"/>
      <c r="BB153" s="242"/>
      <c r="BC153" s="243" t="n">
        <v>4.0595</v>
      </c>
      <c r="BD153" s="195" t="n">
        <f aca="false">BC153-E153</f>
        <v>-0.0135000000000005</v>
      </c>
      <c r="BE153" s="251" t="n">
        <v>0</v>
      </c>
      <c r="BF153" s="245" t="n">
        <f aca="false">(BE153)*(D153*10)</f>
        <v>0</v>
      </c>
      <c r="BG153" s="121" t="n">
        <v>62.69368264</v>
      </c>
      <c r="BH153" s="121" t="n">
        <v>0</v>
      </c>
      <c r="BI153" s="247"/>
      <c r="BJ153" s="121"/>
      <c r="BK153" s="121"/>
      <c r="BL153" s="121"/>
      <c r="BM153" s="121"/>
      <c r="BN153" s="121"/>
      <c r="BO153" s="121"/>
      <c r="BP153" s="275" t="n">
        <v>41487</v>
      </c>
      <c r="BQ153" s="143" t="n">
        <v>3.957</v>
      </c>
      <c r="BR153" s="143" t="n">
        <v>0.17</v>
      </c>
      <c r="BS153" s="143" t="n">
        <v>0.0573053825054828</v>
      </c>
      <c r="BT153" s="121"/>
    </row>
    <row r="154" customFormat="false" ht="15" hidden="false" customHeight="false" outlineLevel="0" collapsed="false">
      <c r="A154" s="156" t="n">
        <f aca="false">EOMONTH(A153,0)+1</f>
        <v>41518</v>
      </c>
      <c r="B154" s="215"/>
      <c r="C154" s="281" t="n">
        <v>4.0725</v>
      </c>
      <c r="D154" s="282" t="n">
        <f aca="false">(E154-C154)*1000</f>
        <v>13.5000000000005</v>
      </c>
      <c r="E154" s="283" t="n">
        <f aca="false">VLOOKUP(YEAR(A154),Yr_Sprds,2)+E142</f>
        <v>4.086</v>
      </c>
      <c r="F154" s="287"/>
      <c r="G154" s="288"/>
      <c r="H154" s="287"/>
      <c r="I154" s="287"/>
      <c r="J154" s="279"/>
      <c r="K154" s="278"/>
      <c r="L154" s="291"/>
      <c r="M154" s="112"/>
      <c r="N154" s="278"/>
      <c r="O154" s="278"/>
      <c r="P154" s="278"/>
      <c r="Q154" s="167"/>
      <c r="R154" s="167"/>
      <c r="S154" s="167"/>
      <c r="T154" s="167"/>
      <c r="U154" s="167"/>
      <c r="V154" s="167"/>
      <c r="W154" s="167"/>
      <c r="X154" s="167"/>
      <c r="Y154" s="228" t="n">
        <f aca="false">DAY(EOMONTH(A154,0))</f>
        <v>30</v>
      </c>
      <c r="Z154" s="268" t="n">
        <v>41359</v>
      </c>
      <c r="AA154" s="230" t="e">
        <f aca="false">IF(AND(A154&gt;=Front!$E$11,A154&lt;=Front!$E$12),A154,"")</f>
        <v>#VALUE!</v>
      </c>
      <c r="AB154" s="231" t="e">
        <f aca="false">IF(AA154="","",VLOOKUP(MONTH(A153),Front!$W$6:$X$17,2)*IF(Front!D$9=0,Swap!Y154,1))</f>
        <v>#VALUE!</v>
      </c>
      <c r="AC154" s="274" t="e">
        <f aca="false">IF(AA154="","",AB154*AH154)</f>
        <v>#VALUE!</v>
      </c>
      <c r="AD154" s="233"/>
      <c r="AE154" s="231" t="e">
        <f aca="false">IF(AA154="","",AD154*AH154)</f>
        <v>#VALUE!</v>
      </c>
      <c r="AF154" s="243" t="n">
        <f aca="false">INDEX(IRTable,MATCH(A154,IRMonth,0),4)</f>
        <v>0.0573725878892941</v>
      </c>
      <c r="AG154" s="243" t="n">
        <f aca="false">AF154+$AG$9</f>
        <v>0.0573725878892941</v>
      </c>
      <c r="AH154" s="195" t="n">
        <f aca="false">1/((1+AG154/2)^(2*((A154-Front!$C$2)/365.25)))</f>
        <v>1.97912090562734</v>
      </c>
      <c r="AI154" s="236" t="e">
        <f aca="false">IF($AA154="","",E154*AC154)</f>
        <v>#VALUE!</v>
      </c>
      <c r="AJ154" s="236" t="e">
        <f aca="false">IF($AA154="","",E154*AE154)</f>
        <v>#VALUE!</v>
      </c>
      <c r="AK154" s="237" t="e">
        <f aca="false">IF($AA154="","",C154*AC154)</f>
        <v>#VALUE!</v>
      </c>
      <c r="AL154" s="160" t="n">
        <f aca="false">(AO154/10000)/30.5</f>
        <v>0</v>
      </c>
      <c r="AM154" s="238" t="n">
        <f aca="false">AD154/10000</f>
        <v>0</v>
      </c>
      <c r="AN154" s="238" t="n">
        <f aca="false">AD154*DAY(EOMONTH(A154,0))/10000</f>
        <v>0</v>
      </c>
      <c r="AO154" s="238"/>
      <c r="AP154" s="238"/>
      <c r="AQ154" s="238"/>
      <c r="AR154" s="239"/>
      <c r="AS154" s="238"/>
      <c r="AT154" s="240"/>
      <c r="AU154" s="0"/>
      <c r="AV154" s="240"/>
      <c r="AW154" s="240"/>
      <c r="AX154" s="238"/>
      <c r="AY154" s="238"/>
      <c r="AZ154" s="238"/>
      <c r="BA154" s="241"/>
      <c r="BB154" s="242"/>
      <c r="BC154" s="243" t="n">
        <v>4.0725</v>
      </c>
      <c r="BD154" s="195" t="n">
        <f aca="false">BC154-E154</f>
        <v>-0.0135000000000005</v>
      </c>
      <c r="BE154" s="251" t="n">
        <v>0</v>
      </c>
      <c r="BF154" s="245" t="n">
        <f aca="false">(BE154)*(D154*10)</f>
        <v>0</v>
      </c>
      <c r="BG154" s="121" t="n">
        <v>56.21531807</v>
      </c>
      <c r="BH154" s="121" t="n">
        <v>0</v>
      </c>
      <c r="BI154" s="247"/>
      <c r="BJ154" s="121"/>
      <c r="BK154" s="121"/>
      <c r="BL154" s="121"/>
      <c r="BM154" s="121"/>
      <c r="BN154" s="121"/>
      <c r="BO154" s="121"/>
      <c r="BP154" s="275" t="n">
        <v>41518</v>
      </c>
      <c r="BQ154" s="143" t="n">
        <v>3.97</v>
      </c>
      <c r="BR154" s="143" t="n">
        <v>0.17</v>
      </c>
      <c r="BS154" s="143" t="n">
        <v>0.0573725878892941</v>
      </c>
      <c r="BT154" s="121"/>
    </row>
    <row r="155" customFormat="false" ht="15" hidden="false" customHeight="false" outlineLevel="0" collapsed="false">
      <c r="A155" s="156" t="n">
        <f aca="false">EOMONTH(A154,0)+1</f>
        <v>41548</v>
      </c>
      <c r="B155" s="215"/>
      <c r="C155" s="281" t="n">
        <v>4.0645</v>
      </c>
      <c r="D155" s="282" t="n">
        <f aca="false">(E155-C155)*1000</f>
        <v>13.5000000000005</v>
      </c>
      <c r="E155" s="283" t="n">
        <f aca="false">VLOOKUP(YEAR(A155),Yr_Sprds,2)+E143</f>
        <v>4.078</v>
      </c>
      <c r="F155" s="287"/>
      <c r="G155" s="288"/>
      <c r="H155" s="287"/>
      <c r="I155" s="287"/>
      <c r="J155" s="279"/>
      <c r="K155" s="278"/>
      <c r="L155" s="291"/>
      <c r="M155" s="112"/>
      <c r="N155" s="278"/>
      <c r="O155" s="278"/>
      <c r="P155" s="278"/>
      <c r="Q155" s="167"/>
      <c r="R155" s="167"/>
      <c r="S155" s="167"/>
      <c r="T155" s="167"/>
      <c r="U155" s="167"/>
      <c r="V155" s="167"/>
      <c r="W155" s="167"/>
      <c r="X155" s="167"/>
      <c r="Y155" s="228" t="n">
        <f aca="false">DAY(EOMONTH(A155,0))</f>
        <v>31</v>
      </c>
      <c r="Z155" s="268" t="n">
        <v>41390</v>
      </c>
      <c r="AA155" s="230" t="e">
        <f aca="false">IF(AND(A155&gt;=Front!$E$11,A155&lt;=Front!$E$12),A155,"")</f>
        <v>#VALUE!</v>
      </c>
      <c r="AB155" s="231" t="e">
        <f aca="false">IF(AA155="","",VLOOKUP(MONTH(A154),Front!$W$6:$X$17,2)*IF(Front!D$9=0,Swap!Y155,1))</f>
        <v>#VALUE!</v>
      </c>
      <c r="AC155" s="274" t="e">
        <f aca="false">IF(AA155="","",AB155*AH155)</f>
        <v>#VALUE!</v>
      </c>
      <c r="AD155" s="233"/>
      <c r="AE155" s="231" t="e">
        <f aca="false">IF(AA155="","",AD155*AH155)</f>
        <v>#VALUE!</v>
      </c>
      <c r="AF155" s="243" t="n">
        <f aca="false">INDEX(IRTable,MATCH(A155,IRMonth,0),4)</f>
        <v>0.0574376253589293</v>
      </c>
      <c r="AG155" s="243" t="n">
        <f aca="false">AF155+$AG$9</f>
        <v>0.0574376253589293</v>
      </c>
      <c r="AH155" s="195" t="n">
        <f aca="false">1/((1+AG155/2)^(2*((A155-Front!$C$2)/365.25)))</f>
        <v>1.97144063835818</v>
      </c>
      <c r="AI155" s="236" t="e">
        <f aca="false">IF($AA155="","",E155*AC155)</f>
        <v>#VALUE!</v>
      </c>
      <c r="AJ155" s="236" t="e">
        <f aca="false">IF($AA155="","",E155*AE155)</f>
        <v>#VALUE!</v>
      </c>
      <c r="AK155" s="237" t="e">
        <f aca="false">IF($AA155="","",C155*AC155)</f>
        <v>#VALUE!</v>
      </c>
      <c r="AL155" s="160" t="n">
        <f aca="false">(AO155/10000)/30.5</f>
        <v>0</v>
      </c>
      <c r="AM155" s="238" t="n">
        <f aca="false">AD155/10000</f>
        <v>0</v>
      </c>
      <c r="AN155" s="238" t="n">
        <f aca="false">AD155*DAY(EOMONTH(A155,0))/10000</f>
        <v>0</v>
      </c>
      <c r="AO155" s="238"/>
      <c r="AP155" s="238"/>
      <c r="AQ155" s="238"/>
      <c r="AR155" s="239"/>
      <c r="AS155" s="238"/>
      <c r="AT155" s="238"/>
      <c r="AU155" s="0"/>
      <c r="AV155" s="238"/>
      <c r="AW155" s="238"/>
      <c r="AX155" s="238"/>
      <c r="AY155" s="238"/>
      <c r="AZ155" s="238"/>
      <c r="BA155" s="241"/>
      <c r="BB155" s="242"/>
      <c r="BC155" s="243" t="n">
        <v>4.0645</v>
      </c>
      <c r="BD155" s="195" t="n">
        <f aca="false">BC155-E155</f>
        <v>-0.0135000000000005</v>
      </c>
      <c r="BE155" s="251" t="n">
        <v>0</v>
      </c>
      <c r="BF155" s="245" t="n">
        <f aca="false">(BE155)*(D155*10)</f>
        <v>0</v>
      </c>
      <c r="BG155" s="121" t="n">
        <v>61.33430445</v>
      </c>
      <c r="BH155" s="121" t="n">
        <v>0</v>
      </c>
      <c r="BI155" s="247"/>
      <c r="BJ155" s="121"/>
      <c r="BK155" s="121"/>
      <c r="BL155" s="121"/>
      <c r="BM155" s="121"/>
      <c r="BN155" s="121"/>
      <c r="BO155" s="121"/>
      <c r="BP155" s="275" t="n">
        <v>41548</v>
      </c>
      <c r="BQ155" s="143" t="n">
        <v>3.992</v>
      </c>
      <c r="BR155" s="143" t="n">
        <v>0.17</v>
      </c>
      <c r="BS155" s="143" t="n">
        <v>0.0574376253589293</v>
      </c>
      <c r="BT155" s="121"/>
    </row>
    <row r="156" customFormat="false" ht="15" hidden="false" customHeight="false" outlineLevel="0" collapsed="false">
      <c r="A156" s="156" t="n">
        <f aca="false">EOMONTH(A155,0)+1</f>
        <v>41579</v>
      </c>
      <c r="B156" s="215"/>
      <c r="C156" s="281" t="n">
        <v>4.2345</v>
      </c>
      <c r="D156" s="282" t="n">
        <f aca="false">(E156-C156)*1000</f>
        <v>13.5000000000005</v>
      </c>
      <c r="E156" s="283" t="n">
        <f aca="false">VLOOKUP(YEAR(A156),Yr_Sprds,2)+E144</f>
        <v>4.248</v>
      </c>
      <c r="F156" s="287"/>
      <c r="G156" s="288"/>
      <c r="H156" s="287"/>
      <c r="I156" s="287"/>
      <c r="J156" s="279"/>
      <c r="K156" s="278"/>
      <c r="L156" s="291"/>
      <c r="M156" s="112"/>
      <c r="N156" s="278"/>
      <c r="O156" s="278"/>
      <c r="P156" s="278"/>
      <c r="Q156" s="167"/>
      <c r="R156" s="167"/>
      <c r="S156" s="167"/>
      <c r="T156" s="167"/>
      <c r="U156" s="167"/>
      <c r="V156" s="167"/>
      <c r="W156" s="167"/>
      <c r="X156" s="167"/>
      <c r="Y156" s="228" t="n">
        <f aca="false">DAY(EOMONTH(A156,0))</f>
        <v>30</v>
      </c>
      <c r="Z156" s="268" t="n">
        <v>41423</v>
      </c>
      <c r="AA156" s="230" t="e">
        <f aca="false">IF(AND(A156&gt;=Front!$E$11,A156&lt;=Front!$E$12),A156,"")</f>
        <v>#VALUE!</v>
      </c>
      <c r="AB156" s="231" t="e">
        <f aca="false">IF(AA156="","",VLOOKUP(MONTH(A155),Front!$W$6:$X$17,2)*IF(Front!D$9=0,Swap!Y156,1))</f>
        <v>#VALUE!</v>
      </c>
      <c r="AC156" s="274" t="e">
        <f aca="false">IF(AA156="","",AB156*AH156)</f>
        <v>#VALUE!</v>
      </c>
      <c r="AD156" s="233"/>
      <c r="AE156" s="231" t="e">
        <f aca="false">IF(AA156="","",AD156*AH156)</f>
        <v>#VALUE!</v>
      </c>
      <c r="AF156" s="243" t="n">
        <f aca="false">INDEX(IRTable,MATCH(A156,IRMonth,0),4)</f>
        <v>0.0575048307456973</v>
      </c>
      <c r="AG156" s="243" t="n">
        <f aca="false">AF156+$AG$9</f>
        <v>0.0575048307456973</v>
      </c>
      <c r="AH156" s="195" t="n">
        <f aca="false">1/((1+AG156/2)^(2*((A156-Front!$C$2)/365.25)))</f>
        <v>1.96351419948037</v>
      </c>
      <c r="AI156" s="236" t="e">
        <f aca="false">IF($AA156="","",E156*AC156)</f>
        <v>#VALUE!</v>
      </c>
      <c r="AJ156" s="236" t="e">
        <f aca="false">IF($AA156="","",E156*AE156)</f>
        <v>#VALUE!</v>
      </c>
      <c r="AK156" s="237" t="e">
        <f aca="false">IF($AA156="","",C156*AC156)</f>
        <v>#VALUE!</v>
      </c>
      <c r="AL156" s="160" t="n">
        <f aca="false">(AO156/10000)/30.5</f>
        <v>0</v>
      </c>
      <c r="AM156" s="238" t="n">
        <f aca="false">AD156/10000</f>
        <v>0</v>
      </c>
      <c r="AN156" s="238" t="n">
        <f aca="false">AD156*DAY(EOMONTH(A156,0))/10000</f>
        <v>0</v>
      </c>
      <c r="AO156" s="238"/>
      <c r="AP156" s="238"/>
      <c r="AQ156" s="238"/>
      <c r="AR156" s="239"/>
      <c r="AS156" s="238"/>
      <c r="AT156" s="238"/>
      <c r="AU156" s="0"/>
      <c r="AV156" s="238"/>
      <c r="AW156" s="238"/>
      <c r="AX156" s="238"/>
      <c r="AY156" s="238"/>
      <c r="AZ156" s="238"/>
      <c r="BA156" s="241"/>
      <c r="BB156" s="242"/>
      <c r="BC156" s="243" t="n">
        <v>4.2345</v>
      </c>
      <c r="BD156" s="195" t="n">
        <f aca="false">BC156-E156</f>
        <v>-0.0135000000000005</v>
      </c>
      <c r="BE156" s="251" t="n">
        <v>0</v>
      </c>
      <c r="BF156" s="245" t="n">
        <f aca="false">(BE156)*(D156*10)</f>
        <v>0</v>
      </c>
      <c r="BG156" s="121" t="n">
        <v>59.87829983</v>
      </c>
      <c r="BH156" s="121" t="n">
        <v>0</v>
      </c>
      <c r="BI156" s="247"/>
      <c r="BJ156" s="121"/>
      <c r="BK156" s="121"/>
      <c r="BL156" s="121"/>
      <c r="BM156" s="121"/>
      <c r="BN156" s="121"/>
      <c r="BO156" s="121"/>
      <c r="BP156" s="275" t="n">
        <v>41579</v>
      </c>
      <c r="BQ156" s="143" t="n">
        <v>4.162</v>
      </c>
      <c r="BR156" s="143" t="n">
        <v>0.17</v>
      </c>
      <c r="BS156" s="143" t="n">
        <v>0.0575048307456973</v>
      </c>
      <c r="BT156" s="121"/>
    </row>
    <row r="157" customFormat="false" ht="15" hidden="false" customHeight="false" outlineLevel="0" collapsed="false">
      <c r="A157" s="156" t="n">
        <f aca="false">EOMONTH(A156,0)+1</f>
        <v>41609</v>
      </c>
      <c r="B157" s="215"/>
      <c r="C157" s="281" t="n">
        <v>4.4095</v>
      </c>
      <c r="D157" s="282" t="n">
        <f aca="false">(E157-C157)*1000</f>
        <v>13.5000000000005</v>
      </c>
      <c r="E157" s="283" t="n">
        <f aca="false">VLOOKUP(YEAR(A157),Yr_Sprds,2)+E145</f>
        <v>4.423</v>
      </c>
      <c r="F157" s="287"/>
      <c r="G157" s="288"/>
      <c r="H157" s="287"/>
      <c r="I157" s="287"/>
      <c r="J157" s="279"/>
      <c r="K157" s="278"/>
      <c r="L157" s="291"/>
      <c r="M157" s="112"/>
      <c r="N157" s="278"/>
      <c r="O157" s="278"/>
      <c r="P157" s="278"/>
      <c r="Q157" s="167"/>
      <c r="R157" s="167"/>
      <c r="S157" s="167"/>
      <c r="T157" s="167"/>
      <c r="U157" s="167"/>
      <c r="V157" s="167"/>
      <c r="W157" s="167"/>
      <c r="X157" s="167"/>
      <c r="Y157" s="228" t="n">
        <f aca="false">DAY(EOMONTH(A157,0))</f>
        <v>31</v>
      </c>
      <c r="Z157" s="268" t="n">
        <v>41451</v>
      </c>
      <c r="AA157" s="230" t="e">
        <f aca="false">IF(AND(A157&gt;=Front!$E$11,A157&lt;=Front!$E$12),A157,"")</f>
        <v>#VALUE!</v>
      </c>
      <c r="AB157" s="231" t="e">
        <f aca="false">IF(AA157="","",VLOOKUP(MONTH(A156),Front!$W$6:$X$17,2)*IF(Front!D$9=0,Swap!Y157,1))</f>
        <v>#VALUE!</v>
      </c>
      <c r="AC157" s="274" t="e">
        <f aca="false">IF(AA157="","",AB157*AH157)</f>
        <v>#VALUE!</v>
      </c>
      <c r="AD157" s="233"/>
      <c r="AE157" s="231" t="e">
        <f aca="false">IF(AA157="","",AD157*AH157)</f>
        <v>#VALUE!</v>
      </c>
      <c r="AF157" s="243" t="n">
        <f aca="false">INDEX(IRTable,MATCH(A157,IRMonth,0),4)</f>
        <v>0.0575698682181938</v>
      </c>
      <c r="AG157" s="243" t="n">
        <f aca="false">AF157+$AG$9</f>
        <v>0.0575698682181938</v>
      </c>
      <c r="AH157" s="195" t="n">
        <f aca="false">1/((1+AG157/2)^(2*((A157-Front!$C$2)/365.25)))</f>
        <v>1.95585309952319</v>
      </c>
      <c r="AI157" s="236" t="e">
        <f aca="false">IF($AA157="","",E157*AC157)</f>
        <v>#VALUE!</v>
      </c>
      <c r="AJ157" s="236" t="e">
        <f aca="false">IF($AA157="","",E157*AE157)</f>
        <v>#VALUE!</v>
      </c>
      <c r="AK157" s="237" t="e">
        <f aca="false">IF($AA157="","",C157*AC157)</f>
        <v>#VALUE!</v>
      </c>
      <c r="AL157" s="160" t="n">
        <f aca="false">(AO157/10000)/30.5</f>
        <v>0</v>
      </c>
      <c r="AM157" s="238" t="n">
        <f aca="false">AD157/10000</f>
        <v>0</v>
      </c>
      <c r="AN157" s="238" t="n">
        <f aca="false">AD157*DAY(EOMONTH(A157,0))/10000</f>
        <v>0</v>
      </c>
      <c r="AO157" s="238"/>
      <c r="AP157" s="238"/>
      <c r="AQ157" s="238"/>
      <c r="AR157" s="239"/>
      <c r="AS157" s="238"/>
      <c r="AT157" s="238"/>
      <c r="AU157" s="0"/>
      <c r="AV157" s="238"/>
      <c r="AW157" s="238"/>
      <c r="AX157" s="238"/>
      <c r="AY157" s="238"/>
      <c r="AZ157" s="238"/>
      <c r="BA157" s="241"/>
      <c r="BB157" s="242"/>
      <c r="BC157" s="243" t="n">
        <v>4.4095</v>
      </c>
      <c r="BD157" s="195" t="n">
        <f aca="false">BC157-E157</f>
        <v>-0.0135000000000005</v>
      </c>
      <c r="BE157" s="251" t="n">
        <v>0</v>
      </c>
      <c r="BF157" s="245" t="n">
        <f aca="false">(BE157)*(D157*10)</f>
        <v>0</v>
      </c>
      <c r="BG157" s="121" t="n">
        <v>62.08935229</v>
      </c>
      <c r="BH157" s="121" t="n">
        <v>0</v>
      </c>
      <c r="BI157" s="247"/>
      <c r="BJ157" s="121"/>
      <c r="BK157" s="121"/>
      <c r="BL157" s="121"/>
      <c r="BM157" s="121"/>
      <c r="BN157" s="121"/>
      <c r="BO157" s="121"/>
      <c r="BP157" s="275" t="n">
        <v>41609</v>
      </c>
      <c r="BQ157" s="143" t="n">
        <v>4.337</v>
      </c>
      <c r="BR157" s="143" t="n">
        <v>0.17</v>
      </c>
      <c r="BS157" s="143" t="n">
        <v>0.0575698682181938</v>
      </c>
      <c r="BT157" s="121"/>
    </row>
    <row r="158" customFormat="false" ht="15" hidden="false" customHeight="false" outlineLevel="0" collapsed="false">
      <c r="A158" s="156" t="n">
        <f aca="false">EOMONTH(A157,0)+1</f>
        <v>41640</v>
      </c>
      <c r="B158" s="215"/>
      <c r="C158" s="281" t="n">
        <v>4.4645</v>
      </c>
      <c r="D158" s="282" t="n">
        <f aca="false">(E158-C158)*1000</f>
        <v>16</v>
      </c>
      <c r="E158" s="283" t="n">
        <f aca="false">VLOOKUP(YEAR(A158),Yr_Sprds,2)+E146</f>
        <v>4.4805</v>
      </c>
      <c r="F158" s="287"/>
      <c r="G158" s="288"/>
      <c r="H158" s="287"/>
      <c r="I158" s="287"/>
      <c r="J158" s="279"/>
      <c r="K158" s="278"/>
      <c r="L158" s="291"/>
      <c r="M158" s="112"/>
      <c r="N158" s="278"/>
      <c r="O158" s="278"/>
      <c r="P158" s="278"/>
      <c r="Q158" s="167"/>
      <c r="R158" s="167"/>
      <c r="S158" s="167"/>
      <c r="T158" s="167"/>
      <c r="U158" s="167"/>
      <c r="V158" s="167"/>
      <c r="W158" s="167"/>
      <c r="X158" s="167"/>
      <c r="Y158" s="228" t="n">
        <f aca="false">DAY(EOMONTH(A158,0))</f>
        <v>31</v>
      </c>
      <c r="Z158" s="268" t="n">
        <v>41484</v>
      </c>
      <c r="AA158" s="230" t="e">
        <f aca="false">IF(AND(A158&gt;=Front!$E$11,A158&lt;=Front!$E$12),A158,"")</f>
        <v>#VALUE!</v>
      </c>
      <c r="AB158" s="231" t="e">
        <f aca="false">IF(AA158="","",VLOOKUP(MONTH(A157),Front!$W$6:$X$17,2)*IF(Front!D$9=0,Swap!Y158,1))</f>
        <v>#VALUE!</v>
      </c>
      <c r="AC158" s="274" t="e">
        <f aca="false">IF(AA158="","",AB158*AH158)</f>
        <v>#VALUE!</v>
      </c>
      <c r="AD158" s="233"/>
      <c r="AE158" s="231" t="e">
        <f aca="false">IF(AA158="","",AD158*AH158)</f>
        <v>#VALUE!</v>
      </c>
      <c r="AF158" s="243" t="n">
        <f aca="false">INDEX(IRTable,MATCH(A158,IRMonth,0),4)</f>
        <v>0.0576370736079186</v>
      </c>
      <c r="AG158" s="243" t="n">
        <f aca="false">AF158+$AG$9</f>
        <v>0.0576370736079186</v>
      </c>
      <c r="AH158" s="195" t="n">
        <f aca="false">1/((1+AG158/2)^(2*((A158-Front!$C$2)/365.25)))</f>
        <v>1.94794673069516</v>
      </c>
      <c r="AI158" s="236" t="e">
        <f aca="false">IF($AA158="","",E158*AC158)</f>
        <v>#VALUE!</v>
      </c>
      <c r="AJ158" s="236" t="e">
        <f aca="false">IF($AA158="","",E158*AE158)</f>
        <v>#VALUE!</v>
      </c>
      <c r="AK158" s="237" t="e">
        <f aca="false">IF($AA158="","",C158*AC158)</f>
        <v>#VALUE!</v>
      </c>
      <c r="AL158" s="160" t="n">
        <f aca="false">(AO158/10000)/30.5</f>
        <v>0</v>
      </c>
      <c r="AM158" s="238" t="n">
        <f aca="false">AD158/10000</f>
        <v>0</v>
      </c>
      <c r="AN158" s="238" t="n">
        <f aca="false">AD158*DAY(EOMONTH(A158,0))/10000</f>
        <v>0</v>
      </c>
      <c r="AO158" s="238"/>
      <c r="AP158" s="238"/>
      <c r="AQ158" s="238"/>
      <c r="AR158" s="239"/>
      <c r="AS158" s="238"/>
      <c r="AT158" s="238"/>
      <c r="AU158" s="0"/>
      <c r="AV158" s="238"/>
      <c r="AW158" s="238"/>
      <c r="AX158" s="238"/>
      <c r="AY158" s="238"/>
      <c r="AZ158" s="238"/>
      <c r="BA158" s="241"/>
      <c r="BB158" s="242"/>
      <c r="BC158" s="243" t="n">
        <v>4.4645</v>
      </c>
      <c r="BD158" s="195" t="n">
        <f aca="false">BC158-E158</f>
        <v>-0.016</v>
      </c>
      <c r="BE158" s="251" t="n">
        <v>0</v>
      </c>
      <c r="BF158" s="245" t="n">
        <f aca="false">(BE158)*(D158*10)</f>
        <v>0</v>
      </c>
      <c r="BG158" s="121" t="n">
        <v>59.64981966</v>
      </c>
      <c r="BH158" s="121" t="n">
        <v>0</v>
      </c>
      <c r="BI158" s="247"/>
      <c r="BJ158" s="121"/>
      <c r="BK158" s="121"/>
      <c r="BL158" s="121"/>
      <c r="BM158" s="121"/>
      <c r="BN158" s="121"/>
      <c r="BO158" s="121"/>
      <c r="BP158" s="275" t="n">
        <v>41640</v>
      </c>
      <c r="BQ158" s="143" t="n">
        <v>4.3595</v>
      </c>
      <c r="BR158" s="143" t="n">
        <v>0.17</v>
      </c>
      <c r="BS158" s="143" t="n">
        <v>0.0576370736079186</v>
      </c>
      <c r="BT158" s="121"/>
    </row>
    <row r="159" customFormat="false" ht="15" hidden="false" customHeight="false" outlineLevel="0" collapsed="false">
      <c r="A159" s="156" t="n">
        <f aca="false">EOMONTH(A158,0)+1</f>
        <v>41671</v>
      </c>
      <c r="B159" s="215"/>
      <c r="C159" s="281" t="n">
        <v>4.3505</v>
      </c>
      <c r="D159" s="282" t="n">
        <f aca="false">(E159-C159)*1000</f>
        <v>16.0000000000009</v>
      </c>
      <c r="E159" s="283" t="n">
        <f aca="false">VLOOKUP(YEAR(A159),Yr_Sprds,2)+E147</f>
        <v>4.3665</v>
      </c>
      <c r="F159" s="287"/>
      <c r="G159" s="288"/>
      <c r="H159" s="287"/>
      <c r="I159" s="287"/>
      <c r="J159" s="279"/>
      <c r="K159" s="278"/>
      <c r="L159" s="291"/>
      <c r="M159" s="112"/>
      <c r="N159" s="278"/>
      <c r="O159" s="278"/>
      <c r="P159" s="278"/>
      <c r="Q159" s="167"/>
      <c r="R159" s="167"/>
      <c r="S159" s="167"/>
      <c r="T159" s="167"/>
      <c r="U159" s="167"/>
      <c r="V159" s="167"/>
      <c r="W159" s="167"/>
      <c r="X159" s="167"/>
      <c r="Y159" s="228" t="n">
        <f aca="false">DAY(EOMONTH(A159,0))</f>
        <v>28</v>
      </c>
      <c r="Z159" s="268" t="n">
        <v>41514</v>
      </c>
      <c r="AA159" s="230" t="e">
        <f aca="false">IF(AND(A159&gt;=Front!$E$11,A159&lt;=Front!$E$12),A159,"")</f>
        <v>#VALUE!</v>
      </c>
      <c r="AB159" s="231" t="e">
        <f aca="false">IF(AA159="","",VLOOKUP(MONTH(A158),Front!$W$6:$X$17,2)*IF(Front!D$9=0,Swap!Y159,1))</f>
        <v>#VALUE!</v>
      </c>
      <c r="AC159" s="274" t="e">
        <f aca="false">IF(AA159="","",AB159*AH159)</f>
        <v>#VALUE!</v>
      </c>
      <c r="AD159" s="233"/>
      <c r="AE159" s="231" t="e">
        <f aca="false">IF(AA159="","",AD159*AH159)</f>
        <v>#VALUE!</v>
      </c>
      <c r="AF159" s="243" t="n">
        <f aca="false">INDEX(IRTable,MATCH(A159,IRMonth,0),4)</f>
        <v>0.0577042789991453</v>
      </c>
      <c r="AG159" s="243" t="n">
        <f aca="false">AF159+$AG$9</f>
        <v>0.0577042789991453</v>
      </c>
      <c r="AH159" s="195" t="n">
        <f aca="false">1/((1+AG159/2)^(2*((A159-Front!$C$2)/365.25)))</f>
        <v>1.940050762074</v>
      </c>
      <c r="AI159" s="236" t="e">
        <f aca="false">IF($AA159="","",E159*AC159)</f>
        <v>#VALUE!</v>
      </c>
      <c r="AJ159" s="236" t="e">
        <f aca="false">IF($AA159="","",E159*AE159)</f>
        <v>#VALUE!</v>
      </c>
      <c r="AK159" s="237" t="e">
        <f aca="false">IF($AA159="","",C159*AC159)</f>
        <v>#VALUE!</v>
      </c>
      <c r="AL159" s="160" t="n">
        <f aca="false">(AO159/10000)/30.5</f>
        <v>0</v>
      </c>
      <c r="AM159" s="238" t="n">
        <f aca="false">AD159/10000</f>
        <v>0</v>
      </c>
      <c r="AN159" s="238" t="n">
        <f aca="false">AD159*DAY(EOMONTH(A159,0))/10000</f>
        <v>0</v>
      </c>
      <c r="AO159" s="238"/>
      <c r="AP159" s="238"/>
      <c r="AQ159" s="238"/>
      <c r="AR159" s="239"/>
      <c r="AS159" s="238"/>
      <c r="AT159" s="238"/>
      <c r="AU159" s="0"/>
      <c r="AV159" s="238"/>
      <c r="AW159" s="238"/>
      <c r="AX159" s="238"/>
      <c r="AY159" s="238"/>
      <c r="AZ159" s="238"/>
      <c r="BA159" s="241"/>
      <c r="BB159" s="242"/>
      <c r="BC159" s="243" t="n">
        <v>4.3505</v>
      </c>
      <c r="BD159" s="195" t="n">
        <f aca="false">BC159-E159</f>
        <v>-0.0160000000000009</v>
      </c>
      <c r="BE159" s="251" t="n">
        <v>0</v>
      </c>
      <c r="BF159" s="245" t="n">
        <f aca="false">(BE159)*(D159*10)</f>
        <v>0</v>
      </c>
      <c r="BG159" s="121" t="n">
        <v>61.30847192</v>
      </c>
      <c r="BH159" s="121" t="n">
        <v>0</v>
      </c>
      <c r="BI159" s="247"/>
      <c r="BJ159" s="121"/>
      <c r="BK159" s="121"/>
      <c r="BL159" s="121"/>
      <c r="BM159" s="121"/>
      <c r="BN159" s="121"/>
      <c r="BO159" s="121"/>
      <c r="BP159" s="275" t="n">
        <v>41671</v>
      </c>
      <c r="BQ159" s="143" t="n">
        <v>4.2455</v>
      </c>
      <c r="BR159" s="143" t="n">
        <v>0.17</v>
      </c>
      <c r="BS159" s="143" t="n">
        <v>0.0577042789991453</v>
      </c>
      <c r="BT159" s="121"/>
    </row>
    <row r="160" customFormat="false" ht="15" hidden="false" customHeight="false" outlineLevel="0" collapsed="false">
      <c r="A160" s="156" t="n">
        <f aca="false">EOMONTH(A159,0)+1</f>
        <v>41699</v>
      </c>
      <c r="B160" s="215"/>
      <c r="C160" s="281" t="n">
        <v>4.2185</v>
      </c>
      <c r="D160" s="282" t="n">
        <f aca="false">(E160-C160)*1000</f>
        <v>16</v>
      </c>
      <c r="E160" s="283" t="n">
        <f aca="false">VLOOKUP(YEAR(A160),Yr_Sprds,2)+E148</f>
        <v>4.2345</v>
      </c>
      <c r="F160" s="287"/>
      <c r="G160" s="288"/>
      <c r="H160" s="287"/>
      <c r="I160" s="287"/>
      <c r="J160" s="279"/>
      <c r="K160" s="278"/>
      <c r="L160" s="291"/>
      <c r="M160" s="112"/>
      <c r="N160" s="278"/>
      <c r="O160" s="278"/>
      <c r="P160" s="278"/>
      <c r="Q160" s="167"/>
      <c r="R160" s="167"/>
      <c r="S160" s="167"/>
      <c r="T160" s="167"/>
      <c r="U160" s="167"/>
      <c r="V160" s="167"/>
      <c r="W160" s="167"/>
      <c r="X160" s="167"/>
      <c r="Y160" s="228" t="n">
        <f aca="false">DAY(EOMONTH(A160,0))</f>
        <v>31</v>
      </c>
      <c r="Z160" s="268" t="n">
        <v>41543</v>
      </c>
      <c r="AA160" s="230" t="e">
        <f aca="false">IF(AND(A160&gt;=Front!$E$11,A160&lt;=Front!$E$12),A160,"")</f>
        <v>#VALUE!</v>
      </c>
      <c r="AB160" s="231" t="e">
        <f aca="false">IF(AA160="","",VLOOKUP(MONTH(A159),Front!$W$6:$X$17,2)*IF(Front!D$9=0,Swap!Y160,1))</f>
        <v>#VALUE!</v>
      </c>
      <c r="AC160" s="274" t="e">
        <f aca="false">IF(AA160="","",AB160*AH160)</f>
        <v>#VALUE!</v>
      </c>
      <c r="AD160" s="233"/>
      <c r="AE160" s="231" t="e">
        <f aca="false">IF(AA160="","",AD160*AH160)</f>
        <v>#VALUE!</v>
      </c>
      <c r="AF160" s="243" t="n">
        <f aca="false">INDEX(IRTable,MATCH(A160,IRMonth,0),4)</f>
        <v>0.0577649806441256</v>
      </c>
      <c r="AG160" s="243" t="n">
        <f aca="false">AF160+$AG$9</f>
        <v>0.0577649806441256</v>
      </c>
      <c r="AH160" s="195" t="n">
        <f aca="false">1/((1+AG160/2)^(2*((A160-Front!$C$2)/365.25)))</f>
        <v>1.93292797016003</v>
      </c>
      <c r="AI160" s="236" t="e">
        <f aca="false">IF($AA160="","",E160*AC160)</f>
        <v>#VALUE!</v>
      </c>
      <c r="AJ160" s="236" t="e">
        <f aca="false">IF($AA160="","",E160*AE160)</f>
        <v>#VALUE!</v>
      </c>
      <c r="AK160" s="237" t="e">
        <f aca="false">IF($AA160="","",C160*AC160)</f>
        <v>#VALUE!</v>
      </c>
      <c r="AL160" s="160" t="n">
        <f aca="false">(AO160/10000)/30.5</f>
        <v>0</v>
      </c>
      <c r="AM160" s="238" t="n">
        <f aca="false">AD160/10000</f>
        <v>0</v>
      </c>
      <c r="AN160" s="238" t="n">
        <f aca="false">AD160*DAY(EOMONTH(A160,0))/10000</f>
        <v>0</v>
      </c>
      <c r="AO160" s="238"/>
      <c r="AP160" s="238"/>
      <c r="AQ160" s="238"/>
      <c r="AR160" s="239"/>
      <c r="AS160" s="238"/>
      <c r="AT160" s="238"/>
      <c r="AU160" s="0"/>
      <c r="AV160" s="238"/>
      <c r="AW160" s="238"/>
      <c r="AX160" s="238"/>
      <c r="AY160" s="238"/>
      <c r="AZ160" s="238"/>
      <c r="BA160" s="241"/>
      <c r="BB160" s="242"/>
      <c r="BC160" s="243" t="n">
        <v>4.2185</v>
      </c>
      <c r="BD160" s="195" t="n">
        <f aca="false">BC160-E160</f>
        <v>-0.016</v>
      </c>
      <c r="BE160" s="251" t="n">
        <v>0</v>
      </c>
      <c r="BF160" s="245" t="n">
        <f aca="false">(BE160)*(D160*10)</f>
        <v>0</v>
      </c>
      <c r="BG160" s="121" t="n">
        <v>61.34678504</v>
      </c>
      <c r="BH160" s="121" t="n">
        <v>0</v>
      </c>
      <c r="BI160" s="247"/>
      <c r="BJ160" s="121"/>
      <c r="BK160" s="121"/>
      <c r="BL160" s="121"/>
      <c r="BM160" s="121"/>
      <c r="BN160" s="121"/>
      <c r="BO160" s="121"/>
      <c r="BP160" s="275" t="n">
        <v>41699</v>
      </c>
      <c r="BQ160" s="143" t="n">
        <v>4.1135</v>
      </c>
      <c r="BR160" s="143" t="n">
        <v>0.17</v>
      </c>
      <c r="BS160" s="143" t="n">
        <v>0.0577649806441256</v>
      </c>
      <c r="BT160" s="121"/>
    </row>
    <row r="161" customFormat="false" ht="15" hidden="false" customHeight="false" outlineLevel="0" collapsed="false">
      <c r="A161" s="156" t="n">
        <f aca="false">EOMONTH(A160,0)+1</f>
        <v>41730</v>
      </c>
      <c r="B161" s="215"/>
      <c r="C161" s="281" t="n">
        <v>4.0485</v>
      </c>
      <c r="D161" s="282" t="n">
        <f aca="false">(E161-C161)*1000</f>
        <v>16</v>
      </c>
      <c r="E161" s="283" t="n">
        <f aca="false">VLOOKUP(YEAR(A161),Yr_Sprds,2)+E149</f>
        <v>4.0645</v>
      </c>
      <c r="F161" s="287"/>
      <c r="G161" s="288"/>
      <c r="H161" s="287"/>
      <c r="I161" s="287"/>
      <c r="J161" s="279"/>
      <c r="K161" s="278"/>
      <c r="L161" s="291"/>
      <c r="M161" s="112"/>
      <c r="N161" s="278"/>
      <c r="O161" s="278"/>
      <c r="P161" s="278"/>
      <c r="Q161" s="167"/>
      <c r="R161" s="167"/>
      <c r="S161" s="167"/>
      <c r="T161" s="167"/>
      <c r="U161" s="167"/>
      <c r="V161" s="167"/>
      <c r="W161" s="167"/>
      <c r="X161" s="167"/>
      <c r="Y161" s="228" t="n">
        <f aca="false">DAY(EOMONTH(A161,0))</f>
        <v>30</v>
      </c>
      <c r="Z161" s="268" t="n">
        <v>41576</v>
      </c>
      <c r="AA161" s="230" t="e">
        <f aca="false">IF(AND(A161&gt;=Front!$E$11,A161&lt;=Front!$E$12),A161,"")</f>
        <v>#VALUE!</v>
      </c>
      <c r="AB161" s="231" t="e">
        <f aca="false">IF(AA161="","",VLOOKUP(MONTH(A160),Front!$W$6:$X$17,2)*IF(Front!D$9=0,Swap!Y161,1))</f>
        <v>#VALUE!</v>
      </c>
      <c r="AC161" s="274" t="e">
        <f aca="false">IF(AA161="","",AB161*AH161)</f>
        <v>#VALUE!</v>
      </c>
      <c r="AD161" s="233"/>
      <c r="AE161" s="231" t="e">
        <f aca="false">IF(AA161="","",AD161*AH161)</f>
        <v>#VALUE!</v>
      </c>
      <c r="AF161" s="243" t="n">
        <f aca="false">INDEX(IRTable,MATCH(A161,IRMonth,0),4)</f>
        <v>0.0578321860382123</v>
      </c>
      <c r="AG161" s="243" t="n">
        <f aca="false">AF161+$AG$9</f>
        <v>0.0578321860382123</v>
      </c>
      <c r="AH161" s="195" t="n">
        <f aca="false">1/((1+AG161/2)^(2*((A161-Front!$C$2)/365.25)))</f>
        <v>1.92505216504443</v>
      </c>
      <c r="AI161" s="236" t="e">
        <f aca="false">IF($AA161="","",E161*AC161)</f>
        <v>#VALUE!</v>
      </c>
      <c r="AJ161" s="236" t="e">
        <f aca="false">IF($AA161="","",E161*AE161)</f>
        <v>#VALUE!</v>
      </c>
      <c r="AK161" s="237" t="e">
        <f aca="false">IF($AA161="","",C161*AC161)</f>
        <v>#VALUE!</v>
      </c>
      <c r="AL161" s="160" t="n">
        <f aca="false">(AO161/10000)/30.5</f>
        <v>0</v>
      </c>
      <c r="AM161" s="238" t="n">
        <f aca="false">AD161/10000</f>
        <v>0</v>
      </c>
      <c r="AN161" s="238" t="n">
        <f aca="false">AD161*DAY(EOMONTH(A161,0))/10000</f>
        <v>0</v>
      </c>
      <c r="AO161" s="238"/>
      <c r="AP161" s="238"/>
      <c r="AQ161" s="238"/>
      <c r="AR161" s="239"/>
      <c r="AS161" s="238"/>
      <c r="AT161" s="238"/>
      <c r="AU161" s="0"/>
      <c r="AV161" s="238"/>
      <c r="AW161" s="238"/>
      <c r="AX161" s="238"/>
      <c r="AY161" s="238"/>
      <c r="AZ161" s="238"/>
      <c r="BA161" s="241"/>
      <c r="BB161" s="242"/>
      <c r="BC161" s="243" t="n">
        <v>4.0485</v>
      </c>
      <c r="BD161" s="195" t="n">
        <f aca="false">BC161-E161</f>
        <v>-0.016</v>
      </c>
      <c r="BE161" s="251" t="n">
        <v>0</v>
      </c>
      <c r="BF161" s="245" t="n">
        <f aca="false">(BE161)*(D161*10)</f>
        <v>0</v>
      </c>
      <c r="BG161" s="121" t="n">
        <v>59.10929108</v>
      </c>
      <c r="BH161" s="121" t="n">
        <v>0</v>
      </c>
      <c r="BI161" s="247"/>
      <c r="BJ161" s="121"/>
      <c r="BK161" s="121"/>
      <c r="BL161" s="121"/>
      <c r="BM161" s="121"/>
      <c r="BN161" s="121"/>
      <c r="BO161" s="121"/>
      <c r="BP161" s="275" t="n">
        <v>41730</v>
      </c>
      <c r="BQ161" s="143" t="n">
        <v>3.9435</v>
      </c>
      <c r="BR161" s="143" t="n">
        <v>0.17</v>
      </c>
      <c r="BS161" s="143" t="n">
        <v>0.0578321860382123</v>
      </c>
      <c r="BT161" s="121"/>
    </row>
    <row r="162" customFormat="false" ht="15" hidden="false" customHeight="false" outlineLevel="0" collapsed="false">
      <c r="A162" s="156" t="n">
        <f aca="false">EOMONTH(A161,0)+1</f>
        <v>41760</v>
      </c>
      <c r="B162" s="215"/>
      <c r="C162" s="281" t="n">
        <v>4.0485</v>
      </c>
      <c r="D162" s="282" t="n">
        <f aca="false">(E162-C162)*1000</f>
        <v>16</v>
      </c>
      <c r="E162" s="283" t="n">
        <f aca="false">VLOOKUP(YEAR(A162),Yr_Sprds,2)+E150</f>
        <v>4.0645</v>
      </c>
      <c r="F162" s="287"/>
      <c r="G162" s="288"/>
      <c r="H162" s="287"/>
      <c r="I162" s="287"/>
      <c r="J162" s="279"/>
      <c r="K162" s="278"/>
      <c r="L162" s="291"/>
      <c r="M162" s="112"/>
      <c r="N162" s="278"/>
      <c r="O162" s="278"/>
      <c r="P162" s="278"/>
      <c r="Q162" s="167"/>
      <c r="R162" s="167"/>
      <c r="S162" s="167"/>
      <c r="T162" s="167"/>
      <c r="U162" s="167"/>
      <c r="V162" s="167"/>
      <c r="W162" s="167"/>
      <c r="X162" s="167"/>
      <c r="Y162" s="228" t="n">
        <f aca="false">DAY(EOMONTH(A162,0))</f>
        <v>31</v>
      </c>
      <c r="Z162" s="268" t="n">
        <v>41604</v>
      </c>
      <c r="AA162" s="230" t="e">
        <f aca="false">IF(AND(A162&gt;=Front!$E$11,A162&lt;=Front!$E$12),A162,"")</f>
        <v>#VALUE!</v>
      </c>
      <c r="AB162" s="231" t="e">
        <f aca="false">IF(AA162="","",VLOOKUP(MONTH(A161),Front!$W$6:$X$17,2)*IF(Front!D$9=0,Swap!Y162,1))</f>
        <v>#VALUE!</v>
      </c>
      <c r="AC162" s="274" t="e">
        <f aca="false">IF(AA162="","",AB162*AH162)</f>
        <v>#VALUE!</v>
      </c>
      <c r="AD162" s="233"/>
      <c r="AE162" s="231" t="e">
        <f aca="false">IF(AA162="","",AD162*AH162)</f>
        <v>#VALUE!</v>
      </c>
      <c r="AF162" s="243" t="n">
        <f aca="false">INDEX(IRTable,MATCH(A162,IRMonth,0),4)</f>
        <v>0.0578972235177906</v>
      </c>
      <c r="AG162" s="243" t="n">
        <f aca="false">AF162+$AG$9</f>
        <v>0.0578972235177906</v>
      </c>
      <c r="AH162" s="195" t="n">
        <f aca="false">1/((1+AG162/2)^(2*((A162-Front!$C$2)/365.25)))</f>
        <v>1.91744068732468</v>
      </c>
      <c r="AI162" s="236" t="e">
        <f aca="false">IF($AA162="","",E162*AC162)</f>
        <v>#VALUE!</v>
      </c>
      <c r="AJ162" s="236" t="e">
        <f aca="false">IF($AA162="","",E162*AE162)</f>
        <v>#VALUE!</v>
      </c>
      <c r="AK162" s="237" t="e">
        <f aca="false">IF($AA162="","",C162*AC162)</f>
        <v>#VALUE!</v>
      </c>
      <c r="AL162" s="160" t="n">
        <f aca="false">(AO162/10000)/30.5</f>
        <v>0</v>
      </c>
      <c r="AM162" s="238" t="n">
        <f aca="false">AD162/10000</f>
        <v>0</v>
      </c>
      <c r="AN162" s="238" t="n">
        <f aca="false">AD162*DAY(EOMONTH(A162,0))/10000</f>
        <v>0</v>
      </c>
      <c r="AO162" s="238"/>
      <c r="AP162" s="238"/>
      <c r="AQ162" s="238"/>
      <c r="AR162" s="239"/>
      <c r="AS162" s="238"/>
      <c r="AT162" s="238"/>
      <c r="AU162" s="0"/>
      <c r="AV162" s="238"/>
      <c r="AW162" s="238"/>
      <c r="AX162" s="238"/>
      <c r="AY162" s="238"/>
      <c r="AZ162" s="238"/>
      <c r="BA162" s="241"/>
      <c r="BB162" s="242"/>
      <c r="BC162" s="243" t="n">
        <v>4.0485</v>
      </c>
      <c r="BD162" s="195" t="n">
        <f aca="false">BC162-E162</f>
        <v>-0.016</v>
      </c>
      <c r="BE162" s="251" t="n">
        <v>0</v>
      </c>
      <c r="BF162" s="245" t="n">
        <f aca="false">(BE162)*(D162*10)</f>
        <v>0</v>
      </c>
      <c r="BG162" s="121" t="n">
        <v>59.98985962</v>
      </c>
      <c r="BH162" s="121" t="n">
        <v>0</v>
      </c>
      <c r="BI162" s="247"/>
      <c r="BJ162" s="121"/>
      <c r="BK162" s="121"/>
      <c r="BL162" s="121"/>
      <c r="BM162" s="121"/>
      <c r="BN162" s="121"/>
      <c r="BO162" s="121"/>
      <c r="BP162" s="275" t="n">
        <v>41760</v>
      </c>
      <c r="BQ162" s="143" t="n">
        <v>3.9435</v>
      </c>
      <c r="BR162" s="143" t="n">
        <v>0.17</v>
      </c>
      <c r="BS162" s="143" t="n">
        <v>0.0578972235177906</v>
      </c>
      <c r="BT162" s="121"/>
    </row>
    <row r="163" customFormat="false" ht="15" hidden="false" customHeight="false" outlineLevel="0" collapsed="false">
      <c r="A163" s="156" t="n">
        <f aca="false">EOMONTH(A162,0)+1</f>
        <v>41791</v>
      </c>
      <c r="B163" s="215"/>
      <c r="C163" s="281" t="n">
        <v>4.0805</v>
      </c>
      <c r="D163" s="282" t="n">
        <f aca="false">(E163-C163)*1000</f>
        <v>16</v>
      </c>
      <c r="E163" s="283" t="n">
        <f aca="false">VLOOKUP(YEAR(A163),Yr_Sprds,2)+E151</f>
        <v>4.0965</v>
      </c>
      <c r="F163" s="287"/>
      <c r="G163" s="288"/>
      <c r="H163" s="287"/>
      <c r="I163" s="287"/>
      <c r="J163" s="279"/>
      <c r="K163" s="278"/>
      <c r="L163" s="291"/>
      <c r="M163" s="112"/>
      <c r="N163" s="278"/>
      <c r="O163" s="278"/>
      <c r="P163" s="278"/>
      <c r="Q163" s="167"/>
      <c r="R163" s="167"/>
      <c r="S163" s="167"/>
      <c r="T163" s="167"/>
      <c r="U163" s="167"/>
      <c r="V163" s="167"/>
      <c r="W163" s="167"/>
      <c r="X163" s="167"/>
      <c r="Y163" s="228" t="n">
        <f aca="false">DAY(EOMONTH(A163,0))</f>
        <v>30</v>
      </c>
      <c r="Z163" s="268" t="n">
        <v>41635</v>
      </c>
      <c r="AA163" s="230" t="e">
        <f aca="false">IF(AND(A163&gt;=Front!$E$11,A163&lt;=Front!$E$12),A163,"")</f>
        <v>#VALUE!</v>
      </c>
      <c r="AB163" s="231" t="e">
        <f aca="false">IF(AA163="","",VLOOKUP(MONTH(A162),Front!$W$6:$X$17,2)*IF(Front!D$9=0,Swap!Y163,1))</f>
        <v>#VALUE!</v>
      </c>
      <c r="AC163" s="274" t="e">
        <f aca="false">IF(AA163="","",AB163*AH163)</f>
        <v>#VALUE!</v>
      </c>
      <c r="AD163" s="233"/>
      <c r="AE163" s="231" t="e">
        <f aca="false">IF(AA163="","",AD163*AH163)</f>
        <v>#VALUE!</v>
      </c>
      <c r="AF163" s="243" t="n">
        <f aca="false">INDEX(IRTable,MATCH(A163,IRMonth,0),4)</f>
        <v>0.0579644289148327</v>
      </c>
      <c r="AG163" s="243" t="n">
        <f aca="false">AF163+$AG$9</f>
        <v>0.0579644289148327</v>
      </c>
      <c r="AH163" s="195" t="n">
        <f aca="false">1/((1+AG163/2)^(2*((A163-Front!$C$2)/365.25)))</f>
        <v>1.9095862330569</v>
      </c>
      <c r="AI163" s="236" t="e">
        <f aca="false">IF($AA163="","",E163*AC163)</f>
        <v>#VALUE!</v>
      </c>
      <c r="AJ163" s="236" t="e">
        <f aca="false">IF($AA163="","",E163*AE163)</f>
        <v>#VALUE!</v>
      </c>
      <c r="AK163" s="237" t="e">
        <f aca="false">IF($AA163="","",C163*AC163)</f>
        <v>#VALUE!</v>
      </c>
      <c r="AL163" s="160" t="n">
        <f aca="false">(AO163/10000)/30.5</f>
        <v>0</v>
      </c>
      <c r="AM163" s="238" t="n">
        <f aca="false">AD163/10000</f>
        <v>0</v>
      </c>
      <c r="AN163" s="238" t="n">
        <f aca="false">AD163*DAY(EOMONTH(A163,0))/10000</f>
        <v>0</v>
      </c>
      <c r="AO163" s="238"/>
      <c r="AP163" s="238"/>
      <c r="AQ163" s="238"/>
      <c r="AR163" s="239"/>
      <c r="AS163" s="238"/>
      <c r="AT163" s="238"/>
      <c r="AU163" s="0"/>
      <c r="AV163" s="238"/>
      <c r="AW163" s="238"/>
      <c r="AX163" s="238"/>
      <c r="AY163" s="238"/>
      <c r="AZ163" s="238"/>
      <c r="BA163" s="241"/>
      <c r="BB163" s="242"/>
      <c r="BC163" s="243" t="n">
        <v>4.0805</v>
      </c>
      <c r="BD163" s="195" t="n">
        <f aca="false">BC163-E163</f>
        <v>-0.016</v>
      </c>
      <c r="BE163" s="251" t="n">
        <v>0</v>
      </c>
      <c r="BF163" s="245" t="n">
        <f aca="false">(BE163)*(D163*10)</f>
        <v>0</v>
      </c>
      <c r="BG163" s="121" t="n">
        <v>57.23650811</v>
      </c>
      <c r="BH163" s="121" t="n">
        <v>0</v>
      </c>
      <c r="BI163" s="247"/>
      <c r="BJ163" s="121"/>
      <c r="BK163" s="121"/>
      <c r="BL163" s="121"/>
      <c r="BM163" s="121"/>
      <c r="BN163" s="121"/>
      <c r="BO163" s="121"/>
      <c r="BP163" s="275" t="n">
        <v>41791</v>
      </c>
      <c r="BQ163" s="143" t="n">
        <v>3.9755</v>
      </c>
      <c r="BR163" s="143" t="n">
        <v>0.17</v>
      </c>
      <c r="BS163" s="143" t="n">
        <v>0.0579644289148327</v>
      </c>
      <c r="BT163" s="121"/>
    </row>
    <row r="164" customFormat="false" ht="15" hidden="false" customHeight="false" outlineLevel="0" collapsed="false">
      <c r="A164" s="156" t="n">
        <f aca="false">EOMONTH(A163,0)+1</f>
        <v>41821</v>
      </c>
      <c r="B164" s="215"/>
      <c r="C164" s="281" t="n">
        <v>4.1305</v>
      </c>
      <c r="D164" s="282" t="n">
        <f aca="false">(E164-C164)*1000</f>
        <v>16</v>
      </c>
      <c r="E164" s="283" t="n">
        <f aca="false">VLOOKUP(YEAR(A164),Yr_Sprds,2)+E152</f>
        <v>4.1465</v>
      </c>
      <c r="F164" s="287"/>
      <c r="G164" s="288"/>
      <c r="H164" s="287"/>
      <c r="I164" s="287"/>
      <c r="J164" s="279"/>
      <c r="K164" s="278"/>
      <c r="L164" s="291"/>
      <c r="M164" s="112"/>
      <c r="N164" s="278"/>
      <c r="O164" s="278"/>
      <c r="P164" s="278"/>
      <c r="Q164" s="167"/>
      <c r="R164" s="167"/>
      <c r="S164" s="167"/>
      <c r="T164" s="167"/>
      <c r="U164" s="167"/>
      <c r="V164" s="167"/>
      <c r="W164" s="167"/>
      <c r="X164" s="167"/>
      <c r="Y164" s="228" t="n">
        <f aca="false">DAY(EOMONTH(A164,0))</f>
        <v>31</v>
      </c>
      <c r="Z164" s="268" t="n">
        <v>41668</v>
      </c>
      <c r="AA164" s="230" t="e">
        <f aca="false">IF(AND(A164&gt;=Front!$E$11,A164&lt;=Front!$E$12),A164,"")</f>
        <v>#VALUE!</v>
      </c>
      <c r="AB164" s="231" t="e">
        <f aca="false">IF(AA164="","",VLOOKUP(MONTH(A163),Front!$W$6:$X$17,2)*IF(Front!D$9=0,Swap!Y164,1))</f>
        <v>#VALUE!</v>
      </c>
      <c r="AC164" s="274" t="e">
        <f aca="false">IF(AA164="","",AB164*AH164)</f>
        <v>#VALUE!</v>
      </c>
      <c r="AD164" s="233"/>
      <c r="AE164" s="231" t="e">
        <f aca="false">IF(AA164="","",AD164*AH164)</f>
        <v>#VALUE!</v>
      </c>
      <c r="AF164" s="243" t="n">
        <f aca="false">INDEX(IRTable,MATCH(A164,IRMonth,0),4)</f>
        <v>0.0580294663972718</v>
      </c>
      <c r="AG164" s="243" t="n">
        <f aca="false">AF164+$AG$9</f>
        <v>0.0580294663972718</v>
      </c>
      <c r="AH164" s="195" t="n">
        <f aca="false">1/((1+AG164/2)^(2*((A164-Front!$C$2)/365.25)))</f>
        <v>1.90199566282139</v>
      </c>
      <c r="AI164" s="236" t="e">
        <f aca="false">IF($AA164="","",E164*AC164)</f>
        <v>#VALUE!</v>
      </c>
      <c r="AJ164" s="236" t="e">
        <f aca="false">IF($AA164="","",E164*AE164)</f>
        <v>#VALUE!</v>
      </c>
      <c r="AK164" s="237" t="e">
        <f aca="false">IF($AA164="","",C164*AC164)</f>
        <v>#VALUE!</v>
      </c>
      <c r="AL164" s="160" t="n">
        <f aca="false">(AO164/10000)/30.5</f>
        <v>0</v>
      </c>
      <c r="AM164" s="238" t="n">
        <f aca="false">AD164/10000</f>
        <v>0</v>
      </c>
      <c r="AN164" s="238" t="n">
        <f aca="false">AD164*DAY(EOMONTH(A164,0))/10000</f>
        <v>0</v>
      </c>
      <c r="AO164" s="238"/>
      <c r="AP164" s="238"/>
      <c r="AQ164" s="238"/>
      <c r="AR164" s="239"/>
      <c r="AS164" s="238"/>
      <c r="AT164" s="238"/>
      <c r="AU164" s="0"/>
      <c r="AV164" s="238"/>
      <c r="AW164" s="238"/>
      <c r="AX164" s="238"/>
      <c r="AY164" s="238"/>
      <c r="AZ164" s="238"/>
      <c r="BA164" s="241"/>
      <c r="BB164" s="242"/>
      <c r="BC164" s="243" t="n">
        <v>4.1305</v>
      </c>
      <c r="BD164" s="195" t="n">
        <f aca="false">BC164-E164</f>
        <v>-0.016</v>
      </c>
      <c r="BE164" s="251" t="n">
        <v>0</v>
      </c>
      <c r="BF164" s="245" t="n">
        <f aca="false">(BE164)*(D164*10)</f>
        <v>0</v>
      </c>
      <c r="BG164" s="121" t="n">
        <v>58.94427096</v>
      </c>
      <c r="BH164" s="121" t="n">
        <v>0</v>
      </c>
      <c r="BI164" s="247"/>
      <c r="BJ164" s="121"/>
      <c r="BK164" s="121"/>
      <c r="BL164" s="121"/>
      <c r="BM164" s="121"/>
      <c r="BN164" s="121"/>
      <c r="BO164" s="121"/>
      <c r="BP164" s="275" t="n">
        <v>41821</v>
      </c>
      <c r="BQ164" s="143" t="n">
        <v>4.0255</v>
      </c>
      <c r="BR164" s="143" t="n">
        <v>0.17</v>
      </c>
      <c r="BS164" s="143" t="n">
        <v>0.0580294663972718</v>
      </c>
      <c r="BT164" s="121"/>
    </row>
    <row r="165" customFormat="false" ht="15" hidden="false" customHeight="false" outlineLevel="0" collapsed="false">
      <c r="A165" s="156" t="n">
        <f aca="false">EOMONTH(A164,0)+1</f>
        <v>41852</v>
      </c>
      <c r="B165" s="215"/>
      <c r="C165" s="281" t="n">
        <v>4.1645</v>
      </c>
      <c r="D165" s="282" t="n">
        <f aca="false">(E165-C165)*1000</f>
        <v>16</v>
      </c>
      <c r="E165" s="283" t="n">
        <f aca="false">VLOOKUP(YEAR(A165),Yr_Sprds,2)+E153</f>
        <v>4.1805</v>
      </c>
      <c r="F165" s="287"/>
      <c r="G165" s="288"/>
      <c r="H165" s="287"/>
      <c r="I165" s="287"/>
      <c r="J165" s="279"/>
      <c r="K165" s="278"/>
      <c r="L165" s="291"/>
      <c r="M165" s="112"/>
      <c r="N165" s="278"/>
      <c r="O165" s="278"/>
      <c r="P165" s="278"/>
      <c r="Q165" s="167"/>
      <c r="R165" s="167"/>
      <c r="S165" s="167"/>
      <c r="T165" s="167"/>
      <c r="U165" s="167"/>
      <c r="V165" s="167"/>
      <c r="W165" s="167"/>
      <c r="X165" s="167"/>
      <c r="Y165" s="228" t="n">
        <f aca="false">DAY(EOMONTH(A165,0))</f>
        <v>31</v>
      </c>
      <c r="Z165" s="268" t="n">
        <v>41696</v>
      </c>
      <c r="AA165" s="230" t="e">
        <f aca="false">IF(AND(A165&gt;=Front!$E$11,A165&lt;=Front!$E$12),A165,"")</f>
        <v>#VALUE!</v>
      </c>
      <c r="AB165" s="231" t="e">
        <f aca="false">IF(AA165="","",VLOOKUP(MONTH(A164),Front!$W$6:$X$17,2)*IF(Front!D$9=0,Swap!Y165,1))</f>
        <v>#VALUE!</v>
      </c>
      <c r="AC165" s="274" t="e">
        <f aca="false">IF(AA165="","",AB165*AH165)</f>
        <v>#VALUE!</v>
      </c>
      <c r="AD165" s="233"/>
      <c r="AE165" s="231" t="e">
        <f aca="false">IF(AA165="","",AD165*AH165)</f>
        <v>#VALUE!</v>
      </c>
      <c r="AF165" s="243" t="n">
        <f aca="false">INDEX(IRTable,MATCH(A165,IRMonth,0),4)</f>
        <v>0.0580966717972697</v>
      </c>
      <c r="AG165" s="243" t="n">
        <f aca="false">AF165+$AG$9</f>
        <v>0.0580966717972697</v>
      </c>
      <c r="AH165" s="195" t="n">
        <f aca="false">1/((1+AG165/2)^(2*((A165-Front!$C$2)/365.25)))</f>
        <v>1.89416306475488</v>
      </c>
      <c r="AI165" s="236" t="e">
        <f aca="false">IF($AA165="","",E165*AC165)</f>
        <v>#VALUE!</v>
      </c>
      <c r="AJ165" s="236" t="e">
        <f aca="false">IF($AA165="","",E165*AE165)</f>
        <v>#VALUE!</v>
      </c>
      <c r="AK165" s="237" t="e">
        <f aca="false">IF($AA165="","",C165*AC165)</f>
        <v>#VALUE!</v>
      </c>
      <c r="AL165" s="160" t="n">
        <f aca="false">(AO165/10000)/30.5</f>
        <v>0</v>
      </c>
      <c r="AM165" s="238" t="n">
        <f aca="false">AD165/10000</f>
        <v>0</v>
      </c>
      <c r="AN165" s="238" t="n">
        <f aca="false">AD165*DAY(EOMONTH(A165,0))/10000</f>
        <v>0</v>
      </c>
      <c r="AO165" s="238"/>
      <c r="AP165" s="238"/>
      <c r="AQ165" s="238"/>
      <c r="AR165" s="239"/>
      <c r="AS165" s="238"/>
      <c r="AT165" s="238"/>
      <c r="AU165" s="0"/>
      <c r="AV165" s="238"/>
      <c r="AW165" s="238"/>
      <c r="AX165" s="238"/>
      <c r="AY165" s="238"/>
      <c r="AZ165" s="238"/>
      <c r="BA165" s="241"/>
      <c r="BB165" s="242"/>
      <c r="BC165" s="243" t="n">
        <v>4.1645</v>
      </c>
      <c r="BD165" s="195" t="n">
        <f aca="false">BC165-E165</f>
        <v>-0.016</v>
      </c>
      <c r="BE165" s="251" t="n">
        <v>0</v>
      </c>
      <c r="BF165" s="245" t="n">
        <f aca="false">(BE165)*(D165*10)</f>
        <v>0</v>
      </c>
      <c r="BG165" s="121" t="n">
        <v>58.61694982</v>
      </c>
      <c r="BH165" s="121" t="n">
        <v>0</v>
      </c>
      <c r="BI165" s="247"/>
      <c r="BJ165" s="121"/>
      <c r="BK165" s="121"/>
      <c r="BL165" s="121"/>
      <c r="BM165" s="121"/>
      <c r="BN165" s="121"/>
      <c r="BO165" s="121"/>
      <c r="BP165" s="275" t="n">
        <v>41852</v>
      </c>
      <c r="BQ165" s="143" t="n">
        <v>4.0595</v>
      </c>
      <c r="BR165" s="143" t="n">
        <v>0.17</v>
      </c>
      <c r="BS165" s="143" t="n">
        <v>0.0580966717972697</v>
      </c>
      <c r="BT165" s="121"/>
    </row>
    <row r="166" customFormat="false" ht="15" hidden="false" customHeight="false" outlineLevel="0" collapsed="false">
      <c r="A166" s="156" t="n">
        <f aca="false">EOMONTH(A165,0)+1</f>
        <v>41883</v>
      </c>
      <c r="B166" s="215"/>
      <c r="C166" s="281" t="n">
        <v>4.1775</v>
      </c>
      <c r="D166" s="282" t="n">
        <f aca="false">(E166-C166)*1000</f>
        <v>16</v>
      </c>
      <c r="E166" s="283" t="n">
        <f aca="false">VLOOKUP(YEAR(A166),Yr_Sprds,2)+E154</f>
        <v>4.1935</v>
      </c>
      <c r="F166" s="287"/>
      <c r="G166" s="288"/>
      <c r="H166" s="287"/>
      <c r="I166" s="287"/>
      <c r="J166" s="279"/>
      <c r="K166" s="278"/>
      <c r="L166" s="291"/>
      <c r="M166" s="112"/>
      <c r="N166" s="278"/>
      <c r="O166" s="278"/>
      <c r="P166" s="278"/>
      <c r="Q166" s="167"/>
      <c r="R166" s="167"/>
      <c r="S166" s="167"/>
      <c r="T166" s="167"/>
      <c r="U166" s="167"/>
      <c r="V166" s="167"/>
      <c r="W166" s="167"/>
      <c r="X166" s="167"/>
      <c r="Y166" s="228" t="n">
        <f aca="false">DAY(EOMONTH(A166,0))</f>
        <v>30</v>
      </c>
      <c r="Z166" s="268" t="n">
        <v>41725</v>
      </c>
      <c r="AA166" s="230" t="e">
        <f aca="false">IF(AND(A166&gt;=Front!$E$11,A166&lt;=Front!$E$12),A166,"")</f>
        <v>#VALUE!</v>
      </c>
      <c r="AB166" s="231" t="e">
        <f aca="false">IF(AA166="","",VLOOKUP(MONTH(A165),Front!$W$6:$X$17,2)*IF(Front!D$9=0,Swap!Y166,1))</f>
        <v>#VALUE!</v>
      </c>
      <c r="AC166" s="274" t="e">
        <f aca="false">IF(AA166="","",AB166*AH166)</f>
        <v>#VALUE!</v>
      </c>
      <c r="AD166" s="233"/>
      <c r="AE166" s="231" t="e">
        <f aca="false">IF(AA166="","",AD166*AH166)</f>
        <v>#VALUE!</v>
      </c>
      <c r="AF166" s="243" t="n">
        <f aca="false">INDEX(IRTable,MATCH(A166,IRMonth,0),4)</f>
        <v>0.0581638771987705</v>
      </c>
      <c r="AG166" s="243" t="n">
        <f aca="false">AF166+$AG$9</f>
        <v>0.0581638771987705</v>
      </c>
      <c r="AH166" s="195" t="n">
        <f aca="false">1/((1+AG166/2)^(2*((A166-Front!$C$2)/365.25)))</f>
        <v>1.88634176536865</v>
      </c>
      <c r="AI166" s="236" t="e">
        <f aca="false">IF($AA166="","",E166*AC166)</f>
        <v>#VALUE!</v>
      </c>
      <c r="AJ166" s="236" t="e">
        <f aca="false">IF($AA166="","",E166*AE166)</f>
        <v>#VALUE!</v>
      </c>
      <c r="AK166" s="237" t="e">
        <f aca="false">IF($AA166="","",C166*AC166)</f>
        <v>#VALUE!</v>
      </c>
      <c r="AL166" s="160" t="n">
        <f aca="false">(AO166/10000)/30.5</f>
        <v>0</v>
      </c>
      <c r="AM166" s="238" t="n">
        <f aca="false">AD166/10000</f>
        <v>0</v>
      </c>
      <c r="AN166" s="238" t="n">
        <f aca="false">AD166*DAY(EOMONTH(A166,0))/10000</f>
        <v>0</v>
      </c>
      <c r="AO166" s="238"/>
      <c r="AP166" s="238"/>
      <c r="AQ166" s="238"/>
      <c r="AR166" s="239"/>
      <c r="AS166" s="238"/>
      <c r="AT166" s="238"/>
      <c r="AU166" s="0"/>
      <c r="AV166" s="238"/>
      <c r="AW166" s="238"/>
      <c r="AX166" s="238"/>
      <c r="AY166" s="238"/>
      <c r="AZ166" s="238"/>
      <c r="BA166" s="241"/>
      <c r="BB166" s="242"/>
      <c r="BC166" s="243" t="n">
        <v>4.1775</v>
      </c>
      <c r="BD166" s="195" t="n">
        <f aca="false">BC166-E166</f>
        <v>-0.016</v>
      </c>
      <c r="BE166" s="251" t="n">
        <v>0</v>
      </c>
      <c r="BF166" s="245" t="n">
        <f aca="false">(BE166)*(D166*10)</f>
        <v>0</v>
      </c>
      <c r="BG166" s="121" t="n">
        <v>52.54520231</v>
      </c>
      <c r="BH166" s="121" t="n">
        <v>0</v>
      </c>
      <c r="BI166" s="247"/>
      <c r="BJ166" s="121"/>
      <c r="BK166" s="121"/>
      <c r="BL166" s="121"/>
      <c r="BM166" s="121"/>
      <c r="BN166" s="121"/>
      <c r="BO166" s="121"/>
      <c r="BP166" s="275" t="n">
        <v>41883</v>
      </c>
      <c r="BQ166" s="143" t="n">
        <v>4.0725</v>
      </c>
      <c r="BR166" s="143" t="n">
        <v>0.17</v>
      </c>
      <c r="BS166" s="143" t="n">
        <v>0.0581638771987705</v>
      </c>
      <c r="BT166" s="121"/>
    </row>
    <row r="167" customFormat="false" ht="15" hidden="false" customHeight="false" outlineLevel="0" collapsed="false">
      <c r="A167" s="156" t="n">
        <f aca="false">EOMONTH(A166,0)+1</f>
        <v>41913</v>
      </c>
      <c r="B167" s="215"/>
      <c r="C167" s="281" t="n">
        <v>4.1695</v>
      </c>
      <c r="D167" s="282" t="n">
        <f aca="false">(E167-C167)*1000</f>
        <v>16</v>
      </c>
      <c r="E167" s="283" t="n">
        <f aca="false">VLOOKUP(YEAR(A167),Yr_Sprds,2)+E155</f>
        <v>4.1855</v>
      </c>
      <c r="F167" s="287"/>
      <c r="G167" s="288"/>
      <c r="H167" s="287"/>
      <c r="I167" s="287"/>
      <c r="J167" s="279"/>
      <c r="K167" s="278"/>
      <c r="L167" s="291"/>
      <c r="M167" s="112"/>
      <c r="N167" s="278"/>
      <c r="O167" s="278"/>
      <c r="P167" s="278"/>
      <c r="Q167" s="167"/>
      <c r="R167" s="167"/>
      <c r="S167" s="167"/>
      <c r="T167" s="167"/>
      <c r="U167" s="167"/>
      <c r="V167" s="167"/>
      <c r="W167" s="167"/>
      <c r="X167" s="167"/>
      <c r="Y167" s="228" t="n">
        <f aca="false">DAY(EOMONTH(A167,0))</f>
        <v>31</v>
      </c>
      <c r="Z167" s="268" t="n">
        <v>41757</v>
      </c>
      <c r="AA167" s="230" t="e">
        <f aca="false">IF(AND(A167&gt;=Front!$E$11,A167&lt;=Front!$E$12),A167,"")</f>
        <v>#VALUE!</v>
      </c>
      <c r="AB167" s="231" t="e">
        <f aca="false">IF(AA167="","",VLOOKUP(MONTH(A166),Front!$W$6:$X$17,2)*IF(Front!D$9=0,Swap!Y167,1))</f>
        <v>#VALUE!</v>
      </c>
      <c r="AC167" s="274" t="e">
        <f aca="false">IF(AA167="","",AB167*AH167)</f>
        <v>#VALUE!</v>
      </c>
      <c r="AD167" s="233"/>
      <c r="AE167" s="231" t="e">
        <f aca="false">IF(AA167="","",AD167*AH167)</f>
        <v>#VALUE!</v>
      </c>
      <c r="AF167" s="243" t="n">
        <f aca="false">INDEX(IRTable,MATCH(A167,IRMonth,0),4)</f>
        <v>0.058228914685523</v>
      </c>
      <c r="AG167" s="243" t="n">
        <f aca="false">AF167+$AG$9</f>
        <v>0.058228914685523</v>
      </c>
      <c r="AH167" s="195" t="n">
        <f aca="false">1/((1+AG167/2)^(2*((A167-Front!$C$2)/365.25)))</f>
        <v>1.8787836441849</v>
      </c>
      <c r="AI167" s="236" t="e">
        <f aca="false">IF($AA167="","",E167*AC167)</f>
        <v>#VALUE!</v>
      </c>
      <c r="AJ167" s="236" t="e">
        <f aca="false">IF($AA167="","",E167*AE167)</f>
        <v>#VALUE!</v>
      </c>
      <c r="AK167" s="237" t="e">
        <f aca="false">IF($AA167="","",C167*AC167)</f>
        <v>#VALUE!</v>
      </c>
      <c r="AL167" s="160" t="n">
        <f aca="false">(AO167/10000)/30.5</f>
        <v>0</v>
      </c>
      <c r="AM167" s="238" t="n">
        <f aca="false">AD167/10000</f>
        <v>0</v>
      </c>
      <c r="AN167" s="238" t="n">
        <f aca="false">AD167*DAY(EOMONTH(A167,0))/10000</f>
        <v>0</v>
      </c>
      <c r="AO167" s="238"/>
      <c r="AP167" s="238"/>
      <c r="AQ167" s="238"/>
      <c r="AR167" s="239"/>
      <c r="AS167" s="238"/>
      <c r="AT167" s="238"/>
      <c r="AU167" s="238"/>
      <c r="AV167" s="238"/>
      <c r="AW167" s="238"/>
      <c r="AX167" s="238"/>
      <c r="AY167" s="238"/>
      <c r="AZ167" s="238"/>
      <c r="BA167" s="241"/>
      <c r="BB167" s="242"/>
      <c r="BC167" s="243" t="n">
        <v>4.1695</v>
      </c>
      <c r="BD167" s="195" t="n">
        <f aca="false">BC167-E167</f>
        <v>-0.016</v>
      </c>
      <c r="BE167" s="251" t="n">
        <v>0</v>
      </c>
      <c r="BF167" s="245" t="n">
        <f aca="false">(BE167)*(D167*10)</f>
        <v>0</v>
      </c>
      <c r="BG167" s="121" t="n">
        <v>57.33773388</v>
      </c>
      <c r="BH167" s="121" t="n">
        <v>0</v>
      </c>
      <c r="BI167" s="247"/>
      <c r="BJ167" s="121"/>
      <c r="BK167" s="121"/>
      <c r="BL167" s="121"/>
      <c r="BM167" s="121"/>
      <c r="BN167" s="121"/>
      <c r="BO167" s="121"/>
      <c r="BP167" s="275" t="n">
        <v>41913</v>
      </c>
      <c r="BQ167" s="143" t="n">
        <v>4.0945</v>
      </c>
      <c r="BR167" s="143" t="n">
        <v>0.17</v>
      </c>
      <c r="BS167" s="143" t="n">
        <v>0.058228914685523</v>
      </c>
      <c r="BT167" s="121"/>
    </row>
    <row r="168" customFormat="false" ht="15" hidden="false" customHeight="false" outlineLevel="0" collapsed="false">
      <c r="A168" s="156" t="n">
        <f aca="false">EOMONTH(A167,0)+1</f>
        <v>41944</v>
      </c>
      <c r="B168" s="215"/>
      <c r="C168" s="281" t="n">
        <v>4.3395</v>
      </c>
      <c r="D168" s="282" t="n">
        <f aca="false">(E168-C168)*1000</f>
        <v>16</v>
      </c>
      <c r="E168" s="283" t="n">
        <f aca="false">VLOOKUP(YEAR(A168),Yr_Sprds,2)+E156</f>
        <v>4.3555</v>
      </c>
      <c r="F168" s="287"/>
      <c r="G168" s="288"/>
      <c r="H168" s="287"/>
      <c r="I168" s="287"/>
      <c r="J168" s="279"/>
      <c r="K168" s="278"/>
      <c r="L168" s="291"/>
      <c r="M168" s="112"/>
      <c r="N168" s="278"/>
      <c r="O168" s="278"/>
      <c r="P168" s="278"/>
      <c r="Q168" s="167"/>
      <c r="R168" s="167"/>
      <c r="S168" s="167"/>
      <c r="T168" s="167"/>
      <c r="U168" s="167"/>
      <c r="V168" s="167"/>
      <c r="W168" s="167"/>
      <c r="X168" s="167"/>
      <c r="Y168" s="228" t="n">
        <f aca="false">DAY(EOMONTH(A168,0))</f>
        <v>30</v>
      </c>
      <c r="Z168" s="268" t="n">
        <v>41787</v>
      </c>
      <c r="AA168" s="230" t="e">
        <f aca="false">IF(AND(A168&gt;=Front!$E$11,A168&lt;=Front!$E$12),A168,"")</f>
        <v>#VALUE!</v>
      </c>
      <c r="AB168" s="231" t="e">
        <f aca="false">IF(AA168="","",VLOOKUP(MONTH(A167),Front!$W$6:$X$17,2)*IF(Front!D$9=0,Swap!Y168,1))</f>
        <v>#VALUE!</v>
      </c>
      <c r="AC168" s="274" t="e">
        <f aca="false">IF(AA168="","",AB168*AH168)</f>
        <v>#VALUE!</v>
      </c>
      <c r="AD168" s="233"/>
      <c r="AE168" s="231" t="e">
        <f aca="false">IF(AA168="","",AD168*AH168)</f>
        <v>#VALUE!</v>
      </c>
      <c r="AF168" s="243" t="n">
        <f aca="false">INDEX(IRTable,MATCH(A168,IRMonth,0),4)</f>
        <v>0.0582961200899788</v>
      </c>
      <c r="AG168" s="243" t="n">
        <f aca="false">AF168+$AG$9</f>
        <v>0.0582961200899788</v>
      </c>
      <c r="AH168" s="195" t="n">
        <f aca="false">1/((1+AG168/2)^(2*((A168-Front!$C$2)/365.25)))</f>
        <v>1.87098494995493</v>
      </c>
      <c r="AI168" s="236" t="e">
        <f aca="false">IF($AA168="","",E168*AC168)</f>
        <v>#VALUE!</v>
      </c>
      <c r="AJ168" s="236" t="e">
        <f aca="false">IF($AA168="","",E168*AE168)</f>
        <v>#VALUE!</v>
      </c>
      <c r="AK168" s="237" t="e">
        <f aca="false">IF($AA168="","",C168*AC168)</f>
        <v>#VALUE!</v>
      </c>
      <c r="AL168" s="160" t="n">
        <f aca="false">(AO168/10000)/30.5</f>
        <v>0</v>
      </c>
      <c r="AM168" s="238" t="n">
        <f aca="false">AD168/10000</f>
        <v>0</v>
      </c>
      <c r="AN168" s="238" t="n">
        <f aca="false">AD168*DAY(EOMONTH(A168,0))/10000</f>
        <v>0</v>
      </c>
      <c r="AO168" s="238"/>
      <c r="AP168" s="238"/>
      <c r="AQ168" s="238"/>
      <c r="AR168" s="239"/>
      <c r="AS168" s="238"/>
      <c r="AT168" s="238"/>
      <c r="AU168" s="238"/>
      <c r="AV168" s="238"/>
      <c r="AW168" s="238"/>
      <c r="AX168" s="238"/>
      <c r="AY168" s="238"/>
      <c r="AZ168" s="238"/>
      <c r="BA168" s="241"/>
      <c r="BB168" s="242"/>
      <c r="BC168" s="243" t="n">
        <v>4.3395</v>
      </c>
      <c r="BD168" s="195" t="n">
        <f aca="false">BC168-E168</f>
        <v>-0.016</v>
      </c>
      <c r="BE168" s="251" t="n">
        <v>0</v>
      </c>
      <c r="BF168" s="245" t="n">
        <f aca="false">(BE168)*(D168*10)</f>
        <v>0</v>
      </c>
      <c r="BG168" s="121" t="n">
        <v>56.08568949</v>
      </c>
      <c r="BH168" s="121" t="n">
        <v>0</v>
      </c>
      <c r="BI168" s="247"/>
      <c r="BJ168" s="121"/>
      <c r="BK168" s="121"/>
      <c r="BL168" s="121"/>
      <c r="BM168" s="121"/>
      <c r="BN168" s="121"/>
      <c r="BO168" s="121"/>
      <c r="BP168" s="275" t="n">
        <v>41944</v>
      </c>
      <c r="BQ168" s="143" t="n">
        <v>4.2645</v>
      </c>
      <c r="BR168" s="143" t="n">
        <v>0.17</v>
      </c>
      <c r="BS168" s="143" t="n">
        <v>0.0582961200899788</v>
      </c>
      <c r="BT168" s="121"/>
    </row>
    <row r="169" customFormat="false" ht="15" hidden="false" customHeight="false" outlineLevel="0" collapsed="false">
      <c r="A169" s="156" t="n">
        <f aca="false">EOMONTH(A168,0)+1</f>
        <v>41974</v>
      </c>
      <c r="B169" s="215"/>
      <c r="C169" s="281" t="n">
        <v>4.5145</v>
      </c>
      <c r="D169" s="282" t="n">
        <f aca="false">(E169-C169)*1000</f>
        <v>16</v>
      </c>
      <c r="E169" s="283" t="n">
        <f aca="false">VLOOKUP(YEAR(A169),Yr_Sprds,2)+E157</f>
        <v>4.5305</v>
      </c>
      <c r="F169" s="287"/>
      <c r="G169" s="288"/>
      <c r="H169" s="287"/>
      <c r="I169" s="287"/>
      <c r="J169" s="279"/>
      <c r="K169" s="278"/>
      <c r="L169" s="291"/>
      <c r="M169" s="112"/>
      <c r="N169" s="278"/>
      <c r="O169" s="278"/>
      <c r="P169" s="278"/>
      <c r="Q169" s="167"/>
      <c r="R169" s="167"/>
      <c r="S169" s="167"/>
      <c r="T169" s="167"/>
      <c r="U169" s="167"/>
      <c r="V169" s="167"/>
      <c r="W169" s="167"/>
      <c r="X169" s="167"/>
      <c r="Y169" s="228" t="n">
        <f aca="false">DAY(EOMONTH(A169,0))</f>
        <v>31</v>
      </c>
      <c r="Z169" s="268" t="n">
        <v>41816</v>
      </c>
      <c r="AA169" s="230" t="e">
        <f aca="false">IF(AND(A169&gt;=Front!$E$11,A169&lt;=Front!$E$12),A169,"")</f>
        <v>#VALUE!</v>
      </c>
      <c r="AB169" s="231" t="e">
        <f aca="false">IF(AA169="","",VLOOKUP(MONTH(A168),Front!$W$6:$X$17,2)*IF(Front!D$9=0,Swap!Y169,1))</f>
        <v>#VALUE!</v>
      </c>
      <c r="AC169" s="274" t="e">
        <f aca="false">IF(AA169="","",AB169*AH169)</f>
        <v>#VALUE!</v>
      </c>
      <c r="AD169" s="233"/>
      <c r="AE169" s="231" t="e">
        <f aca="false">IF(AA169="","",AD169*AH169)</f>
        <v>#VALUE!</v>
      </c>
      <c r="AF169" s="243" t="n">
        <f aca="false">INDEX(IRTable,MATCH(A169,IRMonth,0),4)</f>
        <v>0.0583611575795922</v>
      </c>
      <c r="AG169" s="243" t="n">
        <f aca="false">AF169+$AG$9</f>
        <v>0.0583611575795922</v>
      </c>
      <c r="AH169" s="195" t="n">
        <f aca="false">1/((1+AG169/2)^(2*((A169-Front!$C$2)/365.25)))</f>
        <v>1.86344894161</v>
      </c>
      <c r="AI169" s="236" t="e">
        <f aca="false">IF($AA169="","",E169*AC169)</f>
        <v>#VALUE!</v>
      </c>
      <c r="AJ169" s="236" t="e">
        <f aca="false">IF($AA169="","",E169*AE169)</f>
        <v>#VALUE!</v>
      </c>
      <c r="AK169" s="237" t="e">
        <f aca="false">IF($AA169="","",C169*AC169)</f>
        <v>#VALUE!</v>
      </c>
      <c r="AL169" s="160" t="n">
        <f aca="false">(AO169/10000)/30.5</f>
        <v>0</v>
      </c>
      <c r="AM169" s="238" t="n">
        <f aca="false">AD169/10000</f>
        <v>0</v>
      </c>
      <c r="AN169" s="238" t="n">
        <f aca="false">AD169*DAY(EOMONTH(A169,0))/10000</f>
        <v>0</v>
      </c>
      <c r="AO169" s="238"/>
      <c r="AP169" s="238"/>
      <c r="AQ169" s="238"/>
      <c r="AR169" s="239"/>
      <c r="AS169" s="238"/>
      <c r="AT169" s="238"/>
      <c r="AU169" s="238"/>
      <c r="AV169" s="238"/>
      <c r="AW169" s="238"/>
      <c r="AX169" s="238"/>
      <c r="AY169" s="238"/>
      <c r="AZ169" s="238"/>
      <c r="BA169" s="241"/>
      <c r="BB169" s="242"/>
      <c r="BC169" s="243" t="n">
        <v>4.5145</v>
      </c>
      <c r="BD169" s="195" t="n">
        <f aca="false">BC169-E169</f>
        <v>-0.016</v>
      </c>
      <c r="BE169" s="251" t="n">
        <v>0</v>
      </c>
      <c r="BF169" s="245" t="n">
        <f aca="false">(BE169)*(D169*10)</f>
        <v>0</v>
      </c>
      <c r="BG169" s="121" t="n">
        <v>53.98237132</v>
      </c>
      <c r="BH169" s="121" t="n">
        <v>0</v>
      </c>
      <c r="BI169" s="247"/>
      <c r="BJ169" s="121"/>
      <c r="BK169" s="121"/>
      <c r="BL169" s="121"/>
      <c r="BM169" s="121"/>
      <c r="BN169" s="121"/>
      <c r="BO169" s="121"/>
      <c r="BP169" s="275" t="n">
        <v>41974</v>
      </c>
      <c r="BQ169" s="143" t="n">
        <v>4.4395</v>
      </c>
      <c r="BR169" s="143" t="n">
        <v>0.17</v>
      </c>
      <c r="BS169" s="143" t="n">
        <v>0.0583611575795922</v>
      </c>
      <c r="BT169" s="121"/>
    </row>
    <row r="170" customFormat="false" ht="15" hidden="false" customHeight="false" outlineLevel="0" collapsed="false">
      <c r="A170" s="156" t="n">
        <f aca="false">EOMONTH(A169,0)+1</f>
        <v>42005</v>
      </c>
      <c r="B170" s="215"/>
      <c r="C170" s="281" t="n">
        <v>4.5695</v>
      </c>
      <c r="D170" s="282" t="n">
        <f aca="false">(E170-C170)*1000</f>
        <v>18.4999999999995</v>
      </c>
      <c r="E170" s="283" t="n">
        <f aca="false">VLOOKUP(YEAR(A170),Yr_Sprds,2)+E158</f>
        <v>4.588</v>
      </c>
      <c r="F170" s="287"/>
      <c r="G170" s="288"/>
      <c r="H170" s="287"/>
      <c r="I170" s="287"/>
      <c r="J170" s="279"/>
      <c r="K170" s="278"/>
      <c r="L170" s="291"/>
      <c r="M170" s="112"/>
      <c r="N170" s="278"/>
      <c r="O170" s="278"/>
      <c r="P170" s="278"/>
      <c r="Q170" s="167"/>
      <c r="R170" s="167"/>
      <c r="S170" s="167"/>
      <c r="T170" s="167"/>
      <c r="U170" s="167"/>
      <c r="V170" s="167"/>
      <c r="W170" s="167"/>
      <c r="X170" s="167"/>
      <c r="Y170" s="228" t="n">
        <f aca="false">DAY(EOMONTH(A170,0))</f>
        <v>31</v>
      </c>
      <c r="Z170" s="268" t="n">
        <v>41849</v>
      </c>
      <c r="AA170" s="230" t="e">
        <f aca="false">IF(AND(A170&gt;=Front!$E$11,A170&lt;=Front!$E$12),A170,"")</f>
        <v>#VALUE!</v>
      </c>
      <c r="AB170" s="231" t="e">
        <f aca="false">IF(AA170="","",VLOOKUP(MONTH(A169),Front!$W$6:$X$17,2)*IF(Front!D$9=0,Swap!Y170,1))</f>
        <v>#VALUE!</v>
      </c>
      <c r="AC170" s="274" t="e">
        <f aca="false">IF(AA170="","",AB170*AH170)</f>
        <v>#VALUE!</v>
      </c>
      <c r="AD170" s="233"/>
      <c r="AE170" s="231" t="e">
        <f aca="false">IF(AA170="","",AD170*AH170)</f>
        <v>#VALUE!</v>
      </c>
      <c r="AF170" s="243" t="n">
        <f aca="false">INDEX(IRTable,MATCH(A170,IRMonth,0),4)</f>
        <v>0.0584283629870033</v>
      </c>
      <c r="AG170" s="243" t="n">
        <f aca="false">AF170+$AG$9</f>
        <v>0.0584283629870033</v>
      </c>
      <c r="AH170" s="195" t="n">
        <f aca="false">1/((1+AG170/2)^(2*((A170-Front!$C$2)/365.25)))</f>
        <v>1.85567334032136</v>
      </c>
      <c r="AI170" s="236" t="e">
        <f aca="false">IF($AA170="","",E170*AC170)</f>
        <v>#VALUE!</v>
      </c>
      <c r="AJ170" s="236" t="e">
        <f aca="false">IF($AA170="","",E170*AE170)</f>
        <v>#VALUE!</v>
      </c>
      <c r="AK170" s="237" t="e">
        <f aca="false">IF($AA170="","",C170*AC170)</f>
        <v>#VALUE!</v>
      </c>
      <c r="AL170" s="160" t="n">
        <f aca="false">(AO170/10000)/30.5</f>
        <v>0</v>
      </c>
      <c r="AM170" s="238" t="n">
        <f aca="false">AD170/10000</f>
        <v>0</v>
      </c>
      <c r="AN170" s="238" t="n">
        <f aca="false">AD170*DAY(EOMONTH(A170,0))/10000</f>
        <v>0</v>
      </c>
      <c r="AO170" s="238"/>
      <c r="AP170" s="238"/>
      <c r="AQ170" s="238"/>
      <c r="AR170" s="239"/>
      <c r="AS170" s="238"/>
      <c r="AT170" s="238"/>
      <c r="AU170" s="238"/>
      <c r="AV170" s="238"/>
      <c r="AW170" s="238"/>
      <c r="AX170" s="238"/>
      <c r="AY170" s="238"/>
      <c r="AZ170" s="238"/>
      <c r="BA170" s="241"/>
      <c r="BB170" s="242"/>
      <c r="BC170" s="243" t="n">
        <v>4.5695</v>
      </c>
      <c r="BD170" s="195" t="n">
        <f aca="false">BC170-E170</f>
        <v>-0.0184999999999995</v>
      </c>
      <c r="BE170" s="251" t="n">
        <v>0</v>
      </c>
      <c r="BF170" s="245" t="n">
        <f aca="false">(BE170)*(D170*10)</f>
        <v>0</v>
      </c>
      <c r="BG170" s="121" t="n">
        <v>51.85156922</v>
      </c>
      <c r="BH170" s="121" t="n">
        <v>0</v>
      </c>
      <c r="BI170" s="247"/>
      <c r="BJ170" s="121"/>
      <c r="BK170" s="121"/>
      <c r="BL170" s="121"/>
      <c r="BM170" s="121"/>
      <c r="BN170" s="121"/>
      <c r="BO170" s="121"/>
      <c r="BP170" s="275" t="n">
        <v>42005</v>
      </c>
      <c r="BQ170" s="143" t="n">
        <v>4.462</v>
      </c>
      <c r="BR170" s="143" t="n">
        <v>0.17</v>
      </c>
      <c r="BS170" s="143" t="n">
        <v>0.0584283629870033</v>
      </c>
      <c r="BT170" s="121"/>
    </row>
    <row r="171" customFormat="false" ht="15" hidden="false" customHeight="false" outlineLevel="0" collapsed="false">
      <c r="A171" s="156" t="n">
        <f aca="false">EOMONTH(A170,0)+1</f>
        <v>42036</v>
      </c>
      <c r="B171" s="215"/>
      <c r="C171" s="281" t="n">
        <v>4.4555</v>
      </c>
      <c r="D171" s="282" t="n">
        <f aca="false">(E171-C171)*1000</f>
        <v>18.5000000000004</v>
      </c>
      <c r="E171" s="283" t="n">
        <f aca="false">VLOOKUP(YEAR(A171),Yr_Sprds,2)+E159</f>
        <v>4.474</v>
      </c>
      <c r="F171" s="287"/>
      <c r="G171" s="288"/>
      <c r="H171" s="287"/>
      <c r="I171" s="287"/>
      <c r="J171" s="279"/>
      <c r="K171" s="278"/>
      <c r="L171" s="291"/>
      <c r="M171" s="112"/>
      <c r="N171" s="278"/>
      <c r="O171" s="278"/>
      <c r="P171" s="278"/>
      <c r="Q171" s="167"/>
      <c r="R171" s="167"/>
      <c r="S171" s="167"/>
      <c r="T171" s="167"/>
      <c r="U171" s="167"/>
      <c r="V171" s="167"/>
      <c r="W171" s="167"/>
      <c r="X171" s="167"/>
      <c r="Y171" s="228" t="n">
        <f aca="false">DAY(EOMONTH(A171,0))</f>
        <v>28</v>
      </c>
      <c r="Z171" s="268" t="n">
        <v>41878</v>
      </c>
      <c r="AA171" s="230" t="e">
        <f aca="false">IF(AND(A171&gt;=Front!$E$11,A171&lt;=Front!$E$12),A171,"")</f>
        <v>#VALUE!</v>
      </c>
      <c r="AB171" s="231" t="e">
        <f aca="false">IF(AA171="","",VLOOKUP(MONTH(A170),Front!$W$6:$X$17,2)*IF(Front!D$9=0,Swap!Y171,1))</f>
        <v>#VALUE!</v>
      </c>
      <c r="AC171" s="274" t="e">
        <f aca="false">IF(AA171="","",AB171*AH171)</f>
        <v>#VALUE!</v>
      </c>
      <c r="AD171" s="233"/>
      <c r="AE171" s="231" t="e">
        <f aca="false">IF(AA171="","",AD171*AH171)</f>
        <v>#VALUE!</v>
      </c>
      <c r="AF171" s="243" t="n">
        <f aca="false">INDEX(IRTable,MATCH(A171,IRMonth,0),4)</f>
        <v>0.0584955683959163</v>
      </c>
      <c r="AG171" s="243" t="n">
        <f aca="false">AF171+$AG$9</f>
        <v>0.0584955683959163</v>
      </c>
      <c r="AH171" s="195" t="n">
        <f aca="false">1/((1+AG171/2)^(2*((A171-Front!$C$2)/365.25)))</f>
        <v>1.84790965946559</v>
      </c>
      <c r="AI171" s="236" t="e">
        <f aca="false">IF($AA171="","",E171*AC171)</f>
        <v>#VALUE!</v>
      </c>
      <c r="AJ171" s="236" t="e">
        <f aca="false">IF($AA171="","",E171*AE171)</f>
        <v>#VALUE!</v>
      </c>
      <c r="AK171" s="237" t="e">
        <f aca="false">IF($AA171="","",C171*AC171)</f>
        <v>#VALUE!</v>
      </c>
      <c r="AL171" s="160" t="n">
        <f aca="false">(AO171/10000)/30.5</f>
        <v>0</v>
      </c>
      <c r="AM171" s="238" t="n">
        <f aca="false">AD171/10000</f>
        <v>0</v>
      </c>
      <c r="AN171" s="238" t="n">
        <f aca="false">AD171*DAY(EOMONTH(A171,0))/10000</f>
        <v>0</v>
      </c>
      <c r="AO171" s="238"/>
      <c r="AP171" s="238"/>
      <c r="AQ171" s="238"/>
      <c r="AR171" s="239"/>
      <c r="AS171" s="238"/>
      <c r="AT171" s="238"/>
      <c r="AU171" s="238"/>
      <c r="AV171" s="238"/>
      <c r="AW171" s="238"/>
      <c r="AX171" s="238"/>
      <c r="AY171" s="238"/>
      <c r="AZ171" s="238"/>
      <c r="BA171" s="241"/>
      <c r="BB171" s="242"/>
      <c r="BC171" s="243" t="n">
        <v>4.4555</v>
      </c>
      <c r="BD171" s="195" t="n">
        <f aca="false">BC171-E171</f>
        <v>-0.0185000000000004</v>
      </c>
      <c r="BE171" s="251" t="n">
        <v>0</v>
      </c>
      <c r="BF171" s="245" t="n">
        <f aca="false">(BE171)*(D171*10)</f>
        <v>0</v>
      </c>
      <c r="BG171" s="121" t="n">
        <v>53.29065794</v>
      </c>
      <c r="BH171" s="121" t="n">
        <v>0</v>
      </c>
      <c r="BI171" s="247"/>
      <c r="BJ171" s="121"/>
      <c r="BK171" s="121"/>
      <c r="BL171" s="121"/>
      <c r="BM171" s="121"/>
      <c r="BN171" s="121"/>
      <c r="BO171" s="121"/>
      <c r="BP171" s="275" t="n">
        <v>42036</v>
      </c>
      <c r="BQ171" s="143" t="n">
        <v>4.348</v>
      </c>
      <c r="BR171" s="143" t="n">
        <v>0.17</v>
      </c>
      <c r="BS171" s="143" t="n">
        <v>0.0584955683959163</v>
      </c>
      <c r="BT171" s="121"/>
    </row>
    <row r="172" customFormat="false" ht="15" hidden="false" customHeight="false" outlineLevel="0" collapsed="false">
      <c r="A172" s="156" t="n">
        <f aca="false">EOMONTH(A171,0)+1</f>
        <v>42064</v>
      </c>
      <c r="B172" s="215"/>
      <c r="C172" s="281" t="n">
        <v>4.3235</v>
      </c>
      <c r="D172" s="282" t="n">
        <f aca="false">(E172-C172)*1000</f>
        <v>18.4999999999995</v>
      </c>
      <c r="E172" s="283" t="n">
        <f aca="false">VLOOKUP(YEAR(A172),Yr_Sprds,2)+E160</f>
        <v>4.342</v>
      </c>
      <c r="F172" s="287"/>
      <c r="G172" s="288"/>
      <c r="H172" s="287"/>
      <c r="I172" s="287"/>
      <c r="J172" s="279"/>
      <c r="K172" s="278"/>
      <c r="L172" s="291"/>
      <c r="M172" s="112"/>
      <c r="N172" s="278"/>
      <c r="O172" s="278"/>
      <c r="P172" s="278"/>
      <c r="Q172" s="167"/>
      <c r="R172" s="167"/>
      <c r="S172" s="167"/>
      <c r="T172" s="167"/>
      <c r="U172" s="167"/>
      <c r="V172" s="167"/>
      <c r="W172" s="167"/>
      <c r="X172" s="167"/>
      <c r="Y172" s="228" t="n">
        <f aca="false">DAY(EOMONTH(A172,0))</f>
        <v>31</v>
      </c>
      <c r="Z172" s="268" t="n">
        <v>41908</v>
      </c>
      <c r="AA172" s="230" t="e">
        <f aca="false">IF(AND(A172&gt;=Front!$E$11,A172&lt;=Front!$E$12),A172,"")</f>
        <v>#VALUE!</v>
      </c>
      <c r="AB172" s="231" t="e">
        <f aca="false">IF(AA172="","",VLOOKUP(MONTH(A171),Front!$W$6:$X$17,2)*IF(Front!D$9=0,Swap!Y172,1))</f>
        <v>#VALUE!</v>
      </c>
      <c r="AC172" s="274" t="e">
        <f aca="false">IF(AA172="","",AB172*AH172)</f>
        <v>#VALUE!</v>
      </c>
      <c r="AD172" s="233"/>
      <c r="AE172" s="231" t="e">
        <f aca="false">IF(AA172="","",AD172*AH172)</f>
        <v>#VALUE!</v>
      </c>
      <c r="AF172" s="243" t="n">
        <f aca="false">INDEX(IRTable,MATCH(A172,IRMonth,0),4)</f>
        <v>0.0585562700568705</v>
      </c>
      <c r="AG172" s="243" t="n">
        <f aca="false">AF172+$AG$9</f>
        <v>0.0585562700568705</v>
      </c>
      <c r="AH172" s="195" t="n">
        <f aca="false">1/((1+AG172/2)^(2*((A172-Front!$C$2)/365.25)))</f>
        <v>1.84090765094967</v>
      </c>
      <c r="AI172" s="236" t="e">
        <f aca="false">IF($AA172="","",E172*AC172)</f>
        <v>#VALUE!</v>
      </c>
      <c r="AJ172" s="236" t="e">
        <f aca="false">IF($AA172="","",E172*AE172)</f>
        <v>#VALUE!</v>
      </c>
      <c r="AK172" s="237" t="e">
        <f aca="false">IF($AA172="","",C172*AC172)</f>
        <v>#VALUE!</v>
      </c>
      <c r="AL172" s="160" t="n">
        <f aca="false">(AO172/10000)/30.5</f>
        <v>0</v>
      </c>
      <c r="AM172" s="238" t="n">
        <f aca="false">AD172/10000</f>
        <v>0</v>
      </c>
      <c r="AN172" s="238" t="n">
        <f aca="false">AD172*DAY(EOMONTH(A172,0))/10000</f>
        <v>0</v>
      </c>
      <c r="AO172" s="238"/>
      <c r="AP172" s="238"/>
      <c r="AQ172" s="238"/>
      <c r="AR172" s="239"/>
      <c r="AS172" s="238"/>
      <c r="AT172" s="238"/>
      <c r="AU172" s="238"/>
      <c r="AV172" s="238"/>
      <c r="AW172" s="238"/>
      <c r="AX172" s="238"/>
      <c r="AY172" s="238"/>
      <c r="AZ172" s="238"/>
      <c r="BA172" s="241"/>
      <c r="BB172" s="242"/>
      <c r="BC172" s="243" t="n">
        <v>4.3235</v>
      </c>
      <c r="BD172" s="195" t="n">
        <f aca="false">BC172-E172</f>
        <v>-0.0184999999999995</v>
      </c>
      <c r="BE172" s="251" t="n">
        <v>0</v>
      </c>
      <c r="BF172" s="245" t="n">
        <f aca="false">(BE172)*(D172*10)</f>
        <v>0</v>
      </c>
      <c r="BG172" s="121" t="n">
        <v>53.34653267</v>
      </c>
      <c r="BH172" s="121" t="n">
        <v>0</v>
      </c>
      <c r="BI172" s="247"/>
      <c r="BJ172" s="121"/>
      <c r="BK172" s="121"/>
      <c r="BL172" s="121"/>
      <c r="BM172" s="121"/>
      <c r="BN172" s="121"/>
      <c r="BO172" s="121"/>
      <c r="BP172" s="275" t="n">
        <v>42064</v>
      </c>
      <c r="BQ172" s="143" t="n">
        <v>4.216</v>
      </c>
      <c r="BR172" s="143" t="n">
        <v>0.17</v>
      </c>
      <c r="BS172" s="143" t="n">
        <v>0.0585562700568705</v>
      </c>
      <c r="BT172" s="121"/>
    </row>
    <row r="173" customFormat="false" ht="15" hidden="false" customHeight="false" outlineLevel="0" collapsed="false">
      <c r="A173" s="156" t="n">
        <f aca="false">EOMONTH(A172,0)+1</f>
        <v>42095</v>
      </c>
      <c r="B173" s="215"/>
      <c r="C173" s="281" t="n">
        <v>4.1535</v>
      </c>
      <c r="D173" s="282" t="n">
        <f aca="false">(E173-C173)*1000</f>
        <v>18.4999999999995</v>
      </c>
      <c r="E173" s="283" t="n">
        <f aca="false">VLOOKUP(YEAR(A173),Yr_Sprds,2)+E161</f>
        <v>4.172</v>
      </c>
      <c r="F173" s="287"/>
      <c r="G173" s="288"/>
      <c r="H173" s="287"/>
      <c r="I173" s="287"/>
      <c r="J173" s="279"/>
      <c r="K173" s="278"/>
      <c r="L173" s="291"/>
      <c r="M173" s="112"/>
      <c r="N173" s="278"/>
      <c r="O173" s="278"/>
      <c r="P173" s="278"/>
      <c r="Q173" s="167"/>
      <c r="R173" s="167"/>
      <c r="S173" s="167"/>
      <c r="T173" s="167"/>
      <c r="U173" s="167"/>
      <c r="V173" s="167"/>
      <c r="W173" s="167"/>
      <c r="X173" s="167"/>
      <c r="Y173" s="228" t="n">
        <f aca="false">DAY(EOMONTH(A173,0))</f>
        <v>30</v>
      </c>
      <c r="Z173" s="268" t="n">
        <v>41941</v>
      </c>
      <c r="AA173" s="230" t="e">
        <f aca="false">IF(AND(A173&gt;=Front!$E$11,A173&lt;=Front!$E$12),A173,"")</f>
        <v>#VALUE!</v>
      </c>
      <c r="AB173" s="231" t="e">
        <f aca="false">IF(AA173="","",VLOOKUP(MONTH(A172),Front!$W$6:$X$17,2)*IF(Front!D$9=0,Swap!Y173,1))</f>
        <v>#VALUE!</v>
      </c>
      <c r="AC173" s="274" t="e">
        <f aca="false">IF(AA173="","",AB173*AH173)</f>
        <v>#VALUE!</v>
      </c>
      <c r="AD173" s="233"/>
      <c r="AE173" s="231" t="e">
        <f aca="false">IF(AA173="","",AD173*AH173)</f>
        <v>#VALUE!</v>
      </c>
      <c r="AF173" s="243" t="n">
        <f aca="false">INDEX(IRTable,MATCH(A173,IRMonth,0),4)</f>
        <v>0.0586234754686417</v>
      </c>
      <c r="AG173" s="243" t="n">
        <f aca="false">AF173+$AG$9</f>
        <v>0.0586234754686417</v>
      </c>
      <c r="AH173" s="195" t="n">
        <f aca="false">1/((1+AG173/2)^(2*((A173-Front!$C$2)/365.25)))</f>
        <v>1.83316699704621</v>
      </c>
      <c r="AI173" s="236" t="e">
        <f aca="false">IF($AA173="","",E173*AC173)</f>
        <v>#VALUE!</v>
      </c>
      <c r="AJ173" s="236" t="e">
        <f aca="false">IF($AA173="","",E173*AE173)</f>
        <v>#VALUE!</v>
      </c>
      <c r="AK173" s="237" t="e">
        <f aca="false">IF($AA173="","",C173*AC173)</f>
        <v>#VALUE!</v>
      </c>
      <c r="AL173" s="160" t="n">
        <f aca="false">(AO173/10000)/30.5</f>
        <v>0</v>
      </c>
      <c r="AM173" s="238" t="n">
        <f aca="false">AD173/10000</f>
        <v>0</v>
      </c>
      <c r="AN173" s="238" t="n">
        <f aca="false">AD173*DAY(EOMONTH(A173,0))/10000</f>
        <v>0</v>
      </c>
      <c r="AO173" s="238"/>
      <c r="AP173" s="238"/>
      <c r="AQ173" s="238"/>
      <c r="AR173" s="239"/>
      <c r="AS173" s="238"/>
      <c r="AT173" s="238"/>
      <c r="AU173" s="238"/>
      <c r="AV173" s="238"/>
      <c r="AW173" s="238"/>
      <c r="AX173" s="238"/>
      <c r="AY173" s="238"/>
      <c r="AZ173" s="238"/>
      <c r="BA173" s="241"/>
      <c r="BB173" s="242"/>
      <c r="BC173" s="243" t="n">
        <v>4.1535</v>
      </c>
      <c r="BD173" s="195" t="n">
        <f aca="false">BC173-E173</f>
        <v>-0.0184999999999995</v>
      </c>
      <c r="BE173" s="251" t="n">
        <v>0</v>
      </c>
      <c r="BF173" s="245" t="n">
        <f aca="false">(BE173)*(D173*10)</f>
        <v>0</v>
      </c>
      <c r="BG173" s="121" t="n">
        <v>51.40278594</v>
      </c>
      <c r="BH173" s="121" t="n">
        <v>0</v>
      </c>
      <c r="BI173" s="247"/>
      <c r="BJ173" s="121"/>
      <c r="BK173" s="121"/>
      <c r="BL173" s="121"/>
      <c r="BM173" s="121"/>
      <c r="BN173" s="121"/>
      <c r="BO173" s="121"/>
      <c r="BP173" s="275" t="n">
        <v>42095</v>
      </c>
      <c r="BQ173" s="143" t="n">
        <v>4.046</v>
      </c>
      <c r="BR173" s="143" t="n">
        <v>0.17</v>
      </c>
      <c r="BS173" s="143" t="n">
        <v>0.0586234754686417</v>
      </c>
      <c r="BT173" s="121"/>
    </row>
    <row r="174" customFormat="false" ht="15" hidden="false" customHeight="false" outlineLevel="0" collapsed="false">
      <c r="A174" s="156" t="n">
        <f aca="false">EOMONTH(A173,0)+1</f>
        <v>42125</v>
      </c>
      <c r="B174" s="215"/>
      <c r="C174" s="281" t="n">
        <v>4.1535</v>
      </c>
      <c r="D174" s="282" t="n">
        <f aca="false">(E174-C174)*1000</f>
        <v>18.4999999999995</v>
      </c>
      <c r="E174" s="283" t="n">
        <f aca="false">VLOOKUP(YEAR(A174),Yr_Sprds,2)+E162</f>
        <v>4.172</v>
      </c>
      <c r="F174" s="287"/>
      <c r="G174" s="288"/>
      <c r="H174" s="287"/>
      <c r="I174" s="287"/>
      <c r="J174" s="279"/>
      <c r="K174" s="278"/>
      <c r="L174" s="291"/>
      <c r="M174" s="112"/>
      <c r="N174" s="278"/>
      <c r="O174" s="278"/>
      <c r="P174" s="278"/>
      <c r="Q174" s="167"/>
      <c r="R174" s="167"/>
      <c r="S174" s="167"/>
      <c r="T174" s="167"/>
      <c r="U174" s="167"/>
      <c r="V174" s="167"/>
      <c r="W174" s="167"/>
      <c r="X174" s="167"/>
      <c r="Y174" s="228" t="n">
        <f aca="false">DAY(EOMONTH(A174,0))</f>
        <v>31</v>
      </c>
      <c r="Z174" s="268" t="n">
        <v>41968</v>
      </c>
      <c r="AA174" s="230" t="e">
        <f aca="false">IF(AND(A174&gt;=Front!$E$11,A174&lt;=Front!$E$12),A174,"")</f>
        <v>#VALUE!</v>
      </c>
      <c r="AB174" s="231" t="e">
        <f aca="false">IF(AA174="","",VLOOKUP(MONTH(A173),Front!$W$6:$X$17,2)*IF(Front!D$9=0,Swap!Y174,1))</f>
        <v>#VALUE!</v>
      </c>
      <c r="AC174" s="274" t="e">
        <f aca="false">IF(AA174="","",AB174*AH174)</f>
        <v>#VALUE!</v>
      </c>
      <c r="AD174" s="233"/>
      <c r="AE174" s="231" t="e">
        <f aca="false">IF(AA174="","",AD174*AH174)</f>
        <v>#VALUE!</v>
      </c>
      <c r="AF174" s="243" t="n">
        <f aca="false">INDEX(IRTable,MATCH(A174,IRMonth,0),4)</f>
        <v>0.0586885129653338</v>
      </c>
      <c r="AG174" s="243" t="n">
        <f aca="false">AF174+$AG$9</f>
        <v>0.0586885129653338</v>
      </c>
      <c r="AH174" s="195" t="n">
        <f aca="false">1/((1+AG174/2)^(2*((A174-Front!$C$2)/365.25)))</f>
        <v>1.82568772844927</v>
      </c>
      <c r="AI174" s="236" t="e">
        <f aca="false">IF($AA174="","",E174*AC174)</f>
        <v>#VALUE!</v>
      </c>
      <c r="AJ174" s="236" t="e">
        <f aca="false">IF($AA174="","",E174*AE174)</f>
        <v>#VALUE!</v>
      </c>
      <c r="AK174" s="237" t="e">
        <f aca="false">IF($AA174="","",C174*AC174)</f>
        <v>#VALUE!</v>
      </c>
      <c r="AL174" s="160" t="n">
        <f aca="false">(AO174/10000)/30.5</f>
        <v>0</v>
      </c>
      <c r="AM174" s="238" t="n">
        <f aca="false">AD174/10000</f>
        <v>0</v>
      </c>
      <c r="AN174" s="238" t="n">
        <f aca="false">AD174*DAY(EOMONTH(A174,0))/10000</f>
        <v>0</v>
      </c>
      <c r="AO174" s="238"/>
      <c r="AP174" s="238"/>
      <c r="AQ174" s="238"/>
      <c r="AR174" s="239"/>
      <c r="AS174" s="238"/>
      <c r="AT174" s="238"/>
      <c r="AU174" s="238"/>
      <c r="AV174" s="238"/>
      <c r="AW174" s="238"/>
      <c r="AX174" s="238"/>
      <c r="AY174" s="238"/>
      <c r="AZ174" s="238"/>
      <c r="BA174" s="241"/>
      <c r="BB174" s="242"/>
      <c r="BC174" s="243" t="n">
        <v>4.1535</v>
      </c>
      <c r="BD174" s="195" t="n">
        <f aca="false">BC174-E174</f>
        <v>-0.0184999999999995</v>
      </c>
      <c r="BE174" s="251" t="n">
        <v>0</v>
      </c>
      <c r="BF174" s="245" t="n">
        <f aca="false">(BE174)*(D174*10)</f>
        <v>0</v>
      </c>
      <c r="BG174" s="121" t="n">
        <v>52.11497227</v>
      </c>
      <c r="BH174" s="121" t="n">
        <v>0</v>
      </c>
      <c r="BI174" s="247"/>
      <c r="BJ174" s="121"/>
      <c r="BK174" s="121"/>
      <c r="BL174" s="121"/>
      <c r="BM174" s="121"/>
      <c r="BN174" s="121"/>
      <c r="BO174" s="121"/>
      <c r="BP174" s="275" t="n">
        <v>42125</v>
      </c>
      <c r="BQ174" s="143" t="n">
        <v>4.046</v>
      </c>
      <c r="BR174" s="143" t="n">
        <v>0.17</v>
      </c>
      <c r="BS174" s="143" t="n">
        <v>0.0586885129653338</v>
      </c>
      <c r="BT174" s="121"/>
    </row>
    <row r="175" customFormat="false" ht="15" hidden="false" customHeight="false" outlineLevel="0" collapsed="false">
      <c r="A175" s="156" t="n">
        <f aca="false">EOMONTH(A174,0)+1</f>
        <v>42156</v>
      </c>
      <c r="B175" s="215"/>
      <c r="C175" s="281" t="n">
        <v>4.1855</v>
      </c>
      <c r="D175" s="282" t="n">
        <f aca="false">(E175-C175)*1000</f>
        <v>18.4999999999995</v>
      </c>
      <c r="E175" s="283" t="n">
        <f aca="false">VLOOKUP(YEAR(A175),Yr_Sprds,2)+E163</f>
        <v>4.204</v>
      </c>
      <c r="F175" s="287"/>
      <c r="G175" s="288"/>
      <c r="H175" s="287"/>
      <c r="I175" s="287"/>
      <c r="J175" s="279"/>
      <c r="K175" s="278"/>
      <c r="L175" s="291"/>
      <c r="M175" s="112"/>
      <c r="N175" s="278"/>
      <c r="O175" s="278"/>
      <c r="P175" s="278"/>
      <c r="Q175" s="167"/>
      <c r="R175" s="167"/>
      <c r="S175" s="167"/>
      <c r="T175" s="167"/>
      <c r="U175" s="167"/>
      <c r="V175" s="167"/>
      <c r="W175" s="167"/>
      <c r="X175" s="167"/>
      <c r="Y175" s="228" t="n">
        <f aca="false">DAY(EOMONTH(A175,0))</f>
        <v>30</v>
      </c>
      <c r="Z175" s="268" t="n">
        <v>42002</v>
      </c>
      <c r="AA175" s="230" t="e">
        <f aca="false">IF(AND(A175&gt;=Front!$E$11,A175&lt;=Front!$E$12),A175,"")</f>
        <v>#VALUE!</v>
      </c>
      <c r="AB175" s="231" t="e">
        <f aca="false">IF(AA175="","",VLOOKUP(MONTH(A174),Front!$W$6:$X$17,2)*IF(Front!D$9=0,Swap!Y175,1))</f>
        <v>#VALUE!</v>
      </c>
      <c r="AC175" s="274" t="e">
        <f aca="false">IF(AA175="","",AB175*AH175)</f>
        <v>#VALUE!</v>
      </c>
      <c r="AD175" s="233"/>
      <c r="AE175" s="231" t="e">
        <f aca="false">IF(AA175="","",AD175*AH175)</f>
        <v>#VALUE!</v>
      </c>
      <c r="AF175" s="243" t="n">
        <f aca="false">INDEX(IRTable,MATCH(A175,IRMonth,0),4)</f>
        <v>0.05875571838006</v>
      </c>
      <c r="AG175" s="243" t="n">
        <f aca="false">AF175+$AG$9</f>
        <v>0.05875571838006</v>
      </c>
      <c r="AH175" s="195" t="n">
        <f aca="false">1/((1+AG175/2)^(2*((A175-Front!$C$2)/365.25)))</f>
        <v>1.81797134457443</v>
      </c>
      <c r="AI175" s="236" t="e">
        <f aca="false">IF($AA175="","",E175*AC175)</f>
        <v>#VALUE!</v>
      </c>
      <c r="AJ175" s="236" t="e">
        <f aca="false">IF($AA175="","",E175*AE175)</f>
        <v>#VALUE!</v>
      </c>
      <c r="AK175" s="237" t="e">
        <f aca="false">IF($AA175="","",C175*AC175)</f>
        <v>#VALUE!</v>
      </c>
      <c r="AL175" s="160" t="n">
        <f aca="false">(AO175/10000)/30.5</f>
        <v>0</v>
      </c>
      <c r="AM175" s="238" t="n">
        <f aca="false">AD175/10000</f>
        <v>0</v>
      </c>
      <c r="AN175" s="238" t="n">
        <f aca="false">AD175*DAY(EOMONTH(A175,0))/10000</f>
        <v>0</v>
      </c>
      <c r="AO175" s="238"/>
      <c r="AP175" s="238"/>
      <c r="AQ175" s="238"/>
      <c r="AR175" s="239"/>
      <c r="AS175" s="238"/>
      <c r="AT175" s="238"/>
      <c r="AU175" s="238"/>
      <c r="AV175" s="238"/>
      <c r="AW175" s="238"/>
      <c r="AX175" s="238"/>
      <c r="AY175" s="238"/>
      <c r="AZ175" s="238"/>
      <c r="BA175" s="241"/>
      <c r="BB175" s="242"/>
      <c r="BC175" s="243" t="n">
        <v>4.1855</v>
      </c>
      <c r="BD175" s="195" t="n">
        <f aca="false">BC175-E175</f>
        <v>-0.0184999999999995</v>
      </c>
      <c r="BE175" s="251" t="n">
        <v>0</v>
      </c>
      <c r="BF175" s="245" t="n">
        <f aca="false">(BE175)*(D175*10)</f>
        <v>0</v>
      </c>
      <c r="BG175" s="121" t="n">
        <v>8.60965765</v>
      </c>
      <c r="BH175" s="121" t="n">
        <v>0</v>
      </c>
      <c r="BI175" s="247"/>
      <c r="BJ175" s="121"/>
      <c r="BK175" s="121"/>
      <c r="BL175" s="121"/>
      <c r="BM175" s="121"/>
      <c r="BN175" s="121"/>
      <c r="BO175" s="121"/>
      <c r="BP175" s="275" t="n">
        <v>42156</v>
      </c>
      <c r="BQ175" s="143" t="n">
        <v>4.078</v>
      </c>
      <c r="BR175" s="143" t="n">
        <v>0.17</v>
      </c>
      <c r="BS175" s="143" t="n">
        <v>0.05875571838006</v>
      </c>
      <c r="BT175" s="121"/>
    </row>
    <row r="176" customFormat="false" ht="15" hidden="false" customHeight="false" outlineLevel="0" collapsed="false">
      <c r="A176" s="156" t="n">
        <f aca="false">EOMONTH(A175,0)+1</f>
        <v>42186</v>
      </c>
      <c r="B176" s="215"/>
      <c r="C176" s="281" t="n">
        <v>4.2355</v>
      </c>
      <c r="D176" s="282" t="n">
        <f aca="false">(E176-C176)*1000</f>
        <v>18.4999999999995</v>
      </c>
      <c r="E176" s="283" t="n">
        <f aca="false">VLOOKUP(YEAR(A176),Yr_Sprds,2)+E164</f>
        <v>4.254</v>
      </c>
      <c r="F176" s="287"/>
      <c r="G176" s="288"/>
      <c r="H176" s="287"/>
      <c r="I176" s="287"/>
      <c r="J176" s="279"/>
      <c r="K176" s="278"/>
      <c r="L176" s="291"/>
      <c r="M176" s="112"/>
      <c r="N176" s="278"/>
      <c r="O176" s="278"/>
      <c r="P176" s="278"/>
      <c r="Q176" s="167"/>
      <c r="R176" s="167"/>
      <c r="S176" s="167"/>
      <c r="T176" s="167"/>
      <c r="U176" s="167"/>
      <c r="V176" s="167"/>
      <c r="W176" s="167"/>
      <c r="X176" s="167"/>
      <c r="Y176" s="228" t="n">
        <f aca="false">DAY(EOMONTH(A176,0))</f>
        <v>31</v>
      </c>
      <c r="Z176" s="268" t="n">
        <v>42032</v>
      </c>
      <c r="AA176" s="230" t="e">
        <f aca="false">IF(AND(A176&gt;=Front!$E$11,A176&lt;=Front!$E$12),A176,"")</f>
        <v>#VALUE!</v>
      </c>
      <c r="AB176" s="231" t="e">
        <f aca="false">IF(AA176="","",VLOOKUP(MONTH(A175),Front!$W$6:$X$17,2)*IF(Front!D$9=0,Swap!Y176,1))</f>
        <v>#VALUE!</v>
      </c>
      <c r="AC176" s="274" t="e">
        <f aca="false">IF(AA176="","",AB176*AH176)</f>
        <v>#VALUE!</v>
      </c>
      <c r="AD176" s="233"/>
      <c r="AE176" s="231" t="e">
        <f aca="false">IF(AA176="","",AD176*AH176)</f>
        <v>#VALUE!</v>
      </c>
      <c r="AF176" s="243" t="n">
        <f aca="false">INDEX(IRTable,MATCH(A176,IRMonth,0),4)</f>
        <v>0.0588207558796117</v>
      </c>
      <c r="AG176" s="243" t="n">
        <f aca="false">AF176+$AG$9</f>
        <v>0.0588207558796117</v>
      </c>
      <c r="AH176" s="195" t="n">
        <f aca="false">1/((1+AG176/2)^(2*((A176-Front!$C$2)/365.25)))</f>
        <v>1.81051578808712</v>
      </c>
      <c r="AI176" s="236" t="e">
        <f aca="false">IF($AA176="","",E176*AC176)</f>
        <v>#VALUE!</v>
      </c>
      <c r="AJ176" s="236" t="e">
        <f aca="false">IF($AA176="","",E176*AE176)</f>
        <v>#VALUE!</v>
      </c>
      <c r="AK176" s="237" t="e">
        <f aca="false">IF($AA176="","",C176*AC176)</f>
        <v>#VALUE!</v>
      </c>
      <c r="AL176" s="160" t="n">
        <f aca="false">(AO176/10000)/30.5</f>
        <v>0</v>
      </c>
      <c r="AM176" s="238" t="n">
        <f aca="false">AD176/10000</f>
        <v>0</v>
      </c>
      <c r="AN176" s="238" t="n">
        <f aca="false">AD176*DAY(EOMONTH(A176,0))/10000</f>
        <v>0</v>
      </c>
      <c r="AO176" s="238"/>
      <c r="AP176" s="238"/>
      <c r="AQ176" s="238"/>
      <c r="AR176" s="239"/>
      <c r="AS176" s="238"/>
      <c r="AT176" s="238"/>
      <c r="AU176" s="238"/>
      <c r="AV176" s="238"/>
      <c r="AW176" s="238"/>
      <c r="AX176" s="238"/>
      <c r="AY176" s="238"/>
      <c r="AZ176" s="238"/>
      <c r="BA176" s="241"/>
      <c r="BB176" s="242"/>
      <c r="BC176" s="243" t="n">
        <v>4.2355</v>
      </c>
      <c r="BD176" s="195" t="n">
        <f aca="false">BC176-E176</f>
        <v>-0.0184999999999995</v>
      </c>
      <c r="BE176" s="251" t="n">
        <v>0</v>
      </c>
      <c r="BF176" s="245" t="n">
        <f aca="false">(BE176)*(D176*10)</f>
        <v>0</v>
      </c>
      <c r="BG176" s="121" t="n">
        <v>8.95843083</v>
      </c>
      <c r="BH176" s="121" t="n">
        <v>0</v>
      </c>
      <c r="BI176" s="247"/>
      <c r="BJ176" s="121"/>
      <c r="BK176" s="121"/>
      <c r="BL176" s="121"/>
      <c r="BM176" s="121"/>
      <c r="BN176" s="121"/>
      <c r="BO176" s="121"/>
      <c r="BP176" s="275" t="n">
        <v>42186</v>
      </c>
      <c r="BQ176" s="143" t="n">
        <v>4.128</v>
      </c>
      <c r="BR176" s="143" t="n">
        <v>0.17</v>
      </c>
      <c r="BS176" s="143" t="n">
        <v>0.0588207558796117</v>
      </c>
      <c r="BT176" s="121"/>
    </row>
    <row r="177" customFormat="false" ht="15" hidden="false" customHeight="false" outlineLevel="0" collapsed="false">
      <c r="A177" s="156" t="n">
        <f aca="false">EOMONTH(A176,0)+1</f>
        <v>42217</v>
      </c>
      <c r="B177" s="215"/>
      <c r="C177" s="281" t="n">
        <v>4.2695</v>
      </c>
      <c r="D177" s="282" t="n">
        <f aca="false">(E177-C177)*1000</f>
        <v>18.4999999999995</v>
      </c>
      <c r="E177" s="283" t="n">
        <f aca="false">VLOOKUP(YEAR(A177),Yr_Sprds,2)+E165</f>
        <v>4.288</v>
      </c>
      <c r="F177" s="287"/>
      <c r="G177" s="288"/>
      <c r="H177" s="287"/>
      <c r="I177" s="287"/>
      <c r="J177" s="279"/>
      <c r="K177" s="278"/>
      <c r="L177" s="291"/>
      <c r="M177" s="112"/>
      <c r="N177" s="278"/>
      <c r="O177" s="278"/>
      <c r="P177" s="278"/>
      <c r="Q177" s="167"/>
      <c r="R177" s="167"/>
      <c r="S177" s="167"/>
      <c r="T177" s="167"/>
      <c r="U177" s="167"/>
      <c r="V177" s="167"/>
      <c r="W177" s="167"/>
      <c r="X177" s="167"/>
      <c r="Y177" s="228" t="n">
        <f aca="false">DAY(EOMONTH(A177,0))</f>
        <v>31</v>
      </c>
      <c r="Z177" s="268" t="n">
        <v>42060</v>
      </c>
      <c r="AA177" s="230" t="e">
        <f aca="false">IF(AND(A177&gt;=Front!$E$11,A177&lt;=Front!$E$12),A177,"")</f>
        <v>#VALUE!</v>
      </c>
      <c r="AB177" s="231" t="e">
        <f aca="false">IF(AA177="","",VLOOKUP(MONTH(A176),Front!$W$6:$X$17,2)*IF(Front!D$9=0,Swap!Y177,1))</f>
        <v>#VALUE!</v>
      </c>
      <c r="AC177" s="274" t="e">
        <f aca="false">IF(AA177="","",AB177*AH177)</f>
        <v>#VALUE!</v>
      </c>
      <c r="AD177" s="233"/>
      <c r="AE177" s="231" t="e">
        <f aca="false">IF(AA177="","",AD177*AH177)</f>
        <v>#VALUE!</v>
      </c>
      <c r="AF177" s="243" t="n">
        <f aca="false">INDEX(IRTable,MATCH(A177,IRMonth,0),4)</f>
        <v>0.0588879612972928</v>
      </c>
      <c r="AG177" s="243" t="n">
        <f aca="false">AF177+$AG$9</f>
        <v>0.0588879612972928</v>
      </c>
      <c r="AH177" s="195" t="n">
        <f aca="false">1/((1+AG177/2)^(2*((A177-Front!$C$2)/365.25)))</f>
        <v>1.80282413742117</v>
      </c>
      <c r="AI177" s="236" t="e">
        <f aca="false">IF($AA177="","",E177*AC177)</f>
        <v>#VALUE!</v>
      </c>
      <c r="AJ177" s="236" t="e">
        <f aca="false">IF($AA177="","",E177*AE177)</f>
        <v>#VALUE!</v>
      </c>
      <c r="AK177" s="237" t="e">
        <f aca="false">IF($AA177="","",C177*AC177)</f>
        <v>#VALUE!</v>
      </c>
      <c r="AL177" s="160" t="n">
        <f aca="false">(AO177/10000)/30.5</f>
        <v>0</v>
      </c>
      <c r="AM177" s="238" t="n">
        <f aca="false">AD177/10000</f>
        <v>0</v>
      </c>
      <c r="AN177" s="238" t="n">
        <f aca="false">AD177*DAY(EOMONTH(A177,0))/10000</f>
        <v>0</v>
      </c>
      <c r="AO177" s="238"/>
      <c r="AP177" s="238"/>
      <c r="AQ177" s="238"/>
      <c r="AR177" s="239"/>
      <c r="AS177" s="238"/>
      <c r="AT177" s="238"/>
      <c r="AU177" s="238"/>
      <c r="AV177" s="238"/>
      <c r="AW177" s="238"/>
      <c r="AX177" s="238"/>
      <c r="AY177" s="238"/>
      <c r="AZ177" s="238"/>
      <c r="BA177" s="241"/>
      <c r="BB177" s="242"/>
      <c r="BC177" s="243" t="n">
        <v>4.2695</v>
      </c>
      <c r="BD177" s="195" t="n">
        <f aca="false">BC177-E177</f>
        <v>-0.0184999999999995</v>
      </c>
      <c r="BE177" s="251" t="n">
        <v>0</v>
      </c>
      <c r="BF177" s="245" t="n">
        <f aca="false">(BE177)*(D177*10)</f>
        <v>0</v>
      </c>
      <c r="BG177" s="121" t="n">
        <v>8.90821239</v>
      </c>
      <c r="BH177" s="121" t="n">
        <v>0</v>
      </c>
      <c r="BI177" s="247"/>
      <c r="BJ177" s="121"/>
      <c r="BK177" s="121"/>
      <c r="BL177" s="121"/>
      <c r="BM177" s="121"/>
      <c r="BN177" s="121"/>
      <c r="BO177" s="121"/>
      <c r="BP177" s="275" t="n">
        <v>42217</v>
      </c>
      <c r="BQ177" s="143" t="n">
        <v>4.162</v>
      </c>
      <c r="BR177" s="143" t="n">
        <v>0.17</v>
      </c>
      <c r="BS177" s="143" t="n">
        <v>0.0588879612972928</v>
      </c>
      <c r="BT177" s="121"/>
    </row>
    <row r="178" customFormat="false" ht="15" hidden="false" customHeight="false" outlineLevel="0" collapsed="false">
      <c r="A178" s="156" t="n">
        <f aca="false">EOMONTH(A177,0)+1</f>
        <v>42248</v>
      </c>
      <c r="B178" s="215"/>
      <c r="C178" s="281" t="n">
        <v>4.2825</v>
      </c>
      <c r="D178" s="282" t="n">
        <f aca="false">(E178-C178)*1000</f>
        <v>18.5000000000004</v>
      </c>
      <c r="E178" s="283" t="n">
        <f aca="false">VLOOKUP(YEAR(A178),Yr_Sprds,2)+E166</f>
        <v>4.301</v>
      </c>
      <c r="F178" s="287"/>
      <c r="G178" s="288"/>
      <c r="H178" s="287"/>
      <c r="I178" s="287"/>
      <c r="J178" s="279"/>
      <c r="K178" s="278"/>
      <c r="L178" s="291"/>
      <c r="M178" s="112"/>
      <c r="N178" s="278"/>
      <c r="O178" s="278"/>
      <c r="P178" s="278"/>
      <c r="Q178" s="167"/>
      <c r="R178" s="167"/>
      <c r="S178" s="167"/>
      <c r="T178" s="167"/>
      <c r="U178" s="167"/>
      <c r="V178" s="167"/>
      <c r="W178" s="167"/>
      <c r="X178" s="167"/>
      <c r="Y178" s="228" t="n">
        <f aca="false">DAY(EOMONTH(A178,0))</f>
        <v>30</v>
      </c>
      <c r="Z178" s="268" t="n">
        <v>42090</v>
      </c>
      <c r="AA178" s="230" t="e">
        <f aca="false">IF(AND(A178&gt;=Front!$E$11,A178&lt;=Front!$E$12),A178,"")</f>
        <v>#VALUE!</v>
      </c>
      <c r="AB178" s="231" t="e">
        <f aca="false">IF(AA178="","",VLOOKUP(MONTH(A177),Front!$W$6:$X$17,2)*IF(Front!D$9=0,Swap!Y178,1))</f>
        <v>#VALUE!</v>
      </c>
      <c r="AC178" s="274" t="e">
        <f aca="false">IF(AA178="","",AB178*AH178)</f>
        <v>#VALUE!</v>
      </c>
      <c r="AD178" s="233"/>
      <c r="AE178" s="231" t="e">
        <f aca="false">IF(AA178="","",AD178*AH178)</f>
        <v>#VALUE!</v>
      </c>
      <c r="AF178" s="243" t="n">
        <f aca="false">INDEX(IRTable,MATCH(A178,IRMonth,0),4)</f>
        <v>0.0589551667164749</v>
      </c>
      <c r="AG178" s="243" t="n">
        <f aca="false">AF178+$AG$9</f>
        <v>0.0589551667164749</v>
      </c>
      <c r="AH178" s="195" t="n">
        <f aca="false">1/((1+AG178/2)^(2*((A178-Front!$C$2)/365.25)))</f>
        <v>1.79514523131279</v>
      </c>
      <c r="AI178" s="236" t="e">
        <f aca="false">IF($AA178="","",E178*AC178)</f>
        <v>#VALUE!</v>
      </c>
      <c r="AJ178" s="236" t="e">
        <f aca="false">IF($AA178="","",E178*AE178)</f>
        <v>#VALUE!</v>
      </c>
      <c r="AK178" s="237" t="e">
        <f aca="false">IF($AA178="","",C178*AC178)</f>
        <v>#VALUE!</v>
      </c>
      <c r="AL178" s="160" t="n">
        <f aca="false">(AO178/10000)/30.5</f>
        <v>0</v>
      </c>
      <c r="AM178" s="238" t="n">
        <f aca="false">AD178/10000</f>
        <v>0</v>
      </c>
      <c r="AN178" s="238" t="n">
        <f aca="false">AD178*DAY(EOMONTH(A178,0))/10000</f>
        <v>0</v>
      </c>
      <c r="AO178" s="238"/>
      <c r="AP178" s="238"/>
      <c r="AQ178" s="238"/>
      <c r="AR178" s="239"/>
      <c r="AS178" s="238"/>
      <c r="AT178" s="238"/>
      <c r="AU178" s="238"/>
      <c r="AV178" s="238"/>
      <c r="AW178" s="238"/>
      <c r="AX178" s="238"/>
      <c r="AY178" s="238"/>
      <c r="AZ178" s="238"/>
      <c r="BA178" s="241"/>
      <c r="BB178" s="242"/>
      <c r="BC178" s="243" t="n">
        <v>4.2825</v>
      </c>
      <c r="BD178" s="195" t="n">
        <f aca="false">BC178-E178</f>
        <v>-0.0185000000000004</v>
      </c>
      <c r="BE178" s="251" t="n">
        <v>0</v>
      </c>
      <c r="BF178" s="245" t="n">
        <f aca="false">(BE178)*(D178*10)</f>
        <v>0</v>
      </c>
      <c r="BG178" s="121" t="n">
        <v>7.90275861</v>
      </c>
      <c r="BH178" s="121" t="n">
        <v>0</v>
      </c>
      <c r="BI178" s="247"/>
      <c r="BJ178" s="121"/>
      <c r="BK178" s="121"/>
      <c r="BL178" s="121"/>
      <c r="BM178" s="121"/>
      <c r="BN178" s="121"/>
      <c r="BO178" s="121"/>
      <c r="BP178" s="275" t="n">
        <v>42248</v>
      </c>
      <c r="BQ178" s="143" t="n">
        <v>4.175</v>
      </c>
      <c r="BR178" s="143" t="n">
        <v>0.17</v>
      </c>
      <c r="BS178" s="143" t="n">
        <v>0.0589551667164749</v>
      </c>
      <c r="BT178" s="121"/>
    </row>
    <row r="179" customFormat="false" ht="15" hidden="false" customHeight="false" outlineLevel="0" collapsed="false">
      <c r="A179" s="156" t="n">
        <f aca="false">EOMONTH(A178,0)+1</f>
        <v>42278</v>
      </c>
      <c r="B179" s="215"/>
      <c r="C179" s="281" t="n">
        <v>4.2745</v>
      </c>
      <c r="D179" s="282" t="n">
        <f aca="false">(E179-C179)*1000</f>
        <v>18.4999999999995</v>
      </c>
      <c r="E179" s="283" t="n">
        <f aca="false">VLOOKUP(YEAR(A179),Yr_Sprds,2)+E167</f>
        <v>4.293</v>
      </c>
      <c r="F179" s="287"/>
      <c r="G179" s="288"/>
      <c r="H179" s="287"/>
      <c r="I179" s="287"/>
      <c r="J179" s="279"/>
      <c r="K179" s="278"/>
      <c r="L179" s="291"/>
      <c r="M179" s="112"/>
      <c r="N179" s="278"/>
      <c r="O179" s="278"/>
      <c r="P179" s="278"/>
      <c r="Q179" s="167"/>
      <c r="R179" s="167"/>
      <c r="S179" s="167"/>
      <c r="T179" s="167"/>
      <c r="U179" s="167"/>
      <c r="V179" s="167"/>
      <c r="W179" s="167"/>
      <c r="X179" s="167"/>
      <c r="Y179" s="228" t="n">
        <f aca="false">DAY(EOMONTH(A179,0))</f>
        <v>31</v>
      </c>
      <c r="Z179" s="268" t="n">
        <v>42122</v>
      </c>
      <c r="AA179" s="230" t="e">
        <f aca="false">IF(AND(A179&gt;=Front!$E$11,A179&lt;=Front!$E$12),A179,"")</f>
        <v>#VALUE!</v>
      </c>
      <c r="AB179" s="231" t="e">
        <f aca="false">IF(AA179="","",VLOOKUP(MONTH(A178),Front!$W$6:$X$17,2)*IF(Front!D$9=0,Swap!Y179,1))</f>
        <v>#VALUE!</v>
      </c>
      <c r="AC179" s="274" t="e">
        <f aca="false">IF(AA179="","",AB179*AH179)</f>
        <v>#VALUE!</v>
      </c>
      <c r="AD179" s="233"/>
      <c r="AE179" s="231" t="e">
        <f aca="false">IF(AA179="","",AD179*AH179)</f>
        <v>#VALUE!</v>
      </c>
      <c r="AF179" s="243" t="n">
        <f aca="false">INDEX(IRTable,MATCH(A179,IRMonth,0),4)</f>
        <v>0.0590202042203392</v>
      </c>
      <c r="AG179" s="243" t="n">
        <f aca="false">AF179+$AG$9</f>
        <v>0.0590202042203392</v>
      </c>
      <c r="AH179" s="195" t="n">
        <f aca="false">1/((1+AG179/2)^(2*((A179-Front!$C$2)/365.25)))</f>
        <v>1.78772627643241</v>
      </c>
      <c r="AI179" s="236" t="e">
        <f aca="false">IF($AA179="","",E179*AC179)</f>
        <v>#VALUE!</v>
      </c>
      <c r="AJ179" s="236" t="e">
        <f aca="false">IF($AA179="","",E179*AE179)</f>
        <v>#VALUE!</v>
      </c>
      <c r="AK179" s="237" t="e">
        <f aca="false">IF($AA179="","",C179*AC179)</f>
        <v>#VALUE!</v>
      </c>
      <c r="AL179" s="160" t="n">
        <f aca="false">(AO179/10000)/30.5</f>
        <v>0</v>
      </c>
      <c r="AM179" s="238" t="n">
        <f aca="false">AD179/10000</f>
        <v>0</v>
      </c>
      <c r="AN179" s="238" t="n">
        <f aca="false">AD179*DAY(EOMONTH(A179,0))/10000</f>
        <v>0</v>
      </c>
      <c r="AO179" s="238"/>
      <c r="AP179" s="238"/>
      <c r="AQ179" s="238"/>
      <c r="AR179" s="239"/>
      <c r="AS179" s="238"/>
      <c r="AT179" s="238"/>
      <c r="AU179" s="238"/>
      <c r="AV179" s="238"/>
      <c r="AW179" s="238"/>
      <c r="AX179" s="238"/>
      <c r="AY179" s="238"/>
      <c r="AZ179" s="238"/>
      <c r="BA179" s="241"/>
      <c r="BB179" s="242"/>
      <c r="BC179" s="243" t="n">
        <v>4.2745</v>
      </c>
      <c r="BD179" s="195" t="n">
        <f aca="false">BC179-E179</f>
        <v>-0.0184999999999995</v>
      </c>
      <c r="BE179" s="251" t="n">
        <v>0</v>
      </c>
      <c r="BF179" s="245" t="n">
        <f aca="false">(BE179)*(D179*10)</f>
        <v>0</v>
      </c>
      <c r="BG179" s="121" t="n">
        <v>8.19495061</v>
      </c>
      <c r="BH179" s="121" t="n">
        <v>0</v>
      </c>
      <c r="BI179" s="247"/>
      <c r="BJ179" s="121"/>
      <c r="BK179" s="121"/>
      <c r="BL179" s="121"/>
      <c r="BM179" s="121"/>
      <c r="BN179" s="121"/>
      <c r="BO179" s="121"/>
      <c r="BP179" s="275" t="n">
        <v>42278</v>
      </c>
      <c r="BQ179" s="143" t="n">
        <v>4.197</v>
      </c>
      <c r="BR179" s="143" t="n">
        <v>0.17</v>
      </c>
      <c r="BS179" s="143" t="n">
        <v>0.0590202042203392</v>
      </c>
      <c r="BT179" s="121"/>
    </row>
    <row r="180" customFormat="false" ht="15" hidden="false" customHeight="false" outlineLevel="0" collapsed="false">
      <c r="A180" s="156" t="n">
        <f aca="false">EOMONTH(A179,0)+1</f>
        <v>42309</v>
      </c>
      <c r="B180" s="215"/>
      <c r="C180" s="281" t="n">
        <v>4.4445</v>
      </c>
      <c r="D180" s="282" t="n">
        <f aca="false">(E180-C180)*1000</f>
        <v>18.4999999999995</v>
      </c>
      <c r="E180" s="283" t="n">
        <f aca="false">VLOOKUP(YEAR(A180),Yr_Sprds,2)+E168</f>
        <v>4.463</v>
      </c>
      <c r="F180" s="287"/>
      <c r="G180" s="288"/>
      <c r="H180" s="287"/>
      <c r="I180" s="287"/>
      <c r="J180" s="279"/>
      <c r="K180" s="278"/>
      <c r="L180" s="291"/>
      <c r="M180" s="112"/>
      <c r="N180" s="278"/>
      <c r="O180" s="278"/>
      <c r="P180" s="278"/>
      <c r="Q180" s="167"/>
      <c r="R180" s="167"/>
      <c r="S180" s="167"/>
      <c r="T180" s="167"/>
      <c r="U180" s="167"/>
      <c r="V180" s="167"/>
      <c r="W180" s="167"/>
      <c r="X180" s="167"/>
      <c r="Y180" s="228" t="n">
        <f aca="false">DAY(EOMONTH(A180,0))</f>
        <v>30</v>
      </c>
      <c r="Z180" s="268" t="n">
        <v>42151</v>
      </c>
      <c r="AA180" s="230" t="e">
        <f aca="false">IF(AND(A180&gt;=Front!$E$11,A180&lt;=Front!$E$12),A180,"")</f>
        <v>#VALUE!</v>
      </c>
      <c r="AB180" s="231" t="e">
        <f aca="false">IF(AA180="","",VLOOKUP(MONTH(A179),Front!$W$6:$X$17,2)*IF(Front!D$9=0,Swap!Y180,1))</f>
        <v>#VALUE!</v>
      </c>
      <c r="AC180" s="274" t="e">
        <f aca="false">IF(AA180="","",AB180*AH180)</f>
        <v>#VALUE!</v>
      </c>
      <c r="AD180" s="233"/>
      <c r="AE180" s="231" t="e">
        <f aca="false">IF(AA180="","",AD180*AH180)</f>
        <v>#VALUE!</v>
      </c>
      <c r="AF180" s="243" t="n">
        <f aca="false">INDEX(IRTable,MATCH(A180,IRMonth,0),4)</f>
        <v>0.0590874096424758</v>
      </c>
      <c r="AG180" s="243" t="n">
        <f aca="false">AF180+$AG$9</f>
        <v>0.0590874096424758</v>
      </c>
      <c r="AH180" s="195" t="n">
        <f aca="false">1/((1+AG180/2)^(2*((A180-Front!$C$2)/365.25)))</f>
        <v>1.78007278861386</v>
      </c>
      <c r="AI180" s="236" t="e">
        <f aca="false">IF($AA180="","",E180*AC180)</f>
        <v>#VALUE!</v>
      </c>
      <c r="AJ180" s="236" t="e">
        <f aca="false">IF($AA180="","",E180*AE180)</f>
        <v>#VALUE!</v>
      </c>
      <c r="AK180" s="237" t="e">
        <f aca="false">IF($AA180="","",C180*AC180)</f>
        <v>#VALUE!</v>
      </c>
      <c r="AL180" s="160" t="n">
        <f aca="false">(AO180/10000)/30.5</f>
        <v>0</v>
      </c>
      <c r="AM180" s="238" t="n">
        <f aca="false">AD180/10000</f>
        <v>0</v>
      </c>
      <c r="AN180" s="238" t="n">
        <f aca="false">AD180*DAY(EOMONTH(A180,0))/10000</f>
        <v>0</v>
      </c>
      <c r="AO180" s="238"/>
      <c r="AP180" s="238"/>
      <c r="AQ180" s="238"/>
      <c r="AR180" s="239"/>
      <c r="AS180" s="238"/>
      <c r="AT180" s="238"/>
      <c r="AU180" s="238"/>
      <c r="AV180" s="238"/>
      <c r="AW180" s="238"/>
      <c r="AX180" s="238"/>
      <c r="AY180" s="238"/>
      <c r="AZ180" s="238"/>
      <c r="BA180" s="241"/>
      <c r="BB180" s="242"/>
      <c r="BC180" s="243" t="n">
        <v>4.4445</v>
      </c>
      <c r="BD180" s="195" t="n">
        <f aca="false">BC180-E180</f>
        <v>-0.0184999999999995</v>
      </c>
      <c r="BE180" s="251" t="n">
        <v>0</v>
      </c>
      <c r="BF180" s="245" t="n">
        <f aca="false">(BE180)*(D180*10)</f>
        <v>0</v>
      </c>
      <c r="BG180" s="121" t="n">
        <v>8.73449914</v>
      </c>
      <c r="BH180" s="121" t="n">
        <v>0</v>
      </c>
      <c r="BI180" s="247"/>
      <c r="BJ180" s="121"/>
      <c r="BK180" s="121"/>
      <c r="BL180" s="121"/>
      <c r="BM180" s="121"/>
      <c r="BN180" s="121"/>
      <c r="BO180" s="121"/>
      <c r="BP180" s="275" t="n">
        <v>42309</v>
      </c>
      <c r="BQ180" s="143" t="n">
        <v>4.367</v>
      </c>
      <c r="BR180" s="143" t="n">
        <v>0.17</v>
      </c>
      <c r="BS180" s="143" t="n">
        <v>0.0590874096424758</v>
      </c>
      <c r="BT180" s="121"/>
    </row>
    <row r="181" customFormat="false" ht="15" hidden="false" customHeight="false" outlineLevel="0" collapsed="false">
      <c r="A181" s="156" t="n">
        <f aca="false">EOMONTH(A180,0)+1</f>
        <v>42339</v>
      </c>
      <c r="B181" s="215"/>
      <c r="C181" s="281" t="n">
        <v>4.6195</v>
      </c>
      <c r="D181" s="282" t="n">
        <f aca="false">(E181-C181)*1000</f>
        <v>18.4999999999995</v>
      </c>
      <c r="E181" s="283" t="n">
        <f aca="false">VLOOKUP(YEAR(A181),Yr_Sprds,2)+E169</f>
        <v>4.638</v>
      </c>
      <c r="F181" s="287"/>
      <c r="G181" s="288"/>
      <c r="H181" s="287"/>
      <c r="I181" s="287"/>
      <c r="J181" s="279"/>
      <c r="K181" s="278"/>
      <c r="L181" s="291"/>
      <c r="M181" s="112"/>
      <c r="N181" s="278"/>
      <c r="O181" s="278"/>
      <c r="P181" s="278"/>
      <c r="Q181" s="167"/>
      <c r="R181" s="167"/>
      <c r="S181" s="167"/>
      <c r="T181" s="167"/>
      <c r="U181" s="167"/>
      <c r="V181" s="167"/>
      <c r="W181" s="167"/>
      <c r="X181" s="167"/>
      <c r="Y181" s="228" t="n">
        <f aca="false">DAY(EOMONTH(A181,0))</f>
        <v>31</v>
      </c>
      <c r="Z181" s="268" t="n">
        <v>42181</v>
      </c>
      <c r="AA181" s="230" t="e">
        <f aca="false">IF(AND(A181&gt;=Front!$E$11,A181&lt;=Front!$E$12),A181,"")</f>
        <v>#VALUE!</v>
      </c>
      <c r="AB181" s="231" t="e">
        <f aca="false">IF(AA181="","",VLOOKUP(MONTH(A180),Front!$W$6:$X$17,2)*IF(Front!D$9=0,Swap!Y181,1))</f>
        <v>#VALUE!</v>
      </c>
      <c r="AC181" s="274" t="e">
        <f aca="false">IF(AA181="","",AB181*AH181)</f>
        <v>#VALUE!</v>
      </c>
      <c r="AD181" s="233"/>
      <c r="AE181" s="231" t="e">
        <f aca="false">IF(AA181="","",AD181*AH181)</f>
        <v>#VALUE!</v>
      </c>
      <c r="AF181" s="243" t="n">
        <f aca="false">INDEX(IRTable,MATCH(A181,IRMonth,0),4)</f>
        <v>0.0591524471491986</v>
      </c>
      <c r="AG181" s="243" t="n">
        <f aca="false">AF181+$AG$9</f>
        <v>0.0591524471491986</v>
      </c>
      <c r="AH181" s="195" t="n">
        <f aca="false">1/((1+AG181/2)^(2*((A181-Front!$C$2)/365.25)))</f>
        <v>1.77267864840319</v>
      </c>
      <c r="AI181" s="236" t="e">
        <f aca="false">IF($AA181="","",E181*AC181)</f>
        <v>#VALUE!</v>
      </c>
      <c r="AJ181" s="236" t="e">
        <f aca="false">IF($AA181="","",E181*AE181)</f>
        <v>#VALUE!</v>
      </c>
      <c r="AK181" s="237" t="e">
        <f aca="false">IF($AA181="","",C181*AC181)</f>
        <v>#VALUE!</v>
      </c>
      <c r="AL181" s="160" t="n">
        <f aca="false">(AO181/10000)/30.5</f>
        <v>0</v>
      </c>
      <c r="AM181" s="238" t="n">
        <f aca="false">AD181/10000</f>
        <v>0</v>
      </c>
      <c r="AN181" s="238" t="n">
        <f aca="false">AD181*DAY(EOMONTH(A181,0))/10000</f>
        <v>0</v>
      </c>
      <c r="AO181" s="238"/>
      <c r="AP181" s="238"/>
      <c r="AQ181" s="238"/>
      <c r="AR181" s="239"/>
      <c r="AS181" s="238"/>
      <c r="AT181" s="238"/>
      <c r="AU181" s="238"/>
      <c r="AV181" s="238"/>
      <c r="AW181" s="238"/>
      <c r="AX181" s="238"/>
      <c r="AY181" s="238"/>
      <c r="AZ181" s="238"/>
      <c r="BA181" s="241"/>
      <c r="BB181" s="242"/>
      <c r="BC181" s="243" t="n">
        <v>4.6195</v>
      </c>
      <c r="BD181" s="195" t="n">
        <f aca="false">BC181-E181</f>
        <v>-0.0184999999999995</v>
      </c>
      <c r="BE181" s="251" t="n">
        <v>0</v>
      </c>
      <c r="BF181" s="245" t="n">
        <f aca="false">(BE181)*(D181*10)</f>
        <v>0</v>
      </c>
      <c r="BG181" s="121" t="n">
        <v>9.45480629</v>
      </c>
      <c r="BH181" s="121" t="n">
        <v>0</v>
      </c>
      <c r="BI181" s="247"/>
      <c r="BJ181" s="121"/>
      <c r="BK181" s="121"/>
      <c r="BL181" s="121"/>
      <c r="BM181" s="121"/>
      <c r="BN181" s="121"/>
      <c r="BO181" s="121"/>
      <c r="BP181" s="275" t="n">
        <v>42339</v>
      </c>
      <c r="BQ181" s="143" t="n">
        <v>4.542</v>
      </c>
      <c r="BR181" s="143" t="n">
        <v>0.17</v>
      </c>
      <c r="BS181" s="143" t="n">
        <v>0.0591524471491986</v>
      </c>
      <c r="BT181" s="121"/>
    </row>
    <row r="182" customFormat="false" ht="15" hidden="false" customHeight="false" outlineLevel="0" collapsed="false">
      <c r="A182" s="156" t="n">
        <f aca="false">EOMONTH(A181,0)+1</f>
        <v>42370</v>
      </c>
      <c r="B182" s="215"/>
      <c r="C182" s="281" t="n">
        <v>4.6745</v>
      </c>
      <c r="D182" s="282" t="n">
        <f aca="false">(E182-C182)*1000</f>
        <v>20.999999999999</v>
      </c>
      <c r="E182" s="283" t="n">
        <f aca="false">VLOOKUP(YEAR(A182),Yr_Sprds,2)+E170</f>
        <v>4.6955</v>
      </c>
      <c r="F182" s="287"/>
      <c r="G182" s="288"/>
      <c r="H182" s="287"/>
      <c r="I182" s="287"/>
      <c r="J182" s="279"/>
      <c r="K182" s="278"/>
      <c r="L182" s="291"/>
      <c r="M182" s="112"/>
      <c r="N182" s="278"/>
      <c r="O182" s="278"/>
      <c r="P182" s="278"/>
      <c r="Q182" s="167"/>
      <c r="R182" s="167"/>
      <c r="S182" s="167"/>
      <c r="T182" s="167"/>
      <c r="U182" s="167"/>
      <c r="V182" s="167"/>
      <c r="W182" s="167"/>
      <c r="X182" s="167"/>
      <c r="Y182" s="228" t="n">
        <f aca="false">DAY(EOMONTH(A182,0))</f>
        <v>31</v>
      </c>
      <c r="Z182" s="268" t="n">
        <v>42214</v>
      </c>
      <c r="AA182" s="230" t="e">
        <f aca="false">IF(AND(A182&gt;=Front!$E$11,A182&lt;=Front!$E$12),A182,"")</f>
        <v>#VALUE!</v>
      </c>
      <c r="AB182" s="231" t="e">
        <f aca="false">IF(AA182="","",VLOOKUP(MONTH(A181),Front!$W$6:$X$17,2)*IF(Front!D$9=0,Swap!Y182,1))</f>
        <v>#VALUE!</v>
      </c>
      <c r="AC182" s="274" t="e">
        <f aca="false">IF(AA182="","",AB182*AH182)</f>
        <v>#VALUE!</v>
      </c>
      <c r="AD182" s="233"/>
      <c r="AE182" s="231" t="e">
        <f aca="false">IF(AA182="","",AD182*AH182)</f>
        <v>#VALUE!</v>
      </c>
      <c r="AF182" s="243" t="n">
        <f aca="false">INDEX(IRTable,MATCH(A182,IRMonth,0),4)</f>
        <v>0.0592196525742898</v>
      </c>
      <c r="AG182" s="243" t="n">
        <f aca="false">AF182+$AG$9</f>
        <v>0.0592196525742898</v>
      </c>
      <c r="AH182" s="195" t="n">
        <f aca="false">1/((1+AG182/2)^(2*((A182-Front!$C$2)/365.25)))</f>
        <v>1.76505102414539</v>
      </c>
      <c r="AI182" s="236" t="e">
        <f aca="false">IF($AA182="","",E182*AC182)</f>
        <v>#VALUE!</v>
      </c>
      <c r="AJ182" s="236" t="e">
        <f aca="false">IF($AA182="","",E182*AE182)</f>
        <v>#VALUE!</v>
      </c>
      <c r="AK182" s="237" t="e">
        <f aca="false">IF($AA182="","",C182*AC182)</f>
        <v>#VALUE!</v>
      </c>
      <c r="AL182" s="160" t="n">
        <f aca="false">(AO182/10000)/30.5</f>
        <v>0</v>
      </c>
      <c r="AM182" s="238" t="n">
        <f aca="false">AD182/10000</f>
        <v>0</v>
      </c>
      <c r="AN182" s="238" t="n">
        <f aca="false">AD182*DAY(EOMONTH(A182,0))/10000</f>
        <v>0</v>
      </c>
      <c r="AO182" s="238"/>
      <c r="AP182" s="238"/>
      <c r="AQ182" s="238"/>
      <c r="AR182" s="239"/>
      <c r="AS182" s="238"/>
      <c r="AT182" s="238"/>
      <c r="AU182" s="238"/>
      <c r="AV182" s="238"/>
      <c r="AW182" s="238"/>
      <c r="AX182" s="238"/>
      <c r="AY182" s="238"/>
      <c r="AZ182" s="238"/>
      <c r="BA182" s="241"/>
      <c r="BB182" s="242"/>
      <c r="BC182" s="243" t="n">
        <v>4.6745</v>
      </c>
      <c r="BD182" s="195" t="n">
        <f aca="false">BC182-E182</f>
        <v>-0.020999999999999</v>
      </c>
      <c r="BE182" s="251" t="n">
        <v>0</v>
      </c>
      <c r="BF182" s="245" t="n">
        <f aca="false">(BE182)*(D182*10)</f>
        <v>0</v>
      </c>
      <c r="BG182" s="121" t="n">
        <v>9.00640908</v>
      </c>
      <c r="BH182" s="121" t="n">
        <v>0</v>
      </c>
      <c r="BI182" s="247"/>
      <c r="BJ182" s="121"/>
      <c r="BK182" s="121"/>
      <c r="BL182" s="121"/>
      <c r="BM182" s="121"/>
      <c r="BN182" s="121"/>
      <c r="BO182" s="121"/>
      <c r="BP182" s="275" t="n">
        <v>42370</v>
      </c>
      <c r="BQ182" s="143" t="n">
        <v>4.5645</v>
      </c>
      <c r="BR182" s="143" t="n">
        <v>0.17</v>
      </c>
      <c r="BS182" s="143" t="n">
        <v>0.0592196525742898</v>
      </c>
      <c r="BT182" s="121"/>
    </row>
    <row r="183" customFormat="false" ht="15" hidden="false" customHeight="false" outlineLevel="0" collapsed="false">
      <c r="A183" s="156" t="n">
        <f aca="false">EOMONTH(A182,0)+1</f>
        <v>42401</v>
      </c>
      <c r="B183" s="215"/>
      <c r="C183" s="281" t="n">
        <v>4.5605</v>
      </c>
      <c r="D183" s="282" t="n">
        <f aca="false">(E183-C183)*1000</f>
        <v>20.9999999999999</v>
      </c>
      <c r="E183" s="283" t="n">
        <f aca="false">VLOOKUP(YEAR(A183),Yr_Sprds,2)+E171</f>
        <v>4.5815</v>
      </c>
      <c r="F183" s="287"/>
      <c r="G183" s="288"/>
      <c r="H183" s="287"/>
      <c r="I183" s="287"/>
      <c r="J183" s="279"/>
      <c r="K183" s="278"/>
      <c r="L183" s="291"/>
      <c r="M183" s="112"/>
      <c r="N183" s="278"/>
      <c r="O183" s="278"/>
      <c r="P183" s="278"/>
      <c r="Q183" s="167"/>
      <c r="R183" s="167"/>
      <c r="S183" s="167"/>
      <c r="T183" s="167"/>
      <c r="U183" s="167"/>
      <c r="V183" s="167"/>
      <c r="W183" s="167"/>
      <c r="X183" s="167"/>
      <c r="Y183" s="228" t="n">
        <f aca="false">DAY(EOMONTH(A183,0))</f>
        <v>29</v>
      </c>
      <c r="Z183" s="268" t="n">
        <v>42243</v>
      </c>
      <c r="AA183" s="230" t="e">
        <f aca="false">IF(AND(A183&gt;=Front!$E$11,A183&lt;=Front!$E$12),A183,"")</f>
        <v>#VALUE!</v>
      </c>
      <c r="AB183" s="231" t="e">
        <f aca="false">IF(AA183="","",VLOOKUP(MONTH(A182),Front!$W$6:$X$17,2)*IF(Front!D$9=0,Swap!Y183,1))</f>
        <v>#VALUE!</v>
      </c>
      <c r="AC183" s="274" t="e">
        <f aca="false">IF(AA183="","",AB183*AH183)</f>
        <v>#VALUE!</v>
      </c>
      <c r="AD183" s="233"/>
      <c r="AE183" s="231" t="e">
        <f aca="false">IF(AA183="","",AD183*AH183)</f>
        <v>#VALUE!</v>
      </c>
      <c r="AF183" s="243" t="n">
        <f aca="false">INDEX(IRTable,MATCH(A183,IRMonth,0),4)</f>
        <v>0.0592868580008821</v>
      </c>
      <c r="AG183" s="243" t="n">
        <f aca="false">AF183+$AG$9</f>
        <v>0.0592868580008821</v>
      </c>
      <c r="AH183" s="195" t="n">
        <f aca="false">1/((1+AG183/2)^(2*((A183-Front!$C$2)/365.25)))</f>
        <v>1.75743671200925</v>
      </c>
      <c r="AI183" s="236" t="e">
        <f aca="false">IF($AA183="","",E183*AC183)</f>
        <v>#VALUE!</v>
      </c>
      <c r="AJ183" s="236" t="e">
        <f aca="false">IF($AA183="","",E183*AE183)</f>
        <v>#VALUE!</v>
      </c>
      <c r="AK183" s="237" t="e">
        <f aca="false">IF($AA183="","",C183*AC183)</f>
        <v>#VALUE!</v>
      </c>
      <c r="AL183" s="160" t="n">
        <f aca="false">(AO183/10000)/30.5</f>
        <v>0</v>
      </c>
      <c r="AM183" s="238" t="n">
        <f aca="false">AD183/10000</f>
        <v>0</v>
      </c>
      <c r="AN183" s="238" t="n">
        <f aca="false">AD183*DAY(EOMONTH(A183,0))/10000</f>
        <v>0</v>
      </c>
      <c r="AO183" s="238"/>
      <c r="AP183" s="238"/>
      <c r="AQ183" s="238"/>
      <c r="AR183" s="239"/>
      <c r="AS183" s="238"/>
      <c r="AT183" s="238"/>
      <c r="AU183" s="238"/>
      <c r="AV183" s="238"/>
      <c r="AW183" s="238"/>
      <c r="AX183" s="238"/>
      <c r="AY183" s="238"/>
      <c r="AZ183" s="238"/>
      <c r="BA183" s="241"/>
      <c r="BB183" s="242"/>
      <c r="BC183" s="243" t="n">
        <v>4.5605</v>
      </c>
      <c r="BD183" s="195" t="n">
        <f aca="false">BC183-E183</f>
        <v>-0.0209999999999999</v>
      </c>
      <c r="BE183" s="251" t="n">
        <v>0</v>
      </c>
      <c r="BF183" s="245" t="n">
        <f aca="false">(BE183)*(D183*10)</f>
        <v>0</v>
      </c>
      <c r="BG183" s="121" t="n">
        <v>9.25591541</v>
      </c>
      <c r="BH183" s="121" t="n">
        <v>0</v>
      </c>
      <c r="BI183" s="247"/>
      <c r="BJ183" s="121"/>
      <c r="BK183" s="121"/>
      <c r="BL183" s="121"/>
      <c r="BM183" s="121"/>
      <c r="BN183" s="121"/>
      <c r="BO183" s="121"/>
      <c r="BP183" s="275" t="n">
        <v>42401</v>
      </c>
      <c r="BQ183" s="143" t="n">
        <v>4.4505</v>
      </c>
      <c r="BR183" s="143" t="n">
        <v>0.17</v>
      </c>
      <c r="BS183" s="143" t="n">
        <v>0.0592868580008821</v>
      </c>
      <c r="BT183" s="121"/>
    </row>
    <row r="184" customFormat="false" ht="15" hidden="false" customHeight="false" outlineLevel="0" collapsed="false">
      <c r="A184" s="156" t="n">
        <f aca="false">EOMONTH(A183,0)+1</f>
        <v>42430</v>
      </c>
      <c r="B184" s="215"/>
      <c r="C184" s="281" t="n">
        <v>4.4285</v>
      </c>
      <c r="D184" s="282" t="n">
        <f aca="false">(E184-C184)*1000</f>
        <v>20.999999999999</v>
      </c>
      <c r="E184" s="283" t="n">
        <f aca="false">VLOOKUP(YEAR(A184),Yr_Sprds,2)+E172</f>
        <v>4.4495</v>
      </c>
      <c r="F184" s="287"/>
      <c r="G184" s="288"/>
      <c r="H184" s="287"/>
      <c r="I184" s="287"/>
      <c r="J184" s="279"/>
      <c r="K184" s="278"/>
      <c r="L184" s="291"/>
      <c r="M184" s="112"/>
      <c r="N184" s="278"/>
      <c r="O184" s="278"/>
      <c r="P184" s="278"/>
      <c r="Q184" s="167"/>
      <c r="R184" s="167"/>
      <c r="S184" s="167"/>
      <c r="T184" s="167"/>
      <c r="U184" s="167"/>
      <c r="V184" s="167"/>
      <c r="W184" s="167"/>
      <c r="X184" s="167"/>
      <c r="Y184" s="228" t="n">
        <f aca="false">DAY(EOMONTH(A184,0))</f>
        <v>31</v>
      </c>
      <c r="Z184" s="268" t="n">
        <v>42275</v>
      </c>
      <c r="AA184" s="230" t="e">
        <f aca="false">IF(AND(A184&gt;=Front!$E$11,A184&lt;=Front!$E$12),A184,"")</f>
        <v>#VALUE!</v>
      </c>
      <c r="AB184" s="231" t="e">
        <f aca="false">IF(AA184="","",VLOOKUP(MONTH(A183),Front!$W$6:$X$17,2)*IF(Front!D$9=0,Swap!Y184,1))</f>
        <v>#VALUE!</v>
      </c>
      <c r="AC184" s="274" t="e">
        <f aca="false">IF(AA184="","",AB184*AH184)</f>
        <v>#VALUE!</v>
      </c>
      <c r="AD184" s="233"/>
      <c r="AE184" s="231" t="e">
        <f aca="false">IF(AA184="","",AD184*AH184)</f>
        <v>#VALUE!</v>
      </c>
      <c r="AF184" s="243" t="n">
        <f aca="false">INDEX(IRTable,MATCH(A184,IRMonth,0),4)</f>
        <v>0.05934972759486</v>
      </c>
      <c r="AG184" s="243" t="n">
        <f aca="false">AF184+$AG$9</f>
        <v>0.05934972759486</v>
      </c>
      <c r="AH184" s="195" t="n">
        <f aca="false">1/((1+AG184/2)^(2*((A184-Front!$C$2)/365.25)))</f>
        <v>1.75032579678185</v>
      </c>
      <c r="AI184" s="236" t="e">
        <f aca="false">IF($AA184="","",E184*AC184)</f>
        <v>#VALUE!</v>
      </c>
      <c r="AJ184" s="236" t="e">
        <f aca="false">IF($AA184="","",E184*AE184)</f>
        <v>#VALUE!</v>
      </c>
      <c r="AK184" s="237" t="e">
        <f aca="false">IF($AA184="","",C184*AC184)</f>
        <v>#VALUE!</v>
      </c>
      <c r="AL184" s="160" t="n">
        <f aca="false">(AO184/10000)/30.5</f>
        <v>0</v>
      </c>
      <c r="AM184" s="238" t="n">
        <f aca="false">AD184/10000</f>
        <v>0</v>
      </c>
      <c r="AN184" s="238" t="n">
        <f aca="false">AD184*DAY(EOMONTH(A184,0))/10000</f>
        <v>0</v>
      </c>
      <c r="AO184" s="238"/>
      <c r="AP184" s="238"/>
      <c r="AQ184" s="238"/>
      <c r="AR184" s="239"/>
      <c r="AS184" s="238"/>
      <c r="AT184" s="238"/>
      <c r="AU184" s="238"/>
      <c r="AV184" s="238"/>
      <c r="AW184" s="238"/>
      <c r="AX184" s="238"/>
      <c r="AY184" s="238"/>
      <c r="AZ184" s="238"/>
      <c r="BA184" s="241"/>
      <c r="BB184" s="242"/>
      <c r="BC184" s="243" t="n">
        <v>4.4285</v>
      </c>
      <c r="BD184" s="195" t="n">
        <f aca="false">BC184-E184</f>
        <v>-0.020999999999999</v>
      </c>
      <c r="BE184" s="251" t="n">
        <v>0</v>
      </c>
      <c r="BF184" s="245" t="n">
        <f aca="false">(BE184)*(D184*10)</f>
        <v>0</v>
      </c>
      <c r="BG184" s="121" t="n">
        <v>8.53931398</v>
      </c>
      <c r="BH184" s="121" t="n">
        <v>0</v>
      </c>
      <c r="BI184" s="247"/>
      <c r="BJ184" s="121"/>
      <c r="BK184" s="121"/>
      <c r="BL184" s="121"/>
      <c r="BM184" s="121"/>
      <c r="BN184" s="121"/>
      <c r="BO184" s="121"/>
      <c r="BP184" s="275" t="n">
        <v>42430</v>
      </c>
      <c r="BQ184" s="143" t="n">
        <v>4.3185</v>
      </c>
      <c r="BR184" s="143" t="n">
        <v>0.17</v>
      </c>
      <c r="BS184" s="143" t="n">
        <v>0.05934972759486</v>
      </c>
      <c r="BT184" s="121"/>
    </row>
    <row r="185" customFormat="false" ht="15" hidden="false" customHeight="false" outlineLevel="0" collapsed="false">
      <c r="A185" s="156" t="n">
        <f aca="false">EOMONTH(A184,0)+1</f>
        <v>42461</v>
      </c>
      <c r="B185" s="215"/>
      <c r="C185" s="281" t="n">
        <v>4.2585</v>
      </c>
      <c r="D185" s="282" t="n">
        <f aca="false">(E185-C185)*1000</f>
        <v>20.999999999999</v>
      </c>
      <c r="E185" s="283" t="n">
        <f aca="false">VLOOKUP(YEAR(A185),Yr_Sprds,2)+E173</f>
        <v>4.2795</v>
      </c>
      <c r="F185" s="287"/>
      <c r="G185" s="288"/>
      <c r="H185" s="287"/>
      <c r="I185" s="287"/>
      <c r="J185" s="279"/>
      <c r="K185" s="278"/>
      <c r="L185" s="291"/>
      <c r="M185" s="112"/>
      <c r="N185" s="278"/>
      <c r="O185" s="278"/>
      <c r="P185" s="278"/>
      <c r="Q185" s="167"/>
      <c r="R185" s="167"/>
      <c r="S185" s="167"/>
      <c r="T185" s="167"/>
      <c r="U185" s="167"/>
      <c r="V185" s="167"/>
      <c r="W185" s="167"/>
      <c r="X185" s="167"/>
      <c r="Y185" s="228" t="n">
        <f aca="false">DAY(EOMONTH(A185,0))</f>
        <v>30</v>
      </c>
      <c r="Z185" s="268" t="n">
        <v>42305</v>
      </c>
      <c r="AA185" s="230" t="e">
        <f aca="false">IF(AND(A185&gt;=Front!$E$11,A185&lt;=Front!$E$12),A185,"")</f>
        <v>#VALUE!</v>
      </c>
      <c r="AB185" s="231" t="e">
        <f aca="false">IF(AA185="","",VLOOKUP(MONTH(A184),Front!$W$6:$X$17,2)*IF(Front!D$9=0,Swap!Y185,1))</f>
        <v>#VALUE!</v>
      </c>
      <c r="AC185" s="274" t="e">
        <f aca="false">IF(AA185="","",AB185*AH185)</f>
        <v>#VALUE!</v>
      </c>
      <c r="AD185" s="233"/>
      <c r="AE185" s="231" t="e">
        <f aca="false">IF(AA185="","",AD185*AH185)</f>
        <v>#VALUE!</v>
      </c>
      <c r="AF185" s="243" t="n">
        <f aca="false">INDEX(IRTable,MATCH(A185,IRMonth,0),4)</f>
        <v>0.0594169330243575</v>
      </c>
      <c r="AG185" s="243" t="n">
        <f aca="false">AF185+$AG$9</f>
        <v>0.0594169330243575</v>
      </c>
      <c r="AH185" s="195" t="n">
        <f aca="false">1/((1+AG185/2)^(2*((A185-Front!$C$2)/365.25)))</f>
        <v>1.74273756795463</v>
      </c>
      <c r="AI185" s="236" t="e">
        <f aca="false">IF($AA185="","",E185*AC185)</f>
        <v>#VALUE!</v>
      </c>
      <c r="AJ185" s="236" t="e">
        <f aca="false">IF($AA185="","",E185*AE185)</f>
        <v>#VALUE!</v>
      </c>
      <c r="AK185" s="237" t="e">
        <f aca="false">IF($AA185="","",C185*AC185)</f>
        <v>#VALUE!</v>
      </c>
      <c r="AL185" s="160" t="n">
        <f aca="false">(AO185/10000)/30.5</f>
        <v>0</v>
      </c>
      <c r="AM185" s="238" t="n">
        <f aca="false">AD185/10000</f>
        <v>0</v>
      </c>
      <c r="AN185" s="238" t="n">
        <f aca="false">AD185*DAY(EOMONTH(A185,0))/10000</f>
        <v>0</v>
      </c>
      <c r="AO185" s="238"/>
      <c r="AP185" s="238"/>
      <c r="AQ185" s="238"/>
      <c r="AR185" s="239"/>
      <c r="AS185" s="238"/>
      <c r="AT185" s="238"/>
      <c r="AU185" s="238"/>
      <c r="AV185" s="238"/>
      <c r="AW185" s="238"/>
      <c r="AX185" s="238"/>
      <c r="AY185" s="238"/>
      <c r="AZ185" s="238"/>
      <c r="BA185" s="241"/>
      <c r="BB185" s="242"/>
      <c r="BC185" s="243" t="n">
        <v>4.2585</v>
      </c>
      <c r="BD185" s="195" t="n">
        <f aca="false">BC185-E185</f>
        <v>-0.020999999999999</v>
      </c>
      <c r="BE185" s="251" t="n">
        <v>0</v>
      </c>
      <c r="BF185" s="245" t="n">
        <f aca="false">(BE185)*(D185*10)</f>
        <v>0</v>
      </c>
      <c r="BG185" s="121" t="n">
        <v>7.3161005</v>
      </c>
      <c r="BH185" s="121" t="n">
        <v>0</v>
      </c>
      <c r="BI185" s="247"/>
      <c r="BJ185" s="121"/>
      <c r="BK185" s="121"/>
      <c r="BL185" s="121"/>
      <c r="BM185" s="121"/>
      <c r="BN185" s="121"/>
      <c r="BO185" s="121"/>
      <c r="BP185" s="275" t="n">
        <v>42461</v>
      </c>
      <c r="BQ185" s="143" t="n">
        <v>4.1485</v>
      </c>
      <c r="BR185" s="143" t="n">
        <v>0.17</v>
      </c>
      <c r="BS185" s="143" t="n">
        <v>0.0594169330243575</v>
      </c>
      <c r="BT185" s="121"/>
    </row>
    <row r="186" customFormat="false" ht="15" hidden="false" customHeight="false" outlineLevel="0" collapsed="false">
      <c r="A186" s="156" t="n">
        <f aca="false">EOMONTH(A185,0)+1</f>
        <v>42491</v>
      </c>
      <c r="B186" s="215"/>
      <c r="C186" s="281" t="n">
        <v>4.2585</v>
      </c>
      <c r="D186" s="282" t="n">
        <f aca="false">(E186-C186)*1000</f>
        <v>20.999999999999</v>
      </c>
      <c r="E186" s="283" t="n">
        <f aca="false">VLOOKUP(YEAR(A186),Yr_Sprds,2)+E174</f>
        <v>4.2795</v>
      </c>
      <c r="F186" s="287"/>
      <c r="G186" s="288"/>
      <c r="H186" s="287"/>
      <c r="I186" s="287"/>
      <c r="J186" s="279"/>
      <c r="K186" s="278"/>
      <c r="L186" s="291"/>
      <c r="M186" s="112"/>
      <c r="N186" s="278"/>
      <c r="O186" s="278"/>
      <c r="P186" s="278"/>
      <c r="Q186" s="167"/>
      <c r="R186" s="167"/>
      <c r="S186" s="167"/>
      <c r="T186" s="167"/>
      <c r="U186" s="167"/>
      <c r="V186" s="167"/>
      <c r="W186" s="167"/>
      <c r="X186" s="167"/>
      <c r="Y186" s="228" t="n">
        <f aca="false">DAY(EOMONTH(A186,0))</f>
        <v>31</v>
      </c>
      <c r="Z186" s="268" t="n">
        <v>42333</v>
      </c>
      <c r="AA186" s="230" t="e">
        <f aca="false">IF(AND(A186&gt;=Front!$E$11,A186&lt;=Front!$E$12),A186,"")</f>
        <v>#VALUE!</v>
      </c>
      <c r="AB186" s="231" t="e">
        <f aca="false">IF(AA186="","",VLOOKUP(MONTH(A185),Front!$W$6:$X$17,2)*IF(Front!D$9=0,Swap!Y186,1))</f>
        <v>#VALUE!</v>
      </c>
      <c r="AC186" s="274" t="e">
        <f aca="false">IF(AA186="","",AB186*AH186)</f>
        <v>#VALUE!</v>
      </c>
      <c r="AD186" s="233"/>
      <c r="AE186" s="231" t="e">
        <f aca="false">IF(AA186="","",AD186*AH186)</f>
        <v>#VALUE!</v>
      </c>
      <c r="AF186" s="243" t="n">
        <f aca="false">INDEX(IRTable,MATCH(A186,IRMonth,0),4)</f>
        <v>0.0594819705382039</v>
      </c>
      <c r="AG186" s="243" t="n">
        <f aca="false">AF186+$AG$9</f>
        <v>0.0594819705382039</v>
      </c>
      <c r="AH186" s="195" t="n">
        <f aca="false">1/((1+AG186/2)^(2*((A186-Front!$C$2)/365.25)))</f>
        <v>1.7354071055473</v>
      </c>
      <c r="AI186" s="236" t="e">
        <f aca="false">IF($AA186="","",E186*AC186)</f>
        <v>#VALUE!</v>
      </c>
      <c r="AJ186" s="236" t="e">
        <f aca="false">IF($AA186="","",E186*AE186)</f>
        <v>#VALUE!</v>
      </c>
      <c r="AK186" s="237" t="e">
        <f aca="false">IF($AA186="","",C186*AC186)</f>
        <v>#VALUE!</v>
      </c>
      <c r="AL186" s="160" t="n">
        <f aca="false">(AO186/10000)/30.5</f>
        <v>0</v>
      </c>
      <c r="AM186" s="238" t="n">
        <f aca="false">AD186/10000</f>
        <v>0</v>
      </c>
      <c r="AN186" s="238" t="n">
        <f aca="false">AD186*DAY(EOMONTH(A186,0))/10000</f>
        <v>0</v>
      </c>
      <c r="AO186" s="238"/>
      <c r="AP186" s="238"/>
      <c r="AQ186" s="238"/>
      <c r="AR186" s="239"/>
      <c r="AS186" s="238"/>
      <c r="AT186" s="238"/>
      <c r="AU186" s="238"/>
      <c r="AV186" s="238"/>
      <c r="AW186" s="238"/>
      <c r="AX186" s="238"/>
      <c r="AY186" s="238"/>
      <c r="AZ186" s="238"/>
      <c r="BA186" s="241"/>
      <c r="BB186" s="242"/>
      <c r="BC186" s="243" t="n">
        <v>4.2585</v>
      </c>
      <c r="BD186" s="195" t="n">
        <f aca="false">BC186-E186</f>
        <v>-0.020999999999999</v>
      </c>
      <c r="BE186" s="251" t="n">
        <v>0</v>
      </c>
      <c r="BF186" s="245" t="n">
        <f aca="false">(BE186)*(D186*10)</f>
        <v>0</v>
      </c>
      <c r="BG186" s="121" t="n">
        <v>5.86657454</v>
      </c>
      <c r="BH186" s="121" t="n">
        <v>0</v>
      </c>
      <c r="BI186" s="247"/>
      <c r="BJ186" s="121"/>
      <c r="BK186" s="121"/>
      <c r="BL186" s="121"/>
      <c r="BM186" s="121"/>
      <c r="BN186" s="121"/>
      <c r="BO186" s="121"/>
      <c r="BP186" s="275" t="n">
        <v>42491</v>
      </c>
      <c r="BQ186" s="143" t="n">
        <v>4.1485</v>
      </c>
      <c r="BR186" s="143" t="n">
        <v>0.17</v>
      </c>
      <c r="BS186" s="143" t="n">
        <v>0.0594819705382039</v>
      </c>
      <c r="BT186" s="121"/>
    </row>
    <row r="187" customFormat="false" ht="15" hidden="false" customHeight="false" outlineLevel="0" collapsed="false">
      <c r="A187" s="156" t="n">
        <f aca="false">EOMONTH(A186,0)+1</f>
        <v>42522</v>
      </c>
      <c r="B187" s="215"/>
      <c r="C187" s="281" t="n">
        <v>4.2905</v>
      </c>
      <c r="D187" s="282" t="n">
        <f aca="false">(E187-C187)*1000</f>
        <v>20.999999999999</v>
      </c>
      <c r="E187" s="283" t="n">
        <f aca="false">VLOOKUP(YEAR(A187),Yr_Sprds,2)+E175</f>
        <v>4.3115</v>
      </c>
      <c r="F187" s="287"/>
      <c r="G187" s="288"/>
      <c r="H187" s="287"/>
      <c r="I187" s="287"/>
      <c r="J187" s="279"/>
      <c r="K187" s="278"/>
      <c r="L187" s="291"/>
      <c r="M187" s="112"/>
      <c r="N187" s="278"/>
      <c r="O187" s="278"/>
      <c r="P187" s="278"/>
      <c r="Q187" s="167"/>
      <c r="R187" s="167"/>
      <c r="S187" s="167"/>
      <c r="T187" s="167"/>
      <c r="U187" s="167"/>
      <c r="V187" s="167"/>
      <c r="W187" s="167"/>
      <c r="X187" s="167"/>
      <c r="Y187" s="228" t="n">
        <f aca="false">DAY(EOMONTH(A187,0))</f>
        <v>30</v>
      </c>
      <c r="Z187" s="268" t="n">
        <v>42367</v>
      </c>
      <c r="AA187" s="230" t="e">
        <f aca="false">IF(AND(A187&gt;=Front!$E$11,A187&lt;=Front!$E$12),A187,"")</f>
        <v>#VALUE!</v>
      </c>
      <c r="AB187" s="231" t="e">
        <f aca="false">IF(AA187="","",VLOOKUP(MONTH(A186),Front!$W$6:$X$17,2)*IF(Front!D$9=0,Swap!Y187,1))</f>
        <v>#VALUE!</v>
      </c>
      <c r="AC187" s="274" t="e">
        <f aca="false">IF(AA187="","",AB187*AH187)</f>
        <v>#VALUE!</v>
      </c>
      <c r="AD187" s="233"/>
      <c r="AE187" s="231" t="e">
        <f aca="false">IF(AA187="","",AD187*AH187)</f>
        <v>#VALUE!</v>
      </c>
      <c r="AF187" s="243" t="n">
        <f aca="false">INDEX(IRTable,MATCH(A187,IRMonth,0),4)</f>
        <v>0.0595491759706555</v>
      </c>
      <c r="AG187" s="243" t="n">
        <f aca="false">AF187+$AG$9</f>
        <v>0.0595491759706555</v>
      </c>
      <c r="AH187" s="195" t="n">
        <f aca="false">1/((1+AG187/2)^(2*((A187-Front!$C$2)/365.25)))</f>
        <v>1.72784581859101</v>
      </c>
      <c r="AI187" s="236" t="e">
        <f aca="false">IF($AA187="","",E187*AC187)</f>
        <v>#VALUE!</v>
      </c>
      <c r="AJ187" s="236" t="e">
        <f aca="false">IF($AA187="","",E187*AE187)</f>
        <v>#VALUE!</v>
      </c>
      <c r="AK187" s="237" t="e">
        <f aca="false">IF($AA187="","",C187*AC187)</f>
        <v>#VALUE!</v>
      </c>
      <c r="AL187" s="160" t="n">
        <f aca="false">(AO187/10000)/30.5</f>
        <v>0</v>
      </c>
      <c r="AM187" s="238" t="n">
        <f aca="false">AD187/10000</f>
        <v>0</v>
      </c>
      <c r="AN187" s="238" t="n">
        <f aca="false">AD187*DAY(EOMONTH(A187,0))/10000</f>
        <v>0</v>
      </c>
      <c r="AO187" s="238"/>
      <c r="AP187" s="238"/>
      <c r="AQ187" s="238"/>
      <c r="AR187" s="239"/>
      <c r="AS187" s="238"/>
      <c r="AT187" s="238"/>
      <c r="AU187" s="238"/>
      <c r="AV187" s="238"/>
      <c r="AW187" s="238"/>
      <c r="AX187" s="238"/>
      <c r="AY187" s="238"/>
      <c r="AZ187" s="238"/>
      <c r="BA187" s="241"/>
      <c r="BB187" s="242"/>
      <c r="BC187" s="243" t="n">
        <v>4.2905</v>
      </c>
      <c r="BD187" s="195" t="n">
        <f aca="false">BC187-E187</f>
        <v>-0.020999999999999</v>
      </c>
      <c r="BE187" s="251" t="n">
        <v>0</v>
      </c>
      <c r="BF187" s="245" t="n">
        <f aca="false">(BE187)*(D187*10)</f>
        <v>0</v>
      </c>
      <c r="BG187" s="121" t="n">
        <v>5.21039495</v>
      </c>
      <c r="BH187" s="121" t="n">
        <v>0</v>
      </c>
      <c r="BI187" s="247"/>
      <c r="BJ187" s="121"/>
      <c r="BK187" s="121"/>
      <c r="BL187" s="121"/>
      <c r="BM187" s="121"/>
      <c r="BN187" s="121"/>
      <c r="BO187" s="121"/>
      <c r="BP187" s="275" t="n">
        <v>42522</v>
      </c>
      <c r="BQ187" s="143" t="n">
        <v>4.1805</v>
      </c>
      <c r="BR187" s="143" t="n">
        <v>0.17</v>
      </c>
      <c r="BS187" s="143" t="n">
        <v>0.0595491759706555</v>
      </c>
      <c r="BT187" s="121"/>
    </row>
    <row r="188" customFormat="false" ht="15" hidden="false" customHeight="false" outlineLevel="0" collapsed="false">
      <c r="A188" s="156" t="n">
        <f aca="false">EOMONTH(A187,0)+1</f>
        <v>42552</v>
      </c>
      <c r="B188" s="215"/>
      <c r="C188" s="281" t="n">
        <v>4.3405</v>
      </c>
      <c r="D188" s="282" t="n">
        <f aca="false">(E188-C188)*1000</f>
        <v>20.999999999999</v>
      </c>
      <c r="E188" s="283" t="n">
        <f aca="false">VLOOKUP(YEAR(A188),Yr_Sprds,2)+E176</f>
        <v>4.3615</v>
      </c>
      <c r="F188" s="287"/>
      <c r="G188" s="288"/>
      <c r="H188" s="287"/>
      <c r="I188" s="287"/>
      <c r="J188" s="279"/>
      <c r="K188" s="278"/>
      <c r="L188" s="291"/>
      <c r="M188" s="112"/>
      <c r="N188" s="278"/>
      <c r="O188" s="278"/>
      <c r="P188" s="278"/>
      <c r="Q188" s="167"/>
      <c r="R188" s="167"/>
      <c r="S188" s="167"/>
      <c r="T188" s="167"/>
      <c r="U188" s="167"/>
      <c r="V188" s="167"/>
      <c r="W188" s="167"/>
      <c r="X188" s="167"/>
      <c r="Y188" s="228" t="n">
        <f aca="false">DAY(EOMONTH(A188,0))</f>
        <v>31</v>
      </c>
      <c r="Z188" s="268" t="n">
        <v>42396</v>
      </c>
      <c r="AA188" s="230" t="e">
        <f aca="false">IF(AND(A188&gt;=Front!$E$11,A188&lt;=Front!$E$12),A188,"")</f>
        <v>#VALUE!</v>
      </c>
      <c r="AB188" s="231" t="e">
        <f aca="false">IF(AA188="","",VLOOKUP(MONTH(A187),Front!$W$6:$X$17,2)*IF(Front!D$9=0,Swap!Y188,1))</f>
        <v>#VALUE!</v>
      </c>
      <c r="AC188" s="274" t="e">
        <f aca="false">IF(AA188="","",AB188*AH188)</f>
        <v>#VALUE!</v>
      </c>
      <c r="AD188" s="233"/>
      <c r="AE188" s="231" t="e">
        <f aca="false">IF(AA188="","",AD188*AH188)</f>
        <v>#VALUE!</v>
      </c>
      <c r="AF188" s="243" t="n">
        <f aca="false">INDEX(IRTable,MATCH(A188,IRMonth,0),4)</f>
        <v>0.0596142134873601</v>
      </c>
      <c r="AG188" s="243" t="n">
        <f aca="false">AF188+$AG$9</f>
        <v>0.0596142134873601</v>
      </c>
      <c r="AH188" s="195" t="n">
        <f aca="false">1/((1+AG188/2)^(2*((A188-Front!$C$2)/365.25)))</f>
        <v>1.72054163315232</v>
      </c>
      <c r="AI188" s="236" t="e">
        <f aca="false">IF($AA188="","",E188*AC188)</f>
        <v>#VALUE!</v>
      </c>
      <c r="AJ188" s="236" t="e">
        <f aca="false">IF($AA188="","",E188*AE188)</f>
        <v>#VALUE!</v>
      </c>
      <c r="AK188" s="237" t="e">
        <f aca="false">IF($AA188="","",C188*AC188)</f>
        <v>#VALUE!</v>
      </c>
      <c r="AL188" s="160" t="n">
        <f aca="false">(AO188/10000)/30.5</f>
        <v>0</v>
      </c>
      <c r="AM188" s="238" t="n">
        <f aca="false">AD188/10000</f>
        <v>0</v>
      </c>
      <c r="AN188" s="238" t="n">
        <f aca="false">AD188*DAY(EOMONTH(A188,0))/10000</f>
        <v>0</v>
      </c>
      <c r="AO188" s="238"/>
      <c r="AP188" s="238"/>
      <c r="AQ188" s="238"/>
      <c r="AR188" s="239"/>
      <c r="AS188" s="238"/>
      <c r="AT188" s="238"/>
      <c r="AU188" s="238"/>
      <c r="AV188" s="238"/>
      <c r="AW188" s="238"/>
      <c r="AX188" s="238"/>
      <c r="AY188" s="238"/>
      <c r="AZ188" s="238"/>
      <c r="BA188" s="241"/>
      <c r="BB188" s="242"/>
      <c r="BC188" s="243" t="n">
        <v>4.3405</v>
      </c>
      <c r="BD188" s="195" t="n">
        <f aca="false">BC188-E188</f>
        <v>-0.020999999999999</v>
      </c>
      <c r="BE188" s="251" t="n">
        <v>0</v>
      </c>
      <c r="BF188" s="245" t="n">
        <f aca="false">(BE188)*(D188*10)</f>
        <v>0</v>
      </c>
      <c r="BG188" s="121" t="n">
        <v>5.45755182</v>
      </c>
      <c r="BH188" s="121" t="n">
        <v>0</v>
      </c>
      <c r="BI188" s="247"/>
      <c r="BJ188" s="121"/>
      <c r="BK188" s="121"/>
      <c r="BL188" s="121"/>
      <c r="BM188" s="121"/>
      <c r="BN188" s="121"/>
      <c r="BO188" s="121"/>
      <c r="BP188" s="275" t="n">
        <v>42552</v>
      </c>
      <c r="BQ188" s="143" t="n">
        <v>4.2305</v>
      </c>
      <c r="BR188" s="143" t="n">
        <v>0.17</v>
      </c>
      <c r="BS188" s="143" t="n">
        <v>0.0596142134873601</v>
      </c>
      <c r="BT188" s="121"/>
    </row>
    <row r="189" customFormat="false" ht="15" hidden="false" customHeight="false" outlineLevel="0" collapsed="false">
      <c r="A189" s="156" t="n">
        <f aca="false">EOMONTH(A188,0)+1</f>
        <v>42583</v>
      </c>
      <c r="B189" s="215"/>
      <c r="C189" s="281" t="n">
        <v>4.3745</v>
      </c>
      <c r="D189" s="282" t="n">
        <f aca="false">(E189-C189)*1000</f>
        <v>20.999999999999</v>
      </c>
      <c r="E189" s="283" t="n">
        <f aca="false">VLOOKUP(YEAR(A189),Yr_Sprds,2)+E177</f>
        <v>4.3955</v>
      </c>
      <c r="F189" s="287"/>
      <c r="G189" s="288"/>
      <c r="H189" s="287"/>
      <c r="I189" s="287"/>
      <c r="J189" s="279"/>
      <c r="K189" s="278"/>
      <c r="L189" s="291"/>
      <c r="M189" s="112"/>
      <c r="N189" s="278"/>
      <c r="O189" s="278"/>
      <c r="P189" s="278"/>
      <c r="Q189" s="167"/>
      <c r="R189" s="167"/>
      <c r="S189" s="167"/>
      <c r="T189" s="167"/>
      <c r="U189" s="167"/>
      <c r="V189" s="167"/>
      <c r="W189" s="167"/>
      <c r="X189" s="167"/>
      <c r="Y189" s="228" t="n">
        <f aca="false">DAY(EOMONTH(A189,0))</f>
        <v>31</v>
      </c>
      <c r="Z189" s="268" t="n">
        <v>42425</v>
      </c>
      <c r="AA189" s="230" t="e">
        <f aca="false">IF(AND(A189&gt;=Front!$E$11,A189&lt;=Front!$E$12),A189,"")</f>
        <v>#VALUE!</v>
      </c>
      <c r="AB189" s="231" t="e">
        <f aca="false">IF(AA189="","",VLOOKUP(MONTH(A188),Front!$W$6:$X$17,2)*IF(Front!D$9=0,Swap!Y189,1))</f>
        <v>#VALUE!</v>
      </c>
      <c r="AC189" s="274" t="e">
        <f aca="false">IF(AA189="","",AB189*AH189)</f>
        <v>#VALUE!</v>
      </c>
      <c r="AD189" s="233"/>
      <c r="AE189" s="231" t="e">
        <f aca="false">IF(AA189="","",AD189*AH189)</f>
        <v>#VALUE!</v>
      </c>
      <c r="AF189" s="243" t="n">
        <f aca="false">INDEX(IRTable,MATCH(A189,IRMonth,0),4)</f>
        <v>0.0596814189227652</v>
      </c>
      <c r="AG189" s="243" t="n">
        <f aca="false">AF189+$AG$9</f>
        <v>0.0596814189227652</v>
      </c>
      <c r="AH189" s="195" t="n">
        <f aca="false">1/((1+AG189/2)^(2*((A189-Front!$C$2)/365.25)))</f>
        <v>1.71300770824914</v>
      </c>
      <c r="AI189" s="236" t="e">
        <f aca="false">IF($AA189="","",E189*AC189)</f>
        <v>#VALUE!</v>
      </c>
      <c r="AJ189" s="236" t="e">
        <f aca="false">IF($AA189="","",E189*AE189)</f>
        <v>#VALUE!</v>
      </c>
      <c r="AK189" s="237" t="e">
        <f aca="false">IF($AA189="","",C189*AC189)</f>
        <v>#VALUE!</v>
      </c>
      <c r="AL189" s="160" t="n">
        <f aca="false">(AO189/10000)/30.5</f>
        <v>0</v>
      </c>
      <c r="AM189" s="238" t="n">
        <f aca="false">AD189/10000</f>
        <v>0</v>
      </c>
      <c r="AN189" s="238" t="n">
        <f aca="false">AD189*DAY(EOMONTH(A189,0))/10000</f>
        <v>0</v>
      </c>
      <c r="AO189" s="238"/>
      <c r="AP189" s="238"/>
      <c r="AQ189" s="238"/>
      <c r="AR189" s="239"/>
      <c r="AS189" s="238"/>
      <c r="AT189" s="238"/>
      <c r="AU189" s="238"/>
      <c r="AV189" s="238"/>
      <c r="AW189" s="238"/>
      <c r="AX189" s="238"/>
      <c r="AY189" s="238"/>
      <c r="AZ189" s="238"/>
      <c r="BA189" s="241"/>
      <c r="BB189" s="242"/>
      <c r="BC189" s="243" t="n">
        <v>4.3745</v>
      </c>
      <c r="BD189" s="195" t="n">
        <f aca="false">BC189-E189</f>
        <v>-0.020999999999999</v>
      </c>
      <c r="BE189" s="251" t="n">
        <v>0</v>
      </c>
      <c r="BF189" s="245" t="n">
        <f aca="false">(BE189)*(D189*10)</f>
        <v>0</v>
      </c>
      <c r="BG189" s="121" t="n">
        <v>5.42667102</v>
      </c>
      <c r="BH189" s="121" t="n">
        <v>0</v>
      </c>
      <c r="BI189" s="247"/>
      <c r="BJ189" s="121"/>
      <c r="BK189" s="121"/>
      <c r="BL189" s="121"/>
      <c r="BM189" s="121"/>
      <c r="BN189" s="121"/>
      <c r="BO189" s="121"/>
      <c r="BP189" s="275" t="n">
        <v>42583</v>
      </c>
      <c r="BQ189" s="143" t="n">
        <v>4.2645</v>
      </c>
      <c r="BR189" s="143" t="n">
        <v>0.17</v>
      </c>
      <c r="BS189" s="143" t="n">
        <v>0.0596814189227652</v>
      </c>
      <c r="BT189" s="121"/>
    </row>
    <row r="190" customFormat="false" ht="15" hidden="false" customHeight="false" outlineLevel="0" collapsed="false">
      <c r="A190" s="156" t="n">
        <f aca="false">EOMONTH(A189,0)+1</f>
        <v>42614</v>
      </c>
      <c r="B190" s="215"/>
      <c r="C190" s="281" t="n">
        <v>4.3875</v>
      </c>
      <c r="D190" s="282" t="n">
        <f aca="false">(E190-C190)*1000</f>
        <v>20.9999999999999</v>
      </c>
      <c r="E190" s="283" t="n">
        <f aca="false">VLOOKUP(YEAR(A190),Yr_Sprds,2)+E178</f>
        <v>4.4085</v>
      </c>
      <c r="F190" s="287"/>
      <c r="G190" s="288"/>
      <c r="H190" s="287"/>
      <c r="I190" s="287"/>
      <c r="J190" s="279"/>
      <c r="K190" s="278"/>
      <c r="L190" s="291"/>
      <c r="M190" s="112"/>
      <c r="N190" s="278"/>
      <c r="O190" s="278"/>
      <c r="P190" s="278"/>
      <c r="Q190" s="167"/>
      <c r="R190" s="167"/>
      <c r="S190" s="167"/>
      <c r="T190" s="167"/>
      <c r="U190" s="167"/>
      <c r="V190" s="167"/>
      <c r="W190" s="167"/>
      <c r="X190" s="167"/>
      <c r="Y190" s="228" t="n">
        <f aca="false">DAY(EOMONTH(A190,0))</f>
        <v>30</v>
      </c>
      <c r="Z190" s="268" t="n">
        <v>42458</v>
      </c>
      <c r="AA190" s="230" t="e">
        <f aca="false">IF(AND(A190&gt;=Front!$E$11,A190&lt;=Front!$E$12),A190,"")</f>
        <v>#VALUE!</v>
      </c>
      <c r="AB190" s="231" t="e">
        <f aca="false">IF(AA190="","",VLOOKUP(MONTH(A189),Front!$W$6:$X$17,2)*IF(Front!D$9=0,Swap!Y190,1))</f>
        <v>#VALUE!</v>
      </c>
      <c r="AC190" s="274" t="e">
        <f aca="false">IF(AA190="","",AB190*AH190)</f>
        <v>#VALUE!</v>
      </c>
      <c r="AD190" s="233"/>
      <c r="AE190" s="231" t="e">
        <f aca="false">IF(AA190="","",AD190*AH190)</f>
        <v>#VALUE!</v>
      </c>
      <c r="AF190" s="243" t="n">
        <f aca="false">INDEX(IRTable,MATCH(A190,IRMonth,0),4)</f>
        <v>0.0597486243596714</v>
      </c>
      <c r="AG190" s="243" t="n">
        <f aca="false">AF190+$AG$9</f>
        <v>0.0597486243596714</v>
      </c>
      <c r="AH190" s="195" t="n">
        <f aca="false">1/((1+AG190/2)^(2*((A190-Front!$C$2)/365.25)))</f>
        <v>1.70548784736849</v>
      </c>
      <c r="AI190" s="236" t="e">
        <f aca="false">IF($AA190="","",E190*AC190)</f>
        <v>#VALUE!</v>
      </c>
      <c r="AJ190" s="236" t="e">
        <f aca="false">IF($AA190="","",E190*AE190)</f>
        <v>#VALUE!</v>
      </c>
      <c r="AK190" s="237" t="e">
        <f aca="false">IF($AA190="","",C190*AC190)</f>
        <v>#VALUE!</v>
      </c>
      <c r="AL190" s="160" t="n">
        <f aca="false">(AO190/10000)/30.5</f>
        <v>0</v>
      </c>
      <c r="AM190" s="238" t="n">
        <f aca="false">AD190/10000</f>
        <v>0</v>
      </c>
      <c r="AN190" s="238" t="n">
        <f aca="false">AD190*DAY(EOMONTH(A190,0))/10000</f>
        <v>0</v>
      </c>
      <c r="AO190" s="238"/>
      <c r="AP190" s="238"/>
      <c r="AQ190" s="238"/>
      <c r="AR190" s="239"/>
      <c r="AS190" s="238"/>
      <c r="AT190" s="238"/>
      <c r="AU190" s="238"/>
      <c r="AV190" s="238"/>
      <c r="AW190" s="238"/>
      <c r="AX190" s="238"/>
      <c r="AY190" s="238"/>
      <c r="AZ190" s="238"/>
      <c r="BA190" s="241"/>
      <c r="BB190" s="242"/>
      <c r="BC190" s="243" t="n">
        <v>4.3875</v>
      </c>
      <c r="BD190" s="195" t="n">
        <f aca="false">BC190-E190</f>
        <v>-0.0209999999999999</v>
      </c>
      <c r="BE190" s="251" t="n">
        <v>0</v>
      </c>
      <c r="BF190" s="245" t="n">
        <f aca="false">(BE190)*(D190*10)</f>
        <v>0</v>
      </c>
      <c r="BG190" s="121" t="n">
        <v>4.95265728</v>
      </c>
      <c r="BH190" s="121" t="n">
        <v>0</v>
      </c>
      <c r="BI190" s="247"/>
      <c r="BJ190" s="121"/>
      <c r="BK190" s="121"/>
      <c r="BL190" s="121"/>
      <c r="BM190" s="121"/>
      <c r="BN190" s="121"/>
      <c r="BO190" s="121"/>
      <c r="BP190" s="275" t="n">
        <v>42614</v>
      </c>
      <c r="BQ190" s="143" t="n">
        <v>4.2775</v>
      </c>
      <c r="BR190" s="143" t="n">
        <v>0.17</v>
      </c>
      <c r="BS190" s="143" t="n">
        <v>0.0597486243596714</v>
      </c>
      <c r="BT190" s="121"/>
    </row>
    <row r="191" customFormat="false" ht="15" hidden="false" customHeight="false" outlineLevel="0" collapsed="false">
      <c r="A191" s="156" t="n">
        <f aca="false">EOMONTH(A190,0)+1</f>
        <v>42644</v>
      </c>
      <c r="B191" s="215"/>
      <c r="C191" s="281" t="n">
        <v>4.3795</v>
      </c>
      <c r="D191" s="282" t="n">
        <f aca="false">(E191-C191)*1000</f>
        <v>20.999999999999</v>
      </c>
      <c r="E191" s="283" t="n">
        <f aca="false">VLOOKUP(YEAR(A191),Yr_Sprds,2)+E179</f>
        <v>4.4005</v>
      </c>
      <c r="F191" s="287"/>
      <c r="G191" s="288"/>
      <c r="H191" s="287"/>
      <c r="I191" s="287"/>
      <c r="J191" s="279"/>
      <c r="K191" s="278"/>
      <c r="L191" s="291"/>
      <c r="M191" s="112"/>
      <c r="N191" s="278"/>
      <c r="O191" s="278"/>
      <c r="P191" s="278"/>
      <c r="Q191" s="167"/>
      <c r="R191" s="167"/>
      <c r="S191" s="167"/>
      <c r="T191" s="167"/>
      <c r="U191" s="167"/>
      <c r="V191" s="167"/>
      <c r="W191" s="167"/>
      <c r="X191" s="167"/>
      <c r="Y191" s="228" t="n">
        <f aca="false">DAY(EOMONTH(A191,0))</f>
        <v>31</v>
      </c>
      <c r="Z191" s="268" t="n">
        <v>42487</v>
      </c>
      <c r="AA191" s="230" t="e">
        <f aca="false">IF(AND(A191&gt;=Front!$E$11,A191&lt;=Front!$E$12),A191,"")</f>
        <v>#VALUE!</v>
      </c>
      <c r="AB191" s="231" t="e">
        <f aca="false">IF(AA191="","",VLOOKUP(MONTH(A190),Front!$W$6:$X$17,2)*IF(Front!D$9=0,Swap!Y191,1))</f>
        <v>#VALUE!</v>
      </c>
      <c r="AC191" s="274" t="e">
        <f aca="false">IF(AA191="","",AB191*AH191)</f>
        <v>#VALUE!</v>
      </c>
      <c r="AD191" s="233"/>
      <c r="AE191" s="231" t="e">
        <f aca="false">IF(AA191="","",AD191*AH191)</f>
        <v>#VALUE!</v>
      </c>
      <c r="AF191" s="243" t="n">
        <f aca="false">INDEX(IRTable,MATCH(A191,IRMonth,0),4)</f>
        <v>0.0598136618806868</v>
      </c>
      <c r="AG191" s="243" t="n">
        <f aca="false">AF191+$AG$9</f>
        <v>0.0598136618806868</v>
      </c>
      <c r="AH191" s="195" t="n">
        <f aca="false">1/((1+AG191/2)^(2*((A191-Front!$C$2)/365.25)))</f>
        <v>1.69822405304188</v>
      </c>
      <c r="AI191" s="236" t="e">
        <f aca="false">IF($AA191="","",E191*AC191)</f>
        <v>#VALUE!</v>
      </c>
      <c r="AJ191" s="236" t="e">
        <f aca="false">IF($AA191="","",E191*AE191)</f>
        <v>#VALUE!</v>
      </c>
      <c r="AK191" s="237" t="e">
        <f aca="false">IF($AA191="","",C191*AC191)</f>
        <v>#VALUE!</v>
      </c>
      <c r="AL191" s="160" t="n">
        <f aca="false">(AO191/10000)/30.5</f>
        <v>0</v>
      </c>
      <c r="AM191" s="238" t="n">
        <f aca="false">AD191/10000</f>
        <v>0</v>
      </c>
      <c r="AN191" s="238" t="n">
        <f aca="false">AD191*DAY(EOMONTH(A191,0))/10000</f>
        <v>0</v>
      </c>
      <c r="AO191" s="238"/>
      <c r="AP191" s="238"/>
      <c r="AQ191" s="238"/>
      <c r="AR191" s="239"/>
      <c r="AS191" s="238"/>
      <c r="AT191" s="238"/>
      <c r="AU191" s="238"/>
      <c r="AV191" s="238"/>
      <c r="AW191" s="238"/>
      <c r="AX191" s="238"/>
      <c r="AY191" s="238"/>
      <c r="AZ191" s="238"/>
      <c r="BA191" s="241"/>
      <c r="BB191" s="242"/>
      <c r="BC191" s="243" t="n">
        <v>4.3795</v>
      </c>
      <c r="BD191" s="195" t="n">
        <f aca="false">BC191-E191</f>
        <v>-0.020999999999999</v>
      </c>
      <c r="BE191" s="251" t="n">
        <v>0</v>
      </c>
      <c r="BF191" s="245" t="n">
        <f aca="false">(BE191)*(D191*10)</f>
        <v>0</v>
      </c>
      <c r="BG191" s="121" t="n">
        <v>4.78893976</v>
      </c>
      <c r="BH191" s="121" t="n">
        <v>0</v>
      </c>
      <c r="BI191" s="247"/>
      <c r="BJ191" s="121"/>
      <c r="BK191" s="121"/>
      <c r="BL191" s="121"/>
      <c r="BM191" s="121"/>
      <c r="BN191" s="121"/>
      <c r="BO191" s="121"/>
      <c r="BP191" s="275" t="n">
        <v>42644</v>
      </c>
      <c r="BQ191" s="143" t="n">
        <v>4.2995</v>
      </c>
      <c r="BR191" s="143" t="n">
        <v>0.17</v>
      </c>
      <c r="BS191" s="143" t="n">
        <v>0.0598136618806868</v>
      </c>
      <c r="BT191" s="121"/>
    </row>
    <row r="192" customFormat="false" ht="15" hidden="false" customHeight="false" outlineLevel="0" collapsed="false">
      <c r="A192" s="156" t="n">
        <f aca="false">EOMONTH(A191,0)+1</f>
        <v>42675</v>
      </c>
      <c r="B192" s="215"/>
      <c r="C192" s="281" t="n">
        <v>4.5495</v>
      </c>
      <c r="D192" s="282" t="n">
        <f aca="false">(E192-C192)*1000</f>
        <v>20.999999999999</v>
      </c>
      <c r="E192" s="283" t="n">
        <f aca="false">VLOOKUP(YEAR(A192),Yr_Sprds,2)+E180</f>
        <v>4.5705</v>
      </c>
      <c r="F192" s="287"/>
      <c r="G192" s="288"/>
      <c r="H192" s="287"/>
      <c r="I192" s="287"/>
      <c r="J192" s="279"/>
      <c r="K192" s="278"/>
      <c r="L192" s="291"/>
      <c r="M192" s="112"/>
      <c r="N192" s="278"/>
      <c r="O192" s="278"/>
      <c r="P192" s="278"/>
      <c r="Q192" s="167"/>
      <c r="R192" s="167"/>
      <c r="S192" s="167"/>
      <c r="T192" s="167"/>
      <c r="U192" s="167"/>
      <c r="V192" s="167"/>
      <c r="W192" s="167"/>
      <c r="X192" s="167"/>
      <c r="Y192" s="228" t="n">
        <f aca="false">DAY(EOMONTH(A192,0))</f>
        <v>30</v>
      </c>
      <c r="Z192" s="268" t="n">
        <v>42516</v>
      </c>
      <c r="AA192" s="230" t="e">
        <f aca="false">IF(AND(A192&gt;=Front!$E$11,A192&lt;=Front!$E$12),A192,"")</f>
        <v>#VALUE!</v>
      </c>
      <c r="AB192" s="231" t="e">
        <f aca="false">IF(AA192="","",VLOOKUP(MONTH(A191),Front!$W$6:$X$17,2)*IF(Front!D$9=0,Swap!Y192,1))</f>
        <v>#VALUE!</v>
      </c>
      <c r="AC192" s="274" t="e">
        <f aca="false">IF(AA192="","",AB192*AH192)</f>
        <v>#VALUE!</v>
      </c>
      <c r="AD192" s="233"/>
      <c r="AE192" s="231" t="e">
        <f aca="false">IF(AA192="","",AD192*AH192)</f>
        <v>#VALUE!</v>
      </c>
      <c r="AF192" s="243" t="n">
        <f aca="false">INDEX(IRTable,MATCH(A192,IRMonth,0),4)</f>
        <v>0.0598808673205462</v>
      </c>
      <c r="AG192" s="243" t="n">
        <f aca="false">AF192+$AG$9</f>
        <v>0.0598808673205462</v>
      </c>
      <c r="AH192" s="195" t="n">
        <f aca="false">1/((1+AG192/2)^(2*((A192-Front!$C$2)/365.25)))</f>
        <v>1.69073217429243</v>
      </c>
      <c r="AI192" s="236" t="e">
        <f aca="false">IF($AA192="","",E192*AC192)</f>
        <v>#VALUE!</v>
      </c>
      <c r="AJ192" s="236" t="e">
        <f aca="false">IF($AA192="","",E192*AE192)</f>
        <v>#VALUE!</v>
      </c>
      <c r="AK192" s="237" t="e">
        <f aca="false">IF($AA192="","",C192*AC192)</f>
        <v>#VALUE!</v>
      </c>
      <c r="AL192" s="160" t="n">
        <f aca="false">(AO192/10000)/30.5</f>
        <v>0</v>
      </c>
      <c r="AM192" s="238" t="n">
        <f aca="false">AD192/10000</f>
        <v>0</v>
      </c>
      <c r="AN192" s="238" t="n">
        <f aca="false">AD192*DAY(EOMONTH(A192,0))/10000</f>
        <v>0</v>
      </c>
      <c r="AO192" s="238"/>
      <c r="AP192" s="238"/>
      <c r="AQ192" s="238"/>
      <c r="AR192" s="239"/>
      <c r="AS192" s="238"/>
      <c r="AT192" s="238"/>
      <c r="AU192" s="238"/>
      <c r="AV192" s="238"/>
      <c r="AW192" s="238"/>
      <c r="AX192" s="238"/>
      <c r="AY192" s="238"/>
      <c r="AZ192" s="238"/>
      <c r="BA192" s="241"/>
      <c r="BB192" s="242"/>
      <c r="BC192" s="243" t="n">
        <v>4.5495</v>
      </c>
      <c r="BD192" s="195" t="n">
        <f aca="false">BC192-E192</f>
        <v>-0.020999999999999</v>
      </c>
      <c r="BE192" s="251" t="n">
        <v>0</v>
      </c>
      <c r="BF192" s="245" t="n">
        <f aca="false">(BE192)*(D192*10)</f>
        <v>0</v>
      </c>
      <c r="BG192" s="121" t="n">
        <v>5.40175864</v>
      </c>
      <c r="BH192" s="121" t="n">
        <v>0</v>
      </c>
      <c r="BI192" s="247"/>
      <c r="BJ192" s="121"/>
      <c r="BK192" s="121"/>
      <c r="BL192" s="121"/>
      <c r="BM192" s="121"/>
      <c r="BN192" s="121"/>
      <c r="BO192" s="121"/>
      <c r="BP192" s="275" t="n">
        <v>42675</v>
      </c>
      <c r="BQ192" s="143" t="n">
        <v>4.4695</v>
      </c>
      <c r="BR192" s="143" t="n">
        <v>0.17</v>
      </c>
      <c r="BS192" s="143" t="n">
        <v>0.0598808673205462</v>
      </c>
      <c r="BT192" s="121"/>
    </row>
    <row r="193" customFormat="false" ht="15" hidden="false" customHeight="false" outlineLevel="0" collapsed="false">
      <c r="A193" s="156" t="n">
        <f aca="false">EOMONTH(A192,0)+1</f>
        <v>42705</v>
      </c>
      <c r="B193" s="215"/>
      <c r="C193" s="281" t="n">
        <v>4.7245</v>
      </c>
      <c r="D193" s="282" t="n">
        <f aca="false">(E193-C193)*1000</f>
        <v>20.999999999999</v>
      </c>
      <c r="E193" s="283" t="n">
        <f aca="false">VLOOKUP(YEAR(A193),Yr_Sprds,2)+E181</f>
        <v>4.7455</v>
      </c>
      <c r="F193" s="287"/>
      <c r="G193" s="288"/>
      <c r="H193" s="287"/>
      <c r="I193" s="287"/>
      <c r="J193" s="279"/>
      <c r="K193" s="278"/>
      <c r="L193" s="291"/>
      <c r="M193" s="112"/>
      <c r="N193" s="278"/>
      <c r="O193" s="278"/>
      <c r="P193" s="278"/>
      <c r="Q193" s="167"/>
      <c r="R193" s="167"/>
      <c r="S193" s="167"/>
      <c r="T193" s="167"/>
      <c r="U193" s="167"/>
      <c r="V193" s="167"/>
      <c r="W193" s="167"/>
      <c r="X193" s="167"/>
      <c r="Y193" s="228" t="n">
        <f aca="false">DAY(EOMONTH(A193,0))</f>
        <v>31</v>
      </c>
      <c r="Z193" s="268" t="n">
        <v>42549</v>
      </c>
      <c r="AA193" s="230" t="e">
        <f aca="false">IF(AND(A193&gt;=Front!$E$11,A193&lt;=Front!$E$12),A193,"")</f>
        <v>#VALUE!</v>
      </c>
      <c r="AB193" s="231" t="e">
        <f aca="false">IF(AA193="","",VLOOKUP(MONTH(A192),Front!$W$6:$X$17,2)*IF(Front!D$9=0,Swap!Y193,1))</f>
        <v>#VALUE!</v>
      </c>
      <c r="AC193" s="274" t="e">
        <f aca="false">IF(AA193="","",AB193*AH193)</f>
        <v>#VALUE!</v>
      </c>
      <c r="AD193" s="233"/>
      <c r="AE193" s="231" t="e">
        <f aca="false">IF(AA193="","",AD193*AH193)</f>
        <v>#VALUE!</v>
      </c>
      <c r="AF193" s="243" t="n">
        <f aca="false">INDEX(IRTable,MATCH(A193,IRMonth,0),4)</f>
        <v>0.0599459048444198</v>
      </c>
      <c r="AG193" s="243" t="n">
        <f aca="false">AF193+$AG$9</f>
        <v>0.0599459048444198</v>
      </c>
      <c r="AH193" s="195" t="n">
        <f aca="false">1/((1+AG193/2)^(2*((A193-Front!$C$2)/365.25)))</f>
        <v>1.68349565488317</v>
      </c>
      <c r="AI193" s="236" t="e">
        <f aca="false">IF($AA193="","",E193*AC193)</f>
        <v>#VALUE!</v>
      </c>
      <c r="AJ193" s="236" t="e">
        <f aca="false">IF($AA193="","",E193*AE193)</f>
        <v>#VALUE!</v>
      </c>
      <c r="AK193" s="237" t="e">
        <f aca="false">IF($AA193="","",C193*AC193)</f>
        <v>#VALUE!</v>
      </c>
      <c r="AL193" s="160" t="n">
        <f aca="false">(AO193/10000)/30.5</f>
        <v>0</v>
      </c>
      <c r="AM193" s="238" t="n">
        <f aca="false">AD193/10000</f>
        <v>0</v>
      </c>
      <c r="AN193" s="238" t="n">
        <f aca="false">AD193*DAY(EOMONTH(A193,0))/10000</f>
        <v>0</v>
      </c>
      <c r="AO193" s="238"/>
      <c r="AP193" s="238"/>
      <c r="AQ193" s="238"/>
      <c r="AR193" s="239"/>
      <c r="AS193" s="238"/>
      <c r="AT193" s="238"/>
      <c r="AU193" s="238"/>
      <c r="AV193" s="238"/>
      <c r="AW193" s="238"/>
      <c r="AX193" s="238"/>
      <c r="AY193" s="238"/>
      <c r="AZ193" s="238"/>
      <c r="BA193" s="241"/>
      <c r="BB193" s="242"/>
      <c r="BC193" s="243" t="n">
        <v>4.7245</v>
      </c>
      <c r="BD193" s="195" t="n">
        <f aca="false">BC193-E193</f>
        <v>-0.020999999999999</v>
      </c>
      <c r="BE193" s="251" t="n">
        <v>0</v>
      </c>
      <c r="BF193" s="245" t="n">
        <f aca="false">(BE193)*(D193*10)</f>
        <v>0</v>
      </c>
      <c r="BG193" s="121" t="n">
        <v>5.99847458</v>
      </c>
      <c r="BH193" s="121" t="n">
        <v>0</v>
      </c>
      <c r="BI193" s="247"/>
      <c r="BJ193" s="121"/>
      <c r="BK193" s="121"/>
      <c r="BL193" s="121"/>
      <c r="BM193" s="121"/>
      <c r="BN193" s="121"/>
      <c r="BO193" s="121"/>
      <c r="BP193" s="275" t="n">
        <v>42705</v>
      </c>
      <c r="BQ193" s="143" t="n">
        <v>4.6445</v>
      </c>
      <c r="BR193" s="143" t="n">
        <v>0.17</v>
      </c>
      <c r="BS193" s="143" t="n">
        <v>0.0599459048444198</v>
      </c>
      <c r="BT193" s="121"/>
    </row>
    <row r="194" customFormat="false" ht="15" hidden="false" customHeight="false" outlineLevel="0" collapsed="false">
      <c r="A194" s="156" t="n">
        <f aca="false">EOMONTH(A193,0)+1</f>
        <v>42736</v>
      </c>
      <c r="B194" s="215"/>
      <c r="C194" s="281" t="n">
        <v>4.7795</v>
      </c>
      <c r="D194" s="282" t="n">
        <f aca="false">(E194-C194)*1000</f>
        <v>23.4999999999985</v>
      </c>
      <c r="E194" s="283" t="n">
        <f aca="false">VLOOKUP(YEAR(A194),Yr_Sprds,2)+E182</f>
        <v>4.803</v>
      </c>
      <c r="F194" s="287"/>
      <c r="G194" s="288"/>
      <c r="H194" s="287"/>
      <c r="I194" s="287"/>
      <c r="J194" s="279"/>
      <c r="K194" s="278"/>
      <c r="L194" s="291"/>
      <c r="M194" s="112"/>
      <c r="N194" s="278"/>
      <c r="O194" s="278"/>
      <c r="P194" s="278"/>
      <c r="Q194" s="167"/>
      <c r="R194" s="167"/>
      <c r="S194" s="167"/>
      <c r="T194" s="167"/>
      <c r="U194" s="167"/>
      <c r="V194" s="167"/>
      <c r="W194" s="167"/>
      <c r="X194" s="167"/>
      <c r="Y194" s="228" t="n">
        <f aca="false">DAY(EOMONTH(A194,0))</f>
        <v>31</v>
      </c>
      <c r="Z194" s="268" t="n">
        <v>42578</v>
      </c>
      <c r="AA194" s="230" t="e">
        <f aca="false">IF(AND(A194&gt;=Front!$E$11,A194&lt;=Front!$E$12),A194,"")</f>
        <v>#VALUE!</v>
      </c>
      <c r="AB194" s="231" t="e">
        <f aca="false">IF(AA194="","",VLOOKUP(MONTH(A193),Front!$W$6:$X$17,2)*IF(Front!D$9=0,Swap!Y194,1))</f>
        <v>#VALUE!</v>
      </c>
      <c r="AC194" s="274" t="e">
        <f aca="false">IF(AA194="","",AB194*AH194)</f>
        <v>#VALUE!</v>
      </c>
      <c r="AD194" s="233"/>
      <c r="AE194" s="231" t="e">
        <f aca="false">IF(AA194="","",AD194*AH194)</f>
        <v>#VALUE!</v>
      </c>
      <c r="AF194" s="243" t="n">
        <f aca="false">INDEX(IRTable,MATCH(A194,IRMonth,0),4)</f>
        <v>0.0600131102872319</v>
      </c>
      <c r="AG194" s="243" t="n">
        <f aca="false">AF194+$AG$9</f>
        <v>0.0600131102872319</v>
      </c>
      <c r="AH194" s="195" t="n">
        <f aca="false">1/((1+AG194/2)^(2*((A194-Front!$C$2)/365.25)))</f>
        <v>1.67603216034911</v>
      </c>
      <c r="AI194" s="236" t="e">
        <f aca="false">IF($AA194="","",E194*AC194)</f>
        <v>#VALUE!</v>
      </c>
      <c r="AJ194" s="236" t="e">
        <f aca="false">IF($AA194="","",E194*AE194)</f>
        <v>#VALUE!</v>
      </c>
      <c r="AK194" s="237" t="e">
        <f aca="false">IF($AA194="","",C194*AC194)</f>
        <v>#VALUE!</v>
      </c>
      <c r="AL194" s="160" t="n">
        <f aca="false">(AO194/10000)/30.5</f>
        <v>0</v>
      </c>
      <c r="AM194" s="238" t="n">
        <f aca="false">AD194/10000</f>
        <v>0</v>
      </c>
      <c r="AN194" s="238" t="n">
        <f aca="false">AD194*DAY(EOMONTH(A194,0))/10000</f>
        <v>0</v>
      </c>
      <c r="AO194" s="238"/>
      <c r="AP194" s="238"/>
      <c r="AQ194" s="238"/>
      <c r="AR194" s="239"/>
      <c r="AS194" s="238"/>
      <c r="AT194" s="238"/>
      <c r="AU194" s="238"/>
      <c r="AV194" s="238"/>
      <c r="AW194" s="238"/>
      <c r="AX194" s="238"/>
      <c r="AY194" s="238"/>
      <c r="AZ194" s="238"/>
      <c r="BA194" s="241"/>
      <c r="BB194" s="242"/>
      <c r="BC194" s="243" t="n">
        <v>4.7795</v>
      </c>
      <c r="BD194" s="195" t="n">
        <f aca="false">BC194-E194</f>
        <v>-0.0234999999999985</v>
      </c>
      <c r="BE194" s="251" t="n">
        <v>0</v>
      </c>
      <c r="BF194" s="245" t="n">
        <f aca="false">(BE194)*(D194*10)</f>
        <v>0</v>
      </c>
      <c r="BG194" s="121" t="n">
        <v>5.68604229</v>
      </c>
      <c r="BH194" s="121" t="n">
        <v>0</v>
      </c>
      <c r="BI194" s="247"/>
      <c r="BJ194" s="121"/>
      <c r="BK194" s="121"/>
      <c r="BL194" s="121"/>
      <c r="BM194" s="121"/>
      <c r="BN194" s="121"/>
      <c r="BO194" s="121"/>
      <c r="BP194" s="275" t="n">
        <v>42736</v>
      </c>
      <c r="BQ194" s="143" t="n">
        <v>4.667</v>
      </c>
      <c r="BR194" s="143" t="n">
        <v>0.17</v>
      </c>
      <c r="BS194" s="143" t="n">
        <v>0.0600131102872319</v>
      </c>
      <c r="BT194" s="121"/>
    </row>
    <row r="195" customFormat="false" ht="15" hidden="false" customHeight="false" outlineLevel="0" collapsed="false">
      <c r="A195" s="156" t="n">
        <f aca="false">EOMONTH(A194,0)+1</f>
        <v>42767</v>
      </c>
      <c r="B195" s="215"/>
      <c r="C195" s="281" t="n">
        <v>4.6655</v>
      </c>
      <c r="D195" s="282" t="n">
        <f aca="false">(E195-C195)*1000</f>
        <v>23.4999999999994</v>
      </c>
      <c r="E195" s="283" t="n">
        <f aca="false">VLOOKUP(YEAR(A195),Yr_Sprds,2)+E183</f>
        <v>4.689</v>
      </c>
      <c r="F195" s="287"/>
      <c r="G195" s="288"/>
      <c r="H195" s="287"/>
      <c r="I195" s="287"/>
      <c r="J195" s="279"/>
      <c r="K195" s="278"/>
      <c r="L195" s="291"/>
      <c r="M195" s="112"/>
      <c r="N195" s="278"/>
      <c r="O195" s="278"/>
      <c r="P195" s="278"/>
      <c r="Q195" s="167"/>
      <c r="R195" s="167"/>
      <c r="S195" s="167"/>
      <c r="T195" s="167"/>
      <c r="U195" s="167"/>
      <c r="V195" s="167"/>
      <c r="W195" s="167"/>
      <c r="X195" s="167"/>
      <c r="Y195" s="228" t="n">
        <f aca="false">DAY(EOMONTH(A195,0))</f>
        <v>28</v>
      </c>
      <c r="Z195" s="268" t="n">
        <v>42611</v>
      </c>
      <c r="AA195" s="230" t="e">
        <f aca="false">IF(AND(A195&gt;=Front!$E$11,A195&lt;=Front!$E$12),A195,"")</f>
        <v>#VALUE!</v>
      </c>
      <c r="AB195" s="231" t="e">
        <f aca="false">IF(AA195="","",VLOOKUP(MONTH(A194),Front!$W$6:$X$17,2)*IF(Front!D$9=0,Swap!Y195,1))</f>
        <v>#VALUE!</v>
      </c>
      <c r="AC195" s="274" t="e">
        <f aca="false">IF(AA195="","",AB195*AH195)</f>
        <v>#VALUE!</v>
      </c>
      <c r="AD195" s="233"/>
      <c r="AE195" s="231" t="e">
        <f aca="false">IF(AA195="","",AD195*AH195)</f>
        <v>#VALUE!</v>
      </c>
      <c r="AF195" s="243" t="n">
        <f aca="false">INDEX(IRTable,MATCH(A195,IRMonth,0),4)</f>
        <v>0.060080315731545</v>
      </c>
      <c r="AG195" s="243" t="n">
        <f aca="false">AF195+$AG$9</f>
        <v>0.060080315731545</v>
      </c>
      <c r="AH195" s="195" t="n">
        <f aca="false">1/((1+AG195/2)^(2*((A195-Front!$C$2)/365.25)))</f>
        <v>1.66858324235581</v>
      </c>
      <c r="AI195" s="236" t="e">
        <f aca="false">IF($AA195="","",E195*AC195)</f>
        <v>#VALUE!</v>
      </c>
      <c r="AJ195" s="236" t="e">
        <f aca="false">IF($AA195="","",E195*AE195)</f>
        <v>#VALUE!</v>
      </c>
      <c r="AK195" s="237" t="e">
        <f aca="false">IF($AA195="","",C195*AC195)</f>
        <v>#VALUE!</v>
      </c>
      <c r="AL195" s="160" t="n">
        <f aca="false">(AO195/10000)/30.5</f>
        <v>0</v>
      </c>
      <c r="AM195" s="238" t="n">
        <f aca="false">AD195/10000</f>
        <v>0</v>
      </c>
      <c r="AN195" s="238" t="n">
        <f aca="false">AD195*DAY(EOMONTH(A195,0))/10000</f>
        <v>0</v>
      </c>
      <c r="AO195" s="238"/>
      <c r="AP195" s="238"/>
      <c r="AQ195" s="238"/>
      <c r="AR195" s="239"/>
      <c r="AS195" s="238"/>
      <c r="AT195" s="238"/>
      <c r="AU195" s="238"/>
      <c r="AV195" s="238"/>
      <c r="AW195" s="238"/>
      <c r="AX195" s="238"/>
      <c r="AY195" s="238"/>
      <c r="AZ195" s="238"/>
      <c r="BA195" s="241"/>
      <c r="BB195" s="242"/>
      <c r="BC195" s="243" t="n">
        <v>4.6655</v>
      </c>
      <c r="BD195" s="195" t="n">
        <f aca="false">BC195-E195</f>
        <v>-0.0234999999999994</v>
      </c>
      <c r="BE195" s="251" t="n">
        <v>0</v>
      </c>
      <c r="BF195" s="245" t="n">
        <f aca="false">(BE195)*(D195*10)</f>
        <v>0</v>
      </c>
      <c r="BG195" s="121" t="n">
        <v>5.8432699</v>
      </c>
      <c r="BH195" s="121" t="n">
        <v>0</v>
      </c>
      <c r="BI195" s="247"/>
      <c r="BJ195" s="121"/>
      <c r="BK195" s="121"/>
      <c r="BL195" s="121"/>
      <c r="BM195" s="121"/>
      <c r="BN195" s="121"/>
      <c r="BO195" s="121"/>
      <c r="BP195" s="275" t="n">
        <v>42767</v>
      </c>
      <c r="BQ195" s="143" t="n">
        <v>4.553</v>
      </c>
      <c r="BR195" s="143" t="n">
        <v>0.17</v>
      </c>
      <c r="BS195" s="143" t="n">
        <v>0.060080315731545</v>
      </c>
      <c r="BT195" s="121"/>
    </row>
    <row r="196" customFormat="false" ht="15" hidden="false" customHeight="false" outlineLevel="0" collapsed="false">
      <c r="A196" s="156" t="n">
        <f aca="false">EOMONTH(A195,0)+1</f>
        <v>42795</v>
      </c>
      <c r="B196" s="215"/>
      <c r="C196" s="281" t="n">
        <v>4.5335</v>
      </c>
      <c r="D196" s="282" t="n">
        <f aca="false">(E196-C196)*1000</f>
        <v>23.4999999999985</v>
      </c>
      <c r="E196" s="283" t="n">
        <f aca="false">VLOOKUP(YEAR(A196),Yr_Sprds,2)+E184</f>
        <v>4.557</v>
      </c>
      <c r="F196" s="287"/>
      <c r="G196" s="288"/>
      <c r="H196" s="287"/>
      <c r="I196" s="287"/>
      <c r="J196" s="279"/>
      <c r="K196" s="278"/>
      <c r="L196" s="291"/>
      <c r="M196" s="112"/>
      <c r="N196" s="278"/>
      <c r="O196" s="278"/>
      <c r="P196" s="278"/>
      <c r="Q196" s="167"/>
      <c r="R196" s="167"/>
      <c r="S196" s="167"/>
      <c r="T196" s="167"/>
      <c r="U196" s="167"/>
      <c r="V196" s="167"/>
      <c r="W196" s="167"/>
      <c r="X196" s="167"/>
      <c r="Y196" s="228" t="n">
        <f aca="false">DAY(EOMONTH(A196,0))</f>
        <v>31</v>
      </c>
      <c r="Z196" s="268" t="n">
        <v>42641</v>
      </c>
      <c r="AA196" s="230" t="e">
        <f aca="false">IF(AND(A196&gt;=Front!$E$11,A196&lt;=Front!$E$12),A196,"")</f>
        <v>#VALUE!</v>
      </c>
      <c r="AB196" s="231" t="e">
        <f aca="false">IF(AA196="","",VLOOKUP(MONTH(A195),Front!$W$6:$X$17,2)*IF(Front!D$9=0,Swap!Y196,1))</f>
        <v>#VALUE!</v>
      </c>
      <c r="AC196" s="274" t="e">
        <f aca="false">IF(AA196="","",AB196*AH196)</f>
        <v>#VALUE!</v>
      </c>
      <c r="AD196" s="233"/>
      <c r="AE196" s="231" t="e">
        <f aca="false">IF(AA196="","",AD196*AH196)</f>
        <v>#VALUE!</v>
      </c>
      <c r="AF196" s="243" t="n">
        <f aca="false">INDEX(IRTable,MATCH(A196,IRMonth,0),4)</f>
        <v>0.0601410174244728</v>
      </c>
      <c r="AG196" s="243" t="n">
        <f aca="false">AF196+$AG$9</f>
        <v>0.0601410174244728</v>
      </c>
      <c r="AH196" s="195" t="n">
        <f aca="false">1/((1+AG196/2)^(2*((A196-Front!$C$2)/365.25)))</f>
        <v>1.66186780029602</v>
      </c>
      <c r="AI196" s="236" t="e">
        <f aca="false">IF($AA196="","",E196*AC196)</f>
        <v>#VALUE!</v>
      </c>
      <c r="AJ196" s="236" t="e">
        <f aca="false">IF($AA196="","",E196*AE196)</f>
        <v>#VALUE!</v>
      </c>
      <c r="AK196" s="237" t="e">
        <f aca="false">IF($AA196="","",C196*AC196)</f>
        <v>#VALUE!</v>
      </c>
      <c r="AL196" s="160" t="n">
        <f aca="false">(AO196/10000)/30.5</f>
        <v>0</v>
      </c>
      <c r="AM196" s="238" t="n">
        <f aca="false">AD196/10000</f>
        <v>0</v>
      </c>
      <c r="AN196" s="238" t="n">
        <f aca="false">AD196*DAY(EOMONTH(A196,0))/10000</f>
        <v>0</v>
      </c>
      <c r="AO196" s="238"/>
      <c r="AP196" s="238"/>
      <c r="AQ196" s="238"/>
      <c r="AR196" s="239"/>
      <c r="AS196" s="238"/>
      <c r="AT196" s="238"/>
      <c r="AU196" s="238"/>
      <c r="AV196" s="238"/>
      <c r="AW196" s="238"/>
      <c r="AX196" s="238"/>
      <c r="AY196" s="238"/>
      <c r="AZ196" s="238"/>
      <c r="BA196" s="241"/>
      <c r="BB196" s="242"/>
      <c r="BC196" s="243" t="n">
        <v>4.5335</v>
      </c>
      <c r="BD196" s="195" t="n">
        <f aca="false">BC196-E196</f>
        <v>-0.0234999999999985</v>
      </c>
      <c r="BE196" s="251" t="n">
        <v>0</v>
      </c>
      <c r="BF196" s="245" t="n">
        <f aca="false">(BE196)*(D196*10)</f>
        <v>0</v>
      </c>
      <c r="BG196" s="121" t="n">
        <v>6.11933901</v>
      </c>
      <c r="BH196" s="121" t="n">
        <v>0</v>
      </c>
      <c r="BI196" s="247"/>
      <c r="BJ196" s="121"/>
      <c r="BK196" s="121"/>
      <c r="BL196" s="121"/>
      <c r="BM196" s="121"/>
      <c r="BN196" s="121"/>
      <c r="BO196" s="121"/>
      <c r="BP196" s="275" t="n">
        <v>42795</v>
      </c>
      <c r="BQ196" s="143" t="n">
        <v>4.421</v>
      </c>
      <c r="BR196" s="143" t="n">
        <v>0.17</v>
      </c>
      <c r="BS196" s="143" t="n">
        <v>0.0601410174244728</v>
      </c>
      <c r="BT196" s="121"/>
    </row>
    <row r="197" customFormat="false" ht="15" hidden="false" customHeight="false" outlineLevel="0" collapsed="false">
      <c r="A197" s="156" t="n">
        <f aca="false">EOMONTH(A196,0)+1</f>
        <v>42826</v>
      </c>
      <c r="B197" s="215"/>
      <c r="C197" s="281" t="n">
        <v>4.3635</v>
      </c>
      <c r="D197" s="282" t="n">
        <f aca="false">(E197-C197)*1000</f>
        <v>23.4999999999985</v>
      </c>
      <c r="E197" s="283" t="n">
        <f aca="false">VLOOKUP(YEAR(A197),Yr_Sprds,2)+E185</f>
        <v>4.387</v>
      </c>
      <c r="F197" s="287"/>
      <c r="G197" s="288"/>
      <c r="H197" s="287"/>
      <c r="I197" s="287"/>
      <c r="J197" s="279"/>
      <c r="K197" s="278"/>
      <c r="L197" s="291"/>
      <c r="M197" s="112"/>
      <c r="N197" s="278"/>
      <c r="O197" s="278"/>
      <c r="P197" s="278"/>
      <c r="Q197" s="167"/>
      <c r="R197" s="167"/>
      <c r="S197" s="167"/>
      <c r="T197" s="167"/>
      <c r="U197" s="167"/>
      <c r="V197" s="167"/>
      <c r="W197" s="167"/>
      <c r="X197" s="167"/>
      <c r="Y197" s="228" t="n">
        <f aca="false">DAY(EOMONTH(A197,0))</f>
        <v>30</v>
      </c>
      <c r="Z197" s="268" t="n">
        <v>42670</v>
      </c>
      <c r="AA197" s="230" t="e">
        <f aca="false">IF(AND(A197&gt;=Front!$E$11,A197&lt;=Front!$E$12),A197,"")</f>
        <v>#VALUE!</v>
      </c>
      <c r="AB197" s="231" t="e">
        <f aca="false">IF(AA197="","",VLOOKUP(MONTH(A196),Front!$W$6:$X$17,2)*IF(Front!D$9=0,Swap!Y197,1))</f>
        <v>#VALUE!</v>
      </c>
      <c r="AC197" s="274" t="e">
        <f aca="false">IF(AA197="","",AB197*AH197)</f>
        <v>#VALUE!</v>
      </c>
      <c r="AD197" s="233"/>
      <c r="AE197" s="231" t="e">
        <f aca="false">IF(AA197="","",AD197*AH197)</f>
        <v>#VALUE!</v>
      </c>
      <c r="AF197" s="243" t="n">
        <f aca="false">INDEX(IRTable,MATCH(A197,IRMonth,0),4)</f>
        <v>0.0602082228716418</v>
      </c>
      <c r="AG197" s="243" t="n">
        <f aca="false">AF197+$AG$9</f>
        <v>0.0602082228716418</v>
      </c>
      <c r="AH197" s="195" t="n">
        <f aca="false">1/((1+AG197/2)^(2*((A197-Front!$C$2)/365.25)))</f>
        <v>1.65444690307824</v>
      </c>
      <c r="AI197" s="236" t="e">
        <f aca="false">IF($AA197="","",E197*AC197)</f>
        <v>#VALUE!</v>
      </c>
      <c r="AJ197" s="236" t="e">
        <f aca="false">IF($AA197="","",E197*AE197)</f>
        <v>#VALUE!</v>
      </c>
      <c r="AK197" s="237" t="e">
        <f aca="false">IF($AA197="","",C197*AC197)</f>
        <v>#VALUE!</v>
      </c>
      <c r="AL197" s="160" t="n">
        <f aca="false">(AO197/10000)/30.5</f>
        <v>0</v>
      </c>
      <c r="AM197" s="238" t="n">
        <f aca="false">AD197/10000</f>
        <v>0</v>
      </c>
      <c r="AN197" s="238" t="n">
        <f aca="false">AD197*DAY(EOMONTH(A197,0))/10000</f>
        <v>0</v>
      </c>
      <c r="AO197" s="238"/>
      <c r="AP197" s="238"/>
      <c r="AQ197" s="238"/>
      <c r="AR197" s="239"/>
      <c r="AS197" s="238"/>
      <c r="AT197" s="238"/>
      <c r="AU197" s="238"/>
      <c r="AV197" s="238"/>
      <c r="AW197" s="238"/>
      <c r="AX197" s="238"/>
      <c r="AY197" s="238"/>
      <c r="AZ197" s="238"/>
      <c r="BA197" s="241"/>
      <c r="BB197" s="242"/>
      <c r="BC197" s="243" t="n">
        <v>4.3635</v>
      </c>
      <c r="BD197" s="195" t="n">
        <f aca="false">BC197-E197</f>
        <v>-0.0234999999999985</v>
      </c>
      <c r="BE197" s="251" t="n">
        <v>0</v>
      </c>
      <c r="BF197" s="245" t="n">
        <f aca="false">(BE197)*(D197*10)</f>
        <v>0</v>
      </c>
      <c r="BG197" s="121" t="n">
        <v>5.9456288</v>
      </c>
      <c r="BH197" s="121" t="n">
        <v>0</v>
      </c>
      <c r="BI197" s="247"/>
      <c r="BJ197" s="121"/>
      <c r="BK197" s="121"/>
      <c r="BL197" s="121"/>
      <c r="BM197" s="121"/>
      <c r="BN197" s="121"/>
      <c r="BO197" s="121"/>
      <c r="BP197" s="275" t="n">
        <v>42826</v>
      </c>
      <c r="BQ197" s="143" t="n">
        <v>4.251</v>
      </c>
      <c r="BR197" s="143" t="n">
        <v>0.17</v>
      </c>
      <c r="BS197" s="143" t="n">
        <v>0.0602082228716418</v>
      </c>
      <c r="BT197" s="121"/>
    </row>
    <row r="198" customFormat="false" ht="15" hidden="false" customHeight="false" outlineLevel="0" collapsed="false">
      <c r="A198" s="156" t="n">
        <f aca="false">EOMONTH(A197,0)+1</f>
        <v>42856</v>
      </c>
      <c r="B198" s="215"/>
      <c r="C198" s="281" t="n">
        <v>4.3635</v>
      </c>
      <c r="D198" s="282" t="n">
        <f aca="false">(E198-C198)*1000</f>
        <v>23.4999999999985</v>
      </c>
      <c r="E198" s="283" t="n">
        <f aca="false">VLOOKUP(YEAR(A198),Yr_Sprds,2)+E186</f>
        <v>4.387</v>
      </c>
      <c r="F198" s="287"/>
      <c r="G198" s="288"/>
      <c r="H198" s="287"/>
      <c r="I198" s="287"/>
      <c r="J198" s="279"/>
      <c r="K198" s="278"/>
      <c r="L198" s="291"/>
      <c r="M198" s="112"/>
      <c r="N198" s="278"/>
      <c r="O198" s="278"/>
      <c r="P198" s="278"/>
      <c r="Q198" s="167"/>
      <c r="R198" s="167"/>
      <c r="S198" s="167"/>
      <c r="T198" s="167"/>
      <c r="U198" s="167"/>
      <c r="V198" s="167"/>
      <c r="W198" s="167"/>
      <c r="X198" s="167"/>
      <c r="Y198" s="228" t="n">
        <f aca="false">DAY(EOMONTH(A198,0))</f>
        <v>31</v>
      </c>
      <c r="Z198" s="268" t="n">
        <v>42702</v>
      </c>
      <c r="AA198" s="230" t="e">
        <f aca="false">IF(AND(A198&gt;=Front!$E$11,A198&lt;=Front!$E$12),A198,"")</f>
        <v>#VALUE!</v>
      </c>
      <c r="AB198" s="231" t="e">
        <f aca="false">IF(AA198="","",VLOOKUP(MONTH(A197),Front!$W$6:$X$17,2)*IF(Front!D$9=0,Swap!Y198,1))</f>
        <v>#VALUE!</v>
      </c>
      <c r="AC198" s="274" t="e">
        <f aca="false">IF(AA198="","",AB198*AH198)</f>
        <v>#VALUE!</v>
      </c>
      <c r="AD198" s="233"/>
      <c r="AE198" s="231" t="e">
        <f aca="false">IF(AA198="","",AD198*AH198)</f>
        <v>#VALUE!</v>
      </c>
      <c r="AF198" s="243" t="n">
        <f aca="false">INDEX(IRTable,MATCH(A198,IRMonth,0),4)</f>
        <v>0.0602732604025888</v>
      </c>
      <c r="AG198" s="243" t="n">
        <f aca="false">AF198+$AG$9</f>
        <v>0.0602732604025888</v>
      </c>
      <c r="AH198" s="195" t="n">
        <f aca="false">1/((1+AG198/2)^(2*((A198-Front!$C$2)/365.25)))</f>
        <v>1.64727954421364</v>
      </c>
      <c r="AI198" s="236" t="e">
        <f aca="false">IF($AA198="","",E198*AC198)</f>
        <v>#VALUE!</v>
      </c>
      <c r="AJ198" s="236" t="e">
        <f aca="false">IF($AA198="","",E198*AE198)</f>
        <v>#VALUE!</v>
      </c>
      <c r="AK198" s="237" t="e">
        <f aca="false">IF($AA198="","",C198*AC198)</f>
        <v>#VALUE!</v>
      </c>
      <c r="AL198" s="160" t="n">
        <f aca="false">(AO198/10000)/30.5</f>
        <v>0</v>
      </c>
      <c r="AM198" s="238" t="n">
        <f aca="false">AD198/10000</f>
        <v>0</v>
      </c>
      <c r="AN198" s="238" t="n">
        <f aca="false">AD198*DAY(EOMONTH(A198,0))/10000</f>
        <v>0</v>
      </c>
      <c r="AO198" s="238"/>
      <c r="AP198" s="238"/>
      <c r="AQ198" s="238"/>
      <c r="AR198" s="239"/>
      <c r="AS198" s="238"/>
      <c r="AT198" s="238"/>
      <c r="AU198" s="238"/>
      <c r="AV198" s="238"/>
      <c r="AW198" s="238"/>
      <c r="AX198" s="238"/>
      <c r="AY198" s="238"/>
      <c r="AZ198" s="238"/>
      <c r="BA198" s="241"/>
      <c r="BB198" s="242"/>
      <c r="BC198" s="243" t="n">
        <v>4.3635</v>
      </c>
      <c r="BD198" s="195" t="n">
        <f aca="false">BC198-E198</f>
        <v>-0.0234999999999985</v>
      </c>
      <c r="BE198" s="251" t="n">
        <v>0</v>
      </c>
      <c r="BF198" s="245" t="n">
        <f aca="false">(BE198)*(D198*10)</f>
        <v>0</v>
      </c>
      <c r="BG198" s="121" t="n">
        <v>5.48542012</v>
      </c>
      <c r="BH198" s="121" t="n">
        <v>0</v>
      </c>
      <c r="BI198" s="247"/>
      <c r="BJ198" s="121"/>
      <c r="BK198" s="121"/>
      <c r="BL198" s="121"/>
      <c r="BM198" s="121"/>
      <c r="BN198" s="121"/>
      <c r="BO198" s="121"/>
      <c r="BP198" s="275" t="n">
        <v>42856</v>
      </c>
      <c r="BQ198" s="143" t="n">
        <v>4.251</v>
      </c>
      <c r="BR198" s="143" t="n">
        <v>0.17</v>
      </c>
      <c r="BS198" s="143" t="n">
        <v>0.0602732604025888</v>
      </c>
      <c r="BT198" s="121"/>
    </row>
    <row r="199" customFormat="false" ht="15" hidden="false" customHeight="false" outlineLevel="0" collapsed="false">
      <c r="A199" s="156" t="n">
        <f aca="false">EOMONTH(A198,0)+1</f>
        <v>42887</v>
      </c>
      <c r="B199" s="215"/>
      <c r="C199" s="281" t="n">
        <v>4.3955</v>
      </c>
      <c r="D199" s="282" t="n">
        <f aca="false">(E199-C199)*1000</f>
        <v>23.4999999999985</v>
      </c>
      <c r="E199" s="283" t="n">
        <f aca="false">VLOOKUP(YEAR(A199),Yr_Sprds,2)+E187</f>
        <v>4.419</v>
      </c>
      <c r="F199" s="287"/>
      <c r="G199" s="288"/>
      <c r="H199" s="287"/>
      <c r="I199" s="287"/>
      <c r="J199" s="279"/>
      <c r="K199" s="278"/>
      <c r="L199" s="291"/>
      <c r="M199" s="112"/>
      <c r="N199" s="278"/>
      <c r="O199" s="278"/>
      <c r="P199" s="278"/>
      <c r="Q199" s="167"/>
      <c r="R199" s="167"/>
      <c r="S199" s="167"/>
      <c r="T199" s="167"/>
      <c r="U199" s="167"/>
      <c r="V199" s="167"/>
      <c r="W199" s="167"/>
      <c r="X199" s="167"/>
      <c r="Y199" s="228" t="n">
        <f aca="false">DAY(EOMONTH(A199,0))</f>
        <v>30</v>
      </c>
      <c r="Z199" s="268" t="n">
        <v>42732</v>
      </c>
      <c r="AA199" s="230" t="e">
        <f aca="false">IF(AND(A199&gt;=Front!$E$11,A199&lt;=Front!$E$12),A199,"")</f>
        <v>#VALUE!</v>
      </c>
      <c r="AB199" s="231" t="e">
        <f aca="false">IF(AA199="","",VLOOKUP(MONTH(A198),Front!$W$6:$X$17,2)*IF(Front!D$9=0,Swap!Y199,1))</f>
        <v>#VALUE!</v>
      </c>
      <c r="AC199" s="274" t="e">
        <f aca="false">IF(AA199="","",AB199*AH199)</f>
        <v>#VALUE!</v>
      </c>
      <c r="AD199" s="233"/>
      <c r="AE199" s="231" t="e">
        <f aca="false">IF(AA199="","",AD199*AH199)</f>
        <v>#VALUE!</v>
      </c>
      <c r="AF199" s="243" t="n">
        <f aca="false">INDEX(IRTable,MATCH(A199,IRMonth,0),4)</f>
        <v>0.0603404658527107</v>
      </c>
      <c r="AG199" s="243" t="n">
        <f aca="false">AF199+$AG$9</f>
        <v>0.0603404658527107</v>
      </c>
      <c r="AH199" s="195" t="n">
        <f aca="false">1/((1+AG199/2)^(2*((A199-Front!$C$2)/365.25)))</f>
        <v>1.63988799544081</v>
      </c>
      <c r="AI199" s="236" t="e">
        <f aca="false">IF($AA199="","",E199*AC199)</f>
        <v>#VALUE!</v>
      </c>
      <c r="AJ199" s="236" t="e">
        <f aca="false">IF($AA199="","",E199*AE199)</f>
        <v>#VALUE!</v>
      </c>
      <c r="AK199" s="237" t="e">
        <f aca="false">IF($AA199="","",C199*AC199)</f>
        <v>#VALUE!</v>
      </c>
      <c r="AL199" s="160" t="n">
        <f aca="false">(AO199/10000)/30.5</f>
        <v>0</v>
      </c>
      <c r="AM199" s="238" t="n">
        <f aca="false">AD199/10000</f>
        <v>0</v>
      </c>
      <c r="AN199" s="238" t="n">
        <f aca="false">AD199*DAY(EOMONTH(A199,0))/10000</f>
        <v>0</v>
      </c>
      <c r="AO199" s="238"/>
      <c r="AP199" s="238"/>
      <c r="AQ199" s="238"/>
      <c r="AR199" s="239"/>
      <c r="AS199" s="238"/>
      <c r="AT199" s="238"/>
      <c r="AU199" s="238"/>
      <c r="AV199" s="238"/>
      <c r="AW199" s="238"/>
      <c r="AX199" s="238"/>
      <c r="AY199" s="238"/>
      <c r="AZ199" s="238"/>
      <c r="BA199" s="241"/>
      <c r="BB199" s="242"/>
      <c r="BC199" s="243" t="n">
        <v>4.3955</v>
      </c>
      <c r="BD199" s="195" t="n">
        <f aca="false">BC199-E199</f>
        <v>-0.0234999999999985</v>
      </c>
      <c r="BE199" s="251" t="n">
        <v>0</v>
      </c>
      <c r="BF199" s="245" t="n">
        <f aca="false">(BE199)*(D199*10)</f>
        <v>0</v>
      </c>
      <c r="BG199" s="121" t="n">
        <v>4.87161431</v>
      </c>
      <c r="BH199" s="121" t="n">
        <v>0</v>
      </c>
      <c r="BI199" s="247"/>
      <c r="BJ199" s="121"/>
      <c r="BK199" s="121"/>
      <c r="BL199" s="121"/>
      <c r="BM199" s="121"/>
      <c r="BN199" s="121"/>
      <c r="BO199" s="121"/>
      <c r="BP199" s="275" t="n">
        <v>42887</v>
      </c>
      <c r="BQ199" s="143" t="n">
        <v>4.283</v>
      </c>
      <c r="BR199" s="143" t="n">
        <v>0.17</v>
      </c>
      <c r="BS199" s="143" t="n">
        <v>0.0603404658527107</v>
      </c>
      <c r="BT199" s="121"/>
    </row>
    <row r="200" customFormat="false" ht="15" hidden="false" customHeight="false" outlineLevel="0" collapsed="false">
      <c r="A200" s="156" t="n">
        <f aca="false">EOMONTH(A199,0)+1</f>
        <v>42917</v>
      </c>
      <c r="B200" s="215"/>
      <c r="C200" s="281" t="n">
        <v>4.4455</v>
      </c>
      <c r="D200" s="282" t="n">
        <f aca="false">(E200-C200)*1000</f>
        <v>23.4999999999985</v>
      </c>
      <c r="E200" s="283" t="n">
        <f aca="false">VLOOKUP(YEAR(A200),Yr_Sprds,2)+E188</f>
        <v>4.469</v>
      </c>
      <c r="F200" s="287"/>
      <c r="G200" s="288"/>
      <c r="H200" s="287"/>
      <c r="I200" s="287"/>
      <c r="J200" s="279"/>
      <c r="K200" s="278"/>
      <c r="L200" s="291"/>
      <c r="M200" s="112"/>
      <c r="N200" s="278"/>
      <c r="O200" s="278"/>
      <c r="P200" s="278"/>
      <c r="Q200" s="167"/>
      <c r="R200" s="167"/>
      <c r="S200" s="167"/>
      <c r="T200" s="167"/>
      <c r="U200" s="167"/>
      <c r="V200" s="167"/>
      <c r="W200" s="167"/>
      <c r="X200" s="167"/>
      <c r="Y200" s="228" t="n">
        <f aca="false">DAY(EOMONTH(A200,0))</f>
        <v>31</v>
      </c>
      <c r="Z200" s="268" t="n">
        <v>42762</v>
      </c>
      <c r="AA200" s="230" t="e">
        <f aca="false">IF(AND(A200&gt;=Front!$E$11,A200&lt;=Front!$E$12),A200,"")</f>
        <v>#VALUE!</v>
      </c>
      <c r="AB200" s="231" t="e">
        <f aca="false">IF(AA200="","",VLOOKUP(MONTH(A199),Front!$W$6:$X$17,2)*IF(Front!D$9=0,Swap!Y200,1))</f>
        <v>#VALUE!</v>
      </c>
      <c r="AC200" s="274" t="e">
        <f aca="false">IF(AA200="","",AB200*AH200)</f>
        <v>#VALUE!</v>
      </c>
      <c r="AD200" s="233"/>
      <c r="AE200" s="231" t="e">
        <f aca="false">IF(AA200="","",AD200*AH200)</f>
        <v>#VALUE!</v>
      </c>
      <c r="AF200" s="243" t="n">
        <f aca="false">INDEX(IRTable,MATCH(A200,IRMonth,0),4)</f>
        <v>0.0604055033865154</v>
      </c>
      <c r="AG200" s="243" t="n">
        <f aca="false">AF200+$AG$9</f>
        <v>0.0604055033865154</v>
      </c>
      <c r="AH200" s="195" t="n">
        <f aca="false">1/((1+AG200/2)^(2*((A200-Front!$C$2)/365.25)))</f>
        <v>1.63274922157459</v>
      </c>
      <c r="AI200" s="236" t="e">
        <f aca="false">IF($AA200="","",E200*AC200)</f>
        <v>#VALUE!</v>
      </c>
      <c r="AJ200" s="236" t="e">
        <f aca="false">IF($AA200="","",E200*AE200)</f>
        <v>#VALUE!</v>
      </c>
      <c r="AK200" s="237" t="e">
        <f aca="false">IF($AA200="","",C200*AC200)</f>
        <v>#VALUE!</v>
      </c>
      <c r="AL200" s="160" t="n">
        <f aca="false">(AO200/10000)/30.5</f>
        <v>0</v>
      </c>
      <c r="AM200" s="238" t="n">
        <f aca="false">AD200/10000</f>
        <v>0</v>
      </c>
      <c r="AN200" s="238" t="n">
        <f aca="false">AD200*DAY(EOMONTH(A200,0))/10000</f>
        <v>0</v>
      </c>
      <c r="AO200" s="238"/>
      <c r="AP200" s="238"/>
      <c r="AQ200" s="238"/>
      <c r="AR200" s="239"/>
      <c r="AS200" s="238"/>
      <c r="AT200" s="238"/>
      <c r="AU200" s="238"/>
      <c r="AV200" s="238"/>
      <c r="AW200" s="238"/>
      <c r="AX200" s="238"/>
      <c r="AY200" s="238"/>
      <c r="AZ200" s="238"/>
      <c r="BA200" s="241"/>
      <c r="BB200" s="242"/>
      <c r="BC200" s="243" t="n">
        <v>4.4455</v>
      </c>
      <c r="BD200" s="195" t="n">
        <f aca="false">BC200-E200</f>
        <v>-0.0234999999999985</v>
      </c>
      <c r="BE200" s="251" t="n">
        <v>0</v>
      </c>
      <c r="BF200" s="245" t="n">
        <f aca="false">(BE200)*(D200*10)</f>
        <v>0</v>
      </c>
      <c r="BG200" s="121" t="n">
        <v>5.1024389</v>
      </c>
      <c r="BH200" s="121" t="n">
        <v>0</v>
      </c>
      <c r="BI200" s="247"/>
      <c r="BJ200" s="121"/>
      <c r="BK200" s="121"/>
      <c r="BL200" s="121"/>
      <c r="BM200" s="121"/>
      <c r="BN200" s="121"/>
      <c r="BO200" s="121"/>
      <c r="BP200" s="275" t="n">
        <v>42917</v>
      </c>
      <c r="BQ200" s="143" t="n">
        <v>4.333</v>
      </c>
      <c r="BR200" s="143" t="n">
        <v>0.17</v>
      </c>
      <c r="BS200" s="143" t="n">
        <v>0.0604055033865154</v>
      </c>
      <c r="BT200" s="121"/>
    </row>
    <row r="201" customFormat="false" ht="15" hidden="false" customHeight="false" outlineLevel="0" collapsed="false">
      <c r="A201" s="156" t="n">
        <f aca="false">EOMONTH(A200,0)+1</f>
        <v>42948</v>
      </c>
      <c r="B201" s="215"/>
      <c r="C201" s="281" t="n">
        <v>4.4795</v>
      </c>
      <c r="D201" s="282" t="n">
        <f aca="false">(E201-C201)*1000</f>
        <v>23.4999999999985</v>
      </c>
      <c r="E201" s="283" t="n">
        <f aca="false">VLOOKUP(YEAR(A201),Yr_Sprds,2)+E189</f>
        <v>4.503</v>
      </c>
      <c r="F201" s="287"/>
      <c r="G201" s="288"/>
      <c r="H201" s="287"/>
      <c r="I201" s="287"/>
      <c r="J201" s="279"/>
      <c r="K201" s="278"/>
      <c r="L201" s="291"/>
      <c r="M201" s="112"/>
      <c r="N201" s="278"/>
      <c r="O201" s="278"/>
      <c r="P201" s="278"/>
      <c r="Q201" s="167"/>
      <c r="R201" s="167"/>
      <c r="S201" s="167"/>
      <c r="T201" s="167"/>
      <c r="U201" s="167"/>
      <c r="V201" s="167"/>
      <c r="W201" s="167"/>
      <c r="X201" s="167"/>
      <c r="Y201" s="228" t="n">
        <f aca="false">DAY(EOMONTH(A201,0))</f>
        <v>31</v>
      </c>
      <c r="Z201" s="268" t="n">
        <v>42790</v>
      </c>
      <c r="AA201" s="230" t="e">
        <f aca="false">IF(AND(A201&gt;=Front!$E$11,A201&lt;=Front!$E$12),A201,"")</f>
        <v>#VALUE!</v>
      </c>
      <c r="AB201" s="231" t="e">
        <f aca="false">IF(AA201="","",VLOOKUP(MONTH(A200),Front!$W$6:$X$17,2)*IF(Front!D$9=0,Swap!Y201,1))</f>
        <v>#VALUE!</v>
      </c>
      <c r="AC201" s="274" t="e">
        <f aca="false">IF(AA201="","",AB201*AH201)</f>
        <v>#VALUE!</v>
      </c>
      <c r="AD201" s="233"/>
      <c r="AE201" s="231" t="e">
        <f aca="false">IF(AA201="","",AD201*AH201)</f>
        <v>#VALUE!</v>
      </c>
      <c r="AF201" s="243" t="n">
        <f aca="false">INDEX(IRTable,MATCH(A201,IRMonth,0),4)</f>
        <v>0.0604727088395891</v>
      </c>
      <c r="AG201" s="243" t="n">
        <f aca="false">AF201+$AG$9</f>
        <v>0.0604727088395891</v>
      </c>
      <c r="AH201" s="195" t="n">
        <f aca="false">1/((1+AG201/2)^(2*((A201-Front!$C$2)/365.25)))</f>
        <v>1.62538739820179</v>
      </c>
      <c r="AI201" s="236" t="e">
        <f aca="false">IF($AA201="","",E201*AC201)</f>
        <v>#VALUE!</v>
      </c>
      <c r="AJ201" s="236" t="e">
        <f aca="false">IF($AA201="","",E201*AE201)</f>
        <v>#VALUE!</v>
      </c>
      <c r="AK201" s="237" t="e">
        <f aca="false">IF($AA201="","",C201*AC201)</f>
        <v>#VALUE!</v>
      </c>
      <c r="AL201" s="160" t="n">
        <f aca="false">(AO201/10000)/30.5</f>
        <v>0</v>
      </c>
      <c r="AM201" s="238" t="n">
        <f aca="false">AD201/10000</f>
        <v>0</v>
      </c>
      <c r="AN201" s="238" t="n">
        <f aca="false">AD201*DAY(EOMONTH(A201,0))/10000</f>
        <v>0</v>
      </c>
      <c r="AO201" s="238"/>
      <c r="AP201" s="238"/>
      <c r="AQ201" s="238"/>
      <c r="AR201" s="239"/>
      <c r="AS201" s="238"/>
      <c r="AT201" s="238"/>
      <c r="AU201" s="238"/>
      <c r="AV201" s="238"/>
      <c r="AW201" s="238"/>
      <c r="AX201" s="238"/>
      <c r="AY201" s="238"/>
      <c r="AZ201" s="238"/>
      <c r="BA201" s="241"/>
      <c r="BB201" s="242"/>
      <c r="BC201" s="243" t="n">
        <v>4.4795</v>
      </c>
      <c r="BD201" s="195" t="n">
        <f aca="false">BC201-E201</f>
        <v>-0.0234999999999985</v>
      </c>
      <c r="BE201" s="251" t="n">
        <v>0</v>
      </c>
      <c r="BF201" s="245" t="n">
        <f aca="false">(BE201)*(D201*10)</f>
        <v>0</v>
      </c>
      <c r="BG201" s="121" t="n">
        <v>5.0732982</v>
      </c>
      <c r="BH201" s="121" t="n">
        <v>0</v>
      </c>
      <c r="BI201" s="247"/>
      <c r="BJ201" s="121"/>
      <c r="BK201" s="121"/>
      <c r="BL201" s="121"/>
      <c r="BM201" s="121"/>
      <c r="BN201" s="121"/>
      <c r="BO201" s="121"/>
      <c r="BP201" s="275" t="n">
        <v>42948</v>
      </c>
      <c r="BQ201" s="143" t="n">
        <v>4.367</v>
      </c>
      <c r="BR201" s="143" t="n">
        <v>0.17</v>
      </c>
      <c r="BS201" s="143" t="n">
        <v>0.0604727088395891</v>
      </c>
      <c r="BT201" s="121"/>
    </row>
    <row r="202" customFormat="false" ht="15" hidden="false" customHeight="false" outlineLevel="0" collapsed="false">
      <c r="A202" s="156" t="n">
        <f aca="false">EOMONTH(A201,0)+1</f>
        <v>42979</v>
      </c>
      <c r="B202" s="215"/>
      <c r="C202" s="281" t="n">
        <v>4.4925</v>
      </c>
      <c r="D202" s="282" t="n">
        <f aca="false">(E202-C202)*1000</f>
        <v>23.5000000000003</v>
      </c>
      <c r="E202" s="283" t="n">
        <f aca="false">VLOOKUP(YEAR(A202),Yr_Sprds,2)+E190</f>
        <v>4.516</v>
      </c>
      <c r="F202" s="287"/>
      <c r="G202" s="288"/>
      <c r="H202" s="287"/>
      <c r="I202" s="287"/>
      <c r="J202" s="279"/>
      <c r="K202" s="278"/>
      <c r="L202" s="291"/>
      <c r="M202" s="112"/>
      <c r="N202" s="278"/>
      <c r="O202" s="278"/>
      <c r="P202" s="278"/>
      <c r="Q202" s="167"/>
      <c r="R202" s="167"/>
      <c r="S202" s="167"/>
      <c r="T202" s="167"/>
      <c r="U202" s="167"/>
      <c r="V202" s="167"/>
      <c r="W202" s="167"/>
      <c r="X202" s="167"/>
      <c r="Y202" s="228" t="n">
        <f aca="false">DAY(EOMONTH(A202,0))</f>
        <v>30</v>
      </c>
      <c r="Z202" s="268" t="n">
        <v>42823</v>
      </c>
      <c r="AA202" s="230" t="e">
        <f aca="false">IF(AND(A202&gt;=Front!$E$11,A202&lt;=Front!$E$12),A202,"")</f>
        <v>#VALUE!</v>
      </c>
      <c r="AB202" s="231" t="e">
        <f aca="false">IF(AA202="","",VLOOKUP(MONTH(A201),Front!$W$6:$X$17,2)*IF(Front!D$9=0,Swap!Y202,1))</f>
        <v>#VALUE!</v>
      </c>
      <c r="AC202" s="274" t="e">
        <f aca="false">IF(AA202="","",AB202*AH202)</f>
        <v>#VALUE!</v>
      </c>
      <c r="AD202" s="233"/>
      <c r="AE202" s="231" t="e">
        <f aca="false">IF(AA202="","",AD202*AH202)</f>
        <v>#VALUE!</v>
      </c>
      <c r="AF202" s="243" t="n">
        <f aca="false">INDEX(IRTable,MATCH(A202,IRMonth,0),4)</f>
        <v>0.0605399142941634</v>
      </c>
      <c r="AG202" s="243" t="n">
        <f aca="false">AF202+$AG$9</f>
        <v>0.0605399142941634</v>
      </c>
      <c r="AH202" s="195" t="n">
        <f aca="false">1/((1+AG202/2)^(2*((A202-Front!$C$2)/365.25)))</f>
        <v>1.61804082332278</v>
      </c>
      <c r="AI202" s="236" t="e">
        <f aca="false">IF($AA202="","",E202*AC202)</f>
        <v>#VALUE!</v>
      </c>
      <c r="AJ202" s="236" t="e">
        <f aca="false">IF($AA202="","",E202*AE202)</f>
        <v>#VALUE!</v>
      </c>
      <c r="AK202" s="237" t="e">
        <f aca="false">IF($AA202="","",C202*AC202)</f>
        <v>#VALUE!</v>
      </c>
      <c r="AL202" s="160" t="n">
        <f aca="false">(AO202/10000)/30.5</f>
        <v>0</v>
      </c>
      <c r="AM202" s="238" t="n">
        <f aca="false">AD202/10000</f>
        <v>0</v>
      </c>
      <c r="AN202" s="238" t="n">
        <f aca="false">AD202*DAY(EOMONTH(A202,0))/10000</f>
        <v>0</v>
      </c>
      <c r="AO202" s="238"/>
      <c r="AP202" s="238"/>
      <c r="AQ202" s="238"/>
      <c r="AR202" s="239"/>
      <c r="AS202" s="238"/>
      <c r="AT202" s="238"/>
      <c r="AU202" s="238"/>
      <c r="AV202" s="238"/>
      <c r="AW202" s="238"/>
      <c r="AX202" s="238"/>
      <c r="AY202" s="238"/>
      <c r="AZ202" s="238"/>
      <c r="BA202" s="241"/>
      <c r="BB202" s="242"/>
      <c r="BC202" s="243" t="n">
        <v>4.4925</v>
      </c>
      <c r="BD202" s="195" t="n">
        <f aca="false">BC202-E202</f>
        <v>-0.0235000000000003</v>
      </c>
      <c r="BE202" s="251" t="n">
        <v>0</v>
      </c>
      <c r="BF202" s="245" t="n">
        <f aca="false">(BE202)*(D202*10)</f>
        <v>0</v>
      </c>
      <c r="BG202" s="121" t="n">
        <v>4.47023067</v>
      </c>
      <c r="BH202" s="121" t="n">
        <v>0</v>
      </c>
      <c r="BI202" s="247"/>
      <c r="BJ202" s="121"/>
      <c r="BK202" s="121"/>
      <c r="BL202" s="121"/>
      <c r="BM202" s="121"/>
      <c r="BN202" s="121"/>
      <c r="BO202" s="121"/>
      <c r="BP202" s="275" t="n">
        <v>42979</v>
      </c>
      <c r="BQ202" s="143" t="n">
        <v>4.38</v>
      </c>
      <c r="BR202" s="143" t="n">
        <v>0.17</v>
      </c>
      <c r="BS202" s="143" t="n">
        <v>0.0605399142941634</v>
      </c>
      <c r="BT202" s="121"/>
    </row>
    <row r="203" customFormat="false" ht="15" hidden="false" customHeight="false" outlineLevel="0" collapsed="false">
      <c r="A203" s="156" t="n">
        <f aca="false">EOMONTH(A202,0)+1</f>
        <v>43009</v>
      </c>
      <c r="B203" s="215"/>
      <c r="C203" s="281" t="n">
        <v>4.4845</v>
      </c>
      <c r="D203" s="282" t="n">
        <f aca="false">(E203-C203)*1000</f>
        <v>23.4999999999985</v>
      </c>
      <c r="E203" s="283" t="n">
        <f aca="false">VLOOKUP(YEAR(A203),Yr_Sprds,2)+E191</f>
        <v>4.508</v>
      </c>
      <c r="F203" s="287"/>
      <c r="G203" s="288"/>
      <c r="H203" s="287"/>
      <c r="I203" s="287"/>
      <c r="J203" s="279"/>
      <c r="K203" s="278"/>
      <c r="L203" s="291"/>
      <c r="M203" s="112"/>
      <c r="N203" s="278"/>
      <c r="O203" s="278"/>
      <c r="P203" s="278"/>
      <c r="Q203" s="167"/>
      <c r="R203" s="167"/>
      <c r="S203" s="167"/>
      <c r="T203" s="167"/>
      <c r="U203" s="167"/>
      <c r="V203" s="167"/>
      <c r="W203" s="167"/>
      <c r="X203" s="167"/>
      <c r="Y203" s="228" t="n">
        <f aca="false">DAY(EOMONTH(A203,0))</f>
        <v>31</v>
      </c>
      <c r="Z203" s="268" t="n">
        <v>42851</v>
      </c>
      <c r="AA203" s="230" t="e">
        <f aca="false">IF(AND(A203&gt;=Front!$E$11,A203&lt;=Front!$E$12),A203,"")</f>
        <v>#VALUE!</v>
      </c>
      <c r="AB203" s="231" t="e">
        <f aca="false">IF(AA203="","",VLOOKUP(MONTH(A202),Front!$W$6:$X$17,2)*IF(Front!D$9=0,Swap!Y203,1))</f>
        <v>#VALUE!</v>
      </c>
      <c r="AC203" s="274" t="e">
        <f aca="false">IF(AA203="","",AB203*AH203)</f>
        <v>#VALUE!</v>
      </c>
      <c r="AD203" s="233"/>
      <c r="AE203" s="231" t="e">
        <f aca="false">IF(AA203="","",AD203*AH203)</f>
        <v>#VALUE!</v>
      </c>
      <c r="AF203" s="243" t="n">
        <f aca="false">INDEX(IRTable,MATCH(A203,IRMonth,0),4)</f>
        <v>0.0606049518322775</v>
      </c>
      <c r="AG203" s="243" t="n">
        <f aca="false">AF203+$AG$9</f>
        <v>0.0606049518322775</v>
      </c>
      <c r="AH203" s="195" t="n">
        <f aca="false">1/((1+AG203/2)^(2*((A203-Front!$C$2)/365.25)))</f>
        <v>1.61094584237794</v>
      </c>
      <c r="AI203" s="236" t="e">
        <f aca="false">IF($AA203="","",E203*AC203)</f>
        <v>#VALUE!</v>
      </c>
      <c r="AJ203" s="236" t="e">
        <f aca="false">IF($AA203="","",E203*AE203)</f>
        <v>#VALUE!</v>
      </c>
      <c r="AK203" s="237" t="e">
        <f aca="false">IF($AA203="","",C203*AC203)</f>
        <v>#VALUE!</v>
      </c>
      <c r="AL203" s="160" t="n">
        <f aca="false">(AO203/10000)/30.5</f>
        <v>0</v>
      </c>
      <c r="AM203" s="238" t="n">
        <f aca="false">AD203/10000</f>
        <v>0</v>
      </c>
      <c r="AN203" s="238" t="n">
        <f aca="false">AD203*DAY(EOMONTH(A203,0))/10000</f>
        <v>0</v>
      </c>
      <c r="AO203" s="238"/>
      <c r="AP203" s="238"/>
      <c r="AQ203" s="238"/>
      <c r="AR203" s="239"/>
      <c r="AS203" s="238"/>
      <c r="AT203" s="238"/>
      <c r="AU203" s="238"/>
      <c r="AV203" s="238"/>
      <c r="AW203" s="238"/>
      <c r="AX203" s="238"/>
      <c r="AY203" s="238"/>
      <c r="AZ203" s="238"/>
      <c r="BA203" s="241"/>
      <c r="BB203" s="242"/>
      <c r="BC203" s="243" t="n">
        <v>4.4845</v>
      </c>
      <c r="BD203" s="195" t="n">
        <f aca="false">BC203-E203</f>
        <v>-0.0234999999999985</v>
      </c>
      <c r="BE203" s="251" t="n">
        <v>0</v>
      </c>
      <c r="BF203" s="245" t="n">
        <f aca="false">(BE203)*(D203*10)</f>
        <v>0</v>
      </c>
      <c r="BG203" s="121" t="n">
        <v>4.47746347</v>
      </c>
      <c r="BH203" s="121" t="n">
        <v>0</v>
      </c>
      <c r="BI203" s="247"/>
      <c r="BJ203" s="121"/>
      <c r="BK203" s="121"/>
      <c r="BL203" s="121"/>
      <c r="BM203" s="121"/>
      <c r="BN203" s="121"/>
      <c r="BO203" s="121"/>
      <c r="BP203" s="275" t="n">
        <v>43009</v>
      </c>
      <c r="BQ203" s="143" t="n">
        <v>4.402</v>
      </c>
      <c r="BR203" s="143" t="n">
        <v>0.17</v>
      </c>
      <c r="BS203" s="143" t="n">
        <v>0.0606049518322775</v>
      </c>
      <c r="BT203" s="121"/>
    </row>
    <row r="204" customFormat="false" ht="15" hidden="false" customHeight="false" outlineLevel="0" collapsed="false">
      <c r="A204" s="156" t="n">
        <f aca="false">EOMONTH(A203,0)+1</f>
        <v>43040</v>
      </c>
      <c r="B204" s="215"/>
      <c r="C204" s="281" t="n">
        <v>4.6545</v>
      </c>
      <c r="D204" s="282" t="n">
        <f aca="false">(E204-C204)*1000</f>
        <v>23.4999999999985</v>
      </c>
      <c r="E204" s="283" t="n">
        <f aca="false">VLOOKUP(YEAR(A204),Yr_Sprds,2)+E192</f>
        <v>4.678</v>
      </c>
      <c r="F204" s="287"/>
      <c r="G204" s="288"/>
      <c r="H204" s="287"/>
      <c r="I204" s="287"/>
      <c r="J204" s="279"/>
      <c r="K204" s="278"/>
      <c r="L204" s="291"/>
      <c r="M204" s="112"/>
      <c r="N204" s="278"/>
      <c r="O204" s="278"/>
      <c r="P204" s="278"/>
      <c r="Q204" s="167"/>
      <c r="R204" s="167"/>
      <c r="S204" s="167"/>
      <c r="T204" s="167"/>
      <c r="U204" s="167"/>
      <c r="V204" s="167"/>
      <c r="W204" s="167"/>
      <c r="X204" s="167"/>
      <c r="Y204" s="228" t="n">
        <f aca="false">DAY(EOMONTH(A204,0))</f>
        <v>30</v>
      </c>
      <c r="Z204" s="268" t="n">
        <v>42881</v>
      </c>
      <c r="AA204" s="230" t="e">
        <f aca="false">IF(AND(A204&gt;=Front!$E$11,A204&lt;=Front!$E$12),A204,"")</f>
        <v>#VALUE!</v>
      </c>
      <c r="AB204" s="231" t="e">
        <f aca="false">IF(AA204="","",VLOOKUP(MONTH(A203),Front!$W$6:$X$17,2)*IF(Front!D$9=0,Swap!Y204,1))</f>
        <v>#VALUE!</v>
      </c>
      <c r="AC204" s="274" t="e">
        <f aca="false">IF(AA204="","",AB204*AH204)</f>
        <v>#VALUE!</v>
      </c>
      <c r="AD204" s="233"/>
      <c r="AE204" s="231" t="e">
        <f aca="false">IF(AA204="","",AD204*AH204)</f>
        <v>#VALUE!</v>
      </c>
      <c r="AF204" s="243" t="n">
        <f aca="false">INDEX(IRTable,MATCH(A204,IRMonth,0),4)</f>
        <v>0.0606721572898037</v>
      </c>
      <c r="AG204" s="243" t="n">
        <f aca="false">AF204+$AG$9</f>
        <v>0.0606721572898037</v>
      </c>
      <c r="AH204" s="195" t="n">
        <f aca="false">1/((1+AG204/2)^(2*((A204-Front!$C$2)/365.25)))</f>
        <v>1.60362954774032</v>
      </c>
      <c r="AI204" s="236" t="e">
        <f aca="false">IF($AA204="","",E204*AC204)</f>
        <v>#VALUE!</v>
      </c>
      <c r="AJ204" s="236" t="e">
        <f aca="false">IF($AA204="","",E204*AE204)</f>
        <v>#VALUE!</v>
      </c>
      <c r="AK204" s="237" t="e">
        <f aca="false">IF($AA204="","",C204*AC204)</f>
        <v>#VALUE!</v>
      </c>
      <c r="AL204" s="160" t="n">
        <f aca="false">(AO204/10000)/30.5</f>
        <v>0</v>
      </c>
      <c r="AM204" s="238" t="n">
        <f aca="false">AD204/10000</f>
        <v>0</v>
      </c>
      <c r="AN204" s="238" t="n">
        <f aca="false">AD204*DAY(EOMONTH(A204,0))/10000</f>
        <v>0</v>
      </c>
      <c r="AO204" s="238"/>
      <c r="AP204" s="238"/>
      <c r="AQ204" s="238"/>
      <c r="AR204" s="239"/>
      <c r="AS204" s="238"/>
      <c r="AT204" s="238"/>
      <c r="AU204" s="238"/>
      <c r="AV204" s="238"/>
      <c r="AW204" s="238"/>
      <c r="AX204" s="238"/>
      <c r="AY204" s="238"/>
      <c r="AZ204" s="238"/>
      <c r="BA204" s="241"/>
      <c r="BB204" s="242"/>
      <c r="BC204" s="243" t="n">
        <v>4.6545</v>
      </c>
      <c r="BD204" s="195" t="n">
        <f aca="false">BC204-E204</f>
        <v>-0.0234999999999985</v>
      </c>
      <c r="BE204" s="251" t="n">
        <v>0</v>
      </c>
      <c r="BF204" s="245" t="n">
        <f aca="false">(BE204)*(D204*10)</f>
        <v>0</v>
      </c>
      <c r="BG204" s="121" t="n">
        <v>5.05015686</v>
      </c>
      <c r="BH204" s="121" t="n">
        <v>0</v>
      </c>
      <c r="BI204" s="247"/>
      <c r="BJ204" s="121"/>
      <c r="BK204" s="121"/>
      <c r="BL204" s="121"/>
      <c r="BM204" s="121"/>
      <c r="BN204" s="121"/>
      <c r="BO204" s="121"/>
      <c r="BP204" s="275" t="n">
        <v>43040</v>
      </c>
      <c r="BQ204" s="143" t="n">
        <v>4.572</v>
      </c>
      <c r="BR204" s="143" t="n">
        <v>0.17</v>
      </c>
      <c r="BS204" s="143" t="n">
        <v>0.0606721572898037</v>
      </c>
      <c r="BT204" s="121"/>
    </row>
    <row r="205" customFormat="false" ht="15" hidden="false" customHeight="false" outlineLevel="0" collapsed="false">
      <c r="A205" s="156" t="n">
        <f aca="false">EOMONTH(A204,0)+1</f>
        <v>43070</v>
      </c>
      <c r="B205" s="215"/>
      <c r="C205" s="281" t="n">
        <v>4.8295</v>
      </c>
      <c r="D205" s="282" t="n">
        <f aca="false">(E205-C205)*1000</f>
        <v>23.4999999999985</v>
      </c>
      <c r="E205" s="283" t="n">
        <f aca="false">VLOOKUP(YEAR(A205),Yr_Sprds,2)+E193</f>
        <v>4.853</v>
      </c>
      <c r="F205" s="287"/>
      <c r="G205" s="288"/>
      <c r="H205" s="287"/>
      <c r="I205" s="287"/>
      <c r="J205" s="279"/>
      <c r="K205" s="278"/>
      <c r="L205" s="291"/>
      <c r="M205" s="112"/>
      <c r="N205" s="278"/>
      <c r="O205" s="278"/>
      <c r="P205" s="278"/>
      <c r="Q205" s="167"/>
      <c r="R205" s="167"/>
      <c r="S205" s="167"/>
      <c r="T205" s="167"/>
      <c r="U205" s="167"/>
      <c r="V205" s="167"/>
      <c r="W205" s="167"/>
      <c r="X205" s="167"/>
      <c r="Y205" s="228" t="n">
        <f aca="false">DAY(EOMONTH(A205,0))</f>
        <v>31</v>
      </c>
      <c r="Z205" s="268" t="n">
        <v>42914</v>
      </c>
      <c r="AA205" s="230" t="e">
        <f aca="false">IF(AND(A205&gt;=Front!$E$11,A205&lt;=Front!$E$12),A205,"")</f>
        <v>#VALUE!</v>
      </c>
      <c r="AB205" s="231" t="e">
        <f aca="false">IF(AA205="","",VLOOKUP(MONTH(A204),Front!$W$6:$X$17,2)*IF(Front!D$9=0,Swap!Y205,1))</f>
        <v>#VALUE!</v>
      </c>
      <c r="AC205" s="274" t="e">
        <f aca="false">IF(AA205="","",AB205*AH205)</f>
        <v>#VALUE!</v>
      </c>
      <c r="AD205" s="233"/>
      <c r="AE205" s="231" t="e">
        <f aca="false">IF(AA205="","",AD205*AH205)</f>
        <v>#VALUE!</v>
      </c>
      <c r="AF205" s="243" t="n">
        <f aca="false">INDEX(IRTable,MATCH(A205,IRMonth,0),4)</f>
        <v>0.0607371948307747</v>
      </c>
      <c r="AG205" s="243" t="n">
        <f aca="false">AF205+$AG$9</f>
        <v>0.0607371948307747</v>
      </c>
      <c r="AH205" s="195" t="n">
        <f aca="false">1/((1+AG205/2)^(2*((A205-Front!$C$2)/365.25)))</f>
        <v>1.59656404475461</v>
      </c>
      <c r="AI205" s="236" t="e">
        <f aca="false">IF($AA205="","",E205*AC205)</f>
        <v>#VALUE!</v>
      </c>
      <c r="AJ205" s="236" t="e">
        <f aca="false">IF($AA205="","",E205*AE205)</f>
        <v>#VALUE!</v>
      </c>
      <c r="AK205" s="237" t="e">
        <f aca="false">IF($AA205="","",C205*AC205)</f>
        <v>#VALUE!</v>
      </c>
      <c r="AL205" s="160" t="n">
        <f aca="false">(AO205/10000)/30.5</f>
        <v>0</v>
      </c>
      <c r="AM205" s="238" t="n">
        <f aca="false">AD205/10000</f>
        <v>0</v>
      </c>
      <c r="AN205" s="238" t="n">
        <f aca="false">AD205*DAY(EOMONTH(A205,0))/10000</f>
        <v>0</v>
      </c>
      <c r="AO205" s="238"/>
      <c r="AP205" s="238"/>
      <c r="AQ205" s="238"/>
      <c r="AR205" s="239"/>
      <c r="AS205" s="238"/>
      <c r="AT205" s="238"/>
      <c r="AU205" s="238"/>
      <c r="AV205" s="238"/>
      <c r="AW205" s="238"/>
      <c r="AX205" s="238"/>
      <c r="AY205" s="238"/>
      <c r="AZ205" s="238"/>
      <c r="BA205" s="241"/>
      <c r="BB205" s="242"/>
      <c r="BC205" s="243" t="n">
        <v>4.8295</v>
      </c>
      <c r="BD205" s="195" t="n">
        <f aca="false">BC205-E205</f>
        <v>-0.0234999999999985</v>
      </c>
      <c r="BE205" s="251" t="n">
        <v>0</v>
      </c>
      <c r="BF205" s="245" t="n">
        <f aca="false">(BE205)*(D205*10)</f>
        <v>0</v>
      </c>
      <c r="BG205" s="121" t="n">
        <v>5.60774521</v>
      </c>
      <c r="BH205" s="121" t="n">
        <v>0</v>
      </c>
      <c r="BI205" s="247"/>
      <c r="BJ205" s="121"/>
      <c r="BK205" s="121"/>
      <c r="BL205" s="121"/>
      <c r="BM205" s="121"/>
      <c r="BN205" s="121"/>
      <c r="BO205" s="121"/>
      <c r="BP205" s="275" t="n">
        <v>43070</v>
      </c>
      <c r="BQ205" s="143" t="n">
        <v>4.747</v>
      </c>
      <c r="BR205" s="143" t="n">
        <v>0.17</v>
      </c>
      <c r="BS205" s="143" t="n">
        <v>0.0607371948307747</v>
      </c>
      <c r="BT205" s="121"/>
    </row>
    <row r="206" customFormat="false" ht="15" hidden="false" customHeight="false" outlineLevel="0" collapsed="false">
      <c r="A206" s="156" t="n">
        <f aca="false">EOMONTH(A205,0)+1</f>
        <v>43101</v>
      </c>
      <c r="B206" s="215"/>
      <c r="C206" s="281" t="n">
        <v>4.8845</v>
      </c>
      <c r="D206" s="282" t="n">
        <f aca="false">(E206-C206)*1000</f>
        <v>25.999999999998</v>
      </c>
      <c r="E206" s="283" t="n">
        <f aca="false">VLOOKUP(YEAR(A206),Yr_Sprds,2)+E194</f>
        <v>4.9105</v>
      </c>
      <c r="F206" s="287"/>
      <c r="G206" s="288"/>
      <c r="H206" s="287"/>
      <c r="I206" s="287"/>
      <c r="J206" s="279"/>
      <c r="K206" s="278"/>
      <c r="L206" s="291"/>
      <c r="M206" s="112"/>
      <c r="N206" s="278"/>
      <c r="O206" s="278"/>
      <c r="P206" s="278"/>
      <c r="Q206" s="167"/>
      <c r="R206" s="167"/>
      <c r="S206" s="167"/>
      <c r="T206" s="167"/>
      <c r="U206" s="167"/>
      <c r="V206" s="167"/>
      <c r="W206" s="167"/>
      <c r="X206" s="167"/>
      <c r="Y206" s="228" t="n">
        <f aca="false">DAY(EOMONTH(A206,0))</f>
        <v>31</v>
      </c>
      <c r="Z206" s="268" t="n">
        <v>42943</v>
      </c>
      <c r="AA206" s="230" t="e">
        <f aca="false">IF(AND(A206&gt;=Front!$E$11,A206&lt;=Front!$E$12),A206,"")</f>
        <v>#VALUE!</v>
      </c>
      <c r="AB206" s="231" t="e">
        <f aca="false">IF(AA206="","",VLOOKUP(MONTH(A205),Front!$W$6:$X$17,2)*IF(Front!D$9=0,Swap!Y206,1))</f>
        <v>#VALUE!</v>
      </c>
      <c r="AC206" s="274" t="e">
        <f aca="false">IF(AA206="","",AB206*AH206)</f>
        <v>#VALUE!</v>
      </c>
      <c r="AD206" s="233"/>
      <c r="AE206" s="231" t="e">
        <f aca="false">IF(AA206="","",AD206*AH206)</f>
        <v>#VALUE!</v>
      </c>
      <c r="AF206" s="243" t="n">
        <f aca="false">INDEX(IRTable,MATCH(A206,IRMonth,0),4)</f>
        <v>0.0608044002912531</v>
      </c>
      <c r="AG206" s="243" t="n">
        <f aca="false">AF206+$AG$9</f>
        <v>0.0608044002912531</v>
      </c>
      <c r="AH206" s="195" t="n">
        <f aca="false">1/((1+AG206/2)^(2*((A206-Front!$C$2)/365.25)))</f>
        <v>1.58927838917405</v>
      </c>
      <c r="AI206" s="236" t="e">
        <f aca="false">IF($AA206="","",E206*AC206)</f>
        <v>#VALUE!</v>
      </c>
      <c r="AJ206" s="236" t="e">
        <f aca="false">IF($AA206="","",E206*AE206)</f>
        <v>#VALUE!</v>
      </c>
      <c r="AK206" s="237" t="e">
        <f aca="false">IF($AA206="","",C206*AC206)</f>
        <v>#VALUE!</v>
      </c>
      <c r="AL206" s="160" t="n">
        <f aca="false">(AO206/10000)/30.5</f>
        <v>0</v>
      </c>
      <c r="AM206" s="238" t="n">
        <f aca="false">AD206/10000</f>
        <v>0</v>
      </c>
      <c r="AN206" s="238" t="n">
        <f aca="false">AD206*DAY(EOMONTH(A206,0))/10000</f>
        <v>0</v>
      </c>
      <c r="AO206" s="238"/>
      <c r="AP206" s="238"/>
      <c r="AQ206" s="238"/>
      <c r="AR206" s="239"/>
      <c r="AS206" s="238"/>
      <c r="AT206" s="238"/>
      <c r="AU206" s="238"/>
      <c r="AV206" s="238"/>
      <c r="AW206" s="238"/>
      <c r="AX206" s="238"/>
      <c r="AY206" s="238"/>
      <c r="AZ206" s="238"/>
      <c r="BA206" s="241"/>
      <c r="BB206" s="242"/>
      <c r="BC206" s="243" t="n">
        <v>4.8845</v>
      </c>
      <c r="BD206" s="195" t="n">
        <f aca="false">BC206-E206</f>
        <v>-0.025999999999998</v>
      </c>
      <c r="BE206" s="251" t="n">
        <v>0</v>
      </c>
      <c r="BF206" s="245" t="n">
        <f aca="false">(BE206)*(D206*10)</f>
        <v>0</v>
      </c>
      <c r="BG206" s="121" t="n">
        <v>5.31538284</v>
      </c>
      <c r="BH206" s="121" t="n">
        <v>0</v>
      </c>
      <c r="BI206" s="247"/>
      <c r="BJ206" s="121"/>
      <c r="BK206" s="121"/>
      <c r="BL206" s="121"/>
      <c r="BM206" s="121"/>
      <c r="BN206" s="121"/>
      <c r="BO206" s="121"/>
      <c r="BP206" s="275" t="n">
        <v>43101</v>
      </c>
      <c r="BQ206" s="143" t="n">
        <v>4.7695</v>
      </c>
      <c r="BR206" s="143" t="n">
        <v>0.17</v>
      </c>
      <c r="BS206" s="143" t="n">
        <v>0.0608044002912531</v>
      </c>
      <c r="BT206" s="121"/>
    </row>
    <row r="207" customFormat="false" ht="15" hidden="false" customHeight="false" outlineLevel="0" collapsed="false">
      <c r="A207" s="156" t="n">
        <f aca="false">EOMONTH(A206,0)+1</f>
        <v>43132</v>
      </c>
      <c r="B207" s="215"/>
      <c r="C207" s="281" t="n">
        <v>4.7705</v>
      </c>
      <c r="D207" s="282" t="n">
        <f aca="false">(E207-C207)*1000</f>
        <v>25.9999999999989</v>
      </c>
      <c r="E207" s="283" t="n">
        <f aca="false">VLOOKUP(YEAR(A207),Yr_Sprds,2)+E195</f>
        <v>4.7965</v>
      </c>
      <c r="F207" s="287"/>
      <c r="G207" s="288"/>
      <c r="H207" s="287"/>
      <c r="I207" s="287"/>
      <c r="J207" s="279"/>
      <c r="K207" s="278"/>
      <c r="L207" s="291"/>
      <c r="M207" s="112"/>
      <c r="N207" s="278"/>
      <c r="O207" s="278"/>
      <c r="P207" s="278"/>
      <c r="Q207" s="167"/>
      <c r="R207" s="167"/>
      <c r="S207" s="167"/>
      <c r="T207" s="167"/>
      <c r="U207" s="167"/>
      <c r="V207" s="167"/>
      <c r="W207" s="167"/>
      <c r="X207" s="167"/>
      <c r="Y207" s="228" t="n">
        <f aca="false">DAY(EOMONTH(A207,0))</f>
        <v>28</v>
      </c>
      <c r="Z207" s="268" t="n">
        <v>42976</v>
      </c>
      <c r="AA207" s="230" t="e">
        <f aca="false">IF(AND(A207&gt;=Front!$E$11,A207&lt;=Front!$E$12),A207,"")</f>
        <v>#VALUE!</v>
      </c>
      <c r="AB207" s="231" t="e">
        <f aca="false">IF(AA207="","",VLOOKUP(MONTH(A206),Front!$W$6:$X$17,2)*IF(Front!D$9=0,Swap!Y207,1))</f>
        <v>#VALUE!</v>
      </c>
      <c r="AC207" s="274" t="e">
        <f aca="false">IF(AA207="","",AB207*AH207)</f>
        <v>#VALUE!</v>
      </c>
      <c r="AD207" s="233"/>
      <c r="AE207" s="231" t="e">
        <f aca="false">IF(AA207="","",AD207*AH207)</f>
        <v>#VALUE!</v>
      </c>
      <c r="AF207" s="243" t="n">
        <f aca="false">INDEX(IRTable,MATCH(A207,IRMonth,0),4)</f>
        <v>0.0608716057532317</v>
      </c>
      <c r="AG207" s="243" t="n">
        <f aca="false">AF207+$AG$9</f>
        <v>0.0608716057532317</v>
      </c>
      <c r="AH207" s="195" t="n">
        <f aca="false">1/((1+AG207/2)^(2*((A207-Front!$C$2)/365.25)))</f>
        <v>1.58200843945524</v>
      </c>
      <c r="AI207" s="236" t="e">
        <f aca="false">IF($AA207="","",E207*AC207)</f>
        <v>#VALUE!</v>
      </c>
      <c r="AJ207" s="236" t="e">
        <f aca="false">IF($AA207="","",E207*AE207)</f>
        <v>#VALUE!</v>
      </c>
      <c r="AK207" s="237" t="e">
        <f aca="false">IF($AA207="","",C207*AC207)</f>
        <v>#VALUE!</v>
      </c>
      <c r="AL207" s="160" t="n">
        <f aca="false">(AO207/10000)/30.5</f>
        <v>0</v>
      </c>
      <c r="AM207" s="238" t="n">
        <f aca="false">AD207/10000</f>
        <v>0</v>
      </c>
      <c r="AN207" s="238" t="n">
        <f aca="false">AD207*DAY(EOMONTH(A207,0))/10000</f>
        <v>0</v>
      </c>
      <c r="AO207" s="238"/>
      <c r="AP207" s="238"/>
      <c r="AQ207" s="238"/>
      <c r="AR207" s="239"/>
      <c r="AS207" s="238"/>
      <c r="AT207" s="238"/>
      <c r="AU207" s="238"/>
      <c r="AV207" s="238"/>
      <c r="AW207" s="238"/>
      <c r="AX207" s="238"/>
      <c r="AY207" s="238"/>
      <c r="AZ207" s="238"/>
      <c r="BA207" s="241"/>
      <c r="BB207" s="242"/>
      <c r="BC207" s="243" t="n">
        <v>4.7705</v>
      </c>
      <c r="BD207" s="195" t="n">
        <f aca="false">BC207-E207</f>
        <v>-0.0259999999999989</v>
      </c>
      <c r="BE207" s="251" t="n">
        <v>0</v>
      </c>
      <c r="BF207" s="245" t="n">
        <f aca="false">(BE207)*(D207*10)</f>
        <v>0</v>
      </c>
      <c r="BG207" s="121" t="n">
        <v>5.46208144</v>
      </c>
      <c r="BH207" s="121" t="n">
        <v>0</v>
      </c>
      <c r="BI207" s="247"/>
      <c r="BJ207" s="121"/>
      <c r="BK207" s="121"/>
      <c r="BL207" s="121"/>
      <c r="BM207" s="121"/>
      <c r="BN207" s="121"/>
      <c r="BO207" s="121"/>
      <c r="BP207" s="275" t="n">
        <v>43132</v>
      </c>
      <c r="BQ207" s="143" t="n">
        <v>4.6555</v>
      </c>
      <c r="BR207" s="143" t="n">
        <v>0.17</v>
      </c>
      <c r="BS207" s="143" t="n">
        <v>0.0608716057532317</v>
      </c>
      <c r="BT207" s="121"/>
    </row>
    <row r="208" customFormat="false" ht="15" hidden="false" customHeight="false" outlineLevel="0" collapsed="false">
      <c r="A208" s="156" t="n">
        <f aca="false">EOMONTH(A207,0)+1</f>
        <v>43160</v>
      </c>
      <c r="B208" s="215"/>
      <c r="C208" s="281" t="n">
        <v>4.6385</v>
      </c>
      <c r="D208" s="282" t="n">
        <f aca="false">(E208-C208)*1000</f>
        <v>25.999999999998</v>
      </c>
      <c r="E208" s="283" t="n">
        <f aca="false">VLOOKUP(YEAR(A208),Yr_Sprds,2)+E196</f>
        <v>4.6645</v>
      </c>
      <c r="F208" s="287"/>
      <c r="G208" s="288"/>
      <c r="H208" s="287"/>
      <c r="I208" s="287"/>
      <c r="J208" s="279"/>
      <c r="K208" s="278"/>
      <c r="L208" s="291"/>
      <c r="M208" s="112"/>
      <c r="N208" s="278"/>
      <c r="O208" s="278"/>
      <c r="P208" s="278"/>
      <c r="Q208" s="167"/>
      <c r="R208" s="167"/>
      <c r="S208" s="167"/>
      <c r="T208" s="167"/>
      <c r="U208" s="167"/>
      <c r="V208" s="167"/>
      <c r="W208" s="167"/>
      <c r="X208" s="167"/>
      <c r="Y208" s="228" t="n">
        <f aca="false">DAY(EOMONTH(A208,0))</f>
        <v>31</v>
      </c>
      <c r="Z208" s="268" t="n">
        <v>43005</v>
      </c>
      <c r="AA208" s="230" t="e">
        <f aca="false">IF(AND(A208&gt;=Front!$E$11,A208&lt;=Front!$E$12),A208,"")</f>
        <v>#VALUE!</v>
      </c>
      <c r="AB208" s="231" t="e">
        <f aca="false">IF(AA208="","",VLOOKUP(MONTH(A207),Front!$W$6:$X$17,2)*IF(Front!D$9=0,Swap!Y208,1))</f>
        <v>#VALUE!</v>
      </c>
      <c r="AC208" s="274" t="e">
        <f aca="false">IF(AA208="","",AB208*AH208)</f>
        <v>#VALUE!</v>
      </c>
      <c r="AD208" s="233"/>
      <c r="AE208" s="231" t="e">
        <f aca="false">IF(AA208="","",AD208*AH208)</f>
        <v>#VALUE!</v>
      </c>
      <c r="AF208" s="243" t="n">
        <f aca="false">INDEX(IRTable,MATCH(A208,IRMonth,0),4)</f>
        <v>0.0609323074621146</v>
      </c>
      <c r="AG208" s="243" t="n">
        <f aca="false">AF208+$AG$9</f>
        <v>0.0609323074621146</v>
      </c>
      <c r="AH208" s="195" t="n">
        <f aca="false">1/((1+AG208/2)^(2*((A208-Front!$C$2)/365.25)))</f>
        <v>1.57545560754056</v>
      </c>
      <c r="AI208" s="236" t="e">
        <f aca="false">IF($AA208="","",E208*AC208)</f>
        <v>#VALUE!</v>
      </c>
      <c r="AJ208" s="236" t="e">
        <f aca="false">IF($AA208="","",E208*AE208)</f>
        <v>#VALUE!</v>
      </c>
      <c r="AK208" s="237" t="e">
        <f aca="false">IF($AA208="","",C208*AC208)</f>
        <v>#VALUE!</v>
      </c>
      <c r="AL208" s="160" t="n">
        <f aca="false">(AO208/10000)/30.5</f>
        <v>0</v>
      </c>
      <c r="AM208" s="238" t="n">
        <f aca="false">AD208/10000</f>
        <v>0</v>
      </c>
      <c r="AN208" s="238" t="n">
        <f aca="false">AD208*DAY(EOMONTH(A208,0))/10000</f>
        <v>0</v>
      </c>
      <c r="AO208" s="238"/>
      <c r="AP208" s="238"/>
      <c r="AQ208" s="238"/>
      <c r="AR208" s="239"/>
      <c r="AS208" s="238"/>
      <c r="AT208" s="238"/>
      <c r="AU208" s="238"/>
      <c r="AV208" s="238"/>
      <c r="AW208" s="238"/>
      <c r="AX208" s="238"/>
      <c r="AY208" s="238"/>
      <c r="AZ208" s="238"/>
      <c r="BA208" s="241"/>
      <c r="BB208" s="242"/>
      <c r="BC208" s="243" t="n">
        <v>4.6385</v>
      </c>
      <c r="BD208" s="195" t="n">
        <f aca="false">BC208-E208</f>
        <v>-0.025999999999998</v>
      </c>
      <c r="BE208" s="251" t="n">
        <v>0</v>
      </c>
      <c r="BF208" s="245" t="n">
        <f aca="false">(BE208)*(D208*10)</f>
        <v>0</v>
      </c>
      <c r="BG208" s="121" t="n">
        <v>5.71983832</v>
      </c>
      <c r="BH208" s="121" t="n">
        <v>0</v>
      </c>
      <c r="BI208" s="247"/>
      <c r="BJ208" s="121"/>
      <c r="BK208" s="121"/>
      <c r="BL208" s="121"/>
      <c r="BM208" s="121"/>
      <c r="BN208" s="121"/>
      <c r="BO208" s="121"/>
      <c r="BP208" s="275" t="n">
        <v>43160</v>
      </c>
      <c r="BQ208" s="143" t="n">
        <v>4.5235</v>
      </c>
      <c r="BR208" s="143" t="n">
        <v>0.17</v>
      </c>
      <c r="BS208" s="143" t="n">
        <v>0.0609323074621146</v>
      </c>
      <c r="BT208" s="121"/>
    </row>
    <row r="209" customFormat="false" ht="15" hidden="false" customHeight="false" outlineLevel="0" collapsed="false">
      <c r="A209" s="156" t="n">
        <f aca="false">EOMONTH(A208,0)+1</f>
        <v>43191</v>
      </c>
      <c r="B209" s="215"/>
      <c r="C209" s="281" t="n">
        <v>4.4685</v>
      </c>
      <c r="D209" s="282" t="n">
        <f aca="false">(E209-C209)*1000</f>
        <v>25.999999999998</v>
      </c>
      <c r="E209" s="283" t="n">
        <f aca="false">VLOOKUP(YEAR(A209),Yr_Sprds,2)+E197</f>
        <v>4.4945</v>
      </c>
      <c r="F209" s="287"/>
      <c r="G209" s="288"/>
      <c r="H209" s="287"/>
      <c r="I209" s="287"/>
      <c r="J209" s="279"/>
      <c r="K209" s="278"/>
      <c r="L209" s="291"/>
      <c r="M209" s="112"/>
      <c r="N209" s="278"/>
      <c r="O209" s="278"/>
      <c r="P209" s="278"/>
      <c r="Q209" s="167"/>
      <c r="R209" s="167"/>
      <c r="S209" s="167"/>
      <c r="T209" s="167"/>
      <c r="U209" s="167"/>
      <c r="V209" s="167"/>
      <c r="W209" s="167"/>
      <c r="X209" s="167"/>
      <c r="Y209" s="228" t="n">
        <f aca="false">DAY(EOMONTH(A209,0))</f>
        <v>30</v>
      </c>
      <c r="Z209" s="268" t="n">
        <v>43035</v>
      </c>
      <c r="AA209" s="230" t="e">
        <f aca="false">IF(AND(A209&gt;=Front!$E$11,A209&lt;=Front!$E$12),A209,"")</f>
        <v>#VALUE!</v>
      </c>
      <c r="AB209" s="231" t="e">
        <f aca="false">IF(AA209="","",VLOOKUP(MONTH(A208),Front!$W$6:$X$17,2)*IF(Front!D$9=0,Swap!Y209,1))</f>
        <v>#VALUE!</v>
      </c>
      <c r="AC209" s="274" t="e">
        <f aca="false">IF(AA209="","",AB209*AH209)</f>
        <v>#VALUE!</v>
      </c>
      <c r="AD209" s="233"/>
      <c r="AE209" s="231" t="e">
        <f aca="false">IF(AA209="","",AD209*AH209)</f>
        <v>#VALUE!</v>
      </c>
      <c r="AF209" s="243" t="n">
        <f aca="false">INDEX(IRTable,MATCH(A209,IRMonth,0),4)</f>
        <v>0.0609995129269483</v>
      </c>
      <c r="AG209" s="243" t="n">
        <f aca="false">AF209+$AG$9</f>
        <v>0.0609995129269483</v>
      </c>
      <c r="AH209" s="195" t="n">
        <f aca="false">1/((1+AG209/2)^(2*((A209-Front!$C$2)/365.25)))</f>
        <v>1.56821579708079</v>
      </c>
      <c r="AI209" s="236" t="e">
        <f aca="false">IF($AA209="","",E209*AC209)</f>
        <v>#VALUE!</v>
      </c>
      <c r="AJ209" s="236" t="e">
        <f aca="false">IF($AA209="","",E209*AE209)</f>
        <v>#VALUE!</v>
      </c>
      <c r="AK209" s="237" t="e">
        <f aca="false">IF($AA209="","",C209*AC209)</f>
        <v>#VALUE!</v>
      </c>
      <c r="AL209" s="160" t="n">
        <f aca="false">(AO209/10000)/30.5</f>
        <v>0</v>
      </c>
      <c r="AM209" s="238" t="n">
        <f aca="false">AD209/10000</f>
        <v>0</v>
      </c>
      <c r="AN209" s="238" t="n">
        <f aca="false">AD209*DAY(EOMONTH(A209,0))/10000</f>
        <v>0</v>
      </c>
      <c r="AO209" s="238"/>
      <c r="AP209" s="238"/>
      <c r="AQ209" s="238"/>
      <c r="AR209" s="239"/>
      <c r="AS209" s="238"/>
      <c r="AT209" s="238"/>
      <c r="AU209" s="238"/>
      <c r="AV209" s="238"/>
      <c r="AW209" s="238"/>
      <c r="AX209" s="238"/>
      <c r="AY209" s="238"/>
      <c r="AZ209" s="238"/>
      <c r="BA209" s="241"/>
      <c r="BB209" s="242"/>
      <c r="BC209" s="243" t="n">
        <v>4.4685</v>
      </c>
      <c r="BD209" s="195" t="n">
        <f aca="false">BC209-E209</f>
        <v>-0.025999999999998</v>
      </c>
      <c r="BE209" s="251" t="n">
        <v>0</v>
      </c>
      <c r="BF209" s="245" t="n">
        <f aca="false">(BE209)*(D209*10)</f>
        <v>0</v>
      </c>
      <c r="BG209" s="121" t="n">
        <v>5.55717468</v>
      </c>
      <c r="BH209" s="121" t="n">
        <v>0</v>
      </c>
      <c r="BI209" s="247"/>
      <c r="BJ209" s="121"/>
      <c r="BK209" s="121"/>
      <c r="BL209" s="121"/>
      <c r="BM209" s="121"/>
      <c r="BN209" s="121"/>
      <c r="BO209" s="121"/>
      <c r="BP209" s="275" t="n">
        <v>43191</v>
      </c>
      <c r="BQ209" s="143" t="n">
        <v>4.3535</v>
      </c>
      <c r="BR209" s="143" t="n">
        <v>0.17</v>
      </c>
      <c r="BS209" s="143" t="n">
        <v>0.0609995129269483</v>
      </c>
      <c r="BT209" s="121"/>
    </row>
    <row r="210" customFormat="false" ht="15" hidden="false" customHeight="false" outlineLevel="0" collapsed="false">
      <c r="A210" s="156" t="n">
        <f aca="false">EOMONTH(A209,0)+1</f>
        <v>43221</v>
      </c>
      <c r="B210" s="215"/>
      <c r="C210" s="281" t="n">
        <v>4.4685</v>
      </c>
      <c r="D210" s="282" t="n">
        <f aca="false">(E210-C210)*1000</f>
        <v>25.999999999998</v>
      </c>
      <c r="E210" s="283" t="n">
        <f aca="false">VLOOKUP(YEAR(A210),Yr_Sprds,2)+E198</f>
        <v>4.4945</v>
      </c>
      <c r="F210" s="287"/>
      <c r="G210" s="288"/>
      <c r="H210" s="287"/>
      <c r="I210" s="287"/>
      <c r="J210" s="279"/>
      <c r="K210" s="278"/>
      <c r="L210" s="291"/>
      <c r="M210" s="112"/>
      <c r="N210" s="278"/>
      <c r="O210" s="278"/>
      <c r="P210" s="278"/>
      <c r="Q210" s="167"/>
      <c r="R210" s="167"/>
      <c r="S210" s="167"/>
      <c r="T210" s="167"/>
      <c r="U210" s="167"/>
      <c r="V210" s="167"/>
      <c r="W210" s="167"/>
      <c r="X210" s="167"/>
      <c r="Y210" s="228" t="n">
        <f aca="false">DAY(EOMONTH(A210,0))</f>
        <v>31</v>
      </c>
      <c r="Z210" s="268" t="n">
        <v>43067</v>
      </c>
      <c r="AA210" s="230" t="e">
        <f aca="false">IF(AND(A210&gt;=Front!$E$11,A210&lt;=Front!$E$12),A210,"")</f>
        <v>#VALUE!</v>
      </c>
      <c r="AB210" s="231" t="e">
        <f aca="false">IF(AA210="","",VLOOKUP(MONTH(A209),Front!$W$6:$X$17,2)*IF(Front!D$9=0,Swap!Y210,1))</f>
        <v>#VALUE!</v>
      </c>
      <c r="AC210" s="274" t="e">
        <f aca="false">IF(AA210="","",AB210*AH210)</f>
        <v>#VALUE!</v>
      </c>
      <c r="AD210" s="233"/>
      <c r="AE210" s="231" t="e">
        <f aca="false">IF(AA210="","",AD210*AH210)</f>
        <v>#VALUE!</v>
      </c>
      <c r="AF210" s="243" t="n">
        <f aca="false">INDEX(IRTable,MATCH(A210,IRMonth,0),4)</f>
        <v>0.0610645504749896</v>
      </c>
      <c r="AG210" s="243" t="n">
        <f aca="false">AF210+$AG$9</f>
        <v>0.0610645504749896</v>
      </c>
      <c r="AH210" s="195" t="n">
        <f aca="false">1/((1+AG210/2)^(2*((A210-Front!$C$2)/365.25)))</f>
        <v>1.56122472796129</v>
      </c>
      <c r="AI210" s="236" t="e">
        <f aca="false">IF($AA210="","",E210*AC210)</f>
        <v>#VALUE!</v>
      </c>
      <c r="AJ210" s="236" t="e">
        <f aca="false">IF($AA210="","",E210*AE210)</f>
        <v>#VALUE!</v>
      </c>
      <c r="AK210" s="237" t="e">
        <f aca="false">IF($AA210="","",C210*AC210)</f>
        <v>#VALUE!</v>
      </c>
      <c r="AL210" s="160" t="n">
        <f aca="false">(AO210/10000)/30.5</f>
        <v>0</v>
      </c>
      <c r="AM210" s="238" t="n">
        <f aca="false">AD210/10000</f>
        <v>0</v>
      </c>
      <c r="AN210" s="238" t="n">
        <f aca="false">AD210*DAY(EOMONTH(A210,0))/10000</f>
        <v>0</v>
      </c>
      <c r="AO210" s="238"/>
      <c r="AP210" s="238"/>
      <c r="AQ210" s="238"/>
      <c r="AR210" s="239"/>
      <c r="AS210" s="238"/>
      <c r="AT210" s="238"/>
      <c r="AU210" s="238"/>
      <c r="AV210" s="238"/>
      <c r="AW210" s="238"/>
      <c r="AX210" s="238"/>
      <c r="AY210" s="238"/>
      <c r="AZ210" s="238"/>
      <c r="BA210" s="241"/>
      <c r="BB210" s="242"/>
      <c r="BC210" s="243" t="n">
        <v>4.4685</v>
      </c>
      <c r="BD210" s="195" t="n">
        <f aca="false">BC210-E210</f>
        <v>-0.025999999999998</v>
      </c>
      <c r="BE210" s="251" t="n">
        <v>0</v>
      </c>
      <c r="BF210" s="245" t="n">
        <f aca="false">(BE210)*(D210*10)</f>
        <v>0</v>
      </c>
      <c r="BG210" s="121" t="n">
        <v>5.1267709</v>
      </c>
      <c r="BH210" s="121" t="n">
        <v>0</v>
      </c>
      <c r="BI210" s="247"/>
      <c r="BJ210" s="121"/>
      <c r="BK210" s="121"/>
      <c r="BL210" s="121"/>
      <c r="BM210" s="121"/>
      <c r="BN210" s="121"/>
      <c r="BO210" s="121"/>
      <c r="BP210" s="275" t="n">
        <v>43221</v>
      </c>
      <c r="BQ210" s="143" t="n">
        <v>4.3535</v>
      </c>
      <c r="BR210" s="143" t="n">
        <v>0.17</v>
      </c>
      <c r="BS210" s="143" t="n">
        <v>0.0610645504749896</v>
      </c>
      <c r="BT210" s="121"/>
    </row>
    <row r="211" customFormat="false" ht="15" hidden="false" customHeight="false" outlineLevel="0" collapsed="false">
      <c r="A211" s="156" t="n">
        <f aca="false">EOMONTH(A210,0)+1</f>
        <v>43252</v>
      </c>
      <c r="B211" s="215"/>
      <c r="C211" s="281" t="n">
        <v>4.5005</v>
      </c>
      <c r="D211" s="282" t="n">
        <f aca="false">(E211-C211)*1000</f>
        <v>25.999999999998</v>
      </c>
      <c r="E211" s="283" t="n">
        <f aca="false">VLOOKUP(YEAR(A211),Yr_Sprds,2)+E199</f>
        <v>4.5265</v>
      </c>
      <c r="F211" s="287"/>
      <c r="G211" s="288"/>
      <c r="H211" s="287"/>
      <c r="I211" s="287"/>
      <c r="J211" s="279"/>
      <c r="K211" s="278"/>
      <c r="L211" s="291"/>
      <c r="M211" s="112"/>
      <c r="N211" s="278"/>
      <c r="O211" s="278"/>
      <c r="P211" s="278"/>
      <c r="Q211" s="167"/>
      <c r="R211" s="167"/>
      <c r="S211" s="167"/>
      <c r="T211" s="167"/>
      <c r="U211" s="167"/>
      <c r="V211" s="167"/>
      <c r="W211" s="167"/>
      <c r="X211" s="167"/>
      <c r="Y211" s="228" t="n">
        <f aca="false">DAY(EOMONTH(A211,0))</f>
        <v>30</v>
      </c>
      <c r="Z211" s="268" t="n">
        <v>43096</v>
      </c>
      <c r="AA211" s="230" t="e">
        <f aca="false">IF(AND(A211&gt;=Front!$E$11,A211&lt;=Front!$E$12),A211,"")</f>
        <v>#VALUE!</v>
      </c>
      <c r="AB211" s="231" t="e">
        <f aca="false">IF(AA211="","",VLOOKUP(MONTH(A210),Front!$W$6:$X$17,2)*IF(Front!D$9=0,Swap!Y211,1))</f>
        <v>#VALUE!</v>
      </c>
      <c r="AC211" s="274" t="e">
        <f aca="false">IF(AA211="","",AB211*AH211)</f>
        <v>#VALUE!</v>
      </c>
      <c r="AD211" s="233"/>
      <c r="AE211" s="231" t="e">
        <f aca="false">IF(AA211="","",AD211*AH211)</f>
        <v>#VALUE!</v>
      </c>
      <c r="AF211" s="243" t="n">
        <f aca="false">INDEX(IRTable,MATCH(A211,IRMonth,0),4)</f>
        <v>0.0611317559427751</v>
      </c>
      <c r="AG211" s="243" t="n">
        <f aca="false">AF211+$AG$9</f>
        <v>0.0611317559427751</v>
      </c>
      <c r="AH211" s="195" t="n">
        <f aca="false">1/((1+AG211/2)^(2*((A211-Front!$C$2)/365.25)))</f>
        <v>1.55401641370089</v>
      </c>
      <c r="AI211" s="236" t="e">
        <f aca="false">IF($AA211="","",E211*AC211)</f>
        <v>#VALUE!</v>
      </c>
      <c r="AJ211" s="236" t="e">
        <f aca="false">IF($AA211="","",E211*AE211)</f>
        <v>#VALUE!</v>
      </c>
      <c r="AK211" s="237" t="e">
        <f aca="false">IF($AA211="","",C211*AC211)</f>
        <v>#VALUE!</v>
      </c>
      <c r="AL211" s="160" t="n">
        <f aca="false">(AO211/10000)/30.5</f>
        <v>0</v>
      </c>
      <c r="AM211" s="238" t="n">
        <f aca="false">AD211/10000</f>
        <v>0</v>
      </c>
      <c r="AN211" s="238" t="n">
        <f aca="false">AD211*DAY(EOMONTH(A211,0))/10000</f>
        <v>0</v>
      </c>
      <c r="AO211" s="238"/>
      <c r="AP211" s="238"/>
      <c r="AQ211" s="238"/>
      <c r="AR211" s="239"/>
      <c r="AS211" s="238"/>
      <c r="AT211" s="238"/>
      <c r="AU211" s="238"/>
      <c r="AV211" s="238"/>
      <c r="AW211" s="238"/>
      <c r="AX211" s="238"/>
      <c r="AY211" s="238"/>
      <c r="AZ211" s="238"/>
      <c r="BA211" s="241"/>
      <c r="BB211" s="242"/>
      <c r="BC211" s="243" t="n">
        <v>4.5005</v>
      </c>
      <c r="BD211" s="195" t="n">
        <f aca="false">BC211-E211</f>
        <v>-0.025999999999998</v>
      </c>
      <c r="BE211" s="251" t="n">
        <v>0</v>
      </c>
      <c r="BF211" s="245" t="n">
        <f aca="false">(BE211)*(D211*10)</f>
        <v>0</v>
      </c>
      <c r="BG211" s="121" t="n">
        <v>2.51516773</v>
      </c>
      <c r="BH211" s="121" t="n">
        <v>0</v>
      </c>
      <c r="BI211" s="247"/>
      <c r="BJ211" s="121"/>
      <c r="BK211" s="121"/>
      <c r="BL211" s="121"/>
      <c r="BM211" s="121"/>
      <c r="BN211" s="121"/>
      <c r="BO211" s="121"/>
      <c r="BP211" s="275" t="n">
        <v>43252</v>
      </c>
      <c r="BQ211" s="143" t="n">
        <v>4.3855</v>
      </c>
      <c r="BR211" s="143" t="n">
        <v>0.17</v>
      </c>
      <c r="BS211" s="143" t="n">
        <v>0.0611317559427751</v>
      </c>
      <c r="BT211" s="121"/>
    </row>
    <row r="212" customFormat="false" ht="15" hidden="false" customHeight="false" outlineLevel="0" collapsed="false">
      <c r="A212" s="156" t="n">
        <f aca="false">EOMONTH(A211,0)+1</f>
        <v>43282</v>
      </c>
      <c r="B212" s="215"/>
      <c r="C212" s="281" t="n">
        <v>4.5505</v>
      </c>
      <c r="D212" s="282" t="n">
        <f aca="false">(E212-C212)*1000</f>
        <v>25.999999999998</v>
      </c>
      <c r="E212" s="283" t="n">
        <f aca="false">VLOOKUP(YEAR(A212),Yr_Sprds,2)+E200</f>
        <v>4.5765</v>
      </c>
      <c r="F212" s="287"/>
      <c r="G212" s="288"/>
      <c r="H212" s="287"/>
      <c r="I212" s="287"/>
      <c r="J212" s="279"/>
      <c r="K212" s="278"/>
      <c r="L212" s="291"/>
      <c r="M212" s="112"/>
      <c r="N212" s="278"/>
      <c r="O212" s="278"/>
      <c r="P212" s="278"/>
      <c r="Q212" s="167"/>
      <c r="R212" s="167"/>
      <c r="S212" s="167"/>
      <c r="T212" s="167"/>
      <c r="U212" s="167"/>
      <c r="V212" s="167"/>
      <c r="W212" s="167"/>
      <c r="X212" s="167"/>
      <c r="Y212" s="228" t="n">
        <f aca="false">DAY(EOMONTH(A212,0))</f>
        <v>31</v>
      </c>
      <c r="Z212" s="268" t="n">
        <v>43129</v>
      </c>
      <c r="AA212" s="230" t="e">
        <f aca="false">IF(AND(A212&gt;=Front!$E$11,A212&lt;=Front!$E$12),A212,"")</f>
        <v>#VALUE!</v>
      </c>
      <c r="AB212" s="231" t="e">
        <f aca="false">IF(AA212="","",VLOOKUP(MONTH(A211),Front!$W$6:$X$17,2)*IF(Front!D$9=0,Swap!Y212,1))</f>
        <v>#VALUE!</v>
      </c>
      <c r="AC212" s="274" t="e">
        <f aca="false">IF(AA212="","",AB212*AH212)</f>
        <v>#VALUE!</v>
      </c>
      <c r="AD212" s="233"/>
      <c r="AE212" s="231" t="e">
        <f aca="false">IF(AA212="","",AD212*AH212)</f>
        <v>#VALUE!</v>
      </c>
      <c r="AF212" s="243" t="n">
        <f aca="false">INDEX(IRTable,MATCH(A212,IRMonth,0),4)</f>
        <v>0.0611967934936724</v>
      </c>
      <c r="AG212" s="243" t="n">
        <f aca="false">AF212+$AG$9</f>
        <v>0.0611967934936724</v>
      </c>
      <c r="AH212" s="195" t="n">
        <f aca="false">1/((1+AG212/2)^(2*((A212-Front!$C$2)/365.25)))</f>
        <v>1.54705598713155</v>
      </c>
      <c r="AI212" s="236" t="e">
        <f aca="false">IF($AA212="","",E212*AC212)</f>
        <v>#VALUE!</v>
      </c>
      <c r="AJ212" s="236" t="e">
        <f aca="false">IF($AA212="","",E212*AE212)</f>
        <v>#VALUE!</v>
      </c>
      <c r="AK212" s="237" t="e">
        <f aca="false">IF($AA212="","",C212*AC212)</f>
        <v>#VALUE!</v>
      </c>
      <c r="AL212" s="160" t="n">
        <f aca="false">(AO212/10000)/30.5</f>
        <v>0</v>
      </c>
      <c r="AM212" s="238" t="n">
        <f aca="false">AD212/10000</f>
        <v>0</v>
      </c>
      <c r="AN212" s="238" t="n">
        <f aca="false">AD212*DAY(EOMONTH(A212,0))/10000</f>
        <v>0</v>
      </c>
      <c r="AO212" s="238"/>
      <c r="AP212" s="238"/>
      <c r="AQ212" s="238"/>
      <c r="AR212" s="239"/>
      <c r="AS212" s="238"/>
      <c r="AT212" s="238"/>
      <c r="AU212" s="238"/>
      <c r="AV212" s="238"/>
      <c r="AW212" s="238"/>
      <c r="AX212" s="238"/>
      <c r="AY212" s="238"/>
      <c r="AZ212" s="238"/>
      <c r="BA212" s="241"/>
      <c r="BB212" s="242"/>
      <c r="BC212" s="243" t="n">
        <v>4.5505</v>
      </c>
      <c r="BD212" s="195" t="n">
        <f aca="false">BC212-E212</f>
        <v>-0.025999999999998</v>
      </c>
      <c r="BE212" s="251" t="n">
        <v>0</v>
      </c>
      <c r="BF212" s="245" t="n">
        <f aca="false">(BE212)*(D212*10)</f>
        <v>0</v>
      </c>
      <c r="BG212" s="121" t="n">
        <v>2.58451958</v>
      </c>
      <c r="BH212" s="121" t="n">
        <v>0</v>
      </c>
      <c r="BI212" s="247"/>
      <c r="BJ212" s="121"/>
      <c r="BK212" s="121"/>
      <c r="BL212" s="121"/>
      <c r="BM212" s="121"/>
      <c r="BN212" s="121"/>
      <c r="BO212" s="121"/>
      <c r="BP212" s="275" t="n">
        <v>43282</v>
      </c>
      <c r="BQ212" s="143" t="n">
        <v>4.4355</v>
      </c>
      <c r="BR212" s="143" t="n">
        <v>0.17</v>
      </c>
      <c r="BS212" s="143" t="n">
        <v>0.0611967934936724</v>
      </c>
      <c r="BT212" s="121"/>
    </row>
    <row r="213" customFormat="false" ht="15" hidden="false" customHeight="false" outlineLevel="0" collapsed="false">
      <c r="A213" s="156" t="n">
        <f aca="false">EOMONTH(A212,0)+1</f>
        <v>43313</v>
      </c>
      <c r="B213" s="215"/>
      <c r="C213" s="281" t="n">
        <v>4.5845</v>
      </c>
      <c r="D213" s="282" t="n">
        <f aca="false">(E213-C213)*1000</f>
        <v>25.999999999998</v>
      </c>
      <c r="E213" s="283" t="n">
        <f aca="false">VLOOKUP(YEAR(A213),Yr_Sprds,2)+E201</f>
        <v>4.6105</v>
      </c>
      <c r="F213" s="287"/>
      <c r="G213" s="288"/>
      <c r="H213" s="287"/>
      <c r="I213" s="287"/>
      <c r="J213" s="279"/>
      <c r="K213" s="278"/>
      <c r="L213" s="291"/>
      <c r="M213" s="112"/>
      <c r="N213" s="278"/>
      <c r="O213" s="278"/>
      <c r="P213" s="278"/>
      <c r="Q213" s="167"/>
      <c r="R213" s="167"/>
      <c r="S213" s="167"/>
      <c r="T213" s="167"/>
      <c r="U213" s="167"/>
      <c r="V213" s="167"/>
      <c r="W213" s="167"/>
      <c r="X213" s="167"/>
      <c r="Y213" s="228" t="n">
        <f aca="false">DAY(EOMONTH(A213,0))</f>
        <v>31</v>
      </c>
      <c r="Z213" s="268" t="n">
        <v>43157</v>
      </c>
      <c r="AA213" s="230" t="e">
        <f aca="false">IF(AND(A213&gt;=Front!$E$11,A213&lt;=Front!$E$12),A213,"")</f>
        <v>#VALUE!</v>
      </c>
      <c r="AB213" s="231" t="e">
        <f aca="false">IF(AA213="","",VLOOKUP(MONTH(A212),Front!$W$6:$X$17,2)*IF(Front!D$9=0,Swap!Y213,1))</f>
        <v>#VALUE!</v>
      </c>
      <c r="AC213" s="274" t="e">
        <f aca="false">IF(AA213="","",AB213*AH213)</f>
        <v>#VALUE!</v>
      </c>
      <c r="AD213" s="233"/>
      <c r="AE213" s="231" t="e">
        <f aca="false">IF(AA213="","",AD213*AH213)</f>
        <v>#VALUE!</v>
      </c>
      <c r="AF213" s="243" t="n">
        <f aca="false">INDEX(IRTable,MATCH(A213,IRMonth,0),4)</f>
        <v>0.0612639989644088</v>
      </c>
      <c r="AG213" s="243" t="n">
        <f aca="false">AF213+$AG$9</f>
        <v>0.0612639989644088</v>
      </c>
      <c r="AH213" s="195" t="n">
        <f aca="false">1/((1+AG213/2)^(2*((A213-Front!$C$2)/365.25)))</f>
        <v>1.53987950279737</v>
      </c>
      <c r="AI213" s="236" t="e">
        <f aca="false">IF($AA213="","",E213*AC213)</f>
        <v>#VALUE!</v>
      </c>
      <c r="AJ213" s="236" t="e">
        <f aca="false">IF($AA213="","",E213*AE213)</f>
        <v>#VALUE!</v>
      </c>
      <c r="AK213" s="237" t="e">
        <f aca="false">IF($AA213="","",C213*AC213)</f>
        <v>#VALUE!</v>
      </c>
      <c r="AL213" s="160" t="n">
        <f aca="false">(AO213/10000)/30.5</f>
        <v>0</v>
      </c>
      <c r="AM213" s="238" t="n">
        <f aca="false">AD213/10000</f>
        <v>0</v>
      </c>
      <c r="AN213" s="238" t="n">
        <f aca="false">AD213*DAY(EOMONTH(A213,0))/10000</f>
        <v>0</v>
      </c>
      <c r="AO213" s="238"/>
      <c r="AP213" s="238"/>
      <c r="AQ213" s="238"/>
      <c r="AR213" s="239"/>
      <c r="AS213" s="238"/>
      <c r="AT213" s="238"/>
      <c r="AU213" s="238"/>
      <c r="AV213" s="238"/>
      <c r="AW213" s="238"/>
      <c r="AX213" s="238"/>
      <c r="AY213" s="238"/>
      <c r="AZ213" s="238"/>
      <c r="BA213" s="241"/>
      <c r="BB213" s="242"/>
      <c r="BC213" s="243" t="n">
        <v>4.5845</v>
      </c>
      <c r="BD213" s="195" t="n">
        <f aca="false">BC213-E213</f>
        <v>-0.025999999999998</v>
      </c>
      <c r="BE213" s="251" t="n">
        <v>0</v>
      </c>
      <c r="BF213" s="245" t="n">
        <f aca="false">(BE213)*(D213*10)</f>
        <v>0</v>
      </c>
      <c r="BG213" s="121" t="n">
        <v>2.56962307</v>
      </c>
      <c r="BH213" s="121" t="n">
        <v>0</v>
      </c>
      <c r="BI213" s="247"/>
      <c r="BJ213" s="121"/>
      <c r="BK213" s="121"/>
      <c r="BL213" s="121"/>
      <c r="BM213" s="121"/>
      <c r="BN213" s="121"/>
      <c r="BO213" s="121"/>
      <c r="BP213" s="275" t="n">
        <v>43313</v>
      </c>
      <c r="BQ213" s="143" t="n">
        <v>4.4695</v>
      </c>
      <c r="BR213" s="143" t="n">
        <v>0.17</v>
      </c>
      <c r="BS213" s="143" t="n">
        <v>0.0612639989644088</v>
      </c>
      <c r="BT213" s="121"/>
    </row>
    <row r="214" customFormat="false" ht="15" hidden="false" customHeight="false" outlineLevel="0" collapsed="false">
      <c r="A214" s="156" t="n">
        <f aca="false">EOMONTH(A213,0)+1</f>
        <v>43344</v>
      </c>
      <c r="B214" s="215"/>
      <c r="C214" s="281" t="n">
        <v>4.5975</v>
      </c>
      <c r="D214" s="282" t="n">
        <f aca="false">(E214-C214)*1000</f>
        <v>25.9999999999998</v>
      </c>
      <c r="E214" s="283" t="n">
        <f aca="false">VLOOKUP(YEAR(A214),Yr_Sprds,2)+E202</f>
        <v>4.6235</v>
      </c>
      <c r="F214" s="287"/>
      <c r="G214" s="288"/>
      <c r="H214" s="287"/>
      <c r="I214" s="287"/>
      <c r="J214" s="279"/>
      <c r="K214" s="278"/>
      <c r="L214" s="291"/>
      <c r="M214" s="112"/>
      <c r="N214" s="278"/>
      <c r="O214" s="278"/>
      <c r="P214" s="278"/>
      <c r="Q214" s="167"/>
      <c r="R214" s="167"/>
      <c r="S214" s="167"/>
      <c r="T214" s="167"/>
      <c r="U214" s="167"/>
      <c r="V214" s="167"/>
      <c r="W214" s="167"/>
      <c r="X214" s="167"/>
      <c r="Y214" s="228" t="n">
        <f aca="false">DAY(EOMONTH(A214,0))</f>
        <v>30</v>
      </c>
      <c r="Z214" s="268" t="n">
        <v>43186</v>
      </c>
      <c r="AA214" s="230" t="e">
        <f aca="false">IF(AND(A214&gt;=Front!$E$11,A214&lt;=Front!$E$12),A214,"")</f>
        <v>#VALUE!</v>
      </c>
      <c r="AB214" s="231" t="e">
        <f aca="false">IF(AA214="","",VLOOKUP(MONTH(A213),Front!$W$6:$X$17,2)*IF(Front!D$9=0,Swap!Y214,1))</f>
        <v>#VALUE!</v>
      </c>
      <c r="AC214" s="274" t="e">
        <f aca="false">IF(AA214="","",AB214*AH214)</f>
        <v>#VALUE!</v>
      </c>
      <c r="AD214" s="233"/>
      <c r="AE214" s="231" t="e">
        <f aca="false">IF(AA214="","",AD214*AH214)</f>
        <v>#VALUE!</v>
      </c>
      <c r="AF214" s="243" t="n">
        <f aca="false">INDEX(IRTable,MATCH(A214,IRMonth,0),4)</f>
        <v>0.061331204436645</v>
      </c>
      <c r="AG214" s="243" t="n">
        <f aca="false">AF214+$AG$9</f>
        <v>0.061331204436645</v>
      </c>
      <c r="AH214" s="195" t="n">
        <f aca="false">1/((1+AG214/2)^(2*((A214-Front!$C$2)/365.25)))</f>
        <v>1.53271931991386</v>
      </c>
      <c r="AI214" s="236" t="e">
        <f aca="false">IF($AA214="","",E214*AC214)</f>
        <v>#VALUE!</v>
      </c>
      <c r="AJ214" s="236" t="e">
        <f aca="false">IF($AA214="","",E214*AE214)</f>
        <v>#VALUE!</v>
      </c>
      <c r="AK214" s="237" t="e">
        <f aca="false">IF($AA214="","",C214*AC214)</f>
        <v>#VALUE!</v>
      </c>
      <c r="AL214" s="160" t="n">
        <f aca="false">(AO214/10000)/30.5</f>
        <v>0</v>
      </c>
      <c r="AM214" s="238" t="n">
        <f aca="false">AD214/10000</f>
        <v>0</v>
      </c>
      <c r="AN214" s="238" t="n">
        <f aca="false">AD214*DAY(EOMONTH(A214,0))/10000</f>
        <v>0</v>
      </c>
      <c r="AO214" s="238"/>
      <c r="AP214" s="238"/>
      <c r="AQ214" s="238"/>
      <c r="AR214" s="239"/>
      <c r="AS214" s="238"/>
      <c r="AT214" s="238"/>
      <c r="AU214" s="238"/>
      <c r="AV214" s="238"/>
      <c r="AW214" s="238"/>
      <c r="AX214" s="238"/>
      <c r="AY214" s="238"/>
      <c r="AZ214" s="238"/>
      <c r="BA214" s="241"/>
      <c r="BB214" s="242"/>
      <c r="BC214" s="243" t="n">
        <v>4.5975</v>
      </c>
      <c r="BD214" s="195" t="n">
        <f aca="false">BC214-E214</f>
        <v>-0.0259999999999998</v>
      </c>
      <c r="BE214" s="251" t="n">
        <v>0</v>
      </c>
      <c r="BF214" s="245" t="n">
        <f aca="false">(BE214)*(D214*10)</f>
        <v>0</v>
      </c>
      <c r="BG214" s="121" t="n">
        <v>2.30756214</v>
      </c>
      <c r="BH214" s="121" t="n">
        <v>0</v>
      </c>
      <c r="BI214" s="247"/>
      <c r="BJ214" s="121"/>
      <c r="BK214" s="121"/>
      <c r="BL214" s="121"/>
      <c r="BM214" s="121"/>
      <c r="BN214" s="121"/>
      <c r="BO214" s="121"/>
      <c r="BP214" s="275" t="n">
        <v>43344</v>
      </c>
      <c r="BQ214" s="143" t="n">
        <v>4.4825</v>
      </c>
      <c r="BR214" s="143" t="n">
        <v>0.17</v>
      </c>
      <c r="BS214" s="143" t="n">
        <v>0.061331204436645</v>
      </c>
      <c r="BT214" s="121"/>
    </row>
    <row r="215" customFormat="false" ht="15" hidden="false" customHeight="false" outlineLevel="0" collapsed="false">
      <c r="A215" s="156" t="n">
        <f aca="false">EOMONTH(A214,0)+1</f>
        <v>43374</v>
      </c>
      <c r="B215" s="215"/>
      <c r="C215" s="281" t="n">
        <v>4.5895</v>
      </c>
      <c r="D215" s="282" t="n">
        <f aca="false">(E215-C215)*1000</f>
        <v>25.999999999998</v>
      </c>
      <c r="E215" s="283" t="n">
        <f aca="false">VLOOKUP(YEAR(A215),Yr_Sprds,2)+E203</f>
        <v>4.6155</v>
      </c>
      <c r="F215" s="287"/>
      <c r="G215" s="288"/>
      <c r="H215" s="287"/>
      <c r="I215" s="287"/>
      <c r="J215" s="279"/>
      <c r="K215" s="278"/>
      <c r="L215" s="291"/>
      <c r="M215" s="112"/>
      <c r="N215" s="278"/>
      <c r="O215" s="278"/>
      <c r="P215" s="278"/>
      <c r="Q215" s="167"/>
      <c r="R215" s="167"/>
      <c r="S215" s="167"/>
      <c r="T215" s="167"/>
      <c r="U215" s="167"/>
      <c r="V215" s="167"/>
      <c r="W215" s="167"/>
      <c r="X215" s="167"/>
      <c r="Y215" s="228" t="n">
        <f aca="false">DAY(EOMONTH(A215,0))</f>
        <v>31</v>
      </c>
      <c r="Z215" s="268" t="n">
        <v>43216</v>
      </c>
      <c r="AA215" s="230" t="e">
        <f aca="false">IF(AND(A215&gt;=Front!$E$11,A215&lt;=Front!$E$12),A215,"")</f>
        <v>#VALUE!</v>
      </c>
      <c r="AB215" s="231" t="e">
        <f aca="false">IF(AA215="","",VLOOKUP(MONTH(A214),Front!$W$6:$X$17,2)*IF(Front!D$9=0,Swap!Y215,1))</f>
        <v>#VALUE!</v>
      </c>
      <c r="AC215" s="274" t="e">
        <f aca="false">IF(AA215="","",AB215*AH215)</f>
        <v>#VALUE!</v>
      </c>
      <c r="AD215" s="233"/>
      <c r="AE215" s="231" t="e">
        <f aca="false">IF(AA215="","",AD215*AH215)</f>
        <v>#VALUE!</v>
      </c>
      <c r="AF215" s="243" t="n">
        <f aca="false">INDEX(IRTable,MATCH(A215,IRMonth,0),4)</f>
        <v>0.0613962419918499</v>
      </c>
      <c r="AG215" s="243" t="n">
        <f aca="false">AF215+$AG$9</f>
        <v>0.0613962419918499</v>
      </c>
      <c r="AH215" s="195" t="n">
        <f aca="false">1/((1+AG215/2)^(2*((A215-Front!$C$2)/365.25)))</f>
        <v>1.52580571037158</v>
      </c>
      <c r="AI215" s="236" t="e">
        <f aca="false">IF($AA215="","",E215*AC215)</f>
        <v>#VALUE!</v>
      </c>
      <c r="AJ215" s="236" t="e">
        <f aca="false">IF($AA215="","",E215*AE215)</f>
        <v>#VALUE!</v>
      </c>
      <c r="AK215" s="237" t="e">
        <f aca="false">IF($AA215="","",C215*AC215)</f>
        <v>#VALUE!</v>
      </c>
      <c r="AL215" s="160" t="n">
        <f aca="false">(AO215/10000)/30.5</f>
        <v>0</v>
      </c>
      <c r="AM215" s="238" t="n">
        <f aca="false">AD215/10000</f>
        <v>0</v>
      </c>
      <c r="AN215" s="238" t="n">
        <f aca="false">AD215*DAY(EOMONTH(A215,0))/10000</f>
        <v>0</v>
      </c>
      <c r="AO215" s="238"/>
      <c r="AP215" s="238"/>
      <c r="AQ215" s="238"/>
      <c r="AR215" s="239"/>
      <c r="AS215" s="238"/>
      <c r="AT215" s="238"/>
      <c r="AU215" s="238"/>
      <c r="AV215" s="238"/>
      <c r="AW215" s="238"/>
      <c r="AX215" s="238"/>
      <c r="AY215" s="238"/>
      <c r="AZ215" s="238"/>
      <c r="BA215" s="241"/>
      <c r="BB215" s="242"/>
      <c r="BC215" s="243" t="n">
        <v>4.5895</v>
      </c>
      <c r="BD215" s="195" t="n">
        <f aca="false">BC215-E215</f>
        <v>-0.025999999999998</v>
      </c>
      <c r="BE215" s="251" t="n">
        <v>0</v>
      </c>
      <c r="BF215" s="245" t="n">
        <f aca="false">(BE215)*(D215*10)</f>
        <v>0</v>
      </c>
      <c r="BG215" s="121" t="n">
        <v>2.54147689</v>
      </c>
      <c r="BH215" s="121" t="n">
        <v>0</v>
      </c>
      <c r="BI215" s="247"/>
      <c r="BJ215" s="121"/>
      <c r="BK215" s="121"/>
      <c r="BL215" s="121"/>
      <c r="BM215" s="121"/>
      <c r="BN215" s="121"/>
      <c r="BO215" s="121"/>
      <c r="BP215" s="275" t="n">
        <v>43374</v>
      </c>
      <c r="BQ215" s="143" t="n">
        <v>4.5045</v>
      </c>
      <c r="BR215" s="143" t="n">
        <v>0.17</v>
      </c>
      <c r="BS215" s="143" t="n">
        <v>0.0613962419918499</v>
      </c>
      <c r="BT215" s="121"/>
    </row>
    <row r="216" customFormat="false" ht="15" hidden="false" customHeight="false" outlineLevel="0" collapsed="false">
      <c r="A216" s="156" t="n">
        <f aca="false">EOMONTH(A215,0)+1</f>
        <v>43405</v>
      </c>
      <c r="B216" s="215"/>
      <c r="C216" s="281" t="n">
        <v>4.7595</v>
      </c>
      <c r="D216" s="282" t="n">
        <f aca="false">(E216-C216)*1000</f>
        <v>25.999999999998</v>
      </c>
      <c r="E216" s="283" t="n">
        <f aca="false">VLOOKUP(YEAR(A216),Yr_Sprds,2)+E204</f>
        <v>4.7855</v>
      </c>
      <c r="F216" s="287"/>
      <c r="G216" s="288"/>
      <c r="H216" s="287"/>
      <c r="I216" s="287"/>
      <c r="J216" s="279"/>
      <c r="K216" s="278"/>
      <c r="L216" s="291"/>
      <c r="M216" s="112"/>
      <c r="N216" s="278"/>
      <c r="O216" s="278"/>
      <c r="P216" s="278"/>
      <c r="Q216" s="167"/>
      <c r="R216" s="167"/>
      <c r="S216" s="167"/>
      <c r="T216" s="167"/>
      <c r="U216" s="167"/>
      <c r="V216" s="167"/>
      <c r="W216" s="167"/>
      <c r="X216" s="167"/>
      <c r="Y216" s="228" t="n">
        <f aca="false">DAY(EOMONTH(A216,0))</f>
        <v>30</v>
      </c>
      <c r="Z216" s="268" t="n">
        <v>43249</v>
      </c>
      <c r="AA216" s="230" t="e">
        <f aca="false">IF(AND(A216&gt;=Front!$E$11,A216&lt;=Front!$E$12),A216,"")</f>
        <v>#VALUE!</v>
      </c>
      <c r="AB216" s="231" t="e">
        <f aca="false">IF(AA216="","",VLOOKUP(MONTH(A215),Front!$W$6:$X$17,2)*IF(Front!D$9=0,Swap!Y216,1))</f>
        <v>#VALUE!</v>
      </c>
      <c r="AC216" s="274" t="e">
        <f aca="false">IF(AA216="","",AB216*AH216)</f>
        <v>#VALUE!</v>
      </c>
      <c r="AD216" s="233"/>
      <c r="AE216" s="231" t="e">
        <f aca="false">IF(AA216="","",AD216*AH216)</f>
        <v>#VALUE!</v>
      </c>
      <c r="AF216" s="243" t="n">
        <f aca="false">INDEX(IRTable,MATCH(A216,IRMonth,0),4)</f>
        <v>0.0614634474670375</v>
      </c>
      <c r="AG216" s="243" t="n">
        <f aca="false">AF216+$AG$9</f>
        <v>0.0614634474670375</v>
      </c>
      <c r="AH216" s="195" t="n">
        <f aca="false">1/((1+AG216/2)^(2*((A216-Front!$C$2)/365.25)))</f>
        <v>1.51867784712267</v>
      </c>
      <c r="AI216" s="236" t="e">
        <f aca="false">IF($AA216="","",E216*AC216)</f>
        <v>#VALUE!</v>
      </c>
      <c r="AJ216" s="236" t="e">
        <f aca="false">IF($AA216="","",E216*AE216)</f>
        <v>#VALUE!</v>
      </c>
      <c r="AK216" s="237" t="e">
        <f aca="false">IF($AA216="","",C216*AC216)</f>
        <v>#VALUE!</v>
      </c>
      <c r="AL216" s="160" t="n">
        <f aca="false">(AO216/10000)/30.5</f>
        <v>0</v>
      </c>
      <c r="AM216" s="238" t="n">
        <f aca="false">AD216/10000</f>
        <v>0</v>
      </c>
      <c r="AN216" s="238" t="n">
        <f aca="false">AD216*DAY(EOMONTH(A216,0))/10000</f>
        <v>0</v>
      </c>
      <c r="AO216" s="238"/>
      <c r="AP216" s="238"/>
      <c r="AQ216" s="238"/>
      <c r="AR216" s="239"/>
      <c r="AS216" s="238"/>
      <c r="AT216" s="238"/>
      <c r="AU216" s="238"/>
      <c r="AV216" s="238"/>
      <c r="AW216" s="238"/>
      <c r="AX216" s="238"/>
      <c r="AY216" s="238"/>
      <c r="AZ216" s="238"/>
      <c r="BA216" s="241"/>
      <c r="BB216" s="242"/>
      <c r="BC216" s="243" t="n">
        <v>4.7595</v>
      </c>
      <c r="BD216" s="195" t="n">
        <f aca="false">BC216-E216</f>
        <v>-0.025999999999998</v>
      </c>
      <c r="BE216" s="251" t="n">
        <v>0</v>
      </c>
      <c r="BF216" s="245" t="n">
        <f aca="false">(BE216)*(D216*10)</f>
        <v>0</v>
      </c>
      <c r="BG216" s="121" t="n">
        <v>3.26004096</v>
      </c>
      <c r="BH216" s="121" t="n">
        <v>0</v>
      </c>
      <c r="BI216" s="247"/>
      <c r="BJ216" s="121"/>
      <c r="BK216" s="121"/>
      <c r="BL216" s="121"/>
      <c r="BM216" s="121"/>
      <c r="BN216" s="121"/>
      <c r="BO216" s="121"/>
      <c r="BP216" s="275" t="n">
        <v>43405</v>
      </c>
      <c r="BQ216" s="143" t="n">
        <v>4.6745</v>
      </c>
      <c r="BR216" s="143" t="n">
        <v>0.17</v>
      </c>
      <c r="BS216" s="143" t="n">
        <v>0.0614634474670375</v>
      </c>
      <c r="BT216" s="121"/>
    </row>
    <row r="217" customFormat="false" ht="15" hidden="false" customHeight="false" outlineLevel="0" collapsed="false">
      <c r="A217" s="156" t="n">
        <f aca="false">EOMONTH(A216,0)+1</f>
        <v>43435</v>
      </c>
      <c r="B217" s="215"/>
      <c r="C217" s="281" t="n">
        <v>4.9345</v>
      </c>
      <c r="D217" s="282" t="n">
        <f aca="false">(E217-C217)*1000</f>
        <v>25.999999999998</v>
      </c>
      <c r="E217" s="283" t="n">
        <f aca="false">VLOOKUP(YEAR(A217),Yr_Sprds,2)+E205</f>
        <v>4.9605</v>
      </c>
      <c r="F217" s="287"/>
      <c r="G217" s="288"/>
      <c r="H217" s="287"/>
      <c r="I217" s="287"/>
      <c r="J217" s="279"/>
      <c r="K217" s="278"/>
      <c r="L217" s="291"/>
      <c r="M217" s="112"/>
      <c r="N217" s="278"/>
      <c r="O217" s="278"/>
      <c r="P217" s="278"/>
      <c r="Q217" s="167"/>
      <c r="R217" s="167"/>
      <c r="S217" s="167"/>
      <c r="T217" s="167"/>
      <c r="U217" s="167"/>
      <c r="V217" s="167"/>
      <c r="W217" s="167"/>
      <c r="X217" s="167"/>
      <c r="Y217" s="228" t="n">
        <f aca="false">DAY(EOMONTH(A217,0))</f>
        <v>31</v>
      </c>
      <c r="Z217" s="268" t="n">
        <v>43278</v>
      </c>
      <c r="AA217" s="230" t="e">
        <f aca="false">IF(AND(A217&gt;=Front!$E$11,A217&lt;=Front!$E$12),A217,"")</f>
        <v>#VALUE!</v>
      </c>
      <c r="AB217" s="231" t="e">
        <f aca="false">IF(AA217="","",VLOOKUP(MONTH(A216),Front!$W$6:$X$17,2)*IF(Front!D$9=0,Swap!Y217,1))</f>
        <v>#VALUE!</v>
      </c>
      <c r="AC217" s="274" t="e">
        <f aca="false">IF(AA217="","",AB217*AH217)</f>
        <v>#VALUE!</v>
      </c>
      <c r="AD217" s="233"/>
      <c r="AE217" s="231" t="e">
        <f aca="false">IF(AA217="","",AD217*AH217)</f>
        <v>#VALUE!</v>
      </c>
      <c r="AF217" s="243" t="n">
        <f aca="false">INDEX(IRTable,MATCH(A217,IRMonth,0),4)</f>
        <v>0.0615284850250979</v>
      </c>
      <c r="AG217" s="243" t="n">
        <f aca="false">AF217+$AG$9</f>
        <v>0.0615284850250979</v>
      </c>
      <c r="AH217" s="195" t="n">
        <f aca="false">1/((1+AG217/2)^(2*((A217-Front!$C$2)/365.25)))</f>
        <v>1.51179566827011</v>
      </c>
      <c r="AI217" s="236" t="e">
        <f aca="false">IF($AA217="","",E217*AC217)</f>
        <v>#VALUE!</v>
      </c>
      <c r="AJ217" s="236" t="e">
        <f aca="false">IF($AA217="","",E217*AE217)</f>
        <v>#VALUE!</v>
      </c>
      <c r="AK217" s="237" t="e">
        <f aca="false">IF($AA217="","",C217*AC217)</f>
        <v>#VALUE!</v>
      </c>
      <c r="AL217" s="160" t="n">
        <f aca="false">(AO217/10000)/30.5</f>
        <v>0</v>
      </c>
      <c r="AM217" s="238" t="n">
        <f aca="false">AD217/10000</f>
        <v>0</v>
      </c>
      <c r="AN217" s="238" t="n">
        <f aca="false">AD217*DAY(EOMONTH(A217,0))/10000</f>
        <v>0</v>
      </c>
      <c r="AO217" s="238"/>
      <c r="AP217" s="238"/>
      <c r="AQ217" s="238"/>
      <c r="AR217" s="239"/>
      <c r="AS217" s="238"/>
      <c r="AT217" s="238"/>
      <c r="AU217" s="238"/>
      <c r="AV217" s="238"/>
      <c r="AW217" s="238"/>
      <c r="AX217" s="238"/>
      <c r="AY217" s="238"/>
      <c r="AZ217" s="238"/>
      <c r="BA217" s="241"/>
      <c r="BB217" s="242"/>
      <c r="BC217" s="243" t="n">
        <v>4.9345</v>
      </c>
      <c r="BD217" s="195" t="n">
        <f aca="false">BC217-E217</f>
        <v>-0.025999999999998</v>
      </c>
      <c r="BE217" s="251" t="n">
        <v>0</v>
      </c>
      <c r="BF217" s="245" t="n">
        <f aca="false">(BE217)*(D217*10)</f>
        <v>0</v>
      </c>
      <c r="BG217" s="121" t="n">
        <v>3.79049366</v>
      </c>
      <c r="BH217" s="121" t="n">
        <v>0</v>
      </c>
      <c r="BI217" s="247"/>
      <c r="BJ217" s="121"/>
      <c r="BK217" s="121"/>
      <c r="BL217" s="121"/>
      <c r="BM217" s="121"/>
      <c r="BN217" s="121"/>
      <c r="BO217" s="121"/>
      <c r="BP217" s="275" t="n">
        <v>43435</v>
      </c>
      <c r="BQ217" s="143" t="n">
        <v>4.8495</v>
      </c>
      <c r="BR217" s="143" t="n">
        <v>0.17</v>
      </c>
      <c r="BS217" s="143" t="n">
        <v>0.0615284850250979</v>
      </c>
      <c r="BT217" s="121"/>
    </row>
    <row r="218" customFormat="false" ht="15" hidden="false" customHeight="false" outlineLevel="0" collapsed="false">
      <c r="A218" s="156" t="n">
        <f aca="false">EOMONTH(A217,0)+1</f>
        <v>43466</v>
      </c>
      <c r="B218" s="215"/>
      <c r="C218" s="281" t="n">
        <v>4.9895</v>
      </c>
      <c r="D218" s="282" t="n">
        <f aca="false">(E218-C218)*1000</f>
        <v>28.4999999999975</v>
      </c>
      <c r="E218" s="283" t="n">
        <f aca="false">VLOOKUP(YEAR(A218),Yr_Sprds,2)+E206</f>
        <v>5.018</v>
      </c>
      <c r="F218" s="287"/>
      <c r="G218" s="288"/>
      <c r="H218" s="287"/>
      <c r="I218" s="287"/>
      <c r="J218" s="279"/>
      <c r="K218" s="278"/>
      <c r="L218" s="291"/>
      <c r="M218" s="112"/>
      <c r="N218" s="278"/>
      <c r="O218" s="278"/>
      <c r="P218" s="278"/>
      <c r="Q218" s="167"/>
      <c r="R218" s="167"/>
      <c r="S218" s="167"/>
      <c r="T218" s="167"/>
      <c r="U218" s="167"/>
      <c r="V218" s="167"/>
      <c r="W218" s="167"/>
      <c r="X218" s="167"/>
      <c r="Y218" s="228" t="n">
        <f aca="false">DAY(EOMONTH(A218,0))</f>
        <v>31</v>
      </c>
      <c r="Z218" s="268" t="n">
        <v>43308</v>
      </c>
      <c r="AA218" s="230" t="e">
        <f aca="false">IF(AND(A218&gt;=Front!$E$11,A218&lt;=Front!$E$12),A218,"")</f>
        <v>#VALUE!</v>
      </c>
      <c r="AB218" s="231" t="e">
        <f aca="false">IF(AA218="","",VLOOKUP(MONTH(A217),Front!$W$6:$X$17,2)*IF(Front!D$9=0,Swap!Y218,1))</f>
        <v>#VALUE!</v>
      </c>
      <c r="AC218" s="274" t="e">
        <f aca="false">IF(AA218="","",AB218*AH218)</f>
        <v>#VALUE!</v>
      </c>
      <c r="AD218" s="233"/>
      <c r="AE218" s="231" t="e">
        <f aca="false">IF(AA218="","",AD218*AH218)</f>
        <v>#VALUE!</v>
      </c>
      <c r="AF218" s="243" t="n">
        <f aca="false">INDEX(IRTable,MATCH(A218,IRMonth,0),4)</f>
        <v>0.061595690503236</v>
      </c>
      <c r="AG218" s="243" t="n">
        <f aca="false">AF218+$AG$9</f>
        <v>0.061595690503236</v>
      </c>
      <c r="AH218" s="195" t="n">
        <f aca="false">1/((1+AG218/2)^(2*((A218-Front!$C$2)/365.25)))</f>
        <v>1.50470044034092</v>
      </c>
      <c r="AI218" s="236" t="e">
        <f aca="false">IF($AA218="","",E218*AC218)</f>
        <v>#VALUE!</v>
      </c>
      <c r="AJ218" s="236" t="e">
        <f aca="false">IF($AA218="","",E218*AE218)</f>
        <v>#VALUE!</v>
      </c>
      <c r="AK218" s="237" t="e">
        <f aca="false">IF($AA218="","",C218*AC218)</f>
        <v>#VALUE!</v>
      </c>
      <c r="AL218" s="160" t="n">
        <f aca="false">(AO218/10000)/30.5</f>
        <v>0</v>
      </c>
      <c r="AM218" s="238" t="n">
        <f aca="false">AD218/10000</f>
        <v>0</v>
      </c>
      <c r="AN218" s="238" t="n">
        <f aca="false">AD218*DAY(EOMONTH(A218,0))/10000</f>
        <v>0</v>
      </c>
      <c r="AO218" s="238"/>
      <c r="AP218" s="238"/>
      <c r="AQ218" s="238"/>
      <c r="AR218" s="239"/>
      <c r="AS218" s="238"/>
      <c r="AT218" s="238"/>
      <c r="AU218" s="238"/>
      <c r="AV218" s="238"/>
      <c r="AW218" s="238"/>
      <c r="AX218" s="238"/>
      <c r="AY218" s="238"/>
      <c r="AZ218" s="238"/>
      <c r="BA218" s="241"/>
      <c r="BB218" s="242"/>
      <c r="BC218" s="243" t="n">
        <v>4.9895</v>
      </c>
      <c r="BD218" s="195" t="n">
        <f aca="false">BC218-E218</f>
        <v>-0.0284999999999975</v>
      </c>
      <c r="BE218" s="251" t="n">
        <v>0</v>
      </c>
      <c r="BF218" s="245" t="n">
        <f aca="false">(BE218)*(D218*10)</f>
        <v>0</v>
      </c>
      <c r="BG218" s="121" t="n">
        <v>4.02855402</v>
      </c>
      <c r="BH218" s="121" t="n">
        <v>0</v>
      </c>
      <c r="BI218" s="247"/>
      <c r="BJ218" s="121"/>
      <c r="BK218" s="121"/>
      <c r="BL218" s="121"/>
      <c r="BM218" s="121"/>
      <c r="BN218" s="121"/>
      <c r="BO218" s="121"/>
      <c r="BP218" s="275" t="n">
        <v>43466</v>
      </c>
      <c r="BQ218" s="143" t="n">
        <v>4.872</v>
      </c>
      <c r="BR218" s="143" t="n">
        <v>0.17</v>
      </c>
      <c r="BS218" s="143" t="n">
        <v>0.061595690503236</v>
      </c>
      <c r="BT218" s="121"/>
    </row>
    <row r="219" customFormat="false" ht="15" hidden="false" customHeight="false" outlineLevel="0" collapsed="false">
      <c r="A219" s="156" t="n">
        <f aca="false">EOMONTH(A218,0)+1</f>
        <v>43497</v>
      </c>
      <c r="B219" s="215"/>
      <c r="C219" s="281" t="n">
        <v>4.8755</v>
      </c>
      <c r="D219" s="282" t="n">
        <f aca="false">(E219-C219)*1000</f>
        <v>28.4999999999984</v>
      </c>
      <c r="E219" s="283" t="n">
        <f aca="false">VLOOKUP(YEAR(A219),Yr_Sprds,2)+E207</f>
        <v>4.904</v>
      </c>
      <c r="F219" s="287"/>
      <c r="G219" s="288"/>
      <c r="H219" s="287"/>
      <c r="I219" s="287"/>
      <c r="J219" s="279"/>
      <c r="K219" s="278"/>
      <c r="L219" s="291"/>
      <c r="M219" s="112"/>
      <c r="N219" s="278"/>
      <c r="O219" s="278"/>
      <c r="P219" s="278"/>
      <c r="Q219" s="167"/>
      <c r="R219" s="167"/>
      <c r="S219" s="167"/>
      <c r="T219" s="167"/>
      <c r="U219" s="167"/>
      <c r="V219" s="167"/>
      <c r="W219" s="167"/>
      <c r="X219" s="167"/>
      <c r="Y219" s="228" t="n">
        <f aca="false">DAY(EOMONTH(A219,0))</f>
        <v>28</v>
      </c>
      <c r="Z219" s="268" t="n">
        <v>43341</v>
      </c>
      <c r="AA219" s="230" t="e">
        <f aca="false">IF(AND(A219&gt;=Front!$E$11,A219&lt;=Front!$E$12),A219,"")</f>
        <v>#VALUE!</v>
      </c>
      <c r="AB219" s="231" t="e">
        <f aca="false">IF(AA219="","",VLOOKUP(MONTH(A218),Front!$W$6:$X$17,2)*IF(Front!D$9=0,Swap!Y219,1))</f>
        <v>#VALUE!</v>
      </c>
      <c r="AC219" s="274" t="e">
        <f aca="false">IF(AA219="","",AB219*AH219)</f>
        <v>#VALUE!</v>
      </c>
      <c r="AD219" s="233"/>
      <c r="AE219" s="231" t="e">
        <f aca="false">IF(AA219="","",AD219*AH219)</f>
        <v>#VALUE!</v>
      </c>
      <c r="AF219" s="243" t="n">
        <f aca="false">INDEX(IRTable,MATCH(A219,IRMonth,0),4)</f>
        <v>0.0616628959828738</v>
      </c>
      <c r="AG219" s="243" t="n">
        <f aca="false">AF219+$AG$9</f>
        <v>0.0616628959828738</v>
      </c>
      <c r="AH219" s="195" t="n">
        <f aca="false">1/((1+AG219/2)^(2*((A219-Front!$C$2)/365.25)))</f>
        <v>1.49762191625583</v>
      </c>
      <c r="AI219" s="236" t="e">
        <f aca="false">IF($AA219="","",E219*AC219)</f>
        <v>#VALUE!</v>
      </c>
      <c r="AJ219" s="236" t="e">
        <f aca="false">IF($AA219="","",E219*AE219)</f>
        <v>#VALUE!</v>
      </c>
      <c r="AK219" s="237" t="e">
        <f aca="false">IF($AA219="","",C219*AC219)</f>
        <v>#VALUE!</v>
      </c>
      <c r="AL219" s="160" t="n">
        <f aca="false">(AO219/10000)/30.5</f>
        <v>0</v>
      </c>
      <c r="AM219" s="238" t="n">
        <f aca="false">AD219/10000</f>
        <v>0</v>
      </c>
      <c r="AN219" s="238" t="n">
        <f aca="false">AD219*DAY(EOMONTH(A219,0))/10000</f>
        <v>0</v>
      </c>
      <c r="AO219" s="238"/>
      <c r="AP219" s="238"/>
      <c r="AQ219" s="238"/>
      <c r="AR219" s="239"/>
      <c r="AS219" s="238"/>
      <c r="AT219" s="238"/>
      <c r="AU219" s="238"/>
      <c r="AV219" s="238"/>
      <c r="AW219" s="238"/>
      <c r="AX219" s="238"/>
      <c r="AY219" s="238"/>
      <c r="AZ219" s="238"/>
      <c r="BA219" s="241"/>
      <c r="BB219" s="242"/>
      <c r="BC219" s="243" t="n">
        <v>4.8755</v>
      </c>
      <c r="BD219" s="195" t="n">
        <f aca="false">BC219-E219</f>
        <v>-0.0284999999999984</v>
      </c>
      <c r="BE219" s="251" t="n">
        <v>0</v>
      </c>
      <c r="BF219" s="245" t="n">
        <f aca="false">(BE219)*(D219*10)</f>
        <v>0</v>
      </c>
      <c r="BG219" s="121" t="n">
        <v>4.13951205</v>
      </c>
      <c r="BH219" s="121" t="n">
        <v>0</v>
      </c>
      <c r="BI219" s="247"/>
      <c r="BJ219" s="121"/>
      <c r="BK219" s="121"/>
      <c r="BL219" s="121"/>
      <c r="BM219" s="121"/>
      <c r="BN219" s="121"/>
      <c r="BO219" s="121"/>
      <c r="BP219" s="275" t="n">
        <v>43497</v>
      </c>
      <c r="BQ219" s="143" t="n">
        <v>4.758</v>
      </c>
      <c r="BR219" s="143" t="n">
        <v>0.17</v>
      </c>
      <c r="BS219" s="143" t="n">
        <v>0.0616628959828738</v>
      </c>
      <c r="BT219" s="121"/>
    </row>
    <row r="220" customFormat="false" ht="15" hidden="false" customHeight="false" outlineLevel="0" collapsed="false">
      <c r="A220" s="156" t="n">
        <f aca="false">EOMONTH(A219,0)+1</f>
        <v>43525</v>
      </c>
      <c r="B220" s="215"/>
      <c r="C220" s="281" t="n">
        <v>4.7435</v>
      </c>
      <c r="D220" s="282" t="n">
        <f aca="false">(E220-C220)*1000</f>
        <v>28.4999999999975</v>
      </c>
      <c r="E220" s="283" t="n">
        <f aca="false">VLOOKUP(YEAR(A220),Yr_Sprds,2)+E208</f>
        <v>4.772</v>
      </c>
      <c r="F220" s="287"/>
      <c r="G220" s="288"/>
      <c r="H220" s="287"/>
      <c r="I220" s="287"/>
      <c r="J220" s="279"/>
      <c r="K220" s="278"/>
      <c r="L220" s="291"/>
      <c r="M220" s="112"/>
      <c r="N220" s="278"/>
      <c r="O220" s="278"/>
      <c r="P220" s="278"/>
      <c r="Q220" s="167"/>
      <c r="R220" s="167"/>
      <c r="S220" s="167"/>
      <c r="T220" s="167"/>
      <c r="U220" s="167"/>
      <c r="V220" s="167"/>
      <c r="W220" s="167"/>
      <c r="X220" s="167"/>
      <c r="Y220" s="228" t="n">
        <f aca="false">DAY(EOMONTH(A220,0))</f>
        <v>31</v>
      </c>
      <c r="Z220" s="268" t="n">
        <v>43369</v>
      </c>
      <c r="AA220" s="230" t="e">
        <f aca="false">IF(AND(A220&gt;=Front!$E$11,A220&lt;=Front!$E$12),A220,"")</f>
        <v>#VALUE!</v>
      </c>
      <c r="AB220" s="231" t="e">
        <f aca="false">IF(AA220="","",VLOOKUP(MONTH(A219),Front!$W$6:$X$17,2)*IF(Front!D$9=0,Swap!Y220,1))</f>
        <v>#VALUE!</v>
      </c>
      <c r="AC220" s="274" t="e">
        <f aca="false">IF(AA220="","",AB220*AH220)</f>
        <v>#VALUE!</v>
      </c>
      <c r="AD220" s="233"/>
      <c r="AE220" s="231" t="e">
        <f aca="false">IF(AA220="","",AD220*AH220)</f>
        <v>#VALUE!</v>
      </c>
      <c r="AF220" s="243" t="n">
        <f aca="false">INDEX(IRTable,MATCH(A220,IRMonth,0),4)</f>
        <v>0.0617235977077062</v>
      </c>
      <c r="AG220" s="243" t="n">
        <f aca="false">AF220+$AG$9</f>
        <v>0.0617235977077062</v>
      </c>
      <c r="AH220" s="195" t="n">
        <f aca="false">1/((1+AG220/2)^(2*((A220-Front!$C$2)/365.25)))</f>
        <v>1.49124283345339</v>
      </c>
      <c r="AI220" s="236" t="e">
        <f aca="false">IF($AA220="","",E220*AC220)</f>
        <v>#VALUE!</v>
      </c>
      <c r="AJ220" s="236" t="e">
        <f aca="false">IF($AA220="","",E220*AE220)</f>
        <v>#VALUE!</v>
      </c>
      <c r="AK220" s="237" t="e">
        <f aca="false">IF($AA220="","",C220*AC220)</f>
        <v>#VALUE!</v>
      </c>
      <c r="AL220" s="160" t="n">
        <f aca="false">(AO220/10000)/30.5</f>
        <v>0</v>
      </c>
      <c r="AM220" s="238" t="n">
        <f aca="false">AD220/10000</f>
        <v>0</v>
      </c>
      <c r="AN220" s="238" t="n">
        <f aca="false">AD220*DAY(EOMONTH(A220,0))/10000</f>
        <v>0</v>
      </c>
      <c r="AO220" s="238"/>
      <c r="AP220" s="238"/>
      <c r="AQ220" s="238"/>
      <c r="AR220" s="239"/>
      <c r="AS220" s="238"/>
      <c r="AT220" s="238"/>
      <c r="AU220" s="238"/>
      <c r="AV220" s="238"/>
      <c r="AW220" s="238"/>
      <c r="AX220" s="238"/>
      <c r="AY220" s="238"/>
      <c r="AZ220" s="238"/>
      <c r="BA220" s="241"/>
      <c r="BB220" s="242"/>
      <c r="BC220" s="243" t="n">
        <v>4.7435</v>
      </c>
      <c r="BD220" s="195" t="n">
        <f aca="false">BC220-E220</f>
        <v>-0.0284999999999975</v>
      </c>
      <c r="BE220" s="251" t="n">
        <v>0</v>
      </c>
      <c r="BF220" s="245" t="n">
        <f aca="false">(BE220)*(D220*10)</f>
        <v>0</v>
      </c>
      <c r="BG220" s="121" t="n">
        <v>4.11552649</v>
      </c>
      <c r="BH220" s="121" t="n">
        <v>0</v>
      </c>
      <c r="BI220" s="247"/>
      <c r="BJ220" s="121"/>
      <c r="BK220" s="121"/>
      <c r="BL220" s="121"/>
      <c r="BM220" s="121"/>
      <c r="BN220" s="121"/>
      <c r="BO220" s="121"/>
      <c r="BP220" s="275" t="n">
        <v>43525</v>
      </c>
      <c r="BQ220" s="143" t="n">
        <v>4.626</v>
      </c>
      <c r="BR220" s="143" t="n">
        <v>0.17</v>
      </c>
      <c r="BS220" s="143" t="n">
        <v>0.0617235977077062</v>
      </c>
      <c r="BT220" s="121"/>
    </row>
    <row r="221" customFormat="false" ht="15" hidden="false" customHeight="false" outlineLevel="0" collapsed="false">
      <c r="A221" s="156" t="n">
        <f aca="false">EOMONTH(A220,0)+1</f>
        <v>43556</v>
      </c>
      <c r="B221" s="215"/>
      <c r="C221" s="281" t="n">
        <v>4.5735</v>
      </c>
      <c r="D221" s="282" t="n">
        <f aca="false">(E221-C221)*1000</f>
        <v>28.4999999999975</v>
      </c>
      <c r="E221" s="283" t="n">
        <f aca="false">VLOOKUP(YEAR(A221),Yr_Sprds,2)+E209</f>
        <v>4.602</v>
      </c>
      <c r="F221" s="287"/>
      <c r="G221" s="288"/>
      <c r="H221" s="287"/>
      <c r="I221" s="287"/>
      <c r="J221" s="279"/>
      <c r="K221" s="278"/>
      <c r="L221" s="291"/>
      <c r="M221" s="112"/>
      <c r="N221" s="278"/>
      <c r="O221" s="278"/>
      <c r="P221" s="278"/>
      <c r="Q221" s="167"/>
      <c r="R221" s="167"/>
      <c r="S221" s="167"/>
      <c r="T221" s="167"/>
      <c r="U221" s="167"/>
      <c r="V221" s="167"/>
      <c r="W221" s="167"/>
      <c r="X221" s="167"/>
      <c r="Y221" s="228" t="n">
        <f aca="false">DAY(EOMONTH(A221,0))</f>
        <v>30</v>
      </c>
      <c r="Z221" s="268" t="n">
        <v>43402</v>
      </c>
      <c r="AA221" s="230" t="e">
        <f aca="false">IF(AND(A221&gt;=Front!$E$11,A221&lt;=Front!$E$12),A221,"")</f>
        <v>#VALUE!</v>
      </c>
      <c r="AB221" s="231" t="e">
        <f aca="false">IF(AA221="","",VLOOKUP(MONTH(A220),Front!$W$6:$X$17,2)*IF(Front!D$9=0,Swap!Y221,1))</f>
        <v>#VALUE!</v>
      </c>
      <c r="AC221" s="274" t="e">
        <f aca="false">IF(AA221="","",AB221*AH221)</f>
        <v>#VALUE!</v>
      </c>
      <c r="AD221" s="233"/>
      <c r="AE221" s="231" t="e">
        <f aca="false">IF(AA221="","",AD221*AH221)</f>
        <v>#VALUE!</v>
      </c>
      <c r="AF221" s="243" t="n">
        <f aca="false">INDEX(IRTable,MATCH(A221,IRMonth,0),4)</f>
        <v>0.0617908031901977</v>
      </c>
      <c r="AG221" s="243" t="n">
        <f aca="false">AF221+$AG$9</f>
        <v>0.0617908031901977</v>
      </c>
      <c r="AH221" s="195" t="n">
        <f aca="false">1/((1+AG221/2)^(2*((A221-Front!$C$2)/365.25)))</f>
        <v>1.48419631730664</v>
      </c>
      <c r="AI221" s="236" t="e">
        <f aca="false">IF($AA221="","",E221*AC221)</f>
        <v>#VALUE!</v>
      </c>
      <c r="AJ221" s="236" t="e">
        <f aca="false">IF($AA221="","",E221*AE221)</f>
        <v>#VALUE!</v>
      </c>
      <c r="AK221" s="237" t="e">
        <f aca="false">IF($AA221="","",C221*AC221)</f>
        <v>#VALUE!</v>
      </c>
      <c r="AL221" s="160" t="n">
        <f aca="false">(AO221/10000)/30.5</f>
        <v>0</v>
      </c>
      <c r="AM221" s="238" t="n">
        <f aca="false">AD221/10000</f>
        <v>0</v>
      </c>
      <c r="AN221" s="238" t="n">
        <f aca="false">AD221*DAY(EOMONTH(A221,0))/10000</f>
        <v>0</v>
      </c>
      <c r="AO221" s="238"/>
      <c r="AP221" s="238"/>
      <c r="AQ221" s="238"/>
      <c r="AR221" s="239"/>
      <c r="AS221" s="238"/>
      <c r="AT221" s="238"/>
      <c r="AU221" s="238"/>
      <c r="AV221" s="238"/>
      <c r="AW221" s="238"/>
      <c r="AX221" s="238"/>
      <c r="AY221" s="238"/>
      <c r="AZ221" s="238"/>
      <c r="BA221" s="241"/>
      <c r="BB221" s="242"/>
      <c r="BC221" s="243" t="n">
        <v>4.5735</v>
      </c>
      <c r="BD221" s="195" t="n">
        <f aca="false">BC221-E221</f>
        <v>-0.0284999999999975</v>
      </c>
      <c r="BE221" s="251" t="n">
        <v>0</v>
      </c>
      <c r="BF221" s="245" t="n">
        <f aca="false">(BE221)*(D221*10)</f>
        <v>0</v>
      </c>
      <c r="BG221" s="121" t="n">
        <v>3.58463958</v>
      </c>
      <c r="BH221" s="121" t="n">
        <v>0</v>
      </c>
      <c r="BI221" s="247"/>
      <c r="BJ221" s="121"/>
      <c r="BK221" s="121"/>
      <c r="BL221" s="121"/>
      <c r="BM221" s="121"/>
      <c r="BN221" s="121"/>
      <c r="BO221" s="121"/>
      <c r="BP221" s="275" t="n">
        <v>43556</v>
      </c>
      <c r="BQ221" s="143" t="n">
        <v>4.456</v>
      </c>
      <c r="BR221" s="143" t="n">
        <v>0.17</v>
      </c>
      <c r="BS221" s="143" t="n">
        <v>0.0617908031901977</v>
      </c>
      <c r="BT221" s="121"/>
    </row>
    <row r="222" customFormat="false" ht="15" hidden="false" customHeight="false" outlineLevel="0" collapsed="false">
      <c r="A222" s="156" t="n">
        <f aca="false">EOMONTH(A221,0)+1</f>
        <v>43586</v>
      </c>
      <c r="B222" s="215"/>
      <c r="C222" s="281" t="n">
        <v>4.5735</v>
      </c>
      <c r="D222" s="282" t="n">
        <f aca="false">(E222-C222)*1000</f>
        <v>28.4999999999975</v>
      </c>
      <c r="E222" s="283" t="n">
        <f aca="false">VLOOKUP(YEAR(A222),Yr_Sprds,2)+E210</f>
        <v>4.602</v>
      </c>
      <c r="F222" s="287"/>
      <c r="G222" s="288"/>
      <c r="H222" s="287"/>
      <c r="I222" s="287"/>
      <c r="J222" s="279"/>
      <c r="K222" s="278"/>
      <c r="L222" s="291"/>
      <c r="M222" s="112"/>
      <c r="N222" s="278"/>
      <c r="O222" s="278"/>
      <c r="P222" s="278"/>
      <c r="Q222" s="167"/>
      <c r="R222" s="167"/>
      <c r="S222" s="167"/>
      <c r="T222" s="167"/>
      <c r="U222" s="167"/>
      <c r="V222" s="167"/>
      <c r="W222" s="167"/>
      <c r="X222" s="167"/>
      <c r="Y222" s="228" t="n">
        <f aca="false">DAY(EOMONTH(A222,0))</f>
        <v>31</v>
      </c>
      <c r="Z222" s="268" t="n">
        <v>43432</v>
      </c>
      <c r="AA222" s="230" t="e">
        <f aca="false">IF(AND(A222&gt;=Front!$E$11,A222&lt;=Front!$E$12),A222,"")</f>
        <v>#VALUE!</v>
      </c>
      <c r="AB222" s="231" t="e">
        <f aca="false">IF(AA222="","",VLOOKUP(MONTH(A221),Front!$W$6:$X$17,2)*IF(Front!D$9=0,Swap!Y222,1))</f>
        <v>#VALUE!</v>
      </c>
      <c r="AC222" s="274" t="e">
        <f aca="false">IF(AA222="","",AB222*AH222)</f>
        <v>#VALUE!</v>
      </c>
      <c r="AD222" s="233"/>
      <c r="AE222" s="231" t="e">
        <f aca="false">IF(AA222="","",AD222*AH222)</f>
        <v>#VALUE!</v>
      </c>
      <c r="AF222" s="243" t="n">
        <f aca="false">INDEX(IRTable,MATCH(A222,IRMonth,0),4)</f>
        <v>0.0618558407553267</v>
      </c>
      <c r="AG222" s="243" t="n">
        <f aca="false">AF222+$AG$9</f>
        <v>0.0618558407553267</v>
      </c>
      <c r="AH222" s="195" t="n">
        <f aca="false">1/((1+AG222/2)^(2*((A222-Front!$C$2)/365.25)))</f>
        <v>1.47739322681817</v>
      </c>
      <c r="AI222" s="236" t="e">
        <f aca="false">IF($AA222="","",E222*AC222)</f>
        <v>#VALUE!</v>
      </c>
      <c r="AJ222" s="236" t="e">
        <f aca="false">IF($AA222="","",E222*AE222)</f>
        <v>#VALUE!</v>
      </c>
      <c r="AK222" s="237" t="e">
        <f aca="false">IF($AA222="","",C222*AC222)</f>
        <v>#VALUE!</v>
      </c>
      <c r="AL222" s="160" t="n">
        <f aca="false">(AO222/10000)/30.5</f>
        <v>0</v>
      </c>
      <c r="AM222" s="238" t="n">
        <f aca="false">AD222/10000</f>
        <v>0</v>
      </c>
      <c r="AN222" s="238" t="n">
        <f aca="false">AD222*DAY(EOMONTH(A222,0))/10000</f>
        <v>0</v>
      </c>
      <c r="AO222" s="238"/>
      <c r="AP222" s="238"/>
      <c r="AQ222" s="238"/>
      <c r="AR222" s="239"/>
      <c r="AS222" s="238"/>
      <c r="AT222" s="238"/>
      <c r="AU222" s="238"/>
      <c r="AV222" s="238"/>
      <c r="AW222" s="238"/>
      <c r="AX222" s="238"/>
      <c r="AY222" s="238"/>
      <c r="AZ222" s="238"/>
      <c r="BA222" s="241"/>
      <c r="BB222" s="242"/>
      <c r="BC222" s="243" t="n">
        <v>4.5735</v>
      </c>
      <c r="BD222" s="195" t="n">
        <f aca="false">BC222-E222</f>
        <v>-0.0284999999999975</v>
      </c>
      <c r="BE222" s="251" t="n">
        <v>0</v>
      </c>
      <c r="BF222" s="245" t="n">
        <f aca="false">(BE222)*(D222*10)</f>
        <v>0</v>
      </c>
      <c r="BG222" s="121" t="n">
        <v>3.04106107</v>
      </c>
      <c r="BH222" s="121" t="n">
        <v>0</v>
      </c>
      <c r="BI222" s="247"/>
      <c r="BJ222" s="121"/>
      <c r="BK222" s="121"/>
      <c r="BL222" s="121"/>
      <c r="BM222" s="121"/>
      <c r="BN222" s="121"/>
      <c r="BO222" s="121"/>
      <c r="BP222" s="275" t="n">
        <v>43586</v>
      </c>
      <c r="BQ222" s="143" t="n">
        <v>4.456</v>
      </c>
      <c r="BR222" s="143" t="n">
        <v>0.17</v>
      </c>
      <c r="BS222" s="143" t="n">
        <v>0.0618558407553267</v>
      </c>
      <c r="BT222" s="121"/>
    </row>
    <row r="223" customFormat="false" ht="15" hidden="false" customHeight="false" outlineLevel="0" collapsed="false">
      <c r="A223" s="156" t="n">
        <f aca="false">EOMONTH(A222,0)+1</f>
        <v>43617</v>
      </c>
      <c r="B223" s="215"/>
      <c r="C223" s="281" t="n">
        <v>4.6055</v>
      </c>
      <c r="D223" s="282" t="n">
        <f aca="false">(E223-C223)*1000</f>
        <v>28.4999999999975</v>
      </c>
      <c r="E223" s="283" t="n">
        <f aca="false">VLOOKUP(YEAR(A223),Yr_Sprds,2)+E211</f>
        <v>4.634</v>
      </c>
      <c r="F223" s="287"/>
      <c r="G223" s="288"/>
      <c r="H223" s="287"/>
      <c r="I223" s="287"/>
      <c r="J223" s="279"/>
      <c r="K223" s="278"/>
      <c r="L223" s="291"/>
      <c r="M223" s="112"/>
      <c r="N223" s="278"/>
      <c r="O223" s="278"/>
      <c r="P223" s="278"/>
      <c r="Q223" s="167"/>
      <c r="R223" s="167"/>
      <c r="S223" s="167"/>
      <c r="T223" s="167"/>
      <c r="U223" s="167"/>
      <c r="V223" s="167"/>
      <c r="W223" s="167"/>
      <c r="X223" s="167"/>
      <c r="Y223" s="228" t="n">
        <f aca="false">DAY(EOMONTH(A223,0))</f>
        <v>30</v>
      </c>
      <c r="Z223" s="268" t="n">
        <v>43461</v>
      </c>
      <c r="AA223" s="230" t="e">
        <f aca="false">IF(AND(A223&gt;=Front!$E$11,A223&lt;=Front!$E$12),A223,"")</f>
        <v>#VALUE!</v>
      </c>
      <c r="AB223" s="231" t="e">
        <f aca="false">IF(AA223="","",VLOOKUP(MONTH(A222),Front!$W$6:$X$17,2)*IF(Front!D$9=0,Swap!Y223,1))</f>
        <v>#VALUE!</v>
      </c>
      <c r="AC223" s="274" t="e">
        <f aca="false">IF(AA223="","",AB223*AH223)</f>
        <v>#VALUE!</v>
      </c>
      <c r="AD223" s="233"/>
      <c r="AE223" s="231" t="e">
        <f aca="false">IF(AA223="","",AD223*AH223)</f>
        <v>#VALUE!</v>
      </c>
      <c r="AF223" s="243" t="n">
        <f aca="false">INDEX(IRTable,MATCH(A223,IRMonth,0),4)</f>
        <v>0.0619230462407683</v>
      </c>
      <c r="AG223" s="243" t="n">
        <f aca="false">AF223+$AG$9</f>
        <v>0.0619230462407683</v>
      </c>
      <c r="AH223" s="195" t="n">
        <f aca="false">1/((1+AG223/2)^(2*((A223-Front!$C$2)/365.25)))</f>
        <v>1.47038009662115</v>
      </c>
      <c r="AI223" s="236" t="e">
        <f aca="false">IF($AA223="","",E223*AC223)</f>
        <v>#VALUE!</v>
      </c>
      <c r="AJ223" s="236" t="e">
        <f aca="false">IF($AA223="","",E223*AE223)</f>
        <v>#VALUE!</v>
      </c>
      <c r="AK223" s="237" t="e">
        <f aca="false">IF($AA223="","",C223*AC223)</f>
        <v>#VALUE!</v>
      </c>
      <c r="AL223" s="160" t="n">
        <f aca="false">(AO223/10000)/30.5</f>
        <v>0</v>
      </c>
      <c r="AM223" s="238" t="n">
        <f aca="false">AD223/10000</f>
        <v>0</v>
      </c>
      <c r="AN223" s="238" t="n">
        <f aca="false">AD223*DAY(EOMONTH(A223,0))/10000</f>
        <v>0</v>
      </c>
      <c r="AO223" s="238"/>
      <c r="AP223" s="238"/>
      <c r="AQ223" s="238"/>
      <c r="AR223" s="239"/>
      <c r="AS223" s="238"/>
      <c r="AT223" s="238"/>
      <c r="AU223" s="238"/>
      <c r="AV223" s="238"/>
      <c r="AW223" s="238"/>
      <c r="AX223" s="238"/>
      <c r="AY223" s="238"/>
      <c r="AZ223" s="238"/>
      <c r="BA223" s="241"/>
      <c r="BB223" s="242"/>
      <c r="BC223" s="243" t="n">
        <v>4.6055</v>
      </c>
      <c r="BD223" s="195" t="n">
        <f aca="false">BC223-E223</f>
        <v>-0.0284999999999975</v>
      </c>
      <c r="BE223" s="251" t="n">
        <v>0</v>
      </c>
      <c r="BF223" s="245" t="n">
        <f aca="false">(BE223)*(D223*10)</f>
        <v>0</v>
      </c>
      <c r="BG223" s="121" t="n">
        <v>2.34913203</v>
      </c>
      <c r="BH223" s="121" t="n">
        <v>0</v>
      </c>
      <c r="BI223" s="247"/>
      <c r="BJ223" s="121"/>
      <c r="BK223" s="121"/>
      <c r="BL223" s="121"/>
      <c r="BM223" s="121"/>
      <c r="BN223" s="121"/>
      <c r="BO223" s="121"/>
      <c r="BP223" s="275" t="n">
        <v>43617</v>
      </c>
      <c r="BQ223" s="143" t="n">
        <v>4.488</v>
      </c>
      <c r="BR223" s="143" t="n">
        <v>0.17</v>
      </c>
      <c r="BS223" s="143" t="n">
        <v>0.0619230462407683</v>
      </c>
      <c r="BT223" s="121"/>
    </row>
    <row r="224" customFormat="false" ht="15" hidden="false" customHeight="false" outlineLevel="0" collapsed="false">
      <c r="A224" s="156" t="n">
        <f aca="false">EOMONTH(A223,0)+1</f>
        <v>43647</v>
      </c>
      <c r="B224" s="215"/>
      <c r="C224" s="281" t="n">
        <v>4.6555</v>
      </c>
      <c r="D224" s="282" t="n">
        <f aca="false">(E224-C224)*1000</f>
        <v>28.4999999999975</v>
      </c>
      <c r="E224" s="283" t="n">
        <f aca="false">VLOOKUP(YEAR(A224),Yr_Sprds,2)+E212</f>
        <v>4.684</v>
      </c>
      <c r="F224" s="287"/>
      <c r="G224" s="288"/>
      <c r="H224" s="287"/>
      <c r="I224" s="287"/>
      <c r="J224" s="279"/>
      <c r="K224" s="278"/>
      <c r="L224" s="291"/>
      <c r="M224" s="112"/>
      <c r="N224" s="278"/>
      <c r="O224" s="278"/>
      <c r="P224" s="278"/>
      <c r="Q224" s="167"/>
      <c r="R224" s="167"/>
      <c r="S224" s="167"/>
      <c r="T224" s="167"/>
      <c r="U224" s="167"/>
      <c r="V224" s="167"/>
      <c r="W224" s="167"/>
      <c r="X224" s="167"/>
      <c r="Y224" s="228" t="n">
        <f aca="false">DAY(EOMONTH(A224,0))</f>
        <v>31</v>
      </c>
      <c r="Z224" s="268" t="n">
        <v>43494</v>
      </c>
      <c r="AA224" s="230" t="e">
        <f aca="false">IF(AND(A224&gt;=Front!$E$11,A224&lt;=Front!$E$12),A224,"")</f>
        <v>#VALUE!</v>
      </c>
      <c r="AB224" s="231" t="e">
        <f aca="false">IF(AA224="","",VLOOKUP(MONTH(A223),Front!$W$6:$X$17,2)*IF(Front!D$9=0,Swap!Y224,1))</f>
        <v>#VALUE!</v>
      </c>
      <c r="AC224" s="274" t="e">
        <f aca="false">IF(AA224="","",AB224*AH224)</f>
        <v>#VALUE!</v>
      </c>
      <c r="AD224" s="233"/>
      <c r="AE224" s="231" t="e">
        <f aca="false">IF(AA224="","",AD224*AH224)</f>
        <v>#VALUE!</v>
      </c>
      <c r="AF224" s="243" t="n">
        <f aca="false">INDEX(IRTable,MATCH(A224,IRMonth,0),4)</f>
        <v>0.0619880838087523</v>
      </c>
      <c r="AG224" s="243" t="n">
        <f aca="false">AF224+$AG$9</f>
        <v>0.0619880838087523</v>
      </c>
      <c r="AH224" s="195" t="n">
        <f aca="false">1/((1+AG224/2)^(2*((A224-Front!$C$2)/365.25)))</f>
        <v>1.4636094567041</v>
      </c>
      <c r="AI224" s="236" t="e">
        <f aca="false">IF($AA224="","",E224*AC224)</f>
        <v>#VALUE!</v>
      </c>
      <c r="AJ224" s="236" t="e">
        <f aca="false">IF($AA224="","",E224*AE224)</f>
        <v>#VALUE!</v>
      </c>
      <c r="AK224" s="237" t="e">
        <f aca="false">IF($AA224="","",C224*AC224)</f>
        <v>#VALUE!</v>
      </c>
      <c r="AL224" s="160" t="n">
        <f aca="false">(AO224/10000)/30.5</f>
        <v>0</v>
      </c>
      <c r="AM224" s="238" t="n">
        <f aca="false">AD224/10000</f>
        <v>0</v>
      </c>
      <c r="AN224" s="238" t="n">
        <f aca="false">AD224*DAY(EOMONTH(A224,0))/10000</f>
        <v>0</v>
      </c>
      <c r="AO224" s="238"/>
      <c r="AP224" s="238"/>
      <c r="AQ224" s="238"/>
      <c r="AR224" s="239"/>
      <c r="AS224" s="238"/>
      <c r="AT224" s="238"/>
      <c r="AU224" s="238"/>
      <c r="AV224" s="238"/>
      <c r="AW224" s="238"/>
      <c r="AX224" s="238"/>
      <c r="AY224" s="238"/>
      <c r="AZ224" s="238"/>
      <c r="BA224" s="241"/>
      <c r="BB224" s="242"/>
      <c r="BC224" s="243" t="n">
        <v>4.6555</v>
      </c>
      <c r="BD224" s="195" t="n">
        <f aca="false">BC224-E224</f>
        <v>-0.0284999999999975</v>
      </c>
      <c r="BE224" s="251" t="n">
        <v>0</v>
      </c>
      <c r="BF224" s="245" t="n">
        <f aca="false">(BE224)*(D224*10)</f>
        <v>0</v>
      </c>
      <c r="BG224" s="121" t="n">
        <v>2.41378212</v>
      </c>
      <c r="BH224" s="121" t="n">
        <v>0</v>
      </c>
      <c r="BI224" s="247"/>
      <c r="BJ224" s="121"/>
      <c r="BK224" s="121"/>
      <c r="BL224" s="121"/>
      <c r="BM224" s="121"/>
      <c r="BN224" s="121"/>
      <c r="BO224" s="121"/>
      <c r="BP224" s="275" t="n">
        <v>43647</v>
      </c>
      <c r="BQ224" s="143" t="n">
        <v>4.538</v>
      </c>
      <c r="BR224" s="143" t="n">
        <v>0.17</v>
      </c>
      <c r="BS224" s="143" t="n">
        <v>0.0619880838087523</v>
      </c>
      <c r="BT224" s="121"/>
    </row>
    <row r="225" customFormat="false" ht="15" hidden="false" customHeight="false" outlineLevel="0" collapsed="false">
      <c r="A225" s="156" t="n">
        <f aca="false">EOMONTH(A224,0)+1</f>
        <v>43678</v>
      </c>
      <c r="B225" s="215"/>
      <c r="C225" s="281" t="n">
        <v>4.6895</v>
      </c>
      <c r="D225" s="282" t="n">
        <f aca="false">(E225-C225)*1000</f>
        <v>28.4999999999975</v>
      </c>
      <c r="E225" s="283" t="n">
        <f aca="false">VLOOKUP(YEAR(A225),Yr_Sprds,2)+E213</f>
        <v>4.718</v>
      </c>
      <c r="F225" s="287"/>
      <c r="G225" s="288"/>
      <c r="H225" s="287"/>
      <c r="I225" s="287"/>
      <c r="J225" s="279"/>
      <c r="K225" s="278"/>
      <c r="L225" s="291"/>
      <c r="M225" s="112"/>
      <c r="N225" s="278"/>
      <c r="O225" s="278"/>
      <c r="P225" s="278"/>
      <c r="Q225" s="167"/>
      <c r="R225" s="167"/>
      <c r="S225" s="167"/>
      <c r="T225" s="167"/>
      <c r="U225" s="167"/>
      <c r="V225" s="167"/>
      <c r="W225" s="167"/>
      <c r="X225" s="167"/>
      <c r="Y225" s="228" t="n">
        <f aca="false">DAY(EOMONTH(A225,0))</f>
        <v>31</v>
      </c>
      <c r="Z225" s="268" t="n">
        <v>43522</v>
      </c>
      <c r="AA225" s="230" t="e">
        <f aca="false">IF(AND(A225&gt;=Front!$E$11,A225&lt;=Front!$E$12),A225,"")</f>
        <v>#VALUE!</v>
      </c>
      <c r="AB225" s="231" t="e">
        <f aca="false">IF(AA225="","",VLOOKUP(MONTH(A224),Front!$W$6:$X$17,2)*IF(Front!D$9=0,Swap!Y225,1))</f>
        <v>#VALUE!</v>
      </c>
      <c r="AC225" s="274" t="e">
        <f aca="false">IF(AA225="","",AB225*AH225)</f>
        <v>#VALUE!</v>
      </c>
      <c r="AD225" s="233"/>
      <c r="AE225" s="231" t="e">
        <f aca="false">IF(AA225="","",AD225*AH225)</f>
        <v>#VALUE!</v>
      </c>
      <c r="AF225" s="243" t="n">
        <f aca="false">INDEX(IRTable,MATCH(A225,IRMonth,0),4)</f>
        <v>0.0620552892971444</v>
      </c>
      <c r="AG225" s="243" t="n">
        <f aca="false">AF225+$AG$9</f>
        <v>0.0620552892971444</v>
      </c>
      <c r="AH225" s="195" t="n">
        <f aca="false">1/((1+AG225/2)^(2*((A225-Front!$C$2)/365.25)))</f>
        <v>1.45663000328049</v>
      </c>
      <c r="AI225" s="236" t="e">
        <f aca="false">IF($AA225="","",E225*AC225)</f>
        <v>#VALUE!</v>
      </c>
      <c r="AJ225" s="236" t="e">
        <f aca="false">IF($AA225="","",E225*AE225)</f>
        <v>#VALUE!</v>
      </c>
      <c r="AK225" s="237" t="e">
        <f aca="false">IF($AA225="","",C225*AC225)</f>
        <v>#VALUE!</v>
      </c>
      <c r="AL225" s="160" t="n">
        <f aca="false">(AO225/10000)/30.5</f>
        <v>0</v>
      </c>
      <c r="AM225" s="238" t="n">
        <f aca="false">AD225/10000</f>
        <v>0</v>
      </c>
      <c r="AN225" s="238" t="n">
        <f aca="false">AD225*DAY(EOMONTH(A225,0))/10000</f>
        <v>0</v>
      </c>
      <c r="AO225" s="238"/>
      <c r="AP225" s="238"/>
      <c r="AQ225" s="238"/>
      <c r="AR225" s="239"/>
      <c r="AS225" s="238"/>
      <c r="AT225" s="238"/>
      <c r="AU225" s="238"/>
      <c r="AV225" s="238"/>
      <c r="AW225" s="238"/>
      <c r="AX225" s="238"/>
      <c r="AY225" s="238"/>
      <c r="AZ225" s="238"/>
      <c r="BA225" s="241"/>
      <c r="BB225" s="242"/>
      <c r="BC225" s="243" t="n">
        <v>4.6895</v>
      </c>
      <c r="BD225" s="195" t="n">
        <f aca="false">BC225-E225</f>
        <v>-0.0284999999999975</v>
      </c>
      <c r="BE225" s="251" t="n">
        <v>0</v>
      </c>
      <c r="BF225" s="245" t="n">
        <f aca="false">(BE225)*(D225*10)</f>
        <v>0</v>
      </c>
      <c r="BG225" s="121" t="n">
        <v>2.39974274</v>
      </c>
      <c r="BH225" s="121" t="n">
        <v>0</v>
      </c>
      <c r="BI225" s="247"/>
      <c r="BJ225" s="121"/>
      <c r="BK225" s="121"/>
      <c r="BL225" s="121"/>
      <c r="BM225" s="121"/>
      <c r="BN225" s="121"/>
      <c r="BO225" s="121"/>
      <c r="BP225" s="275" t="n">
        <v>43678</v>
      </c>
      <c r="BQ225" s="143" t="n">
        <v>4.572</v>
      </c>
      <c r="BR225" s="143" t="n">
        <v>0.17</v>
      </c>
      <c r="BS225" s="143" t="n">
        <v>0.0620552892971444</v>
      </c>
      <c r="BT225" s="121"/>
    </row>
    <row r="226" customFormat="false" ht="15" hidden="false" customHeight="false" outlineLevel="0" collapsed="false">
      <c r="A226" s="156" t="n">
        <f aca="false">EOMONTH(A225,0)+1</f>
        <v>43709</v>
      </c>
      <c r="B226" s="215"/>
      <c r="C226" s="281" t="n">
        <v>4.7025</v>
      </c>
      <c r="D226" s="282" t="n">
        <f aca="false">(E226-C226)*1000</f>
        <v>28.5000000000002</v>
      </c>
      <c r="E226" s="283" t="n">
        <f aca="false">VLOOKUP(YEAR(A226),Yr_Sprds,2)+E214</f>
        <v>4.731</v>
      </c>
      <c r="F226" s="287"/>
      <c r="G226" s="288"/>
      <c r="H226" s="287"/>
      <c r="I226" s="287"/>
      <c r="J226" s="279"/>
      <c r="K226" s="278"/>
      <c r="L226" s="291"/>
      <c r="M226" s="112"/>
      <c r="N226" s="278"/>
      <c r="O226" s="278"/>
      <c r="P226" s="278"/>
      <c r="Q226" s="167"/>
      <c r="R226" s="167"/>
      <c r="S226" s="167"/>
      <c r="T226" s="167"/>
      <c r="U226" s="167"/>
      <c r="V226" s="167"/>
      <c r="W226" s="167"/>
      <c r="X226" s="167"/>
      <c r="Y226" s="228" t="n">
        <f aca="false">DAY(EOMONTH(A226,0))</f>
        <v>30</v>
      </c>
      <c r="Z226" s="268" t="n">
        <v>43551</v>
      </c>
      <c r="AA226" s="230" t="e">
        <f aca="false">IF(AND(A226&gt;=Front!$E$11,A226&lt;=Front!$E$12),A226,"")</f>
        <v>#VALUE!</v>
      </c>
      <c r="AB226" s="231" t="e">
        <f aca="false">IF(AA226="","",VLOOKUP(MONTH(A225),Front!$W$6:$X$17,2)*IF(Front!D$9=0,Swap!Y226,1))</f>
        <v>#VALUE!</v>
      </c>
      <c r="AC226" s="274" t="e">
        <f aca="false">IF(AA226="","",AB226*AH226)</f>
        <v>#VALUE!</v>
      </c>
      <c r="AD226" s="233"/>
      <c r="AE226" s="231" t="e">
        <f aca="false">IF(AA226="","",AD226*AH226)</f>
        <v>#VALUE!</v>
      </c>
      <c r="AF226" s="243" t="n">
        <f aca="false">INDEX(IRTable,MATCH(A226,IRMonth,0),4)</f>
        <v>0.0621224947870358</v>
      </c>
      <c r="AG226" s="243" t="n">
        <f aca="false">AF226+$AG$9</f>
        <v>0.0621224947870358</v>
      </c>
      <c r="AH226" s="195" t="n">
        <f aca="false">1/((1+AG226/2)^(2*((A226-Front!$C$2)/365.25)))</f>
        <v>1.44966777345423</v>
      </c>
      <c r="AI226" s="236" t="e">
        <f aca="false">IF($AA226="","",E226*AC226)</f>
        <v>#VALUE!</v>
      </c>
      <c r="AJ226" s="236" t="e">
        <f aca="false">IF($AA226="","",E226*AE226)</f>
        <v>#VALUE!</v>
      </c>
      <c r="AK226" s="237" t="e">
        <f aca="false">IF($AA226="","",C226*AC226)</f>
        <v>#VALUE!</v>
      </c>
      <c r="AL226" s="160" t="n">
        <f aca="false">(AO226/10000)/30.5</f>
        <v>0</v>
      </c>
      <c r="AM226" s="238" t="n">
        <f aca="false">AD226/10000</f>
        <v>0</v>
      </c>
      <c r="AN226" s="238" t="n">
        <f aca="false">AD226*DAY(EOMONTH(A226,0))/10000</f>
        <v>0</v>
      </c>
      <c r="AO226" s="238"/>
      <c r="AP226" s="238"/>
      <c r="AQ226" s="238"/>
      <c r="AR226" s="239"/>
      <c r="AS226" s="238"/>
      <c r="AT226" s="238"/>
      <c r="AU226" s="238"/>
      <c r="AV226" s="238"/>
      <c r="AW226" s="238"/>
      <c r="AX226" s="238"/>
      <c r="AY226" s="238"/>
      <c r="AZ226" s="238"/>
      <c r="BA226" s="241"/>
      <c r="BB226" s="242"/>
      <c r="BC226" s="243" t="n">
        <v>4.7025</v>
      </c>
      <c r="BD226" s="195" t="n">
        <f aca="false">BC226-E226</f>
        <v>-0.0285000000000002</v>
      </c>
      <c r="BE226" s="251" t="n">
        <v>0</v>
      </c>
      <c r="BF226" s="245" t="n">
        <f aca="false">(BE226)*(D226*10)</f>
        <v>0</v>
      </c>
      <c r="BG226" s="121" t="n">
        <v>2.15489291</v>
      </c>
      <c r="BH226" s="121" t="n">
        <v>0</v>
      </c>
      <c r="BI226" s="247"/>
      <c r="BJ226" s="121"/>
      <c r="BK226" s="121"/>
      <c r="BL226" s="121"/>
      <c r="BM226" s="121"/>
      <c r="BN226" s="121"/>
      <c r="BO226" s="121"/>
      <c r="BP226" s="275" t="n">
        <v>43709</v>
      </c>
      <c r="BQ226" s="143" t="n">
        <v>4.585</v>
      </c>
      <c r="BR226" s="143" t="n">
        <v>0.17</v>
      </c>
      <c r="BS226" s="143" t="n">
        <v>0.0621224947870358</v>
      </c>
      <c r="BT226" s="121"/>
    </row>
    <row r="227" customFormat="false" ht="15" hidden="false" customHeight="false" outlineLevel="0" collapsed="false">
      <c r="A227" s="156" t="n">
        <f aca="false">EOMONTH(A226,0)+1</f>
        <v>43739</v>
      </c>
      <c r="B227" s="215"/>
      <c r="C227" s="281" t="n">
        <v>4.6945</v>
      </c>
      <c r="D227" s="282" t="n">
        <f aca="false">(E227-C227)*1000</f>
        <v>28.4999999999975</v>
      </c>
      <c r="E227" s="283" t="n">
        <f aca="false">VLOOKUP(YEAR(A227),Yr_Sprds,2)+E215</f>
        <v>4.723</v>
      </c>
      <c r="F227" s="287"/>
      <c r="G227" s="288"/>
      <c r="H227" s="287"/>
      <c r="I227" s="287"/>
      <c r="J227" s="279"/>
      <c r="K227" s="278"/>
      <c r="L227" s="291"/>
      <c r="M227" s="112"/>
      <c r="N227" s="278"/>
      <c r="O227" s="278"/>
      <c r="P227" s="278"/>
      <c r="Q227" s="167"/>
      <c r="R227" s="167"/>
      <c r="S227" s="167"/>
      <c r="T227" s="167"/>
      <c r="U227" s="167"/>
      <c r="V227" s="167"/>
      <c r="W227" s="167"/>
      <c r="X227" s="167"/>
      <c r="Y227" s="228" t="n">
        <f aca="false">DAY(EOMONTH(A227,0))</f>
        <v>31</v>
      </c>
      <c r="Z227" s="268" t="n">
        <v>43581</v>
      </c>
      <c r="AA227" s="230" t="e">
        <f aca="false">IF(AND(A227&gt;=Front!$E$11,A227&lt;=Front!$E$12),A227,"")</f>
        <v>#VALUE!</v>
      </c>
      <c r="AB227" s="231" t="e">
        <f aca="false">IF(AA227="","",VLOOKUP(MONTH(A226),Front!$W$6:$X$17,2)*IF(Front!D$9=0,Swap!Y227,1))</f>
        <v>#VALUE!</v>
      </c>
      <c r="AC227" s="274" t="e">
        <f aca="false">IF(AA227="","",AB227*AH227)</f>
        <v>#VALUE!</v>
      </c>
      <c r="AD227" s="233"/>
      <c r="AE227" s="231" t="e">
        <f aca="false">IF(AA227="","",AD227*AH227)</f>
        <v>#VALUE!</v>
      </c>
      <c r="AF227" s="243" t="n">
        <f aca="false">INDEX(IRTable,MATCH(A227,IRMonth,0),4)</f>
        <v>0.0621875323593253</v>
      </c>
      <c r="AG227" s="243" t="n">
        <f aca="false">AF227+$AG$9</f>
        <v>0.0621875323593253</v>
      </c>
      <c r="AH227" s="195" t="n">
        <f aca="false">1/((1+AG227/2)^(2*((A227-Front!$C$2)/365.25)))</f>
        <v>1.44294659898831</v>
      </c>
      <c r="AI227" s="236" t="e">
        <f aca="false">IF($AA227="","",E227*AC227)</f>
        <v>#VALUE!</v>
      </c>
      <c r="AJ227" s="236" t="e">
        <f aca="false">IF($AA227="","",E227*AE227)</f>
        <v>#VALUE!</v>
      </c>
      <c r="AK227" s="237" t="e">
        <f aca="false">IF($AA227="","",C227*AC227)</f>
        <v>#VALUE!</v>
      </c>
      <c r="AL227" s="160" t="n">
        <f aca="false">(AO227/10000)/30.5</f>
        <v>0</v>
      </c>
      <c r="AM227" s="238" t="n">
        <f aca="false">AD227/10000</f>
        <v>0</v>
      </c>
      <c r="AN227" s="238" t="n">
        <f aca="false">AD227*DAY(EOMONTH(A227,0))/10000</f>
        <v>0</v>
      </c>
      <c r="AO227" s="238"/>
      <c r="AP227" s="238"/>
      <c r="AQ227" s="238"/>
      <c r="AR227" s="239"/>
      <c r="AS227" s="238"/>
      <c r="AT227" s="238"/>
      <c r="AU227" s="238"/>
      <c r="AV227" s="238"/>
      <c r="AW227" s="238"/>
      <c r="AX227" s="238"/>
      <c r="AY227" s="238"/>
      <c r="AZ227" s="238"/>
      <c r="BA227" s="241"/>
      <c r="BB227" s="242"/>
      <c r="BC227" s="243" t="n">
        <v>4.6945</v>
      </c>
      <c r="BD227" s="195" t="n">
        <f aca="false">BC227-E227</f>
        <v>-0.0284999999999975</v>
      </c>
      <c r="BE227" s="251" t="n">
        <v>0</v>
      </c>
      <c r="BF227" s="245" t="n">
        <f aca="false">(BE227)*(D227*10)</f>
        <v>0</v>
      </c>
      <c r="BG227" s="121" t="n">
        <v>2.37321837</v>
      </c>
      <c r="BH227" s="121" t="n">
        <v>0</v>
      </c>
      <c r="BI227" s="247"/>
      <c r="BJ227" s="121"/>
      <c r="BK227" s="121"/>
      <c r="BL227" s="121"/>
      <c r="BM227" s="121"/>
      <c r="BN227" s="121"/>
      <c r="BO227" s="121"/>
      <c r="BP227" s="275" t="n">
        <v>43739</v>
      </c>
      <c r="BQ227" s="143" t="n">
        <v>4.607</v>
      </c>
      <c r="BR227" s="143" t="n">
        <v>0.17</v>
      </c>
      <c r="BS227" s="143" t="n">
        <v>0.0621875323593253</v>
      </c>
      <c r="BT227" s="121"/>
    </row>
    <row r="228" customFormat="false" ht="15" hidden="false" customHeight="false" outlineLevel="0" collapsed="false">
      <c r="A228" s="156" t="n">
        <f aca="false">EOMONTH(A227,0)+1</f>
        <v>43770</v>
      </c>
      <c r="B228" s="215"/>
      <c r="C228" s="281" t="n">
        <v>4.8645</v>
      </c>
      <c r="D228" s="282" t="n">
        <f aca="false">(E228-C228)*1000</f>
        <v>28.4999999999975</v>
      </c>
      <c r="E228" s="283" t="n">
        <f aca="false">VLOOKUP(YEAR(A228),Yr_Sprds,2)+E216</f>
        <v>4.893</v>
      </c>
      <c r="F228" s="287"/>
      <c r="G228" s="288"/>
      <c r="H228" s="287"/>
      <c r="I228" s="287"/>
      <c r="J228" s="279"/>
      <c r="K228" s="278"/>
      <c r="L228" s="291"/>
      <c r="M228" s="112"/>
      <c r="N228" s="278"/>
      <c r="O228" s="278"/>
      <c r="P228" s="278"/>
      <c r="Q228" s="167"/>
      <c r="R228" s="167"/>
      <c r="S228" s="167"/>
      <c r="T228" s="167"/>
      <c r="U228" s="167"/>
      <c r="V228" s="167"/>
      <c r="W228" s="167"/>
      <c r="X228" s="167"/>
      <c r="Y228" s="228" t="n">
        <f aca="false">DAY(EOMONTH(A228,0))</f>
        <v>30</v>
      </c>
      <c r="Z228" s="268" t="n">
        <v>43614</v>
      </c>
      <c r="AA228" s="230" t="e">
        <f aca="false">IF(AND(A228&gt;=Front!$E$11,A228&lt;=Front!$E$12),A228,"")</f>
        <v>#VALUE!</v>
      </c>
      <c r="AB228" s="231" t="e">
        <f aca="false">IF(AA228="","",VLOOKUP(MONTH(A227),Front!$W$6:$X$17,2)*IF(Front!D$9=0,Swap!Y228,1))</f>
        <v>#VALUE!</v>
      </c>
      <c r="AC228" s="274" t="e">
        <f aca="false">IF(AA228="","",AB228*AH228)</f>
        <v>#VALUE!</v>
      </c>
      <c r="AD228" s="233"/>
      <c r="AE228" s="231" t="e">
        <f aca="false">IF(AA228="","",AD228*AH228)</f>
        <v>#VALUE!</v>
      </c>
      <c r="AF228" s="243" t="n">
        <f aca="false">INDEX(IRTable,MATCH(A228,IRMonth,0),4)</f>
        <v>0.0622547378521663</v>
      </c>
      <c r="AG228" s="243" t="n">
        <f aca="false">AF228+$AG$9</f>
        <v>0.0622547378521663</v>
      </c>
      <c r="AH228" s="195" t="n">
        <f aca="false">1/((1+AG228/2)^(2*((A228-Front!$C$2)/365.25)))</f>
        <v>1.43601847110034</v>
      </c>
      <c r="AI228" s="236" t="e">
        <f aca="false">IF($AA228="","",E228*AC228)</f>
        <v>#VALUE!</v>
      </c>
      <c r="AJ228" s="236" t="e">
        <f aca="false">IF($AA228="","",E228*AE228)</f>
        <v>#VALUE!</v>
      </c>
      <c r="AK228" s="237" t="e">
        <f aca="false">IF($AA228="","",C228*AC228)</f>
        <v>#VALUE!</v>
      </c>
      <c r="AL228" s="160" t="n">
        <f aca="false">(AO228/10000)/30.5</f>
        <v>0</v>
      </c>
      <c r="AM228" s="238" t="n">
        <f aca="false">AD228/10000</f>
        <v>0</v>
      </c>
      <c r="AN228" s="238" t="n">
        <f aca="false">AD228*DAY(EOMONTH(A228,0))/10000</f>
        <v>0</v>
      </c>
      <c r="AO228" s="238"/>
      <c r="AP228" s="238"/>
      <c r="AQ228" s="238"/>
      <c r="AR228" s="239"/>
      <c r="AS228" s="238"/>
      <c r="AT228" s="238"/>
      <c r="AU228" s="238"/>
      <c r="AV228" s="238"/>
      <c r="AW228" s="238"/>
      <c r="AX228" s="238"/>
      <c r="AY228" s="238"/>
      <c r="AZ228" s="238"/>
      <c r="BA228" s="241"/>
      <c r="BB228" s="242"/>
      <c r="BC228" s="243" t="n">
        <v>4.8645</v>
      </c>
      <c r="BD228" s="195" t="n">
        <f aca="false">BC228-E228</f>
        <v>-0.0284999999999975</v>
      </c>
      <c r="BE228" s="251" t="n">
        <v>0</v>
      </c>
      <c r="BF228" s="245" t="n">
        <f aca="false">(BE228)*(D228*10)</f>
        <v>0</v>
      </c>
      <c r="BG228" s="121" t="n">
        <v>3.04404886</v>
      </c>
      <c r="BH228" s="121" t="n">
        <v>0</v>
      </c>
      <c r="BI228" s="247"/>
      <c r="BJ228" s="121"/>
      <c r="BK228" s="121"/>
      <c r="BL228" s="121"/>
      <c r="BM228" s="121"/>
      <c r="BN228" s="121"/>
      <c r="BO228" s="121"/>
      <c r="BP228" s="275" t="n">
        <v>43770</v>
      </c>
      <c r="BQ228" s="143" t="n">
        <v>4.777</v>
      </c>
      <c r="BR228" s="143" t="n">
        <v>0.17</v>
      </c>
      <c r="BS228" s="143" t="n">
        <v>0.0622547378521663</v>
      </c>
      <c r="BT228" s="121"/>
    </row>
    <row r="229" customFormat="false" ht="15" hidden="false" customHeight="false" outlineLevel="0" collapsed="false">
      <c r="A229" s="156" t="n">
        <f aca="false">EOMONTH(A228,0)+1</f>
        <v>43800</v>
      </c>
      <c r="B229" s="215"/>
      <c r="C229" s="281" t="n">
        <v>5.0395</v>
      </c>
      <c r="D229" s="282" t="n">
        <f aca="false">(E229-C229)*1000</f>
        <v>28.4999999999975</v>
      </c>
      <c r="E229" s="283" t="n">
        <f aca="false">VLOOKUP(YEAR(A229),Yr_Sprds,2)+E217</f>
        <v>5.068</v>
      </c>
      <c r="F229" s="287"/>
      <c r="G229" s="288"/>
      <c r="H229" s="287"/>
      <c r="I229" s="287"/>
      <c r="J229" s="279"/>
      <c r="K229" s="278"/>
      <c r="L229" s="291"/>
      <c r="M229" s="112"/>
      <c r="N229" s="278"/>
      <c r="O229" s="278"/>
      <c r="P229" s="278"/>
      <c r="Q229" s="167"/>
      <c r="R229" s="167"/>
      <c r="S229" s="167"/>
      <c r="T229" s="167"/>
      <c r="U229" s="167"/>
      <c r="V229" s="167"/>
      <c r="W229" s="167"/>
      <c r="X229" s="167"/>
      <c r="Y229" s="228" t="n">
        <f aca="false">DAY(EOMONTH(A229,0))</f>
        <v>31</v>
      </c>
      <c r="Z229" s="268" t="n">
        <v>43642</v>
      </c>
      <c r="AA229" s="230" t="e">
        <f aca="false">IF(AND(A229&gt;=Front!$E$11,A229&lt;=Front!$E$12),A229,"")</f>
        <v>#VALUE!</v>
      </c>
      <c r="AB229" s="231" t="e">
        <f aca="false">IF(AA229="","",VLOOKUP(MONTH(A228),Front!$W$6:$X$17,2)*IF(Front!D$9=0,Swap!Y229,1))</f>
        <v>#VALUE!</v>
      </c>
      <c r="AC229" s="274" t="e">
        <f aca="false">IF(AA229="","",AB229*AH229)</f>
        <v>#VALUE!</v>
      </c>
      <c r="AD229" s="233"/>
      <c r="AE229" s="231" t="e">
        <f aca="false">IF(AA229="","",AD229*AH229)</f>
        <v>#VALUE!</v>
      </c>
      <c r="AF229" s="243" t="n">
        <f aca="false">INDEX(IRTable,MATCH(A229,IRMonth,0),4)</f>
        <v>0.0623197754273108</v>
      </c>
      <c r="AG229" s="243" t="n">
        <f aca="false">AF229+$AG$9</f>
        <v>0.0623197754273108</v>
      </c>
      <c r="AH229" s="195" t="n">
        <f aca="false">1/((1+AG229/2)^(2*((A229-Front!$C$2)/365.25)))</f>
        <v>1.42933043147274</v>
      </c>
      <c r="AI229" s="236" t="e">
        <f aca="false">IF($AA229="","",E229*AC229)</f>
        <v>#VALUE!</v>
      </c>
      <c r="AJ229" s="236" t="e">
        <f aca="false">IF($AA229="","",E229*AE229)</f>
        <v>#VALUE!</v>
      </c>
      <c r="AK229" s="237" t="e">
        <f aca="false">IF($AA229="","",C229*AC229)</f>
        <v>#VALUE!</v>
      </c>
      <c r="AL229" s="160" t="n">
        <f aca="false">(AO229/10000)/30.5</f>
        <v>0</v>
      </c>
      <c r="AM229" s="238" t="n">
        <f aca="false">AD229/10000</f>
        <v>0</v>
      </c>
      <c r="AN229" s="238" t="n">
        <f aca="false">AD229*DAY(EOMONTH(A229,0))/10000</f>
        <v>0</v>
      </c>
      <c r="AO229" s="238"/>
      <c r="AP229" s="238"/>
      <c r="AQ229" s="238"/>
      <c r="AR229" s="239"/>
      <c r="AS229" s="238"/>
      <c r="AT229" s="238"/>
      <c r="AU229" s="238"/>
      <c r="AV229" s="238"/>
      <c r="AW229" s="238"/>
      <c r="AX229" s="238"/>
      <c r="AY229" s="238"/>
      <c r="AZ229" s="238"/>
      <c r="BA229" s="241"/>
      <c r="BB229" s="242"/>
      <c r="BC229" s="243" t="n">
        <v>5.0395</v>
      </c>
      <c r="BD229" s="195" t="n">
        <f aca="false">BC229-E229</f>
        <v>-0.0284999999999975</v>
      </c>
      <c r="BE229" s="251" t="n">
        <v>0</v>
      </c>
      <c r="BF229" s="245" t="n">
        <f aca="false">(BE229)*(D229*10)</f>
        <v>0</v>
      </c>
      <c r="BG229" s="121" t="n">
        <v>3.53917555</v>
      </c>
      <c r="BH229" s="121" t="n">
        <v>0</v>
      </c>
      <c r="BI229" s="247"/>
      <c r="BJ229" s="121"/>
      <c r="BK229" s="121"/>
      <c r="BL229" s="121"/>
      <c r="BM229" s="121"/>
      <c r="BN229" s="121"/>
      <c r="BO229" s="121"/>
      <c r="BP229" s="275" t="n">
        <v>43800</v>
      </c>
      <c r="BQ229" s="143" t="n">
        <v>4.952</v>
      </c>
      <c r="BR229" s="143" t="n">
        <v>0.17</v>
      </c>
      <c r="BS229" s="143" t="n">
        <v>0.0623197754273108</v>
      </c>
      <c r="BT229" s="121"/>
    </row>
    <row r="230" customFormat="false" ht="15" hidden="false" customHeight="false" outlineLevel="0" collapsed="false">
      <c r="A230" s="156" t="n">
        <f aca="false">EOMONTH(A229,0)+1</f>
        <v>43831</v>
      </c>
      <c r="B230" s="215"/>
      <c r="C230" s="281" t="n">
        <v>5.0945</v>
      </c>
      <c r="D230" s="282" t="n">
        <f aca="false">(E230-C230)*1000</f>
        <v>30.999999999997</v>
      </c>
      <c r="E230" s="283" t="n">
        <f aca="false">VLOOKUP(YEAR(A230),Yr_Sprds,2)+E218</f>
        <v>5.1255</v>
      </c>
      <c r="F230" s="287"/>
      <c r="G230" s="288"/>
      <c r="H230" s="287"/>
      <c r="I230" s="287"/>
      <c r="J230" s="279"/>
      <c r="K230" s="278"/>
      <c r="L230" s="291"/>
      <c r="M230" s="112"/>
      <c r="N230" s="278"/>
      <c r="O230" s="278"/>
      <c r="P230" s="278"/>
      <c r="Q230" s="167"/>
      <c r="R230" s="167"/>
      <c r="S230" s="167"/>
      <c r="T230" s="167"/>
      <c r="U230" s="167"/>
      <c r="V230" s="167"/>
      <c r="W230" s="167"/>
      <c r="X230" s="167"/>
      <c r="Y230" s="228" t="n">
        <f aca="false">DAY(EOMONTH(A230,0))</f>
        <v>31</v>
      </c>
      <c r="Z230" s="268" t="n">
        <v>43675</v>
      </c>
      <c r="AA230" s="230" t="e">
        <f aca="false">IF(AND(A230&gt;=Front!$E$11,A230&lt;=Front!$E$12),A230,"")</f>
        <v>#VALUE!</v>
      </c>
      <c r="AB230" s="231" t="e">
        <f aca="false">IF(AA230="","",VLOOKUP(MONTH(A229),Front!$W$6:$X$17,2)*IF(Front!D$9=0,Swap!Y230,1))</f>
        <v>#VALUE!</v>
      </c>
      <c r="AC230" s="274" t="e">
        <f aca="false">IF(AA230="","",AB230*AH230)</f>
        <v>#VALUE!</v>
      </c>
      <c r="AD230" s="233"/>
      <c r="AE230" s="231" t="e">
        <f aca="false">IF(AA230="","",AD230*AH230)</f>
        <v>#VALUE!</v>
      </c>
      <c r="AF230" s="243" t="n">
        <f aca="false">INDEX(IRTable,MATCH(A230,IRMonth,0),4)</f>
        <v>0.0623869809231015</v>
      </c>
      <c r="AG230" s="243" t="n">
        <f aca="false">AF230+$AG$9</f>
        <v>0.0623869809231015</v>
      </c>
      <c r="AH230" s="195" t="n">
        <f aca="false">1/((1+AG230/2)^(2*((A230-Front!$C$2)/365.25)))</f>
        <v>1.42243667853341</v>
      </c>
      <c r="AI230" s="236" t="e">
        <f aca="false">IF($AA230="","",E230*AC230)</f>
        <v>#VALUE!</v>
      </c>
      <c r="AJ230" s="236" t="e">
        <f aca="false">IF($AA230="","",E230*AE230)</f>
        <v>#VALUE!</v>
      </c>
      <c r="AK230" s="237" t="e">
        <f aca="false">IF($AA230="","",C230*AC230)</f>
        <v>#VALUE!</v>
      </c>
      <c r="AL230" s="160" t="n">
        <f aca="false">(AO230/10000)/30.5</f>
        <v>0</v>
      </c>
      <c r="AM230" s="238" t="n">
        <f aca="false">AD230/10000</f>
        <v>0</v>
      </c>
      <c r="AN230" s="238" t="n">
        <f aca="false">AD230*DAY(EOMONTH(A230,0))/10000</f>
        <v>0</v>
      </c>
      <c r="AO230" s="238"/>
      <c r="AP230" s="238"/>
      <c r="AQ230" s="238"/>
      <c r="AR230" s="239"/>
      <c r="AS230" s="238"/>
      <c r="AT230" s="238"/>
      <c r="AU230" s="238"/>
      <c r="AV230" s="238"/>
      <c r="AW230" s="238"/>
      <c r="AX230" s="238"/>
      <c r="AY230" s="238"/>
      <c r="AZ230" s="238"/>
      <c r="BA230" s="241"/>
      <c r="BB230" s="242"/>
      <c r="BC230" s="243" t="n">
        <v>5.0945</v>
      </c>
      <c r="BD230" s="195" t="n">
        <f aca="false">BC230-E230</f>
        <v>-0.030999999999997</v>
      </c>
      <c r="BE230" s="251" t="n">
        <v>0</v>
      </c>
      <c r="BF230" s="245" t="n">
        <f aca="false">(BE230)*(D230*10)</f>
        <v>0</v>
      </c>
      <c r="BG230" s="121" t="n">
        <v>3.76125301</v>
      </c>
      <c r="BH230" s="121" t="n">
        <v>0</v>
      </c>
      <c r="BI230" s="247"/>
      <c r="BJ230" s="121"/>
      <c r="BK230" s="121"/>
      <c r="BL230" s="121"/>
      <c r="BM230" s="121"/>
      <c r="BN230" s="121"/>
      <c r="BO230" s="121"/>
      <c r="BP230" s="275" t="n">
        <v>43831</v>
      </c>
      <c r="BQ230" s="143" t="n">
        <v>4.9745</v>
      </c>
      <c r="BR230" s="143" t="n">
        <v>0.17</v>
      </c>
      <c r="BS230" s="143" t="n">
        <v>0.0623869809231015</v>
      </c>
      <c r="BT230" s="121"/>
    </row>
    <row r="231" customFormat="false" ht="15" hidden="false" customHeight="false" outlineLevel="0" collapsed="false">
      <c r="A231" s="156" t="n">
        <f aca="false">EOMONTH(A230,0)+1</f>
        <v>43862</v>
      </c>
      <c r="B231" s="215"/>
      <c r="C231" s="281" t="n">
        <v>4.9805</v>
      </c>
      <c r="D231" s="282" t="n">
        <f aca="false">(E231-C231)*1000</f>
        <v>30.9999999999979</v>
      </c>
      <c r="E231" s="283" t="n">
        <f aca="false">VLOOKUP(YEAR(A231),Yr_Sprds,2)+E219</f>
        <v>5.0115</v>
      </c>
      <c r="F231" s="287"/>
      <c r="G231" s="288"/>
      <c r="H231" s="287"/>
      <c r="I231" s="287"/>
      <c r="J231" s="279"/>
      <c r="K231" s="278"/>
      <c r="L231" s="291"/>
      <c r="M231" s="112"/>
      <c r="N231" s="278"/>
      <c r="O231" s="278"/>
      <c r="P231" s="278"/>
      <c r="Q231" s="167"/>
      <c r="R231" s="167"/>
      <c r="S231" s="167"/>
      <c r="T231" s="167"/>
      <c r="U231" s="167"/>
      <c r="V231" s="167"/>
      <c r="W231" s="167"/>
      <c r="X231" s="167"/>
      <c r="Y231" s="228" t="n">
        <f aca="false">DAY(EOMONTH(A231,0))</f>
        <v>29</v>
      </c>
      <c r="Z231" s="268" t="n">
        <v>43705</v>
      </c>
      <c r="AA231" s="230" t="e">
        <f aca="false">IF(AND(A231&gt;=Front!$E$11,A231&lt;=Front!$E$12),A231,"")</f>
        <v>#VALUE!</v>
      </c>
      <c r="AB231" s="231" t="e">
        <f aca="false">IF(AA231="","",VLOOKUP(MONTH(A230),Front!$W$6:$X$17,2)*IF(Front!D$9=0,Swap!Y231,1))</f>
        <v>#VALUE!</v>
      </c>
      <c r="AC231" s="274" t="e">
        <f aca="false">IF(AA231="","",AB231*AH231)</f>
        <v>#VALUE!</v>
      </c>
      <c r="AD231" s="233"/>
      <c r="AE231" s="231" t="e">
        <f aca="false">IF(AA231="","",AD231*AH231)</f>
        <v>#VALUE!</v>
      </c>
      <c r="AF231" s="243" t="n">
        <f aca="false">INDEX(IRTable,MATCH(A231,IRMonth,0),4)</f>
        <v>0.0624541864203914</v>
      </c>
      <c r="AG231" s="243" t="n">
        <f aca="false">AF231+$AG$9</f>
        <v>0.0624541864203914</v>
      </c>
      <c r="AH231" s="195" t="n">
        <f aca="false">1/((1+AG231/2)^(2*((A231-Front!$C$2)/365.25)))</f>
        <v>1.41556049719117</v>
      </c>
      <c r="AI231" s="236" t="e">
        <f aca="false">IF($AA231="","",E231*AC231)</f>
        <v>#VALUE!</v>
      </c>
      <c r="AJ231" s="236" t="e">
        <f aca="false">IF($AA231="","",E231*AE231)</f>
        <v>#VALUE!</v>
      </c>
      <c r="AK231" s="237" t="e">
        <f aca="false">IF($AA231="","",C231*AC231)</f>
        <v>#VALUE!</v>
      </c>
      <c r="AL231" s="160" t="n">
        <f aca="false">(AO231/10000)/30.5</f>
        <v>0</v>
      </c>
      <c r="AM231" s="238" t="n">
        <f aca="false">AD231/10000</f>
        <v>0</v>
      </c>
      <c r="AN231" s="238" t="n">
        <f aca="false">AD231*DAY(EOMONTH(A231,0))/10000</f>
        <v>0</v>
      </c>
      <c r="AO231" s="238"/>
      <c r="AP231" s="238"/>
      <c r="AQ231" s="238"/>
      <c r="AR231" s="239"/>
      <c r="AS231" s="238"/>
      <c r="AT231" s="238"/>
      <c r="AU231" s="238"/>
      <c r="AV231" s="238"/>
      <c r="AW231" s="238"/>
      <c r="AX231" s="238"/>
      <c r="AY231" s="238"/>
      <c r="AZ231" s="238"/>
      <c r="BA231" s="241"/>
      <c r="BB231" s="242"/>
      <c r="BC231" s="243" t="n">
        <v>4.9805</v>
      </c>
      <c r="BD231" s="195" t="n">
        <f aca="false">BC231-E231</f>
        <v>-0.0309999999999979</v>
      </c>
      <c r="BE231" s="251" t="n">
        <v>0</v>
      </c>
      <c r="BF231" s="245" t="n">
        <f aca="false">(BE231)*(D231*10)</f>
        <v>0</v>
      </c>
      <c r="BG231" s="121" t="n">
        <v>3.86465095</v>
      </c>
      <c r="BH231" s="121" t="n">
        <v>0</v>
      </c>
      <c r="BI231" s="247"/>
      <c r="BJ231" s="121"/>
      <c r="BK231" s="121"/>
      <c r="BL231" s="121"/>
      <c r="BM231" s="121"/>
      <c r="BN231" s="121"/>
      <c r="BO231" s="121"/>
      <c r="BP231" s="275" t="n">
        <v>43862</v>
      </c>
      <c r="BQ231" s="143" t="n">
        <v>4.8605</v>
      </c>
      <c r="BR231" s="143" t="n">
        <v>0.17</v>
      </c>
      <c r="BS231" s="143" t="n">
        <v>0.0624541864203914</v>
      </c>
      <c r="BT231" s="121"/>
    </row>
    <row r="232" customFormat="false" ht="15" hidden="false" customHeight="false" outlineLevel="0" collapsed="false">
      <c r="A232" s="156" t="n">
        <f aca="false">EOMONTH(A231,0)+1</f>
        <v>43891</v>
      </c>
      <c r="B232" s="215"/>
      <c r="C232" s="281" t="n">
        <v>4.8485</v>
      </c>
      <c r="D232" s="282" t="n">
        <f aca="false">(E232-C232)*1000</f>
        <v>30.999999999997</v>
      </c>
      <c r="E232" s="283" t="n">
        <f aca="false">VLOOKUP(YEAR(A232),Yr_Sprds,2)+E220</f>
        <v>4.8795</v>
      </c>
      <c r="F232" s="287"/>
      <c r="G232" s="288"/>
      <c r="H232" s="287"/>
      <c r="I232" s="287"/>
      <c r="J232" s="279"/>
      <c r="K232" s="278"/>
      <c r="L232" s="291"/>
      <c r="M232" s="112"/>
      <c r="N232" s="278"/>
      <c r="O232" s="278"/>
      <c r="P232" s="278"/>
      <c r="Q232" s="167"/>
      <c r="R232" s="167"/>
      <c r="S232" s="167"/>
      <c r="T232" s="167"/>
      <c r="U232" s="167"/>
      <c r="V232" s="167"/>
      <c r="W232" s="167"/>
      <c r="X232" s="167"/>
      <c r="Y232" s="228" t="n">
        <f aca="false">DAY(EOMONTH(A232,0))</f>
        <v>31</v>
      </c>
      <c r="Z232" s="268" t="n">
        <v>43734</v>
      </c>
      <c r="AA232" s="230" t="e">
        <f aca="false">IF(AND(A232&gt;=Front!$E$11,A232&lt;=Front!$E$12),A232,"")</f>
        <v>#VALUE!</v>
      </c>
      <c r="AB232" s="231" t="e">
        <f aca="false">IF(AA232="","",VLOOKUP(MONTH(A231),Front!$W$6:$X$17,2)*IF(Front!D$9=0,Swap!Y232,1))</f>
        <v>#VALUE!</v>
      </c>
      <c r="AC232" s="274" t="e">
        <f aca="false">IF(AA232="","",AB232*AH232)</f>
        <v>#VALUE!</v>
      </c>
      <c r="AD232" s="233"/>
      <c r="AE232" s="231" t="e">
        <f aca="false">IF(AA232="","",AD232*AH232)</f>
        <v>#VALUE!</v>
      </c>
      <c r="AF232" s="243" t="n">
        <f aca="false">INDEX(IRTable,MATCH(A232,IRMonth,0),4)</f>
        <v>0.0625170560805031</v>
      </c>
      <c r="AG232" s="243" t="n">
        <f aca="false">AF232+$AG$9</f>
        <v>0.0625170560805031</v>
      </c>
      <c r="AH232" s="195" t="n">
        <f aca="false">1/((1+AG232/2)^(2*((A232-Front!$C$2)/365.25)))</f>
        <v>1.40914390817692</v>
      </c>
      <c r="AI232" s="236" t="e">
        <f aca="false">IF($AA232="","",E232*AC232)</f>
        <v>#VALUE!</v>
      </c>
      <c r="AJ232" s="236" t="e">
        <f aca="false">IF($AA232="","",E232*AE232)</f>
        <v>#VALUE!</v>
      </c>
      <c r="AK232" s="237" t="e">
        <f aca="false">IF($AA232="","",C232*AC232)</f>
        <v>#VALUE!</v>
      </c>
      <c r="AL232" s="160" t="n">
        <f aca="false">(AO232/10000)/30.5</f>
        <v>0</v>
      </c>
      <c r="AM232" s="238" t="n">
        <f aca="false">AD232/10000</f>
        <v>0</v>
      </c>
      <c r="AN232" s="238" t="n">
        <f aca="false">AD232*DAY(EOMONTH(A232,0))/10000</f>
        <v>0</v>
      </c>
      <c r="AO232" s="238"/>
      <c r="AP232" s="238"/>
      <c r="AQ232" s="238"/>
      <c r="AR232" s="239"/>
      <c r="AS232" s="238"/>
      <c r="AT232" s="238"/>
      <c r="AU232" s="238"/>
      <c r="AV232" s="238"/>
      <c r="AW232" s="238"/>
      <c r="AX232" s="238"/>
      <c r="AY232" s="238"/>
      <c r="AZ232" s="238"/>
      <c r="BA232" s="241"/>
      <c r="BB232" s="242"/>
      <c r="BC232" s="243" t="n">
        <v>4.8485</v>
      </c>
      <c r="BD232" s="195" t="n">
        <f aca="false">BC232-E232</f>
        <v>-0.030999999999997</v>
      </c>
      <c r="BE232" s="251" t="n">
        <v>0</v>
      </c>
      <c r="BF232" s="245" t="n">
        <f aca="false">(BE232)*(D232*10)</f>
        <v>0</v>
      </c>
      <c r="BG232" s="121" t="n">
        <v>3.84205479</v>
      </c>
      <c r="BH232" s="121" t="n">
        <v>0</v>
      </c>
      <c r="BI232" s="247"/>
      <c r="BJ232" s="121"/>
      <c r="BK232" s="121"/>
      <c r="BL232" s="121"/>
      <c r="BM232" s="121"/>
      <c r="BN232" s="121"/>
      <c r="BO232" s="121"/>
      <c r="BP232" s="275" t="n">
        <v>43891</v>
      </c>
      <c r="BQ232" s="143" t="n">
        <v>4.7285</v>
      </c>
      <c r="BR232" s="143" t="n">
        <v>0.17</v>
      </c>
      <c r="BS232" s="143" t="n">
        <v>0.0625170560805031</v>
      </c>
      <c r="BT232" s="121"/>
    </row>
    <row r="233" customFormat="false" ht="15" hidden="false" customHeight="false" outlineLevel="0" collapsed="false">
      <c r="A233" s="156" t="n">
        <f aca="false">EOMONTH(A232,0)+1</f>
        <v>43922</v>
      </c>
      <c r="B233" s="215"/>
      <c r="C233" s="281" t="n">
        <v>4.6785</v>
      </c>
      <c r="D233" s="282" t="n">
        <f aca="false">(E233-C233)*1000</f>
        <v>30.999999999997</v>
      </c>
      <c r="E233" s="283" t="n">
        <f aca="false">VLOOKUP(YEAR(A233),Yr_Sprds,2)+E221</f>
        <v>4.7095</v>
      </c>
      <c r="F233" s="287"/>
      <c r="G233" s="288"/>
      <c r="H233" s="287"/>
      <c r="I233" s="287"/>
      <c r="J233" s="279"/>
      <c r="K233" s="278"/>
      <c r="L233" s="291"/>
      <c r="M233" s="112"/>
      <c r="N233" s="278"/>
      <c r="O233" s="278"/>
      <c r="P233" s="278"/>
      <c r="Q233" s="167"/>
      <c r="R233" s="167"/>
      <c r="S233" s="167"/>
      <c r="T233" s="167"/>
      <c r="U233" s="167"/>
      <c r="V233" s="167"/>
      <c r="W233" s="167"/>
      <c r="X233" s="167"/>
      <c r="Y233" s="228" t="n">
        <f aca="false">DAY(EOMONTH(A233,0))</f>
        <v>30</v>
      </c>
      <c r="Z233" s="268" t="n">
        <v>43767</v>
      </c>
      <c r="AA233" s="230" t="e">
        <f aca="false">IF(AND(A233&gt;=Front!$E$11,A233&lt;=Front!$E$12),A233,"")</f>
        <v>#VALUE!</v>
      </c>
      <c r="AB233" s="231" t="e">
        <f aca="false">IF(AA233="","",VLOOKUP(MONTH(A232),Front!$W$6:$X$17,2)*IF(Front!D$9=0,Swap!Y233,1))</f>
        <v>#VALUE!</v>
      </c>
      <c r="AC233" s="274" t="e">
        <f aca="false">IF(AA233="","",AB233*AH233)</f>
        <v>#VALUE!</v>
      </c>
      <c r="AD233" s="233"/>
      <c r="AE233" s="231" t="e">
        <f aca="false">IF(AA233="","",AD233*AH233)</f>
        <v>#VALUE!</v>
      </c>
      <c r="AF233" s="243" t="n">
        <f aca="false">INDEX(IRTable,MATCH(A233,IRMonth,0),4)</f>
        <v>0.0625842615806938</v>
      </c>
      <c r="AG233" s="243" t="n">
        <f aca="false">AF233+$AG$9</f>
        <v>0.0625842615806938</v>
      </c>
      <c r="AH233" s="195" t="n">
        <f aca="false">1/((1+AG233/2)^(2*((A233-Front!$C$2)/365.25)))</f>
        <v>1.4023019280458</v>
      </c>
      <c r="AI233" s="236" t="e">
        <f aca="false">IF($AA233="","",E233*AC233)</f>
        <v>#VALUE!</v>
      </c>
      <c r="AJ233" s="236" t="e">
        <f aca="false">IF($AA233="","",E233*AE233)</f>
        <v>#VALUE!</v>
      </c>
      <c r="AK233" s="237" t="e">
        <f aca="false">IF($AA233="","",C233*AC233)</f>
        <v>#VALUE!</v>
      </c>
      <c r="AL233" s="160" t="n">
        <f aca="false">(AO233/10000)/30.5</f>
        <v>0</v>
      </c>
      <c r="AM233" s="238" t="n">
        <f aca="false">AD233/10000</f>
        <v>0</v>
      </c>
      <c r="AN233" s="238" t="n">
        <f aca="false">AD233*DAY(EOMONTH(A233,0))/10000</f>
        <v>0</v>
      </c>
      <c r="AO233" s="238"/>
      <c r="AP233" s="238"/>
      <c r="AQ233" s="238"/>
      <c r="AR233" s="239"/>
      <c r="AS233" s="238"/>
      <c r="AT233" s="238"/>
      <c r="AU233" s="238"/>
      <c r="AV233" s="238"/>
      <c r="AW233" s="238"/>
      <c r="AX233" s="238"/>
      <c r="AY233" s="238"/>
      <c r="AZ233" s="238"/>
      <c r="BA233" s="241"/>
      <c r="BB233" s="242"/>
      <c r="BC233" s="243" t="n">
        <v>4.6785</v>
      </c>
      <c r="BD233" s="195" t="n">
        <f aca="false">BC233-E233</f>
        <v>-0.030999999999997</v>
      </c>
      <c r="BE233" s="251" t="n">
        <v>0</v>
      </c>
      <c r="BF233" s="245" t="n">
        <f aca="false">(BE233)*(D233*10)</f>
        <v>0</v>
      </c>
      <c r="BG233" s="121" t="n">
        <v>3.34626765</v>
      </c>
      <c r="BH233" s="121" t="n">
        <v>0</v>
      </c>
      <c r="BI233" s="247"/>
      <c r="BJ233" s="121"/>
      <c r="BK233" s="121"/>
      <c r="BL233" s="121"/>
      <c r="BM233" s="121"/>
      <c r="BN233" s="121"/>
      <c r="BO233" s="121"/>
      <c r="BP233" s="275" t="n">
        <v>43922</v>
      </c>
      <c r="BQ233" s="143" t="n">
        <v>4.5585</v>
      </c>
      <c r="BR233" s="143" t="n">
        <v>0.17</v>
      </c>
      <c r="BS233" s="143" t="n">
        <v>0.0625842615806938</v>
      </c>
      <c r="BT233" s="121"/>
    </row>
    <row r="234" customFormat="false" ht="15" hidden="false" customHeight="false" outlineLevel="0" collapsed="false">
      <c r="A234" s="156" t="n">
        <f aca="false">EOMONTH(A233,0)+1</f>
        <v>43952</v>
      </c>
      <c r="B234" s="215"/>
      <c r="C234" s="281" t="n">
        <v>4.6785</v>
      </c>
      <c r="D234" s="282" t="n">
        <f aca="false">(E234-C234)*1000</f>
        <v>30.999999999997</v>
      </c>
      <c r="E234" s="283" t="n">
        <f aca="false">VLOOKUP(YEAR(A234),Yr_Sprds,2)+E222</f>
        <v>4.7095</v>
      </c>
      <c r="F234" s="287"/>
      <c r="G234" s="288"/>
      <c r="H234" s="287"/>
      <c r="I234" s="287"/>
      <c r="J234" s="279"/>
      <c r="K234" s="278"/>
      <c r="L234" s="291"/>
      <c r="M234" s="112"/>
      <c r="N234" s="278"/>
      <c r="O234" s="278"/>
      <c r="P234" s="278"/>
      <c r="Q234" s="167"/>
      <c r="R234" s="167"/>
      <c r="S234" s="167"/>
      <c r="T234" s="167"/>
      <c r="U234" s="167"/>
      <c r="V234" s="167"/>
      <c r="W234" s="167"/>
      <c r="X234" s="167"/>
      <c r="Y234" s="228" t="n">
        <f aca="false">DAY(EOMONTH(A234,0))</f>
        <v>31</v>
      </c>
      <c r="Z234" s="268" t="n">
        <v>43795</v>
      </c>
      <c r="AA234" s="230" t="e">
        <f aca="false">IF(AND(A234&gt;=Front!$E$11,A234&lt;=Front!$E$12),A234,"")</f>
        <v>#VALUE!</v>
      </c>
      <c r="AB234" s="231" t="e">
        <f aca="false">IF(AA234="","",VLOOKUP(MONTH(A233),Front!$W$6:$X$17,2)*IF(Front!D$9=0,Swap!Y234,1))</f>
        <v>#VALUE!</v>
      </c>
      <c r="AC234" s="274" t="e">
        <f aca="false">IF(AA234="","",AB234*AH234)</f>
        <v>#VALUE!</v>
      </c>
      <c r="AD234" s="233"/>
      <c r="AE234" s="231" t="e">
        <f aca="false">IF(AA234="","",AD234*AH234)</f>
        <v>#VALUE!</v>
      </c>
      <c r="AF234" s="243" t="n">
        <f aca="false">INDEX(IRTable,MATCH(A234,IRMonth,0),4)</f>
        <v>0.0626492991629508</v>
      </c>
      <c r="AG234" s="243" t="n">
        <f aca="false">AF234+$AG$9</f>
        <v>0.0626492991629508</v>
      </c>
      <c r="AH234" s="195" t="n">
        <f aca="false">1/((1+AG234/2)^(2*((A234-Front!$C$2)/365.25)))</f>
        <v>1.3956975736685</v>
      </c>
      <c r="AI234" s="236" t="e">
        <f aca="false">IF($AA234="","",E234*AC234)</f>
        <v>#VALUE!</v>
      </c>
      <c r="AJ234" s="236" t="e">
        <f aca="false">IF($AA234="","",E234*AE234)</f>
        <v>#VALUE!</v>
      </c>
      <c r="AK234" s="237" t="e">
        <f aca="false">IF($AA234="","",C234*AC234)</f>
        <v>#VALUE!</v>
      </c>
      <c r="AL234" s="160" t="n">
        <f aca="false">(AO234/10000)/30.5</f>
        <v>0</v>
      </c>
      <c r="AM234" s="238" t="n">
        <f aca="false">AD234/10000</f>
        <v>0</v>
      </c>
      <c r="AN234" s="238" t="n">
        <f aca="false">AD234*DAY(EOMONTH(A234,0))/10000</f>
        <v>0</v>
      </c>
      <c r="AO234" s="238"/>
      <c r="AP234" s="238"/>
      <c r="AQ234" s="238"/>
      <c r="AR234" s="239"/>
      <c r="AS234" s="238"/>
      <c r="AT234" s="238"/>
      <c r="AU234" s="238"/>
      <c r="AV234" s="238"/>
      <c r="AW234" s="238"/>
      <c r="AX234" s="238"/>
      <c r="AY234" s="238"/>
      <c r="AZ234" s="238"/>
      <c r="BA234" s="241"/>
      <c r="BB234" s="242"/>
      <c r="BC234" s="243" t="n">
        <v>4.6785</v>
      </c>
      <c r="BD234" s="195" t="n">
        <f aca="false">BC234-E234</f>
        <v>-0.030999999999997</v>
      </c>
      <c r="BE234" s="251" t="n">
        <v>0</v>
      </c>
      <c r="BF234" s="245" t="n">
        <f aca="false">(BE234)*(D234*10)</f>
        <v>0</v>
      </c>
      <c r="BG234" s="121" t="n">
        <v>2.83869081</v>
      </c>
      <c r="BH234" s="121" t="n">
        <v>0</v>
      </c>
      <c r="BI234" s="247"/>
      <c r="BJ234" s="121"/>
      <c r="BK234" s="121"/>
      <c r="BL234" s="121"/>
      <c r="BM234" s="121"/>
      <c r="BN234" s="121"/>
      <c r="BO234" s="121"/>
      <c r="BP234" s="275" t="n">
        <v>43952</v>
      </c>
      <c r="BQ234" s="143" t="n">
        <v>4.5585</v>
      </c>
      <c r="BR234" s="143" t="n">
        <v>0.17</v>
      </c>
      <c r="BS234" s="143" t="n">
        <v>0.0626492991629508</v>
      </c>
      <c r="BT234" s="121"/>
    </row>
    <row r="235" customFormat="false" ht="15" hidden="false" customHeight="false" outlineLevel="0" collapsed="false">
      <c r="A235" s="156" t="n">
        <f aca="false">EOMONTH(A234,0)+1</f>
        <v>43983</v>
      </c>
      <c r="B235" s="215"/>
      <c r="C235" s="281" t="n">
        <v>4.7105</v>
      </c>
      <c r="D235" s="282" t="n">
        <f aca="false">(E235-C235)*1000</f>
        <v>30.999999999997</v>
      </c>
      <c r="E235" s="283" t="n">
        <f aca="false">VLOOKUP(YEAR(A235),Yr_Sprds,2)+E223</f>
        <v>4.7415</v>
      </c>
      <c r="F235" s="287"/>
      <c r="G235" s="288"/>
      <c r="H235" s="287"/>
      <c r="I235" s="287"/>
      <c r="J235" s="279"/>
      <c r="K235" s="278"/>
      <c r="L235" s="291"/>
      <c r="M235" s="112"/>
      <c r="N235" s="278"/>
      <c r="O235" s="278"/>
      <c r="P235" s="278"/>
      <c r="Q235" s="167"/>
      <c r="R235" s="167"/>
      <c r="S235" s="167"/>
      <c r="T235" s="167"/>
      <c r="U235" s="167"/>
      <c r="V235" s="167"/>
      <c r="W235" s="167"/>
      <c r="X235" s="167"/>
      <c r="Y235" s="228" t="n">
        <f aca="false">DAY(EOMONTH(A235,0))</f>
        <v>30</v>
      </c>
      <c r="Z235" s="268" t="n">
        <v>43826</v>
      </c>
      <c r="AA235" s="230" t="e">
        <f aca="false">IF(AND(A235&gt;=Front!$E$11,A235&lt;=Front!$E$12),A235,"")</f>
        <v>#VALUE!</v>
      </c>
      <c r="AB235" s="231" t="e">
        <f aca="false">IF(AA235="","",VLOOKUP(MONTH(A234),Front!$W$6:$X$17,2)*IF(Front!D$9=0,Swap!Y235,1))</f>
        <v>#VALUE!</v>
      </c>
      <c r="AC235" s="274" t="e">
        <f aca="false">IF(AA235="","",AB235*AH235)</f>
        <v>#VALUE!</v>
      </c>
      <c r="AD235" s="233"/>
      <c r="AE235" s="231" t="e">
        <f aca="false">IF(AA235="","",AD235*AH235)</f>
        <v>#VALUE!</v>
      </c>
      <c r="AF235" s="243" t="n">
        <f aca="false">INDEX(IRTable,MATCH(A235,IRMonth,0),4)</f>
        <v>0.0627165046660907</v>
      </c>
      <c r="AG235" s="243" t="n">
        <f aca="false">AF235+$AG$9</f>
        <v>0.0627165046660907</v>
      </c>
      <c r="AH235" s="195" t="n">
        <f aca="false">1/((1+AG235/2)^(2*((A235-Front!$C$2)/365.25)))</f>
        <v>1.3888906180813</v>
      </c>
      <c r="AI235" s="236" t="e">
        <f aca="false">IF($AA235="","",E235*AC235)</f>
        <v>#VALUE!</v>
      </c>
      <c r="AJ235" s="236" t="e">
        <f aca="false">IF($AA235="","",E235*AE235)</f>
        <v>#VALUE!</v>
      </c>
      <c r="AK235" s="237" t="e">
        <f aca="false">IF($AA235="","",C235*AC235)</f>
        <v>#VALUE!</v>
      </c>
      <c r="AL235" s="160" t="n">
        <f aca="false">(AO235/10000)/30.5</f>
        <v>0</v>
      </c>
      <c r="AM235" s="238" t="n">
        <f aca="false">AD235/10000</f>
        <v>0</v>
      </c>
      <c r="AN235" s="238" t="n">
        <f aca="false">AD235*DAY(EOMONTH(A235,0))/10000</f>
        <v>0</v>
      </c>
      <c r="AO235" s="238"/>
      <c r="AP235" s="238"/>
      <c r="AQ235" s="238"/>
      <c r="AR235" s="239"/>
      <c r="AS235" s="238"/>
      <c r="AT235" s="238"/>
      <c r="AU235" s="238"/>
      <c r="AV235" s="238"/>
      <c r="AW235" s="238"/>
      <c r="AX235" s="238"/>
      <c r="AY235" s="238"/>
      <c r="AZ235" s="238"/>
      <c r="BA235" s="241"/>
      <c r="BB235" s="242"/>
      <c r="BC235" s="243" t="n">
        <v>4.7105</v>
      </c>
      <c r="BD235" s="195" t="n">
        <f aca="false">BC235-E235</f>
        <v>-0.030999999999997</v>
      </c>
      <c r="BE235" s="251" t="n">
        <v>0</v>
      </c>
      <c r="BF235" s="245" t="n">
        <f aca="false">(BE235)*(D235*10)</f>
        <v>0</v>
      </c>
      <c r="BG235" s="121" t="n">
        <v>2.19269085</v>
      </c>
      <c r="BH235" s="121" t="n">
        <v>0</v>
      </c>
      <c r="BI235" s="247"/>
      <c r="BJ235" s="121"/>
      <c r="BK235" s="121"/>
      <c r="BL235" s="121"/>
      <c r="BM235" s="121"/>
      <c r="BN235" s="121"/>
      <c r="BO235" s="121"/>
      <c r="BP235" s="275" t="n">
        <v>43983</v>
      </c>
      <c r="BQ235" s="143" t="n">
        <v>4.5905</v>
      </c>
      <c r="BR235" s="143" t="n">
        <v>0.17</v>
      </c>
      <c r="BS235" s="143" t="n">
        <v>0.0627165046660907</v>
      </c>
      <c r="BT235" s="121"/>
    </row>
    <row r="236" customFormat="false" ht="15" hidden="false" customHeight="false" outlineLevel="0" collapsed="false">
      <c r="A236" s="156" t="n">
        <f aca="false">EOMONTH(A235,0)+1</f>
        <v>44013</v>
      </c>
      <c r="B236" s="215"/>
      <c r="C236" s="281" t="n">
        <v>4.7605</v>
      </c>
      <c r="D236" s="282" t="n">
        <f aca="false">(E236-C236)*1000</f>
        <v>30.999999999997</v>
      </c>
      <c r="E236" s="283" t="n">
        <f aca="false">VLOOKUP(YEAR(A236),Yr_Sprds,2)+E224</f>
        <v>4.7915</v>
      </c>
      <c r="F236" s="287"/>
      <c r="G236" s="288"/>
      <c r="H236" s="287"/>
      <c r="I236" s="287"/>
      <c r="J236" s="279"/>
      <c r="K236" s="278"/>
      <c r="L236" s="291"/>
      <c r="M236" s="112"/>
      <c r="N236" s="278"/>
      <c r="O236" s="278"/>
      <c r="P236" s="278"/>
      <c r="Q236" s="167"/>
      <c r="R236" s="167"/>
      <c r="S236" s="167"/>
      <c r="T236" s="167"/>
      <c r="U236" s="167"/>
      <c r="V236" s="167"/>
      <c r="W236" s="167"/>
      <c r="X236" s="167"/>
      <c r="Y236" s="228" t="n">
        <f aca="false">DAY(EOMONTH(A236,0))</f>
        <v>31</v>
      </c>
      <c r="Z236" s="268" t="n">
        <v>43859</v>
      </c>
      <c r="AA236" s="230" t="e">
        <f aca="false">IF(AND(A236&gt;=Front!$E$11,A236&lt;=Front!$E$12),A236,"")</f>
        <v>#VALUE!</v>
      </c>
      <c r="AB236" s="231" t="e">
        <f aca="false">IF(AA236="","",VLOOKUP(MONTH(A235),Front!$W$6:$X$17,2)*IF(Front!D$9=0,Swap!Y236,1))</f>
        <v>#VALUE!</v>
      </c>
      <c r="AC236" s="274" t="e">
        <f aca="false">IF(AA236="","",AB236*AH236)</f>
        <v>#VALUE!</v>
      </c>
      <c r="AD236" s="233"/>
      <c r="AE236" s="231" t="e">
        <f aca="false">IF(AA236="","",AD236*AH236)</f>
        <v>#VALUE!</v>
      </c>
      <c r="AF236" s="243" t="n">
        <f aca="false">INDEX(IRTable,MATCH(A236,IRMonth,0),4)</f>
        <v>0.0627815422512015</v>
      </c>
      <c r="AG236" s="243" t="n">
        <f aca="false">AF236+$AG$9</f>
        <v>0.0627815422512015</v>
      </c>
      <c r="AH236" s="195" t="n">
        <f aca="false">1/((1+AG236/2)^(2*((A236-Front!$C$2)/365.25)))</f>
        <v>1.38232027948592</v>
      </c>
      <c r="AI236" s="236" t="e">
        <f aca="false">IF($AA236="","",E236*AC236)</f>
        <v>#VALUE!</v>
      </c>
      <c r="AJ236" s="236" t="e">
        <f aca="false">IF($AA236="","",E236*AE236)</f>
        <v>#VALUE!</v>
      </c>
      <c r="AK236" s="237" t="e">
        <f aca="false">IF($AA236="","",C236*AC236)</f>
        <v>#VALUE!</v>
      </c>
      <c r="AL236" s="160" t="n">
        <f aca="false">(AO236/10000)/30.5</f>
        <v>0</v>
      </c>
      <c r="AM236" s="238" t="n">
        <f aca="false">AD236/10000</f>
        <v>0</v>
      </c>
      <c r="AN236" s="238" t="n">
        <f aca="false">AD236*DAY(EOMONTH(A236,0))/10000</f>
        <v>0</v>
      </c>
      <c r="AO236" s="238"/>
      <c r="AP236" s="238"/>
      <c r="AQ236" s="238"/>
      <c r="AR236" s="239"/>
      <c r="AS236" s="238"/>
      <c r="AT236" s="238"/>
      <c r="AU236" s="238"/>
      <c r="AV236" s="238"/>
      <c r="AW236" s="238"/>
      <c r="AX236" s="238"/>
      <c r="AY236" s="238"/>
      <c r="AZ236" s="238"/>
      <c r="BA236" s="241"/>
      <c r="BB236" s="242"/>
      <c r="BC236" s="243" t="n">
        <v>4.7605</v>
      </c>
      <c r="BD236" s="195" t="n">
        <f aca="false">BC236-E236</f>
        <v>-0.030999999999997</v>
      </c>
      <c r="BE236" s="251" t="n">
        <v>0</v>
      </c>
      <c r="BF236" s="245" t="n">
        <f aca="false">(BE236)*(D236*10)</f>
        <v>0</v>
      </c>
      <c r="BG236" s="121" t="n">
        <v>2.25292023</v>
      </c>
      <c r="BH236" s="121" t="n">
        <v>0</v>
      </c>
      <c r="BI236" s="247"/>
      <c r="BJ236" s="121"/>
      <c r="BK236" s="121"/>
      <c r="BL236" s="121"/>
      <c r="BM236" s="121"/>
      <c r="BN236" s="121"/>
      <c r="BO236" s="121"/>
      <c r="BP236" s="275" t="n">
        <v>44013</v>
      </c>
      <c r="BQ236" s="143" t="n">
        <v>4.6405</v>
      </c>
      <c r="BR236" s="143" t="n">
        <v>0.17</v>
      </c>
      <c r="BS236" s="143" t="n">
        <v>0.0627815422512015</v>
      </c>
      <c r="BT236" s="121"/>
    </row>
    <row r="237" customFormat="false" ht="15" hidden="false" customHeight="false" outlineLevel="0" collapsed="false">
      <c r="A237" s="156" t="n">
        <f aca="false">EOMONTH(A236,0)+1</f>
        <v>44044</v>
      </c>
      <c r="B237" s="215"/>
      <c r="C237" s="281" t="n">
        <v>4.7945</v>
      </c>
      <c r="D237" s="282" t="n">
        <f aca="false">(E237-C237)*1000</f>
        <v>30.999999999997</v>
      </c>
      <c r="E237" s="283" t="n">
        <f aca="false">VLOOKUP(YEAR(A237),Yr_Sprds,2)+E225</f>
        <v>4.8255</v>
      </c>
      <c r="F237" s="287"/>
      <c r="G237" s="288"/>
      <c r="H237" s="287"/>
      <c r="I237" s="287"/>
      <c r="J237" s="279"/>
      <c r="K237" s="278"/>
      <c r="L237" s="291"/>
      <c r="M237" s="112"/>
      <c r="N237" s="278"/>
      <c r="O237" s="278"/>
      <c r="P237" s="278"/>
      <c r="Q237" s="167"/>
      <c r="R237" s="167"/>
      <c r="S237" s="167"/>
      <c r="T237" s="167"/>
      <c r="U237" s="167"/>
      <c r="V237" s="167"/>
      <c r="W237" s="167"/>
      <c r="X237" s="167"/>
      <c r="Y237" s="228" t="n">
        <f aca="false">DAY(EOMONTH(A237,0))</f>
        <v>31</v>
      </c>
      <c r="Z237" s="268" t="n">
        <v>43887</v>
      </c>
      <c r="AA237" s="230" t="e">
        <f aca="false">IF(AND(A237&gt;=Front!$E$11,A237&lt;=Front!$E$12),A237,"")</f>
        <v>#VALUE!</v>
      </c>
      <c r="AB237" s="231" t="e">
        <f aca="false">IF(AA237="","",VLOOKUP(MONTH(A236),Front!$W$6:$X$17,2)*IF(Front!D$9=0,Swap!Y237,1))</f>
        <v>#VALUE!</v>
      </c>
      <c r="AC237" s="274" t="e">
        <f aca="false">IF(AA237="","",AB237*AH237)</f>
        <v>#VALUE!</v>
      </c>
      <c r="AD237" s="233"/>
      <c r="AE237" s="231" t="e">
        <f aca="false">IF(AA237="","",AD237*AH237)</f>
        <v>#VALUE!</v>
      </c>
      <c r="AF237" s="243" t="n">
        <f aca="false">INDEX(IRTable,MATCH(A237,IRMonth,0),4)</f>
        <v>0.062848747757291</v>
      </c>
      <c r="AG237" s="243" t="n">
        <f aca="false">AF237+$AG$9</f>
        <v>0.062848747757291</v>
      </c>
      <c r="AH237" s="195" t="n">
        <f aca="false">1/((1+AG237/2)^(2*((A237-Front!$C$2)/365.25)))</f>
        <v>1.375548596879</v>
      </c>
      <c r="AI237" s="236" t="e">
        <f aca="false">IF($AA237="","",E237*AC237)</f>
        <v>#VALUE!</v>
      </c>
      <c r="AJ237" s="236" t="e">
        <f aca="false">IF($AA237="","",E237*AE237)</f>
        <v>#VALUE!</v>
      </c>
      <c r="AK237" s="237" t="e">
        <f aca="false">IF($AA237="","",C237*AC237)</f>
        <v>#VALUE!</v>
      </c>
      <c r="AL237" s="160" t="n">
        <f aca="false">(AO237/10000)/30.5</f>
        <v>0</v>
      </c>
      <c r="AM237" s="238" t="n">
        <f aca="false">AD237/10000</f>
        <v>0</v>
      </c>
      <c r="AN237" s="238" t="n">
        <f aca="false">AD237*DAY(EOMONTH(A237,0))/10000</f>
        <v>0</v>
      </c>
      <c r="AO237" s="238"/>
      <c r="AP237" s="238"/>
      <c r="AQ237" s="238"/>
      <c r="AR237" s="239"/>
      <c r="AS237" s="238"/>
      <c r="AT237" s="238"/>
      <c r="AU237" s="238"/>
      <c r="AV237" s="238"/>
      <c r="AW237" s="238"/>
      <c r="AX237" s="238"/>
      <c r="AY237" s="238"/>
      <c r="AZ237" s="238"/>
      <c r="BA237" s="241"/>
      <c r="BB237" s="242"/>
      <c r="BC237" s="243" t="n">
        <v>4.7945</v>
      </c>
      <c r="BD237" s="195" t="n">
        <f aca="false">BC237-E237</f>
        <v>-0.030999999999997</v>
      </c>
      <c r="BE237" s="251" t="n">
        <v>0</v>
      </c>
      <c r="BF237" s="245" t="n">
        <f aca="false">(BE237)*(D237*10)</f>
        <v>0</v>
      </c>
      <c r="BG237" s="121" t="n">
        <v>2.23969801</v>
      </c>
      <c r="BH237" s="121" t="n">
        <v>0</v>
      </c>
      <c r="BI237" s="247"/>
      <c r="BJ237" s="121"/>
      <c r="BK237" s="121"/>
      <c r="BL237" s="121"/>
      <c r="BM237" s="121"/>
      <c r="BN237" s="121"/>
      <c r="BO237" s="121"/>
      <c r="BP237" s="275" t="n">
        <v>44044</v>
      </c>
      <c r="BQ237" s="143" t="n">
        <v>4.6745</v>
      </c>
      <c r="BR237" s="143" t="n">
        <v>0.17</v>
      </c>
      <c r="BS237" s="143" t="n">
        <v>0.062848747757291</v>
      </c>
      <c r="BT237" s="121"/>
    </row>
    <row r="238" customFormat="false" ht="15" hidden="false" customHeight="false" outlineLevel="0" collapsed="false">
      <c r="A238" s="156" t="n">
        <f aca="false">EOMONTH(A237,0)+1</f>
        <v>44075</v>
      </c>
      <c r="B238" s="215"/>
      <c r="C238" s="281" t="n">
        <v>4.8075</v>
      </c>
      <c r="D238" s="282" t="n">
        <f aca="false">(E238-C238)*1000</f>
        <v>30.9999999999997</v>
      </c>
      <c r="E238" s="283" t="n">
        <f aca="false">VLOOKUP(YEAR(A238),Yr_Sprds,2)+E226</f>
        <v>4.8385</v>
      </c>
      <c r="F238" s="287"/>
      <c r="G238" s="288"/>
      <c r="H238" s="287"/>
      <c r="I238" s="287"/>
      <c r="J238" s="279"/>
      <c r="K238" s="278"/>
      <c r="L238" s="291"/>
      <c r="M238" s="112"/>
      <c r="N238" s="278"/>
      <c r="O238" s="278"/>
      <c r="P238" s="278"/>
      <c r="Q238" s="167"/>
      <c r="R238" s="167"/>
      <c r="S238" s="167"/>
      <c r="T238" s="167"/>
      <c r="U238" s="167"/>
      <c r="V238" s="167"/>
      <c r="W238" s="167"/>
      <c r="X238" s="167"/>
      <c r="Y238" s="228" t="n">
        <f aca="false">DAY(EOMONTH(A238,0))</f>
        <v>30</v>
      </c>
      <c r="Z238" s="268" t="n">
        <v>43917</v>
      </c>
      <c r="AA238" s="230" t="e">
        <f aca="false">IF(AND(A238&gt;=Front!$E$11,A238&lt;=Front!$E$12),A238,"")</f>
        <v>#VALUE!</v>
      </c>
      <c r="AB238" s="231" t="e">
        <f aca="false">IF(AA238="","",VLOOKUP(MONTH(A237),Front!$W$6:$X$17,2)*IF(Front!D$9=0,Swap!Y238,1))</f>
        <v>#VALUE!</v>
      </c>
      <c r="AC238" s="274" t="e">
        <f aca="false">IF(AA238="","",AB238*AH238)</f>
        <v>#VALUE!</v>
      </c>
      <c r="AD238" s="233"/>
      <c r="AE238" s="231" t="e">
        <f aca="false">IF(AA238="","",AD238*AH238)</f>
        <v>#VALUE!</v>
      </c>
      <c r="AF238" s="243" t="n">
        <f aca="false">INDEX(IRTable,MATCH(A238,IRMonth,0),4)</f>
        <v>0.0629159532648784</v>
      </c>
      <c r="AG238" s="243" t="n">
        <f aca="false">AF238+$AG$9</f>
        <v>0.0629159532648784</v>
      </c>
      <c r="AH238" s="195" t="n">
        <f aca="false">1/((1+AG238/2)^(2*((A238-Front!$C$2)/365.25)))</f>
        <v>1.36879493285507</v>
      </c>
      <c r="AI238" s="236" t="e">
        <f aca="false">IF($AA238="","",E238*AC238)</f>
        <v>#VALUE!</v>
      </c>
      <c r="AJ238" s="236" t="e">
        <f aca="false">IF($AA238="","",E238*AE238)</f>
        <v>#VALUE!</v>
      </c>
      <c r="AK238" s="237" t="e">
        <f aca="false">IF($AA238="","",C238*AC238)</f>
        <v>#VALUE!</v>
      </c>
      <c r="AL238" s="160" t="n">
        <f aca="false">(AO238/10000)/30.5</f>
        <v>0</v>
      </c>
      <c r="AM238" s="238" t="n">
        <f aca="false">AD238/10000</f>
        <v>0</v>
      </c>
      <c r="AN238" s="238" t="n">
        <f aca="false">AD238*DAY(EOMONTH(A238,0))/10000</f>
        <v>0</v>
      </c>
      <c r="AO238" s="238"/>
      <c r="AP238" s="238"/>
      <c r="AQ238" s="238"/>
      <c r="AR238" s="239"/>
      <c r="AS238" s="238"/>
      <c r="AT238" s="238"/>
      <c r="AU238" s="238"/>
      <c r="AV238" s="238"/>
      <c r="AW238" s="238"/>
      <c r="AX238" s="238"/>
      <c r="AY238" s="238"/>
      <c r="AZ238" s="238"/>
      <c r="BA238" s="241"/>
      <c r="BB238" s="242"/>
      <c r="BC238" s="243" t="n">
        <v>4.8075</v>
      </c>
      <c r="BD238" s="195" t="n">
        <f aca="false">BC238-E238</f>
        <v>-0.0309999999999997</v>
      </c>
      <c r="BE238" s="251" t="n">
        <v>0</v>
      </c>
      <c r="BF238" s="245" t="n">
        <f aca="false">(BE238)*(D238*10)</f>
        <v>0</v>
      </c>
      <c r="BG238" s="121" t="n">
        <v>2.08289543</v>
      </c>
      <c r="BH238" s="121" t="n">
        <v>0</v>
      </c>
      <c r="BI238" s="247"/>
      <c r="BJ238" s="121"/>
      <c r="BK238" s="121"/>
      <c r="BL238" s="121"/>
      <c r="BM238" s="121"/>
      <c r="BN238" s="121"/>
      <c r="BO238" s="121"/>
      <c r="BP238" s="275" t="n">
        <v>44075</v>
      </c>
      <c r="BQ238" s="143" t="n">
        <v>4.6875</v>
      </c>
      <c r="BR238" s="143" t="n">
        <v>0.17</v>
      </c>
      <c r="BS238" s="143" t="n">
        <v>0.0629159532648784</v>
      </c>
      <c r="BT238" s="121"/>
    </row>
    <row r="239" customFormat="false" ht="15" hidden="false" customHeight="false" outlineLevel="0" collapsed="false">
      <c r="A239" s="156" t="n">
        <f aca="false">EOMONTH(A238,0)+1</f>
        <v>44105</v>
      </c>
      <c r="B239" s="215"/>
      <c r="C239" s="281" t="n">
        <v>4.7995</v>
      </c>
      <c r="D239" s="282" t="n">
        <f aca="false">(E239-C239)*1000</f>
        <v>30.999999999997</v>
      </c>
      <c r="E239" s="283" t="n">
        <f aca="false">VLOOKUP(YEAR(A239),Yr_Sprds,2)+E227</f>
        <v>4.8305</v>
      </c>
      <c r="F239" s="287"/>
      <c r="G239" s="288"/>
      <c r="H239" s="287"/>
      <c r="I239" s="287"/>
      <c r="J239" s="279"/>
      <c r="K239" s="278"/>
      <c r="L239" s="291"/>
      <c r="M239" s="112"/>
      <c r="N239" s="278"/>
      <c r="O239" s="278"/>
      <c r="P239" s="278"/>
      <c r="Q239" s="167"/>
      <c r="R239" s="167"/>
      <c r="S239" s="167"/>
      <c r="T239" s="167"/>
      <c r="U239" s="167"/>
      <c r="V239" s="167"/>
      <c r="W239" s="167"/>
      <c r="X239" s="167"/>
      <c r="Y239" s="228" t="n">
        <f aca="false">DAY(EOMONTH(A239,0))</f>
        <v>31</v>
      </c>
      <c r="Z239" s="268" t="n">
        <v>43949</v>
      </c>
      <c r="AA239" s="230" t="e">
        <f aca="false">IF(AND(A239&gt;=Front!$E$11,A239&lt;=Front!$E$12),A239,"")</f>
        <v>#VALUE!</v>
      </c>
      <c r="AB239" s="231" t="e">
        <f aca="false">IF(AA239="","",VLOOKUP(MONTH(A238),Front!$W$6:$X$17,2)*IF(Front!D$9=0,Swap!Y239,1))</f>
        <v>#VALUE!</v>
      </c>
      <c r="AC239" s="274" t="e">
        <f aca="false">IF(AA239="","",AB239*AH239)</f>
        <v>#VALUE!</v>
      </c>
      <c r="AD239" s="233"/>
      <c r="AE239" s="231" t="e">
        <f aca="false">IF(AA239="","",AD239*AH239)</f>
        <v>#VALUE!</v>
      </c>
      <c r="AF239" s="243" t="n">
        <f aca="false">INDEX(IRTable,MATCH(A239,IRMonth,0),4)</f>
        <v>0.0629809908542938</v>
      </c>
      <c r="AG239" s="243" t="n">
        <f aca="false">AF239+$AG$9</f>
        <v>0.0629809908542938</v>
      </c>
      <c r="AH239" s="195" t="n">
        <f aca="false">1/((1+AG239/2)^(2*((A239-Front!$C$2)/365.25)))</f>
        <v>1.36227634293317</v>
      </c>
      <c r="AI239" s="236" t="e">
        <f aca="false">IF($AA239="","",E239*AC239)</f>
        <v>#VALUE!</v>
      </c>
      <c r="AJ239" s="236" t="e">
        <f aca="false">IF($AA239="","",E239*AE239)</f>
        <v>#VALUE!</v>
      </c>
      <c r="AK239" s="237" t="e">
        <f aca="false">IF($AA239="","",C239*AC239)</f>
        <v>#VALUE!</v>
      </c>
      <c r="AL239" s="160" t="n">
        <f aca="false">(AO239/10000)/30.5</f>
        <v>0</v>
      </c>
      <c r="AM239" s="238" t="n">
        <f aca="false">AD239/10000</f>
        <v>0</v>
      </c>
      <c r="AN239" s="238" t="n">
        <f aca="false">AD239*DAY(EOMONTH(A239,0))/10000</f>
        <v>0</v>
      </c>
      <c r="AO239" s="238"/>
      <c r="AP239" s="238"/>
      <c r="AQ239" s="238"/>
      <c r="AR239" s="239"/>
      <c r="AS239" s="238"/>
      <c r="AT239" s="238"/>
      <c r="AU239" s="238"/>
      <c r="AV239" s="238"/>
      <c r="AW239" s="238"/>
      <c r="AX239" s="238"/>
      <c r="AY239" s="238"/>
      <c r="AZ239" s="238"/>
      <c r="BA239" s="241"/>
      <c r="BB239" s="242"/>
      <c r="BC239" s="243" t="n">
        <v>4.7995</v>
      </c>
      <c r="BD239" s="195" t="n">
        <f aca="false">BC239-E239</f>
        <v>-0.030999999999997</v>
      </c>
      <c r="BE239" s="251" t="n">
        <v>0</v>
      </c>
      <c r="BF239" s="245" t="n">
        <f aca="false">(BE239)*(D239*10)</f>
        <v>0</v>
      </c>
      <c r="BG239" s="121" t="n">
        <v>2.21429841</v>
      </c>
      <c r="BH239" s="121" t="n">
        <v>0</v>
      </c>
      <c r="BI239" s="247"/>
      <c r="BJ239" s="121"/>
      <c r="BK239" s="121"/>
      <c r="BL239" s="121"/>
      <c r="BM239" s="121"/>
      <c r="BN239" s="121"/>
      <c r="BO239" s="121"/>
      <c r="BP239" s="275" t="n">
        <v>44105</v>
      </c>
      <c r="BQ239" s="143" t="n">
        <v>4.7095</v>
      </c>
      <c r="BR239" s="143" t="n">
        <v>0.17</v>
      </c>
      <c r="BS239" s="143" t="n">
        <v>0.0629809908542938</v>
      </c>
      <c r="BT239" s="121"/>
    </row>
    <row r="240" customFormat="false" ht="15" hidden="false" customHeight="false" outlineLevel="0" collapsed="false">
      <c r="A240" s="156" t="n">
        <f aca="false">EOMONTH(A239,0)+1</f>
        <v>44136</v>
      </c>
      <c r="B240" s="215"/>
      <c r="C240" s="281" t="n">
        <v>4.9695</v>
      </c>
      <c r="D240" s="282" t="n">
        <f aca="false">(E240-C240)*1000</f>
        <v>30.999999999997</v>
      </c>
      <c r="E240" s="283" t="n">
        <f aca="false">VLOOKUP(YEAR(A240),Yr_Sprds,2)+E228</f>
        <v>5.0005</v>
      </c>
      <c r="F240" s="287"/>
      <c r="G240" s="288"/>
      <c r="H240" s="287"/>
      <c r="I240" s="287"/>
      <c r="J240" s="279"/>
      <c r="K240" s="278"/>
      <c r="L240" s="291"/>
      <c r="M240" s="112"/>
      <c r="N240" s="278"/>
      <c r="O240" s="278"/>
      <c r="P240" s="278"/>
      <c r="Q240" s="167"/>
      <c r="R240" s="167"/>
      <c r="S240" s="167"/>
      <c r="T240" s="167"/>
      <c r="U240" s="167"/>
      <c r="V240" s="167"/>
      <c r="W240" s="167"/>
      <c r="X240" s="167"/>
      <c r="Y240" s="228" t="n">
        <f aca="false">DAY(EOMONTH(A240,0))</f>
        <v>30</v>
      </c>
      <c r="Z240" s="268" t="n">
        <v>43978</v>
      </c>
      <c r="AA240" s="230" t="e">
        <f aca="false">IF(AND(A240&gt;=Front!$E$11,A240&lt;=Front!$E$12),A240,"")</f>
        <v>#VALUE!</v>
      </c>
      <c r="AB240" s="231" t="e">
        <f aca="false">IF(AA240="","",VLOOKUP(MONTH(A239),Front!$W$6:$X$17,2)*IF(Front!D$9=0,Swap!Y240,1))</f>
        <v>#VALUE!</v>
      </c>
      <c r="AC240" s="274" t="e">
        <f aca="false">IF(AA240="","",AB240*AH240)</f>
        <v>#VALUE!</v>
      </c>
      <c r="AD240" s="233"/>
      <c r="AE240" s="231" t="e">
        <f aca="false">IF(AA240="","",AD240*AH240)</f>
        <v>#VALUE!</v>
      </c>
      <c r="AF240" s="243" t="n">
        <f aca="false">INDEX(IRTable,MATCH(A240,IRMonth,0),4)</f>
        <v>0.0630481963648299</v>
      </c>
      <c r="AG240" s="243" t="n">
        <f aca="false">AF240+$AG$9</f>
        <v>0.0630481963648299</v>
      </c>
      <c r="AH240" s="195" t="n">
        <f aca="false">1/((1+AG240/2)^(2*((A240-Front!$C$2)/365.25)))</f>
        <v>1.35555831338198</v>
      </c>
      <c r="AI240" s="236" t="e">
        <f aca="false">IF($AA240="","",E240*AC240)</f>
        <v>#VALUE!</v>
      </c>
      <c r="AJ240" s="236" t="e">
        <f aca="false">IF($AA240="","",E240*AE240)</f>
        <v>#VALUE!</v>
      </c>
      <c r="AK240" s="237" t="e">
        <f aca="false">IF($AA240="","",C240*AC240)</f>
        <v>#VALUE!</v>
      </c>
      <c r="AL240" s="160" t="n">
        <f aca="false">(AO240/10000)/30.5</f>
        <v>0</v>
      </c>
      <c r="AM240" s="238" t="n">
        <f aca="false">AD240/10000</f>
        <v>0</v>
      </c>
      <c r="AN240" s="238" t="n">
        <f aca="false">AD240*DAY(EOMONTH(A240,0))/10000</f>
        <v>0</v>
      </c>
      <c r="AO240" s="238"/>
      <c r="AP240" s="238"/>
      <c r="AQ240" s="238"/>
      <c r="AR240" s="239"/>
      <c r="AS240" s="238"/>
      <c r="AT240" s="238"/>
      <c r="AU240" s="238"/>
      <c r="AV240" s="238"/>
      <c r="AW240" s="238"/>
      <c r="AX240" s="238"/>
      <c r="AY240" s="238"/>
      <c r="AZ240" s="238"/>
      <c r="BA240" s="241"/>
      <c r="BB240" s="242"/>
      <c r="BC240" s="243" t="n">
        <v>4.9695</v>
      </c>
      <c r="BD240" s="195" t="n">
        <f aca="false">BC240-E240</f>
        <v>-0.030999999999997</v>
      </c>
      <c r="BE240" s="251" t="n">
        <v>0</v>
      </c>
      <c r="BF240" s="245" t="n">
        <f aca="false">(BE240)*(D240*10)</f>
        <v>0</v>
      </c>
      <c r="BG240" s="121" t="n">
        <v>2.84005686</v>
      </c>
      <c r="BH240" s="121" t="n">
        <v>0</v>
      </c>
      <c r="BI240" s="247"/>
      <c r="BJ240" s="121"/>
      <c r="BK240" s="121"/>
      <c r="BL240" s="121"/>
      <c r="BM240" s="121"/>
      <c r="BN240" s="121"/>
      <c r="BO240" s="121"/>
      <c r="BP240" s="275" t="n">
        <v>44136</v>
      </c>
      <c r="BQ240" s="143" t="n">
        <v>4.8795</v>
      </c>
      <c r="BR240" s="143" t="n">
        <v>0.17</v>
      </c>
      <c r="BS240" s="143" t="n">
        <v>0.0630481963648299</v>
      </c>
      <c r="BT240" s="121"/>
    </row>
    <row r="241" customFormat="false" ht="15" hidden="false" customHeight="false" outlineLevel="0" collapsed="false">
      <c r="A241" s="156" t="n">
        <f aca="false">EOMONTH(A240,0)+1</f>
        <v>44166</v>
      </c>
      <c r="B241" s="215"/>
      <c r="C241" s="281" t="n">
        <v>5.1445</v>
      </c>
      <c r="D241" s="282" t="n">
        <f aca="false">(E241-C241)*1000</f>
        <v>30.999999999997</v>
      </c>
      <c r="E241" s="283" t="n">
        <f aca="false">VLOOKUP(YEAR(A241),Yr_Sprds,2)+E229</f>
        <v>5.1755</v>
      </c>
      <c r="F241" s="287"/>
      <c r="G241" s="288"/>
      <c r="H241" s="287"/>
      <c r="I241" s="287"/>
      <c r="J241" s="279"/>
      <c r="K241" s="278"/>
      <c r="L241" s="291"/>
      <c r="M241" s="112"/>
      <c r="N241" s="278"/>
      <c r="O241" s="278"/>
      <c r="P241" s="278"/>
      <c r="Q241" s="167"/>
      <c r="R241" s="167"/>
      <c r="S241" s="167"/>
      <c r="T241" s="167"/>
      <c r="U241" s="167"/>
      <c r="V241" s="167"/>
      <c r="W241" s="167"/>
      <c r="X241" s="167"/>
      <c r="Y241" s="228" t="n">
        <f aca="false">DAY(EOMONTH(A241,0))</f>
        <v>31</v>
      </c>
      <c r="Z241" s="268" t="n">
        <v>44008</v>
      </c>
      <c r="AA241" s="230" t="e">
        <f aca="false">IF(AND(A241&gt;=Front!$E$11,A241&lt;=Front!$E$12),A241,"")</f>
        <v>#VALUE!</v>
      </c>
      <c r="AB241" s="231" t="e">
        <f aca="false">IF(AA241="","",VLOOKUP(MONTH(A240),Front!$W$6:$X$17,2)*IF(Front!D$9=0,Swap!Y241,1))</f>
        <v>#VALUE!</v>
      </c>
      <c r="AC241" s="274" t="e">
        <f aca="false">IF(AA241="","",AB241*AH241)</f>
        <v>#VALUE!</v>
      </c>
      <c r="AD241" s="233"/>
      <c r="AE241" s="231" t="e">
        <f aca="false">IF(AA241="","",AD241*AH241)</f>
        <v>#VALUE!</v>
      </c>
      <c r="AF241" s="243" t="n">
        <f aca="false">INDEX(IRTable,MATCH(A241,IRMonth,0),4)</f>
        <v>0.0631132339570981</v>
      </c>
      <c r="AG241" s="243" t="n">
        <f aca="false">AF241+$AG$9</f>
        <v>0.0631132339570981</v>
      </c>
      <c r="AH241" s="195" t="n">
        <f aca="false">1/((1+AG241/2)^(2*((A241-Front!$C$2)/365.25)))</f>
        <v>1.34907432103786</v>
      </c>
      <c r="AI241" s="236" t="e">
        <f aca="false">IF($AA241="","",E241*AC241)</f>
        <v>#VALUE!</v>
      </c>
      <c r="AJ241" s="236" t="e">
        <f aca="false">IF($AA241="","",E241*AE241)</f>
        <v>#VALUE!</v>
      </c>
      <c r="AK241" s="237" t="e">
        <f aca="false">IF($AA241="","",C241*AC241)</f>
        <v>#VALUE!</v>
      </c>
      <c r="AL241" s="160" t="n">
        <f aca="false">(AO241/10000)/30.5</f>
        <v>0</v>
      </c>
      <c r="AM241" s="238" t="n">
        <f aca="false">AD241/10000</f>
        <v>0</v>
      </c>
      <c r="AN241" s="238" t="n">
        <f aca="false">AD241*DAY(EOMONTH(A241,0))/10000</f>
        <v>0</v>
      </c>
      <c r="AO241" s="238"/>
      <c r="AP241" s="238"/>
      <c r="AQ241" s="238"/>
      <c r="AR241" s="239"/>
      <c r="AS241" s="238"/>
      <c r="AT241" s="238"/>
      <c r="AU241" s="238"/>
      <c r="AV241" s="238"/>
      <c r="AW241" s="238"/>
      <c r="AX241" s="238"/>
      <c r="AY241" s="238"/>
      <c r="AZ241" s="238"/>
      <c r="BA241" s="241"/>
      <c r="BB241" s="242"/>
      <c r="BC241" s="243" t="n">
        <v>5.1445</v>
      </c>
      <c r="BD241" s="195" t="n">
        <f aca="false">BC241-E241</f>
        <v>-0.030999999999997</v>
      </c>
      <c r="BE241" s="251" t="n">
        <v>0</v>
      </c>
      <c r="BF241" s="245" t="n">
        <f aca="false">(BE241)*(D241*10)</f>
        <v>0</v>
      </c>
      <c r="BG241" s="121" t="n">
        <v>3.30183397</v>
      </c>
      <c r="BH241" s="121" t="n">
        <v>0</v>
      </c>
      <c r="BI241" s="247"/>
      <c r="BJ241" s="121"/>
      <c r="BK241" s="121"/>
      <c r="BL241" s="121"/>
      <c r="BM241" s="121"/>
      <c r="BN241" s="121"/>
      <c r="BO241" s="121"/>
      <c r="BP241" s="275" t="n">
        <v>44166</v>
      </c>
      <c r="BQ241" s="143" t="n">
        <v>5.0545</v>
      </c>
      <c r="BR241" s="143" t="n">
        <v>0.17</v>
      </c>
      <c r="BS241" s="143" t="n">
        <v>0.0631132339570981</v>
      </c>
      <c r="BT241" s="121"/>
    </row>
    <row r="242" customFormat="false" ht="15" hidden="false" customHeight="false" outlineLevel="0" collapsed="false">
      <c r="A242" s="156" t="n">
        <f aca="false">EOMONTH(A241,0)+1</f>
        <v>44197</v>
      </c>
      <c r="B242" s="215"/>
      <c r="C242" s="281" t="n">
        <v>5.1995</v>
      </c>
      <c r="D242" s="282" t="n">
        <f aca="false">(E242-C242)*1000</f>
        <v>33.4999999999965</v>
      </c>
      <c r="E242" s="283" t="n">
        <f aca="false">VLOOKUP(YEAR(A242),Yr_Sprds,2)+E230</f>
        <v>5.233</v>
      </c>
      <c r="F242" s="287"/>
      <c r="G242" s="288"/>
      <c r="H242" s="287"/>
      <c r="I242" s="287"/>
      <c r="J242" s="279"/>
      <c r="K242" s="278"/>
      <c r="L242" s="291"/>
      <c r="M242" s="112"/>
      <c r="N242" s="278"/>
      <c r="O242" s="278"/>
      <c r="P242" s="278"/>
      <c r="Q242" s="167"/>
      <c r="R242" s="167"/>
      <c r="S242" s="167"/>
      <c r="T242" s="167"/>
      <c r="U242" s="167"/>
      <c r="V242" s="167"/>
      <c r="W242" s="167"/>
      <c r="X242" s="167"/>
      <c r="Y242" s="228" t="n">
        <f aca="false">DAY(EOMONTH(A242,0))</f>
        <v>31</v>
      </c>
      <c r="Z242" s="268" t="n">
        <v>44041</v>
      </c>
      <c r="AA242" s="230" t="e">
        <f aca="false">IF(AND(A242&gt;=Front!$E$11,A242&lt;=Front!$E$12),A242,"")</f>
        <v>#VALUE!</v>
      </c>
      <c r="AB242" s="231" t="e">
        <f aca="false">IF(AA242="","",VLOOKUP(MONTH(A241),Front!$W$6:$X$17,2)*IF(Front!D$9=0,Swap!Y242,1))</f>
        <v>#VALUE!</v>
      </c>
      <c r="AC242" s="274" t="e">
        <f aca="false">IF(AA242="","",AB242*AH242)</f>
        <v>#VALUE!</v>
      </c>
      <c r="AD242" s="233"/>
      <c r="AE242" s="231" t="e">
        <f aca="false">IF(AA242="","",AD242*AH242)</f>
        <v>#VALUE!</v>
      </c>
      <c r="AF242" s="243" t="n">
        <f aca="false">INDEX(IRTable,MATCH(A242,IRMonth,0),4)</f>
        <v>0.0631804394705835</v>
      </c>
      <c r="AG242" s="243" t="n">
        <f aca="false">AF242+$AG$9</f>
        <v>0.0631804394705835</v>
      </c>
      <c r="AH242" s="195" t="n">
        <f aca="false">1/((1+AG242/2)^(2*((A242-Front!$C$2)/365.25)))</f>
        <v>1.34239215693332</v>
      </c>
      <c r="AI242" s="236" t="e">
        <f aca="false">IF($AA242="","",E242*AC242)</f>
        <v>#VALUE!</v>
      </c>
      <c r="AJ242" s="236" t="e">
        <f aca="false">IF($AA242="","",E242*AE242)</f>
        <v>#VALUE!</v>
      </c>
      <c r="AK242" s="237" t="e">
        <f aca="false">IF($AA242="","",C242*AC242)</f>
        <v>#VALUE!</v>
      </c>
      <c r="AL242" s="160" t="n">
        <f aca="false">(AO242/10000)/30.5</f>
        <v>0</v>
      </c>
      <c r="AM242" s="238" t="n">
        <f aca="false">AD242/10000</f>
        <v>0</v>
      </c>
      <c r="AN242" s="238" t="n">
        <f aca="false">AD242*DAY(EOMONTH(A242,0))/10000</f>
        <v>0</v>
      </c>
      <c r="AO242" s="238"/>
      <c r="AP242" s="238"/>
      <c r="AQ242" s="238"/>
      <c r="AR242" s="239"/>
      <c r="AS242" s="238"/>
      <c r="AT242" s="238"/>
      <c r="AU242" s="238"/>
      <c r="AV242" s="238"/>
      <c r="AW242" s="238"/>
      <c r="AX242" s="238"/>
      <c r="AY242" s="238"/>
      <c r="AZ242" s="238"/>
      <c r="BA242" s="241"/>
      <c r="BB242" s="242"/>
      <c r="BC242" s="243" t="n">
        <v>5.1995</v>
      </c>
      <c r="BD242" s="195" t="n">
        <f aca="false">BC242-E242</f>
        <v>-0.0334999999999965</v>
      </c>
      <c r="BE242" s="251" t="n">
        <v>0</v>
      </c>
      <c r="BF242" s="245" t="n">
        <f aca="false">(BE242)*(D242*10)</f>
        <v>0</v>
      </c>
      <c r="BG242" s="121" t="n">
        <v>3.50883256</v>
      </c>
      <c r="BH242" s="121" t="n">
        <v>0</v>
      </c>
      <c r="BI242" s="247"/>
      <c r="BJ242" s="121"/>
      <c r="BK242" s="121"/>
      <c r="BL242" s="121"/>
      <c r="BM242" s="121"/>
      <c r="BN242" s="121"/>
      <c r="BO242" s="121"/>
      <c r="BP242" s="275" t="n">
        <v>44197</v>
      </c>
      <c r="BQ242" s="143" t="n">
        <v>5.077</v>
      </c>
      <c r="BR242" s="143" t="n">
        <v>0.17</v>
      </c>
      <c r="BS242" s="143" t="n">
        <v>0.0631804394705835</v>
      </c>
      <c r="BT242" s="121"/>
    </row>
    <row r="243" customFormat="false" ht="15.75" hidden="false" customHeight="false" outlineLevel="0" collapsed="false">
      <c r="A243" s="156" t="n">
        <f aca="false">EOMONTH(A242,0)+1</f>
        <v>44228</v>
      </c>
      <c r="B243" s="215"/>
      <c r="C243" s="281" t="n">
        <v>5.0855</v>
      </c>
      <c r="D243" s="282" t="n">
        <f aca="false">(E243-C243)*1000</f>
        <v>33.4999999999974</v>
      </c>
      <c r="E243" s="283" t="n">
        <f aca="false">VLOOKUP(YEAR(A243),Yr_Sprds,2)+E231</f>
        <v>5.119</v>
      </c>
      <c r="F243" s="287"/>
      <c r="G243" s="288"/>
      <c r="H243" s="287"/>
      <c r="I243" s="287"/>
      <c r="J243" s="279"/>
      <c r="K243" s="278"/>
      <c r="L243" s="291"/>
      <c r="M243" s="112"/>
      <c r="N243" s="278"/>
      <c r="O243" s="278"/>
      <c r="P243" s="278"/>
      <c r="Q243" s="167"/>
      <c r="R243" s="167"/>
      <c r="S243" s="167"/>
      <c r="T243" s="167"/>
      <c r="U243" s="167"/>
      <c r="V243" s="167"/>
      <c r="W243" s="167"/>
      <c r="X243" s="167"/>
      <c r="Y243" s="228" t="n">
        <f aca="false">DAY(EOMONTH(A243,0))</f>
        <v>28</v>
      </c>
      <c r="Z243" s="268" t="n">
        <v>44070</v>
      </c>
      <c r="AA243" s="230" t="e">
        <f aca="false">IF(AND(A243&gt;=Front!$E$11,A243&lt;=Front!$E$12),A243,"")</f>
        <v>#VALUE!</v>
      </c>
      <c r="AB243" s="231" t="e">
        <f aca="false">IF(AA243="","",VLOOKUP(MONTH(A242),Front!$W$6:$X$17,2)*IF(Front!D$9=0,Swap!Y243,1))</f>
        <v>#VALUE!</v>
      </c>
      <c r="AC243" s="274" t="e">
        <f aca="false">IF(AA243="","",AB243*AH243)</f>
        <v>#VALUE!</v>
      </c>
      <c r="AD243" s="233"/>
      <c r="AE243" s="231" t="e">
        <f aca="false">IF(AA243="","",AD243*AH243)</f>
        <v>#VALUE!</v>
      </c>
      <c r="AF243" s="243" t="n">
        <f aca="false">INDEX(IRTable,MATCH(A243,IRMonth,0),4)</f>
        <v>0.0632476449855668</v>
      </c>
      <c r="AG243" s="243" t="n">
        <f aca="false">AF243+$AG$9</f>
        <v>0.0632476449855668</v>
      </c>
      <c r="AH243" s="195" t="n">
        <f aca="false">1/((1+AG243/2)^(2*((A243-Front!$C$2)/365.25)))</f>
        <v>1.33572830583126</v>
      </c>
      <c r="AI243" s="236" t="e">
        <f aca="false">IF($AA243="","",E243*AC243)</f>
        <v>#VALUE!</v>
      </c>
      <c r="AJ243" s="236" t="e">
        <f aca="false">IF($AA243="","",E243*AE243)</f>
        <v>#VALUE!</v>
      </c>
      <c r="AK243" s="237" t="e">
        <f aca="false">IF($AA243="","",C243*AC243)</f>
        <v>#VALUE!</v>
      </c>
      <c r="AL243" s="160" t="n">
        <f aca="false">(AO243/10000)/30.5</f>
        <v>0</v>
      </c>
      <c r="AM243" s="238" t="n">
        <f aca="false">AD243/10000</f>
        <v>0</v>
      </c>
      <c r="AN243" s="238" t="n">
        <f aca="false">AD243*DAY(EOMONTH(A243,0))/10000</f>
        <v>0</v>
      </c>
      <c r="AO243" s="238"/>
      <c r="AP243" s="238"/>
      <c r="AQ243" s="238"/>
      <c r="AR243" s="239"/>
      <c r="AS243" s="238"/>
      <c r="AT243" s="238"/>
      <c r="AU243" s="238"/>
      <c r="AV243" s="238"/>
      <c r="AW243" s="238"/>
      <c r="AX243" s="238"/>
      <c r="AY243" s="238"/>
      <c r="AZ243" s="238"/>
      <c r="BA243" s="241"/>
      <c r="BB243" s="242"/>
      <c r="BC243" s="243" t="n">
        <v>5.0855</v>
      </c>
      <c r="BD243" s="195" t="n">
        <f aca="false">BC243-E243</f>
        <v>-0.0334999999999974</v>
      </c>
      <c r="BE243" s="293" t="n">
        <v>0</v>
      </c>
      <c r="BF243" s="245" t="n">
        <f aca="false">(BE243)*(D243*10)</f>
        <v>0</v>
      </c>
      <c r="BG243" s="121" t="n">
        <v>5.1024389</v>
      </c>
      <c r="BH243" s="121"/>
      <c r="BI243" s="247"/>
      <c r="BJ243" s="121"/>
      <c r="BK243" s="121"/>
      <c r="BL243" s="121"/>
      <c r="BM243" s="121"/>
      <c r="BN243" s="121"/>
      <c r="BO243" s="121"/>
      <c r="BP243" s="275" t="n">
        <v>44228</v>
      </c>
      <c r="BQ243" s="143" t="n">
        <v>4.963</v>
      </c>
      <c r="BR243" s="143" t="n">
        <v>0.17</v>
      </c>
      <c r="BS243" s="143" t="n">
        <v>0.0632476449855668</v>
      </c>
      <c r="BT243" s="121"/>
    </row>
    <row r="244" customFormat="false" ht="15" hidden="false" customHeight="false" outlineLevel="0" collapsed="false">
      <c r="A244" s="156" t="n">
        <f aca="false">EOMONTH(A243,0)+1</f>
        <v>44256</v>
      </c>
      <c r="B244" s="215"/>
      <c r="C244" s="281" t="n">
        <v>4.9535</v>
      </c>
      <c r="D244" s="282" t="n">
        <f aca="false">(E244-C244)*1000</f>
        <v>33.4999999999965</v>
      </c>
      <c r="E244" s="283" t="n">
        <f aca="false">VLOOKUP(YEAR(A244),Yr_Sprds,2)+E232</f>
        <v>4.987</v>
      </c>
      <c r="F244" s="287"/>
      <c r="G244" s="288"/>
      <c r="H244" s="287"/>
      <c r="I244" s="287"/>
      <c r="J244" s="279"/>
      <c r="K244" s="278"/>
      <c r="L244" s="291"/>
      <c r="M244" s="112"/>
      <c r="N244" s="278"/>
      <c r="O244" s="278"/>
      <c r="P244" s="278"/>
      <c r="Q244" s="167"/>
      <c r="R244" s="167"/>
      <c r="S244" s="167"/>
      <c r="T244" s="167"/>
      <c r="U244" s="167"/>
      <c r="V244" s="167"/>
      <c r="W244" s="167"/>
      <c r="X244" s="167"/>
      <c r="Y244" s="228" t="n">
        <f aca="false">DAY(EOMONTH(A244,0))</f>
        <v>31</v>
      </c>
      <c r="Z244" s="268" t="n">
        <v>44102</v>
      </c>
      <c r="AA244" s="230" t="e">
        <f aca="false">IF(AND(A244&gt;=Front!$E$11,A244&lt;=Front!$E$12),A244,"")</f>
        <v>#VALUE!</v>
      </c>
      <c r="AB244" s="231" t="e">
        <f aca="false">IF(AA244="","",VLOOKUP(MONTH(A243),Front!$W$6:$X$17,2)*IF(Front!D$9=0,Swap!Y244,1))</f>
        <v>#VALUE!</v>
      </c>
      <c r="AC244" s="274" t="e">
        <f aca="false">IF(AA244="","",AB244*AH244)</f>
        <v>#VALUE!</v>
      </c>
      <c r="AD244" s="233"/>
      <c r="AE244" s="231" t="e">
        <f aca="false">IF(AA244="","",AD244*AH244)</f>
        <v>#VALUE!</v>
      </c>
      <c r="AF244" s="243" t="n">
        <f aca="false">INDEX(IRTable,MATCH(A244,IRMonth,0),4)</f>
        <v>0.0633083467423234</v>
      </c>
      <c r="AG244" s="243" t="n">
        <f aca="false">AF244+$AG$9</f>
        <v>0.0633083467423234</v>
      </c>
      <c r="AH244" s="195" t="n">
        <f aca="false">1/((1+AG244/2)^(2*((A244-Front!$C$2)/365.25)))</f>
        <v>1.3297251313607</v>
      </c>
      <c r="AI244" s="236" t="e">
        <f aca="false">IF($AA244="","",E244*AC244)</f>
        <v>#VALUE!</v>
      </c>
      <c r="AJ244" s="236" t="e">
        <f aca="false">IF($AA244="","",E244*AE244)</f>
        <v>#VALUE!</v>
      </c>
      <c r="AK244" s="237" t="e">
        <f aca="false">IF($AA244="","",C244*AC244)</f>
        <v>#VALUE!</v>
      </c>
      <c r="AL244" s="160" t="n">
        <f aca="false">(AO244/10000)/30.5</f>
        <v>0</v>
      </c>
      <c r="AM244" s="238" t="n">
        <f aca="false">AD244/10000</f>
        <v>0</v>
      </c>
      <c r="AN244" s="238" t="n">
        <f aca="false">AD244*DAY(EOMONTH(A244,0))/10000</f>
        <v>0</v>
      </c>
      <c r="AO244" s="238"/>
      <c r="AP244" s="238"/>
      <c r="AQ244" s="238"/>
      <c r="AR244" s="239"/>
      <c r="AS244" s="238"/>
      <c r="AT244" s="238"/>
      <c r="AU244" s="238"/>
      <c r="AV244" s="238"/>
      <c r="AW244" s="238"/>
      <c r="AX244" s="238"/>
      <c r="AY244" s="238"/>
      <c r="AZ244" s="238"/>
      <c r="BA244" s="241"/>
      <c r="BB244" s="242"/>
      <c r="BC244" s="243" t="n">
        <v>4.9535</v>
      </c>
      <c r="BD244" s="195" t="n">
        <f aca="false">BC244-E244</f>
        <v>-0.0334999999999965</v>
      </c>
      <c r="BE244" s="294"/>
      <c r="BF244" s="245"/>
      <c r="BG244" s="121"/>
      <c r="BH244" s="121"/>
      <c r="BI244" s="247"/>
      <c r="BJ244" s="121"/>
      <c r="BK244" s="121"/>
      <c r="BL244" s="121"/>
      <c r="BM244" s="121"/>
      <c r="BN244" s="121"/>
      <c r="BO244" s="121"/>
      <c r="BP244" s="275" t="n">
        <v>44256</v>
      </c>
      <c r="BQ244" s="143" t="n">
        <v>4.831</v>
      </c>
      <c r="BR244" s="143" t="n">
        <v>0.17</v>
      </c>
      <c r="BS244" s="143" t="n">
        <v>0.0633083467423234</v>
      </c>
      <c r="BT244" s="121"/>
    </row>
    <row r="245" customFormat="false" ht="15" hidden="false" customHeight="false" outlineLevel="0" collapsed="false">
      <c r="A245" s="156" t="n">
        <f aca="false">EOMONTH(A244,0)+1</f>
        <v>44287</v>
      </c>
      <c r="B245" s="215"/>
      <c r="C245" s="281" t="n">
        <v>4.7835</v>
      </c>
      <c r="D245" s="282" t="n">
        <f aca="false">(E245-C245)*1000</f>
        <v>33.4999999999965</v>
      </c>
      <c r="E245" s="283" t="n">
        <f aca="false">VLOOKUP(YEAR(A245),Yr_Sprds,2)+E233</f>
        <v>4.817</v>
      </c>
      <c r="F245" s="287"/>
      <c r="G245" s="288"/>
      <c r="H245" s="287"/>
      <c r="I245" s="287"/>
      <c r="J245" s="279"/>
      <c r="K245" s="278"/>
      <c r="L245" s="291"/>
      <c r="M245" s="112"/>
      <c r="N245" s="278"/>
      <c r="O245" s="278"/>
      <c r="P245" s="278"/>
      <c r="Q245" s="167"/>
      <c r="R245" s="167"/>
      <c r="S245" s="167"/>
      <c r="T245" s="167"/>
      <c r="U245" s="167"/>
      <c r="V245" s="167"/>
      <c r="W245" s="167"/>
      <c r="X245" s="167"/>
      <c r="Y245" s="228" t="n">
        <f aca="false">DAY(EOMONTH(A245,0))</f>
        <v>30</v>
      </c>
      <c r="Z245" s="268" t="n">
        <v>44132</v>
      </c>
      <c r="AA245" s="230" t="e">
        <f aca="false">IF(AND(A245&gt;=Front!$E$11,A245&lt;=Front!$E$12),A245,"")</f>
        <v>#VALUE!</v>
      </c>
      <c r="AB245" s="231" t="e">
        <f aca="false">IF(AA245="","",VLOOKUP(MONTH(A244),Front!$W$6:$X$17,2)*IF(Front!D$9=0,Swap!Y245,1))</f>
        <v>#VALUE!</v>
      </c>
      <c r="AC245" s="274" t="e">
        <f aca="false">IF(AA245="","",AB245*AH245)</f>
        <v>#VALUE!</v>
      </c>
      <c r="AD245" s="233"/>
      <c r="AE245" s="231" t="e">
        <f aca="false">IF(AA245="","",AD245*AH245)</f>
        <v>#VALUE!</v>
      </c>
      <c r="AF245" s="243" t="n">
        <f aca="false">INDEX(IRTable,MATCH(A245,IRMonth,0),4)</f>
        <v>0.0633755522601587</v>
      </c>
      <c r="AG245" s="243" t="n">
        <f aca="false">AF245+$AG$9</f>
        <v>0.0633755522601587</v>
      </c>
      <c r="AH245" s="195" t="n">
        <f aca="false">1/((1+AG245/2)^(2*((A245-Front!$C$2)/365.25)))</f>
        <v>1.32309629065859</v>
      </c>
      <c r="AI245" s="236" t="e">
        <f aca="false">IF($AA245="","",E245*AC245)</f>
        <v>#VALUE!</v>
      </c>
      <c r="AJ245" s="236" t="e">
        <f aca="false">IF($AA245="","",E245*AE245)</f>
        <v>#VALUE!</v>
      </c>
      <c r="AK245" s="237" t="e">
        <f aca="false">IF($AA245="","",C245*AC245)</f>
        <v>#VALUE!</v>
      </c>
      <c r="AL245" s="160" t="n">
        <f aca="false">(AO245/10000)/30.5</f>
        <v>0</v>
      </c>
      <c r="AM245" s="238" t="n">
        <f aca="false">AD245/10000</f>
        <v>0</v>
      </c>
      <c r="AN245" s="238" t="n">
        <f aca="false">AD245*DAY(EOMONTH(A245,0))/10000</f>
        <v>0</v>
      </c>
      <c r="AO245" s="238"/>
      <c r="AP245" s="238"/>
      <c r="AQ245" s="238"/>
      <c r="AR245" s="239"/>
      <c r="AS245" s="238"/>
      <c r="AT245" s="238"/>
      <c r="AU245" s="238"/>
      <c r="AV245" s="238"/>
      <c r="AW245" s="238"/>
      <c r="AX245" s="238"/>
      <c r="AY245" s="238"/>
      <c r="AZ245" s="238"/>
      <c r="BA245" s="241"/>
      <c r="BB245" s="242"/>
      <c r="BC245" s="243" t="n">
        <v>4.7835</v>
      </c>
      <c r="BD245" s="195" t="n">
        <f aca="false">BC245-E245</f>
        <v>-0.0334999999999965</v>
      </c>
      <c r="BE245" s="294" t="s">
        <v>196</v>
      </c>
      <c r="BF245" s="245"/>
      <c r="BG245" s="121"/>
      <c r="BH245" s="121"/>
      <c r="BI245" s="247"/>
      <c r="BJ245" s="121"/>
      <c r="BK245" s="121"/>
      <c r="BL245" s="121"/>
      <c r="BM245" s="121"/>
      <c r="BN245" s="121"/>
      <c r="BO245" s="121"/>
      <c r="BP245" s="275" t="n">
        <v>44287</v>
      </c>
      <c r="BQ245" s="143" t="n">
        <v>4.661</v>
      </c>
      <c r="BR245" s="143" t="n">
        <v>0.17</v>
      </c>
      <c r="BS245" s="143" t="n">
        <v>0.0633755522601587</v>
      </c>
      <c r="BT245" s="121"/>
    </row>
    <row r="246" customFormat="false" ht="15" hidden="false" customHeight="false" outlineLevel="0" collapsed="false">
      <c r="A246" s="156" t="n">
        <f aca="false">EOMONTH(A245,0)+1</f>
        <v>44317</v>
      </c>
      <c r="B246" s="215"/>
      <c r="C246" s="281" t="n">
        <v>4.7835</v>
      </c>
      <c r="D246" s="282" t="n">
        <f aca="false">(E246-C246)*1000</f>
        <v>33.4999999999965</v>
      </c>
      <c r="E246" s="283" t="n">
        <f aca="false">VLOOKUP(YEAR(A246),Yr_Sprds,2)+E234</f>
        <v>4.817</v>
      </c>
      <c r="F246" s="287"/>
      <c r="G246" s="288"/>
      <c r="H246" s="287"/>
      <c r="I246" s="287"/>
      <c r="J246" s="279"/>
      <c r="K246" s="278"/>
      <c r="L246" s="291"/>
      <c r="M246" s="112"/>
      <c r="N246" s="278"/>
      <c r="O246" s="278"/>
      <c r="P246" s="278"/>
      <c r="Q246" s="167"/>
      <c r="R246" s="167"/>
      <c r="S246" s="167"/>
      <c r="T246" s="167"/>
      <c r="U246" s="167"/>
      <c r="V246" s="167"/>
      <c r="W246" s="167"/>
      <c r="X246" s="167"/>
      <c r="Y246" s="228" t="n">
        <f aca="false">DAY(EOMONTH(A246,0))</f>
        <v>31</v>
      </c>
      <c r="Z246" s="268" t="n">
        <v>44160</v>
      </c>
      <c r="AA246" s="230" t="e">
        <f aca="false">IF(AND(A246&gt;=Front!$E$11,A246&lt;=Front!$E$12),A246,"")</f>
        <v>#VALUE!</v>
      </c>
      <c r="AB246" s="231" t="e">
        <f aca="false">IF(AA246="","",VLOOKUP(MONTH(A245),Front!$W$6:$X$17,2)*IF(Front!D$9=0,Swap!Y246,1))</f>
        <v>#VALUE!</v>
      </c>
      <c r="AC246" s="274" t="e">
        <f aca="false">IF(AA246="","",AB246*AH246)</f>
        <v>#VALUE!</v>
      </c>
      <c r="AD246" s="233"/>
      <c r="AE246" s="231" t="e">
        <f aca="false">IF(AA246="","",AD246*AH246)</f>
        <v>#VALUE!</v>
      </c>
      <c r="AF246" s="243" t="n">
        <f aca="false">INDEX(IRTable,MATCH(A246,IRMonth,0),4)</f>
        <v>0.0634405898594896</v>
      </c>
      <c r="AG246" s="243" t="n">
        <f aca="false">AF246+$AG$9</f>
        <v>0.0634405898594896</v>
      </c>
      <c r="AH246" s="195" t="n">
        <f aca="false">1/((1+AG246/2)^(2*((A246-Front!$C$2)/365.25)))</f>
        <v>1.31669887447195</v>
      </c>
      <c r="AI246" s="236" t="e">
        <f aca="false">IF($AA246="","",E246*AC246)</f>
        <v>#VALUE!</v>
      </c>
      <c r="AJ246" s="236" t="e">
        <f aca="false">IF($AA246="","",E246*AE246)</f>
        <v>#VALUE!</v>
      </c>
      <c r="AK246" s="237" t="e">
        <f aca="false">IF($AA246="","",C246*AC246)</f>
        <v>#VALUE!</v>
      </c>
      <c r="AL246" s="160" t="n">
        <f aca="false">(AO246/10000)/30.5</f>
        <v>0</v>
      </c>
      <c r="AM246" s="238" t="n">
        <f aca="false">AD246/10000</f>
        <v>0</v>
      </c>
      <c r="AN246" s="238" t="n">
        <f aca="false">AD246*DAY(EOMONTH(A246,0))/10000</f>
        <v>0</v>
      </c>
      <c r="AO246" s="238"/>
      <c r="AP246" s="238"/>
      <c r="AQ246" s="238"/>
      <c r="AR246" s="239"/>
      <c r="AS246" s="238"/>
      <c r="AT246" s="238"/>
      <c r="AU246" s="238"/>
      <c r="AV246" s="238"/>
      <c r="AW246" s="238"/>
      <c r="AX246" s="238"/>
      <c r="AY246" s="238"/>
      <c r="AZ246" s="238"/>
      <c r="BA246" s="241"/>
      <c r="BB246" s="242"/>
      <c r="BC246" s="243" t="n">
        <v>4.7835</v>
      </c>
      <c r="BD246" s="195" t="n">
        <f aca="false">BC246-E246</f>
        <v>-0.0334999999999965</v>
      </c>
      <c r="BE246" s="294"/>
      <c r="BF246" s="245"/>
      <c r="BG246" s="121"/>
      <c r="BH246" s="121"/>
      <c r="BI246" s="247"/>
      <c r="BJ246" s="121"/>
      <c r="BK246" s="121"/>
      <c r="BL246" s="121"/>
      <c r="BM246" s="121"/>
      <c r="BN246" s="121"/>
      <c r="BO246" s="121"/>
      <c r="BP246" s="275" t="n">
        <v>44317</v>
      </c>
      <c r="BQ246" s="143" t="n">
        <v>4.661</v>
      </c>
      <c r="BR246" s="143" t="n">
        <v>0.17</v>
      </c>
      <c r="BS246" s="143" t="n">
        <v>0.0634405898594896</v>
      </c>
      <c r="BT246" s="121"/>
    </row>
    <row r="247" customFormat="false" ht="15" hidden="false" customHeight="false" outlineLevel="0" collapsed="false">
      <c r="A247" s="156" t="n">
        <f aca="false">EOMONTH(A246,0)+1</f>
        <v>44348</v>
      </c>
      <c r="B247" s="215"/>
      <c r="C247" s="281" t="n">
        <v>4.8155</v>
      </c>
      <c r="D247" s="282" t="n">
        <f aca="false">(E247-C247)*1000</f>
        <v>33.4999999999965</v>
      </c>
      <c r="E247" s="283" t="n">
        <f aca="false">VLOOKUP(YEAR(A247),Yr_Sprds,2)+E235</f>
        <v>4.849</v>
      </c>
      <c r="F247" s="287"/>
      <c r="G247" s="288"/>
      <c r="H247" s="287"/>
      <c r="I247" s="287"/>
      <c r="J247" s="279"/>
      <c r="K247" s="278"/>
      <c r="L247" s="291"/>
      <c r="M247" s="112"/>
      <c r="N247" s="278"/>
      <c r="O247" s="278"/>
      <c r="P247" s="278"/>
      <c r="Q247" s="167"/>
      <c r="R247" s="167"/>
      <c r="S247" s="167"/>
      <c r="T247" s="167"/>
      <c r="U247" s="167"/>
      <c r="V247" s="167"/>
      <c r="W247" s="167"/>
      <c r="X247" s="167"/>
      <c r="Y247" s="228" t="n">
        <f aca="false">DAY(EOMONTH(A247,0))</f>
        <v>30</v>
      </c>
      <c r="Z247" s="268" t="n">
        <v>44194</v>
      </c>
      <c r="AA247" s="230" t="e">
        <f aca="false">IF(AND(A247&gt;=Front!$E$11,A247&lt;=Front!$E$12),A247,"")</f>
        <v>#VALUE!</v>
      </c>
      <c r="AB247" s="231" t="e">
        <f aca="false">IF(AA247="","",VLOOKUP(MONTH(A246),Front!$W$6:$X$17,2)*IF(Front!D$9=0,Swap!Y247,1))</f>
        <v>#VALUE!</v>
      </c>
      <c r="AC247" s="274" t="e">
        <f aca="false">IF(AA247="","",AB247*AH247)</f>
        <v>#VALUE!</v>
      </c>
      <c r="AD247" s="233"/>
      <c r="AE247" s="231" t="e">
        <f aca="false">IF(AA247="","",AD247*AH247)</f>
        <v>#VALUE!</v>
      </c>
      <c r="AF247" s="243" t="n">
        <f aca="false">INDEX(IRTable,MATCH(A247,IRMonth,0),4)</f>
        <v>0.0635077953802732</v>
      </c>
      <c r="AG247" s="243" t="n">
        <f aca="false">AF247+$AG$9</f>
        <v>0.0635077953802732</v>
      </c>
      <c r="AH247" s="195" t="n">
        <f aca="false">1/((1+AG247/2)^(2*((A247-Front!$C$2)/365.25)))</f>
        <v>1.31010644129895</v>
      </c>
      <c r="AI247" s="236" t="e">
        <f aca="false">IF($AA247="","",E247*AC247)</f>
        <v>#VALUE!</v>
      </c>
      <c r="AJ247" s="236" t="e">
        <f aca="false">IF($AA247="","",E247*AE247)</f>
        <v>#VALUE!</v>
      </c>
      <c r="AK247" s="237" t="e">
        <f aca="false">IF($AA247="","",C247*AC247)</f>
        <v>#VALUE!</v>
      </c>
      <c r="AL247" s="160" t="n">
        <f aca="false">(AO247/10000)/30.5</f>
        <v>0</v>
      </c>
      <c r="AM247" s="238" t="n">
        <f aca="false">AD247/10000</f>
        <v>0</v>
      </c>
      <c r="AN247" s="238" t="n">
        <f aca="false">AD247*DAY(EOMONTH(A247,0))/10000</f>
        <v>0</v>
      </c>
      <c r="AO247" s="238"/>
      <c r="AP247" s="238"/>
      <c r="AQ247" s="238"/>
      <c r="AR247" s="239"/>
      <c r="AS247" s="238"/>
      <c r="AT247" s="238"/>
      <c r="AU247" s="238"/>
      <c r="AV247" s="238"/>
      <c r="AW247" s="238"/>
      <c r="AX247" s="238"/>
      <c r="AY247" s="238"/>
      <c r="AZ247" s="238"/>
      <c r="BA247" s="241"/>
      <c r="BB247" s="242"/>
      <c r="BC247" s="243" t="n">
        <v>4.8155</v>
      </c>
      <c r="BD247" s="195" t="n">
        <f aca="false">BC247-E247</f>
        <v>-0.0334999999999965</v>
      </c>
      <c r="BE247" s="294"/>
      <c r="BF247" s="245"/>
      <c r="BG247" s="121"/>
      <c r="BH247" s="121"/>
      <c r="BI247" s="247"/>
      <c r="BJ247" s="121"/>
      <c r="BK247" s="121"/>
      <c r="BL247" s="121"/>
      <c r="BM247" s="121"/>
      <c r="BN247" s="121"/>
      <c r="BO247" s="121"/>
      <c r="BP247" s="275" t="n">
        <v>44348</v>
      </c>
      <c r="BQ247" s="143" t="n">
        <v>4.693</v>
      </c>
      <c r="BR247" s="143" t="n">
        <v>0.17</v>
      </c>
      <c r="BS247" s="143" t="n">
        <v>0.0635077953802732</v>
      </c>
      <c r="BT247" s="121"/>
    </row>
    <row r="248" customFormat="false" ht="15" hidden="false" customHeight="false" outlineLevel="0" collapsed="false">
      <c r="A248" s="156" t="n">
        <f aca="false">EOMONTH(A247,0)+1</f>
        <v>44378</v>
      </c>
      <c r="B248" s="215"/>
      <c r="C248" s="281" t="n">
        <v>4.8655</v>
      </c>
      <c r="D248" s="282" t="n">
        <f aca="false">(E248-C248)*1000</f>
        <v>33.4999999999965</v>
      </c>
      <c r="E248" s="283" t="n">
        <f aca="false">VLOOKUP(YEAR(A248),Yr_Sprds,2)+E236</f>
        <v>4.899</v>
      </c>
      <c r="F248" s="287"/>
      <c r="G248" s="288"/>
      <c r="H248" s="287"/>
      <c r="I248" s="287"/>
      <c r="J248" s="279"/>
      <c r="K248" s="278"/>
      <c r="L248" s="291"/>
      <c r="M248" s="112"/>
      <c r="N248" s="278"/>
      <c r="O248" s="278"/>
      <c r="P248" s="278"/>
      <c r="Q248" s="167"/>
      <c r="R248" s="167"/>
      <c r="S248" s="167"/>
      <c r="T248" s="167"/>
      <c r="U248" s="167"/>
      <c r="V248" s="167"/>
      <c r="W248" s="167"/>
      <c r="X248" s="167"/>
      <c r="Y248" s="228" t="n">
        <f aca="false">DAY(EOMONTH(A248,0))</f>
        <v>31</v>
      </c>
      <c r="Z248" s="268" t="n">
        <v>44253</v>
      </c>
      <c r="AA248" s="230" t="e">
        <f aca="false">IF(AND(A248&gt;=Front!$E$11,A248&lt;=Front!$E$12),A248,"")</f>
        <v>#VALUE!</v>
      </c>
      <c r="AB248" s="231" t="e">
        <f aca="false">IF(AA248="","",VLOOKUP(MONTH(A247),Front!$W$6:$X$17,2)*IF(Front!D$9=0,Swap!Y248,1))</f>
        <v>#VALUE!</v>
      </c>
      <c r="AC248" s="274" t="e">
        <f aca="false">IF(AA248="","",AB248*AH248)</f>
        <v>#VALUE!</v>
      </c>
      <c r="AD248" s="233"/>
      <c r="AE248" s="231" t="e">
        <f aca="false">IF(AA248="","",AD248*AH248)</f>
        <v>#VALUE!</v>
      </c>
      <c r="AF248" s="243" t="n">
        <f aca="false">INDEX(IRTable,MATCH(A248,IRMonth,0),4)</f>
        <v>0.0635728329824574</v>
      </c>
      <c r="AG248" s="243" t="n">
        <f aca="false">AF248+$AG$9</f>
        <v>0.0635728329824574</v>
      </c>
      <c r="AH248" s="195" t="n">
        <f aca="false">1/((1+AG248/2)^(2*((A248-Front!$C$2)/365.25)))</f>
        <v>1.30374435923447</v>
      </c>
      <c r="AI248" s="236" t="e">
        <f aca="false">IF($AA248="","",E248*AC248)</f>
        <v>#VALUE!</v>
      </c>
      <c r="AJ248" s="236" t="e">
        <f aca="false">IF($AA248="","",E248*AE248)</f>
        <v>#VALUE!</v>
      </c>
      <c r="AK248" s="237" t="e">
        <f aca="false">IF($AA248="","",C248*AC248)</f>
        <v>#VALUE!</v>
      </c>
      <c r="AL248" s="160" t="n">
        <f aca="false">(AO248/10000)/30.5</f>
        <v>0</v>
      </c>
      <c r="AM248" s="238" t="n">
        <f aca="false">AD248/10000</f>
        <v>0</v>
      </c>
      <c r="AN248" s="238" t="n">
        <f aca="false">AD248*DAY(EOMONTH(A248,0))/10000</f>
        <v>0</v>
      </c>
      <c r="AO248" s="238"/>
      <c r="AP248" s="238"/>
      <c r="AQ248" s="238"/>
      <c r="AR248" s="239"/>
      <c r="AS248" s="238"/>
      <c r="AT248" s="238"/>
      <c r="AU248" s="238"/>
      <c r="AV248" s="238"/>
      <c r="AW248" s="238"/>
      <c r="AX248" s="238"/>
      <c r="AY248" s="238"/>
      <c r="AZ248" s="238"/>
      <c r="BA248" s="241"/>
      <c r="BB248" s="242"/>
      <c r="BC248" s="243" t="n">
        <v>4.8655</v>
      </c>
      <c r="BD248" s="195" t="n">
        <f aca="false">BC248-E248</f>
        <v>-0.0334999999999965</v>
      </c>
      <c r="BE248" s="294"/>
      <c r="BF248" s="245"/>
      <c r="BG248" s="121"/>
      <c r="BH248" s="121"/>
      <c r="BI248" s="247"/>
      <c r="BJ248" s="121"/>
      <c r="BK248" s="121"/>
      <c r="BL248" s="121"/>
      <c r="BM248" s="121"/>
      <c r="BN248" s="121"/>
      <c r="BO248" s="121"/>
      <c r="BP248" s="275" t="n">
        <v>44378</v>
      </c>
      <c r="BQ248" s="143" t="n">
        <v>4.743</v>
      </c>
      <c r="BR248" s="143" t="n">
        <v>0.17</v>
      </c>
      <c r="BS248" s="143" t="n">
        <v>0.0635728329824574</v>
      </c>
      <c r="BT248" s="121"/>
    </row>
    <row r="249" customFormat="false" ht="15" hidden="false" customHeight="false" outlineLevel="0" collapsed="false">
      <c r="A249" s="156" t="n">
        <f aca="false">EOMONTH(A248,0)+1</f>
        <v>44409</v>
      </c>
      <c r="B249" s="215"/>
      <c r="C249" s="281" t="n">
        <v>4.8995</v>
      </c>
      <c r="D249" s="282" t="n">
        <f aca="false">(E249-C249)*1000</f>
        <v>33.4999999999965</v>
      </c>
      <c r="E249" s="283" t="n">
        <f aca="false">VLOOKUP(YEAR(A249),Yr_Sprds,2)+E237</f>
        <v>4.933</v>
      </c>
      <c r="F249" s="287"/>
      <c r="G249" s="288"/>
      <c r="H249" s="287"/>
      <c r="I249" s="287"/>
      <c r="J249" s="279"/>
      <c r="K249" s="278"/>
      <c r="L249" s="291"/>
      <c r="M249" s="112"/>
      <c r="N249" s="278"/>
      <c r="O249" s="278"/>
      <c r="P249" s="278"/>
      <c r="Q249" s="167"/>
      <c r="R249" s="167"/>
      <c r="S249" s="167"/>
      <c r="T249" s="167"/>
      <c r="U249" s="167"/>
      <c r="V249" s="167"/>
      <c r="W249" s="167"/>
      <c r="X249" s="167"/>
      <c r="Y249" s="228" t="n">
        <f aca="false">DAY(EOMONTH(A249,0))</f>
        <v>31</v>
      </c>
      <c r="Z249" s="268" t="n">
        <v>44284</v>
      </c>
      <c r="AA249" s="230" t="e">
        <f aca="false">IF(AND(A249&gt;=Front!$E$11,A249&lt;=Front!$E$12),A249,"")</f>
        <v>#VALUE!</v>
      </c>
      <c r="AB249" s="231" t="e">
        <f aca="false">IF(AA249="","",VLOOKUP(MONTH(A248),Front!$W$6:$X$17,2)*IF(Front!D$9=0,Swap!Y249,1))</f>
        <v>#VALUE!</v>
      </c>
      <c r="AC249" s="274" t="e">
        <f aca="false">IF(AA249="","",AB249*AH249)</f>
        <v>#VALUE!</v>
      </c>
      <c r="AD249" s="233"/>
      <c r="AE249" s="231" t="e">
        <f aca="false">IF(AA249="","",AD249*AH249)</f>
        <v>#VALUE!</v>
      </c>
      <c r="AF249" s="243" t="n">
        <f aca="false">INDEX(IRTable,MATCH(A249,IRMonth,0),4)</f>
        <v>0.0636400385061879</v>
      </c>
      <c r="AG249" s="243" t="n">
        <f aca="false">AF249+$AG$9</f>
        <v>0.0636400385061879</v>
      </c>
      <c r="AH249" s="195" t="n">
        <f aca="false">1/((1+AG249/2)^(2*((A249-Front!$C$2)/365.25)))</f>
        <v>1.29718854067033</v>
      </c>
      <c r="AI249" s="236" t="e">
        <f aca="false">IF($AA249="","",E249*AC249)</f>
        <v>#VALUE!</v>
      </c>
      <c r="AJ249" s="236" t="e">
        <f aca="false">IF($AA249="","",E249*AE249)</f>
        <v>#VALUE!</v>
      </c>
      <c r="AK249" s="237" t="e">
        <f aca="false">IF($AA249="","",C249*AC249)</f>
        <v>#VALUE!</v>
      </c>
      <c r="AL249" s="160" t="n">
        <f aca="false">(AO249/10000)/30.5</f>
        <v>0</v>
      </c>
      <c r="AM249" s="238" t="n">
        <f aca="false">AD249/10000</f>
        <v>0</v>
      </c>
      <c r="AN249" s="238" t="n">
        <f aca="false">AD249*DAY(EOMONTH(A249,0))/10000</f>
        <v>0</v>
      </c>
      <c r="AO249" s="238"/>
      <c r="AP249" s="238"/>
      <c r="AQ249" s="238"/>
      <c r="AR249" s="239"/>
      <c r="AS249" s="238"/>
      <c r="AT249" s="238"/>
      <c r="AU249" s="238"/>
      <c r="AV249" s="238"/>
      <c r="AW249" s="238"/>
      <c r="AX249" s="238"/>
      <c r="AY249" s="238"/>
      <c r="AZ249" s="238"/>
      <c r="BA249" s="241"/>
      <c r="BB249" s="242"/>
      <c r="BC249" s="243" t="n">
        <v>4.8995</v>
      </c>
      <c r="BD249" s="195" t="n">
        <f aca="false">BC249-E249</f>
        <v>-0.0334999999999965</v>
      </c>
      <c r="BE249" s="294"/>
      <c r="BF249" s="245"/>
      <c r="BG249" s="121"/>
      <c r="BH249" s="121"/>
      <c r="BI249" s="247"/>
      <c r="BJ249" s="121"/>
      <c r="BK249" s="121"/>
      <c r="BL249" s="121"/>
      <c r="BM249" s="121"/>
      <c r="BN249" s="121"/>
      <c r="BO249" s="121"/>
      <c r="BP249" s="275" t="n">
        <v>44409</v>
      </c>
      <c r="BQ249" s="143" t="n">
        <v>4.777</v>
      </c>
      <c r="BR249" s="143" t="n">
        <v>0.17</v>
      </c>
      <c r="BS249" s="143" t="n">
        <v>0.0636400385061879</v>
      </c>
      <c r="BT249" s="121"/>
    </row>
    <row r="250" customFormat="false" ht="15" hidden="false" customHeight="false" outlineLevel="0" collapsed="false">
      <c r="A250" s="156" t="n">
        <f aca="false">EOMONTH(A249,0)+1</f>
        <v>44440</v>
      </c>
      <c r="B250" s="215"/>
      <c r="C250" s="281" t="n">
        <v>4.9125</v>
      </c>
      <c r="D250" s="282" t="n">
        <f aca="false">(E250-C250)*1000</f>
        <v>33.5000000000001</v>
      </c>
      <c r="E250" s="283" t="n">
        <f aca="false">VLOOKUP(YEAR(A250),Yr_Sprds,2)+E238</f>
        <v>4.946</v>
      </c>
      <c r="F250" s="287"/>
      <c r="G250" s="288"/>
      <c r="H250" s="287"/>
      <c r="I250" s="287"/>
      <c r="J250" s="279"/>
      <c r="K250" s="278"/>
      <c r="L250" s="291"/>
      <c r="M250" s="112"/>
      <c r="N250" s="278"/>
      <c r="O250" s="278"/>
      <c r="P250" s="278"/>
      <c r="Q250" s="167"/>
      <c r="R250" s="167"/>
      <c r="S250" s="167"/>
      <c r="T250" s="167"/>
      <c r="U250" s="167"/>
      <c r="V250" s="167"/>
      <c r="W250" s="167"/>
      <c r="X250" s="167"/>
      <c r="Y250" s="228" t="n">
        <f aca="false">DAY(EOMONTH(A250,0))</f>
        <v>30</v>
      </c>
      <c r="Z250" s="268" t="n">
        <v>44314</v>
      </c>
      <c r="AA250" s="230" t="e">
        <f aca="false">IF(AND(A250&gt;=Front!$E$11,A250&lt;=Front!$E$12),A250,"")</f>
        <v>#VALUE!</v>
      </c>
      <c r="AB250" s="231" t="e">
        <f aca="false">IF(AA250="","",VLOOKUP(MONTH(A249),Front!$W$6:$X$17,2)*IF(Front!D$9=0,Swap!Y250,1))</f>
        <v>#VALUE!</v>
      </c>
      <c r="AC250" s="274" t="e">
        <f aca="false">IF(AA250="","",AB250*AH250)</f>
        <v>#VALUE!</v>
      </c>
      <c r="AD250" s="233"/>
      <c r="AE250" s="231" t="e">
        <f aca="false">IF(AA250="","",AD250*AH250)</f>
        <v>#VALUE!</v>
      </c>
      <c r="AF250" s="243" t="n">
        <f aca="false">INDEX(IRTable,MATCH(A250,IRMonth,0),4)</f>
        <v>0.0637072440314172</v>
      </c>
      <c r="AG250" s="243" t="n">
        <f aca="false">AF250+$AG$9</f>
        <v>0.0637072440314172</v>
      </c>
      <c r="AH250" s="195" t="n">
        <f aca="false">1/((1+AG250/2)^(2*((A250-Front!$C$2)/365.25)))</f>
        <v>1.29065140670828</v>
      </c>
      <c r="AI250" s="236" t="e">
        <f aca="false">IF($AA250="","",E250*AC250)</f>
        <v>#VALUE!</v>
      </c>
      <c r="AJ250" s="236" t="e">
        <f aca="false">IF($AA250="","",E250*AE250)</f>
        <v>#VALUE!</v>
      </c>
      <c r="AK250" s="237" t="e">
        <f aca="false">IF($AA250="","",C250*AC250)</f>
        <v>#VALUE!</v>
      </c>
      <c r="AL250" s="160" t="n">
        <f aca="false">(AO250/10000)/30.5</f>
        <v>0</v>
      </c>
      <c r="AM250" s="238" t="n">
        <f aca="false">AD250/10000</f>
        <v>0</v>
      </c>
      <c r="AN250" s="238" t="n">
        <f aca="false">AD250*DAY(EOMONTH(A250,0))/10000</f>
        <v>0</v>
      </c>
      <c r="AO250" s="238"/>
      <c r="AP250" s="238"/>
      <c r="AQ250" s="238"/>
      <c r="AR250" s="239"/>
      <c r="AS250" s="238"/>
      <c r="AT250" s="238"/>
      <c r="AU250" s="238"/>
      <c r="AV250" s="238"/>
      <c r="AW250" s="238"/>
      <c r="AX250" s="238"/>
      <c r="AY250" s="238"/>
      <c r="AZ250" s="238"/>
      <c r="BA250" s="241"/>
      <c r="BB250" s="242"/>
      <c r="BC250" s="243" t="n">
        <v>4.9125</v>
      </c>
      <c r="BD250" s="195" t="n">
        <f aca="false">BC250-E250</f>
        <v>-0.0335000000000001</v>
      </c>
      <c r="BE250" s="294"/>
      <c r="BF250" s="245"/>
      <c r="BG250" s="121"/>
      <c r="BH250" s="121"/>
      <c r="BI250" s="247"/>
      <c r="BJ250" s="121"/>
      <c r="BK250" s="121"/>
      <c r="BL250" s="121"/>
      <c r="BM250" s="121"/>
      <c r="BN250" s="121"/>
      <c r="BO250" s="121"/>
      <c r="BP250" s="275" t="n">
        <v>44440</v>
      </c>
      <c r="BQ250" s="143" t="n">
        <v>4.79</v>
      </c>
      <c r="BR250" s="143" t="n">
        <v>0.17</v>
      </c>
      <c r="BS250" s="143" t="n">
        <v>0.0637072440314172</v>
      </c>
      <c r="BT250" s="121"/>
    </row>
    <row r="251" customFormat="false" ht="15" hidden="false" customHeight="false" outlineLevel="0" collapsed="false">
      <c r="A251" s="156" t="n">
        <f aca="false">EOMONTH(A250,0)+1</f>
        <v>44470</v>
      </c>
      <c r="B251" s="215"/>
      <c r="C251" s="281" t="n">
        <v>4.9045</v>
      </c>
      <c r="D251" s="282" t="n">
        <f aca="false">(E251-C251)*1000</f>
        <v>33.4999999999965</v>
      </c>
      <c r="E251" s="283" t="n">
        <f aca="false">VLOOKUP(YEAR(A251),Yr_Sprds,2)+E239</f>
        <v>4.938</v>
      </c>
      <c r="F251" s="287"/>
      <c r="G251" s="288"/>
      <c r="H251" s="287"/>
      <c r="I251" s="287"/>
      <c r="J251" s="279"/>
      <c r="K251" s="278"/>
      <c r="L251" s="291"/>
      <c r="M251" s="112"/>
      <c r="N251" s="278"/>
      <c r="O251" s="278"/>
      <c r="P251" s="278"/>
      <c r="Q251" s="167"/>
      <c r="R251" s="167"/>
      <c r="S251" s="167"/>
      <c r="T251" s="167"/>
      <c r="U251" s="167"/>
      <c r="V251" s="167"/>
      <c r="W251" s="167"/>
      <c r="X251" s="167"/>
      <c r="Y251" s="228" t="n">
        <f aca="false">DAY(EOMONTH(A251,0))</f>
        <v>31</v>
      </c>
      <c r="Z251" s="268" t="n">
        <v>44345</v>
      </c>
      <c r="AA251" s="230" t="e">
        <f aca="false">IF(AND(A251&gt;=Front!$E$11,A251&lt;=Front!$E$12),A251,"")</f>
        <v>#VALUE!</v>
      </c>
      <c r="AB251" s="231" t="e">
        <f aca="false">IF(AA251="","",VLOOKUP(MONTH(A250),Front!$W$6:$X$17,2)*IF(Front!D$9=0,Swap!Y251,1))</f>
        <v>#VALUE!</v>
      </c>
      <c r="AC251" s="274" t="e">
        <f aca="false">IF(AA251="","",AB251*AH251)</f>
        <v>#VALUE!</v>
      </c>
      <c r="AD251" s="233"/>
      <c r="AE251" s="231" t="e">
        <f aca="false">IF(AA251="","",AD251*AH251)</f>
        <v>#VALUE!</v>
      </c>
      <c r="AF251" s="243" t="n">
        <f aca="false">INDEX(IRTable,MATCH(A251,IRMonth,0),4)</f>
        <v>0.0637642726278753</v>
      </c>
      <c r="AG251" s="243" t="n">
        <f aca="false">AF251+$AG$9</f>
        <v>0.0637642726278753</v>
      </c>
      <c r="AH251" s="195" t="n">
        <f aca="false">1/((1+AG251/2)^(2*((A251-Front!$C$2)/365.25)))</f>
        <v>1.28430324930991</v>
      </c>
      <c r="AI251" s="236" t="e">
        <f aca="false">IF($AA251="","",E251*AC251)</f>
        <v>#VALUE!</v>
      </c>
      <c r="AJ251" s="236" t="e">
        <f aca="false">IF($AA251="","",E251*AE251)</f>
        <v>#VALUE!</v>
      </c>
      <c r="AK251" s="237" t="e">
        <f aca="false">IF($AA251="","",C251*AC251)</f>
        <v>#VALUE!</v>
      </c>
      <c r="AL251" s="160" t="n">
        <f aca="false">(AO251/10000)/30.5</f>
        <v>0</v>
      </c>
      <c r="AM251" s="238" t="n">
        <f aca="false">AD251/10000</f>
        <v>0</v>
      </c>
      <c r="AN251" s="238" t="n">
        <f aca="false">AD251*DAY(EOMONTH(A251,0))/10000</f>
        <v>0</v>
      </c>
      <c r="AO251" s="238"/>
      <c r="AP251" s="238"/>
      <c r="AQ251" s="238"/>
      <c r="AR251" s="239"/>
      <c r="AS251" s="238"/>
      <c r="AT251" s="238"/>
      <c r="AU251" s="238"/>
      <c r="AV251" s="238"/>
      <c r="AW251" s="238"/>
      <c r="AX251" s="238"/>
      <c r="AY251" s="238"/>
      <c r="AZ251" s="238"/>
      <c r="BA251" s="241"/>
      <c r="BB251" s="242"/>
      <c r="BC251" s="243" t="n">
        <v>4.9045</v>
      </c>
      <c r="BD251" s="195" t="n">
        <f aca="false">BC251-E251</f>
        <v>-0.0334999999999965</v>
      </c>
      <c r="BE251" s="294"/>
      <c r="BF251" s="245"/>
      <c r="BG251" s="121"/>
      <c r="BH251" s="121"/>
      <c r="BI251" s="247"/>
      <c r="BJ251" s="121"/>
      <c r="BK251" s="121"/>
      <c r="BL251" s="121"/>
      <c r="BM251" s="121"/>
      <c r="BN251" s="121"/>
      <c r="BO251" s="121"/>
      <c r="BP251" s="275" t="n">
        <v>44470</v>
      </c>
      <c r="BQ251" s="143" t="n">
        <v>4.812</v>
      </c>
      <c r="BR251" s="143" t="n">
        <v>0.17</v>
      </c>
      <c r="BS251" s="143" t="n">
        <v>0.0637642726278753</v>
      </c>
      <c r="BT251" s="121"/>
    </row>
    <row r="252" customFormat="false" ht="15" hidden="false" customHeight="false" outlineLevel="0" collapsed="false">
      <c r="A252" s="156" t="n">
        <f aca="false">EOMONTH(A251,0)+1</f>
        <v>44501</v>
      </c>
      <c r="B252" s="215"/>
      <c r="C252" s="281" t="n">
        <v>5.0745</v>
      </c>
      <c r="D252" s="282" t="n">
        <f aca="false">(E252-C252)*1000</f>
        <v>33.4999999999965</v>
      </c>
      <c r="E252" s="283" t="n">
        <f aca="false">VLOOKUP(YEAR(A252),Yr_Sprds,2)+E240</f>
        <v>5.108</v>
      </c>
      <c r="F252" s="287"/>
      <c r="G252" s="288"/>
      <c r="H252" s="287"/>
      <c r="I252" s="287"/>
      <c r="J252" s="279"/>
      <c r="K252" s="278"/>
      <c r="L252" s="291"/>
      <c r="M252" s="112"/>
      <c r="N252" s="278"/>
      <c r="O252" s="278"/>
      <c r="P252" s="278"/>
      <c r="Q252" s="167"/>
      <c r="R252" s="167"/>
      <c r="S252" s="167"/>
      <c r="T252" s="167"/>
      <c r="U252" s="167"/>
      <c r="V252" s="167"/>
      <c r="W252" s="167"/>
      <c r="X252" s="167"/>
      <c r="Y252" s="228" t="n">
        <f aca="false">DAY(EOMONTH(A252,0))</f>
        <v>30</v>
      </c>
      <c r="Z252" s="268" t="n">
        <v>44375</v>
      </c>
      <c r="AA252" s="230" t="e">
        <f aca="false">IF(AND(A252&gt;=Front!$E$11,A252&lt;=Front!$E$12),A252,"")</f>
        <v>#VALUE!</v>
      </c>
      <c r="AB252" s="231" t="e">
        <f aca="false">IF(AA252="","",VLOOKUP(MONTH(A251),Front!$W$6:$X$17,2)*IF(Front!D$9=0,Swap!Y252,1))</f>
        <v>#VALUE!</v>
      </c>
      <c r="AC252" s="274" t="e">
        <f aca="false">IF(AA252="","",AB252*AH252)</f>
        <v>#VALUE!</v>
      </c>
      <c r="AD252" s="233"/>
      <c r="AE252" s="231" t="e">
        <f aca="false">IF(AA252="","",AD252*AH252)</f>
        <v>#VALUE!</v>
      </c>
      <c r="AF252" s="243" t="n">
        <f aca="false">INDEX(IRTable,MATCH(A252,IRMonth,0),4)</f>
        <v>0.0637694083274889</v>
      </c>
      <c r="AG252" s="243" t="n">
        <f aca="false">AF252+$AG$9</f>
        <v>0.0637694083274889</v>
      </c>
      <c r="AH252" s="195" t="n">
        <f aca="false">1/((1+AG252/2)^(2*((A252-Front!$C$2)/365.25)))</f>
        <v>1.2775042396003</v>
      </c>
      <c r="AI252" s="236" t="e">
        <f aca="false">IF($AA252="","",E252*AC252)</f>
        <v>#VALUE!</v>
      </c>
      <c r="AJ252" s="236" t="e">
        <f aca="false">IF($AA252="","",E252*AE252)</f>
        <v>#VALUE!</v>
      </c>
      <c r="AK252" s="237" t="e">
        <f aca="false">IF($AA252="","",C252*AC252)</f>
        <v>#VALUE!</v>
      </c>
      <c r="AL252" s="160" t="n">
        <f aca="false">(AO252/10000)/30.5</f>
        <v>0</v>
      </c>
      <c r="AM252" s="238" t="n">
        <f aca="false">AD252/10000</f>
        <v>0</v>
      </c>
      <c r="AN252" s="238" t="n">
        <f aca="false">AD252*DAY(EOMONTH(A252,0))/10000</f>
        <v>0</v>
      </c>
      <c r="AO252" s="238"/>
      <c r="AP252" s="238"/>
      <c r="AQ252" s="238"/>
      <c r="AR252" s="239"/>
      <c r="AS252" s="238"/>
      <c r="AT252" s="238"/>
      <c r="AU252" s="238"/>
      <c r="AV252" s="238"/>
      <c r="AW252" s="238"/>
      <c r="AX252" s="238"/>
      <c r="AY252" s="238"/>
      <c r="AZ252" s="238"/>
      <c r="BA252" s="241"/>
      <c r="BB252" s="242"/>
      <c r="BC252" s="243" t="n">
        <v>5.0745</v>
      </c>
      <c r="BD252" s="195" t="n">
        <f aca="false">BC252-E252</f>
        <v>-0.0334999999999965</v>
      </c>
      <c r="BE252" s="294"/>
      <c r="BF252" s="245"/>
      <c r="BG252" s="121"/>
      <c r="BH252" s="121"/>
      <c r="BI252" s="247"/>
      <c r="BJ252" s="121"/>
      <c r="BK252" s="121"/>
      <c r="BL252" s="121"/>
      <c r="BM252" s="121"/>
      <c r="BN252" s="121"/>
      <c r="BO252" s="121"/>
      <c r="BP252" s="275" t="n">
        <v>44501</v>
      </c>
      <c r="BQ252" s="143" t="n">
        <v>4.982</v>
      </c>
      <c r="BR252" s="143" t="n">
        <v>0.17</v>
      </c>
      <c r="BS252" s="143" t="n">
        <v>0.0637694083274889</v>
      </c>
      <c r="BT252" s="121"/>
    </row>
    <row r="253" customFormat="false" ht="15" hidden="false" customHeight="false" outlineLevel="0" collapsed="false">
      <c r="A253" s="156" t="n">
        <f aca="false">EOMONTH(A252,0)+1</f>
        <v>44531</v>
      </c>
      <c r="B253" s="215"/>
      <c r="C253" s="281" t="n">
        <v>5.2495</v>
      </c>
      <c r="D253" s="282" t="n">
        <f aca="false">(E253-C253)*1000</f>
        <v>33.4999999999965</v>
      </c>
      <c r="E253" s="283" t="n">
        <f aca="false">VLOOKUP(YEAR(A253),Yr_Sprds,2)+E241</f>
        <v>5.283</v>
      </c>
      <c r="F253" s="287"/>
      <c r="G253" s="288"/>
      <c r="H253" s="287"/>
      <c r="I253" s="287"/>
      <c r="J253" s="279"/>
      <c r="K253" s="278"/>
      <c r="L253" s="291"/>
      <c r="M253" s="112"/>
      <c r="N253" s="278"/>
      <c r="O253" s="278"/>
      <c r="P253" s="278"/>
      <c r="Q253" s="167"/>
      <c r="R253" s="167"/>
      <c r="S253" s="167"/>
      <c r="T253" s="167"/>
      <c r="U253" s="167"/>
      <c r="V253" s="167"/>
      <c r="W253" s="167"/>
      <c r="X253" s="167"/>
      <c r="Y253" s="228" t="n">
        <f aca="false">DAY(EOMONTH(A253,0))</f>
        <v>31</v>
      </c>
      <c r="Z253" s="268" t="n">
        <v>44406</v>
      </c>
      <c r="AA253" s="230" t="e">
        <f aca="false">IF(AND(A253&gt;=Front!$E$11,A253&lt;=Front!$E$12),A253,"")</f>
        <v>#VALUE!</v>
      </c>
      <c r="AB253" s="231" t="e">
        <f aca="false">IF(AA253="","",VLOOKUP(MONTH(A252),Front!$W$6:$X$17,2)*IF(Front!D$9=0,Swap!Y253,1))</f>
        <v>#VALUE!</v>
      </c>
      <c r="AC253" s="274" t="e">
        <f aca="false">IF(AA253="","",AB253*AH253)</f>
        <v>#VALUE!</v>
      </c>
      <c r="AD253" s="233"/>
      <c r="AE253" s="231" t="e">
        <f aca="false">IF(AA253="","",AD253*AH253)</f>
        <v>#VALUE!</v>
      </c>
      <c r="AF253" s="243" t="n">
        <f aca="false">INDEX(IRTable,MATCH(A253,IRMonth,0),4)</f>
        <v>0.0637743783593816</v>
      </c>
      <c r="AG253" s="243" t="n">
        <f aca="false">AF253+$AG$9</f>
        <v>0.0637743783593816</v>
      </c>
      <c r="AH253" s="195" t="n">
        <f aca="false">1/((1+AG253/2)^(2*((A253-Front!$C$2)/365.25)))</f>
        <v>1.27095780291064</v>
      </c>
      <c r="AI253" s="236" t="e">
        <f aca="false">IF($AA253="","",E253*AC253)</f>
        <v>#VALUE!</v>
      </c>
      <c r="AJ253" s="236" t="e">
        <f aca="false">IF($AA253="","",E253*AE253)</f>
        <v>#VALUE!</v>
      </c>
      <c r="AK253" s="237" t="e">
        <f aca="false">IF($AA253="","",C253*AC253)</f>
        <v>#VALUE!</v>
      </c>
      <c r="AL253" s="160" t="n">
        <f aca="false">(AO253/10000)/30.5</f>
        <v>0</v>
      </c>
      <c r="AM253" s="238" t="n">
        <f aca="false">AD253/10000</f>
        <v>0</v>
      </c>
      <c r="AN253" s="238" t="n">
        <f aca="false">AD253*DAY(EOMONTH(A253,0))/10000</f>
        <v>0</v>
      </c>
      <c r="AO253" s="238"/>
      <c r="AP253" s="238"/>
      <c r="AQ253" s="238"/>
      <c r="AR253" s="239"/>
      <c r="AS253" s="238"/>
      <c r="AT253" s="238"/>
      <c r="AU253" s="238"/>
      <c r="AV253" s="238"/>
      <c r="AW253" s="238"/>
      <c r="AX253" s="238"/>
      <c r="AY253" s="238"/>
      <c r="AZ253" s="238"/>
      <c r="BA253" s="241"/>
      <c r="BB253" s="242"/>
      <c r="BC253" s="243" t="n">
        <v>5.2495</v>
      </c>
      <c r="BD253" s="195" t="n">
        <f aca="false">BC253-E253</f>
        <v>-0.0334999999999965</v>
      </c>
      <c r="BE253" s="294"/>
      <c r="BF253" s="245"/>
      <c r="BG253" s="121"/>
      <c r="BH253" s="121"/>
      <c r="BI253" s="247"/>
      <c r="BJ253" s="121"/>
      <c r="BK253" s="121"/>
      <c r="BL253" s="121"/>
      <c r="BM253" s="121"/>
      <c r="BN253" s="121"/>
      <c r="BO253" s="121"/>
      <c r="BP253" s="275" t="n">
        <v>44531</v>
      </c>
      <c r="BQ253" s="143" t="n">
        <v>5.157</v>
      </c>
      <c r="BR253" s="143" t="n">
        <v>0.17</v>
      </c>
      <c r="BS253" s="143" t="n">
        <v>0.0637743783593816</v>
      </c>
      <c r="BT253" s="121"/>
    </row>
    <row r="254" customFormat="false" ht="15" hidden="false" customHeight="false" outlineLevel="0" collapsed="false">
      <c r="A254" s="156" t="n">
        <f aca="false">EOMONTH(A253,0)+1</f>
        <v>44562</v>
      </c>
      <c r="B254" s="215"/>
      <c r="C254" s="281" t="n">
        <v>5.3045</v>
      </c>
      <c r="D254" s="282" t="n">
        <f aca="false">(E254-C254)*1000</f>
        <v>35.999999999996</v>
      </c>
      <c r="E254" s="283" t="n">
        <f aca="false">VLOOKUP(YEAR(A254),Yr_Sprds,2)+E242</f>
        <v>5.3405</v>
      </c>
      <c r="F254" s="287"/>
      <c r="G254" s="288"/>
      <c r="H254" s="287"/>
      <c r="I254" s="287"/>
      <c r="J254" s="279"/>
      <c r="K254" s="278"/>
      <c r="L254" s="291"/>
      <c r="M254" s="112"/>
      <c r="N254" s="278"/>
      <c r="O254" s="278"/>
      <c r="P254" s="278"/>
      <c r="Q254" s="167"/>
      <c r="R254" s="167"/>
      <c r="S254" s="167"/>
      <c r="T254" s="167"/>
      <c r="U254" s="167"/>
      <c r="V254" s="167"/>
      <c r="W254" s="167"/>
      <c r="X254" s="167"/>
      <c r="Y254" s="228" t="n">
        <f aca="false">DAY(EOMONTH(A254,0))</f>
        <v>31</v>
      </c>
      <c r="Z254" s="268" t="n">
        <v>44437</v>
      </c>
      <c r="AA254" s="230" t="e">
        <f aca="false">IF(AND(A254&gt;=Front!$E$11,A254&lt;=Front!$E$12),A254,"")</f>
        <v>#VALUE!</v>
      </c>
      <c r="AB254" s="231" t="e">
        <f aca="false">IF(AA254="","",VLOOKUP(MONTH(A253),Front!$W$6:$X$17,2)*IF(Front!D$9=0,Swap!Y254,1))</f>
        <v>#VALUE!</v>
      </c>
      <c r="AC254" s="274" t="e">
        <f aca="false">IF(AA254="","",AB254*AH254)</f>
        <v>#VALUE!</v>
      </c>
      <c r="AD254" s="233"/>
      <c r="AE254" s="231" t="e">
        <f aca="false">IF(AA254="","",AD254*AH254)</f>
        <v>#VALUE!</v>
      </c>
      <c r="AF254" s="243" t="n">
        <f aca="false">INDEX(IRTable,MATCH(A254,IRMonth,0),4)</f>
        <v>0.0637795140590129</v>
      </c>
      <c r="AG254" s="243" t="n">
        <f aca="false">AF254+$AG$9</f>
        <v>0.0637795140590129</v>
      </c>
      <c r="AH254" s="195" t="n">
        <f aca="false">1/((1+AG254/2)^(2*((A254-Front!$C$2)/365.25)))</f>
        <v>1.2642273412597</v>
      </c>
      <c r="AI254" s="236" t="e">
        <f aca="false">IF($AA254="","",E254*AC254)</f>
        <v>#VALUE!</v>
      </c>
      <c r="AJ254" s="236" t="e">
        <f aca="false">IF($AA254="","",E254*AE254)</f>
        <v>#VALUE!</v>
      </c>
      <c r="AK254" s="237" t="e">
        <f aca="false">IF($AA254="","",C254*AC254)</f>
        <v>#VALUE!</v>
      </c>
      <c r="AL254" s="160" t="n">
        <f aca="false">(AO254/10000)/30.5</f>
        <v>0</v>
      </c>
      <c r="AM254" s="238" t="n">
        <f aca="false">AD254/10000</f>
        <v>0</v>
      </c>
      <c r="AN254" s="238" t="n">
        <f aca="false">AD254*DAY(EOMONTH(A254,0))/10000</f>
        <v>0</v>
      </c>
      <c r="AO254" s="238"/>
      <c r="AP254" s="238"/>
      <c r="AQ254" s="238"/>
      <c r="AR254" s="239"/>
      <c r="AS254" s="238"/>
      <c r="AT254" s="238"/>
      <c r="AU254" s="238"/>
      <c r="AV254" s="238"/>
      <c r="AW254" s="238"/>
      <c r="AX254" s="238"/>
      <c r="AY254" s="238"/>
      <c r="AZ254" s="238"/>
      <c r="BA254" s="241"/>
      <c r="BB254" s="242"/>
      <c r="BC254" s="243" t="n">
        <v>5.3045</v>
      </c>
      <c r="BD254" s="195" t="n">
        <f aca="false">BC254-E254</f>
        <v>-0.035999999999996</v>
      </c>
      <c r="BE254" s="294"/>
      <c r="BF254" s="245"/>
      <c r="BG254" s="121"/>
      <c r="BH254" s="121"/>
      <c r="BI254" s="247"/>
      <c r="BJ254" s="121"/>
      <c r="BK254" s="121"/>
      <c r="BL254" s="121"/>
      <c r="BM254" s="121"/>
      <c r="BN254" s="121"/>
      <c r="BO254" s="121"/>
      <c r="BP254" s="275" t="n">
        <v>44562</v>
      </c>
      <c r="BQ254" s="143" t="n">
        <v>5.1795</v>
      </c>
      <c r="BR254" s="143" t="n">
        <v>0.17</v>
      </c>
      <c r="BS254" s="143" t="n">
        <v>0.0637795140590129</v>
      </c>
      <c r="BT254" s="121"/>
    </row>
    <row r="255" customFormat="false" ht="15" hidden="false" customHeight="false" outlineLevel="0" collapsed="false">
      <c r="A255" s="156" t="n">
        <f aca="false">EOMONTH(A254,0)+1</f>
        <v>44593</v>
      </c>
      <c r="B255" s="215"/>
      <c r="C255" s="281" t="n">
        <v>5.1905</v>
      </c>
      <c r="D255" s="282" t="n">
        <f aca="false">(E255-C255)*1000</f>
        <v>35.9999999999969</v>
      </c>
      <c r="E255" s="283" t="n">
        <f aca="false">VLOOKUP(YEAR(A255),Yr_Sprds,2)+E243</f>
        <v>5.2265</v>
      </c>
      <c r="F255" s="287"/>
      <c r="G255" s="288"/>
      <c r="H255" s="287"/>
      <c r="I255" s="287"/>
      <c r="J255" s="279"/>
      <c r="K255" s="278"/>
      <c r="L255" s="291"/>
      <c r="M255" s="112"/>
      <c r="N255" s="278"/>
      <c r="O255" s="278"/>
      <c r="P255" s="278"/>
      <c r="Q255" s="167"/>
      <c r="R255" s="167"/>
      <c r="S255" s="167"/>
      <c r="T255" s="167"/>
      <c r="U255" s="167"/>
      <c r="V255" s="167"/>
      <c r="W255" s="167"/>
      <c r="X255" s="167"/>
      <c r="Y255" s="228" t="n">
        <f aca="false">DAY(EOMONTH(A255,0))</f>
        <v>28</v>
      </c>
      <c r="Z255" s="268" t="n">
        <v>44467</v>
      </c>
      <c r="AA255" s="230" t="e">
        <f aca="false">IF(AND(A255&gt;=Front!$E$11,A255&lt;=Front!$E$12),A255,"")</f>
        <v>#VALUE!</v>
      </c>
      <c r="AB255" s="231" t="e">
        <f aca="false">IF(AA255="","",VLOOKUP(MONTH(A254),Front!$W$6:$X$17,2)*IF(Front!D$9=0,Swap!Y255,1))</f>
        <v>#VALUE!</v>
      </c>
      <c r="AC255" s="274" t="e">
        <f aca="false">IF(AA255="","",AB255*AH255)</f>
        <v>#VALUE!</v>
      </c>
      <c r="AD255" s="233"/>
      <c r="AE255" s="231" t="e">
        <f aca="false">IF(AA255="","",AD255*AH255)</f>
        <v>#VALUE!</v>
      </c>
      <c r="AF255" s="243" t="n">
        <f aca="false">INDEX(IRTable,MATCH(A255,IRMonth,0),4)</f>
        <v>0.0637846497586527</v>
      </c>
      <c r="AG255" s="243" t="n">
        <f aca="false">AF255+$AG$9</f>
        <v>0.0637846497586527</v>
      </c>
      <c r="AH255" s="195" t="n">
        <f aca="false">1/((1+AG255/2)^(2*((A255-Front!$C$2)/365.25)))</f>
        <v>1.25753145886728</v>
      </c>
      <c r="AI255" s="236" t="e">
        <f aca="false">IF($AA255="","",E255*AC255)</f>
        <v>#VALUE!</v>
      </c>
      <c r="AJ255" s="236" t="e">
        <f aca="false">IF($AA255="","",E255*AE255)</f>
        <v>#VALUE!</v>
      </c>
      <c r="AK255" s="237" t="e">
        <f aca="false">IF($AA255="","",C255*AC255)</f>
        <v>#VALUE!</v>
      </c>
      <c r="AL255" s="160" t="n">
        <f aca="false">(AO255/10000)/30.5</f>
        <v>0</v>
      </c>
      <c r="AM255" s="238" t="n">
        <f aca="false">AD255/10000</f>
        <v>0</v>
      </c>
      <c r="AN255" s="238" t="n">
        <f aca="false">AD255*DAY(EOMONTH(A255,0))/10000</f>
        <v>0</v>
      </c>
      <c r="AO255" s="238"/>
      <c r="AP255" s="238"/>
      <c r="AQ255" s="238"/>
      <c r="AR255" s="239"/>
      <c r="AS255" s="238"/>
      <c r="AT255" s="238"/>
      <c r="AU255" s="238"/>
      <c r="AV255" s="238"/>
      <c r="AW255" s="238"/>
      <c r="AX255" s="238"/>
      <c r="AY255" s="238"/>
      <c r="AZ255" s="238"/>
      <c r="BA255" s="241"/>
      <c r="BB255" s="242"/>
      <c r="BC255" s="243" t="n">
        <v>5.1905</v>
      </c>
      <c r="BD255" s="195" t="n">
        <f aca="false">BC255-E255</f>
        <v>-0.0359999999999969</v>
      </c>
      <c r="BE255" s="294"/>
      <c r="BF255" s="245"/>
      <c r="BG255" s="121"/>
      <c r="BH255" s="121"/>
      <c r="BI255" s="247"/>
      <c r="BJ255" s="121"/>
      <c r="BK255" s="121"/>
      <c r="BL255" s="121"/>
      <c r="BM255" s="121"/>
      <c r="BN255" s="121"/>
      <c r="BO255" s="121"/>
      <c r="BP255" s="275" t="n">
        <v>44593</v>
      </c>
      <c r="BQ255" s="143" t="n">
        <v>5.0655</v>
      </c>
      <c r="BR255" s="143" t="n">
        <v>0.17</v>
      </c>
      <c r="BS255" s="143" t="n">
        <v>0.0637846497586527</v>
      </c>
      <c r="BT255" s="121"/>
    </row>
    <row r="256" customFormat="false" ht="15" hidden="false" customHeight="false" outlineLevel="0" collapsed="false">
      <c r="A256" s="156" t="n">
        <f aca="false">EOMONTH(A255,0)+1</f>
        <v>44621</v>
      </c>
      <c r="B256" s="215"/>
      <c r="C256" s="281" t="n">
        <v>5.0585</v>
      </c>
      <c r="D256" s="282" t="n">
        <f aca="false">(E256-C256)*1000</f>
        <v>35.999999999996</v>
      </c>
      <c r="E256" s="283" t="n">
        <f aca="false">VLOOKUP(YEAR(A256),Yr_Sprds,2)+E244</f>
        <v>5.0945</v>
      </c>
      <c r="F256" s="287"/>
      <c r="G256" s="288"/>
      <c r="H256" s="287"/>
      <c r="I256" s="287"/>
      <c r="J256" s="279"/>
      <c r="K256" s="278"/>
      <c r="L256" s="291"/>
      <c r="M256" s="112"/>
      <c r="N256" s="278"/>
      <c r="O256" s="278"/>
      <c r="P256" s="278"/>
      <c r="Q256" s="167"/>
      <c r="R256" s="167"/>
      <c r="S256" s="167"/>
      <c r="T256" s="167"/>
      <c r="U256" s="167"/>
      <c r="V256" s="167"/>
      <c r="W256" s="167"/>
      <c r="X256" s="167"/>
      <c r="Y256" s="228" t="n">
        <f aca="false">DAY(EOMONTH(A256,0))</f>
        <v>31</v>
      </c>
      <c r="Z256" s="268" t="n">
        <v>44498</v>
      </c>
      <c r="AA256" s="230" t="e">
        <f aca="false">IF(AND(A256&gt;=Front!$E$11,A256&lt;=Front!$E$12),A256,"")</f>
        <v>#VALUE!</v>
      </c>
      <c r="AB256" s="231" t="e">
        <f aca="false">IF(AA256="","",VLOOKUP(MONTH(A255),Front!$W$6:$X$17,2)*IF(Front!D$9=0,Swap!Y256,1))</f>
        <v>#VALUE!</v>
      </c>
      <c r="AC256" s="274" t="e">
        <f aca="false">IF(AA256="","",AB256*AH256)</f>
        <v>#VALUE!</v>
      </c>
      <c r="AD256" s="233"/>
      <c r="AE256" s="231" t="e">
        <f aca="false">IF(AA256="","",AD256*AH256)</f>
        <v>#VALUE!</v>
      </c>
      <c r="AF256" s="243" t="n">
        <f aca="false">INDEX(IRTable,MATCH(A256,IRMonth,0),4)</f>
        <v>0.063789288455109</v>
      </c>
      <c r="AG256" s="243" t="n">
        <f aca="false">AF256+$AG$9</f>
        <v>0.063789288455109</v>
      </c>
      <c r="AH256" s="195" t="n">
        <f aca="false">1/((1+AG256/2)^(2*((A256-Front!$C$2)/365.25)))</f>
        <v>1.25151314373662</v>
      </c>
      <c r="AI256" s="236" t="e">
        <f aca="false">IF($AA256="","",E256*AC256)</f>
        <v>#VALUE!</v>
      </c>
      <c r="AJ256" s="236" t="e">
        <f aca="false">IF($AA256="","",E256*AE256)</f>
        <v>#VALUE!</v>
      </c>
      <c r="AK256" s="237" t="e">
        <f aca="false">IF($AA256="","",C256*AC256)</f>
        <v>#VALUE!</v>
      </c>
      <c r="AL256" s="160" t="n">
        <f aca="false">(AO256/10000)/30.5</f>
        <v>0</v>
      </c>
      <c r="AM256" s="238" t="n">
        <f aca="false">AD256/10000</f>
        <v>0</v>
      </c>
      <c r="AN256" s="238" t="n">
        <f aca="false">AD256*DAY(EOMONTH(A256,0))/10000</f>
        <v>0</v>
      </c>
      <c r="AO256" s="238"/>
      <c r="AP256" s="238"/>
      <c r="AQ256" s="238"/>
      <c r="AR256" s="239"/>
      <c r="AS256" s="238"/>
      <c r="AT256" s="238"/>
      <c r="AU256" s="238"/>
      <c r="AV256" s="238"/>
      <c r="AW256" s="238"/>
      <c r="AX256" s="238"/>
      <c r="AY256" s="238"/>
      <c r="AZ256" s="238"/>
      <c r="BA256" s="241"/>
      <c r="BB256" s="242"/>
      <c r="BC256" s="243" t="n">
        <v>5.0585</v>
      </c>
      <c r="BD256" s="195" t="n">
        <f aca="false">BC256-E256</f>
        <v>-0.035999999999996</v>
      </c>
      <c r="BE256" s="294"/>
      <c r="BF256" s="245"/>
      <c r="BG256" s="121"/>
      <c r="BH256" s="121"/>
      <c r="BI256" s="247"/>
      <c r="BJ256" s="121"/>
      <c r="BK256" s="121"/>
      <c r="BL256" s="121"/>
      <c r="BM256" s="121"/>
      <c r="BN256" s="121"/>
      <c r="BO256" s="121"/>
      <c r="BP256" s="275" t="n">
        <v>44621</v>
      </c>
      <c r="BQ256" s="143" t="n">
        <v>4.9335</v>
      </c>
      <c r="BR256" s="143" t="n">
        <v>0.17</v>
      </c>
      <c r="BS256" s="143" t="n">
        <v>0.063789288455109</v>
      </c>
      <c r="BT256" s="121"/>
    </row>
    <row r="257" customFormat="false" ht="15" hidden="false" customHeight="false" outlineLevel="0" collapsed="false">
      <c r="A257" s="156" t="n">
        <f aca="false">EOMONTH(A256,0)+1</f>
        <v>44652</v>
      </c>
      <c r="B257" s="215"/>
      <c r="C257" s="281" t="n">
        <v>4.8885</v>
      </c>
      <c r="D257" s="282" t="n">
        <f aca="false">(E257-C257)*1000</f>
        <v>35.999999999996</v>
      </c>
      <c r="E257" s="283" t="n">
        <f aca="false">VLOOKUP(YEAR(A257),Yr_Sprds,2)+E245</f>
        <v>4.9245</v>
      </c>
      <c r="F257" s="287"/>
      <c r="G257" s="288"/>
      <c r="H257" s="287"/>
      <c r="I257" s="287"/>
      <c r="J257" s="279"/>
      <c r="K257" s="278"/>
      <c r="L257" s="291"/>
      <c r="M257" s="112"/>
      <c r="N257" s="278"/>
      <c r="O257" s="278"/>
      <c r="P257" s="278"/>
      <c r="Q257" s="167"/>
      <c r="R257" s="167"/>
      <c r="S257" s="167"/>
      <c r="T257" s="167"/>
      <c r="U257" s="167"/>
      <c r="V257" s="167"/>
      <c r="W257" s="167"/>
      <c r="X257" s="167"/>
      <c r="Y257" s="228" t="n">
        <f aca="false">DAY(EOMONTH(A257,0))</f>
        <v>30</v>
      </c>
      <c r="Z257" s="268" t="n">
        <v>44528</v>
      </c>
      <c r="AA257" s="230" t="e">
        <f aca="false">IF(AND(A257&gt;=Front!$E$11,A257&lt;=Front!$E$12),A257,"")</f>
        <v>#VALUE!</v>
      </c>
      <c r="AB257" s="231" t="e">
        <f aca="false">IF(AA257="","",VLOOKUP(MONTH(A256),Front!$W$6:$X$17,2)*IF(Front!D$9=0,Swap!Y257,1))</f>
        <v>#VALUE!</v>
      </c>
      <c r="AC257" s="274" t="e">
        <f aca="false">IF(AA257="","",AB257*AH257)</f>
        <v>#VALUE!</v>
      </c>
      <c r="AD257" s="233"/>
      <c r="AE257" s="231" t="e">
        <f aca="false">IF(AA257="","",AD257*AH257)</f>
        <v>#VALUE!</v>
      </c>
      <c r="AF257" s="243" t="n">
        <f aca="false">INDEX(IRTable,MATCH(A257,IRMonth,0),4)</f>
        <v>0.0637944241547652</v>
      </c>
      <c r="AG257" s="243" t="n">
        <f aca="false">AF257+$AG$9</f>
        <v>0.0637944241547652</v>
      </c>
      <c r="AH257" s="195" t="n">
        <f aca="false">1/((1+AG257/2)^(2*((A257-Front!$C$2)/365.25)))</f>
        <v>1.24488259936594</v>
      </c>
      <c r="AI257" s="236" t="e">
        <f aca="false">IF($AA257="","",E257*AC257)</f>
        <v>#VALUE!</v>
      </c>
      <c r="AJ257" s="236" t="e">
        <f aca="false">IF($AA257="","",E257*AE257)</f>
        <v>#VALUE!</v>
      </c>
      <c r="AK257" s="237" t="e">
        <f aca="false">IF($AA257="","",C257*AC257)</f>
        <v>#VALUE!</v>
      </c>
      <c r="AL257" s="160" t="n">
        <f aca="false">(AO257/10000)/30.5</f>
        <v>0</v>
      </c>
      <c r="AM257" s="238" t="n">
        <f aca="false">AD257/10000</f>
        <v>0</v>
      </c>
      <c r="AN257" s="238" t="n">
        <f aca="false">AD257*DAY(EOMONTH(A257,0))/10000</f>
        <v>0</v>
      </c>
      <c r="AO257" s="238"/>
      <c r="AP257" s="238"/>
      <c r="AQ257" s="238"/>
      <c r="AR257" s="239"/>
      <c r="AS257" s="238"/>
      <c r="AT257" s="238"/>
      <c r="AU257" s="238"/>
      <c r="AV257" s="238"/>
      <c r="AW257" s="238"/>
      <c r="AX257" s="238"/>
      <c r="AY257" s="238"/>
      <c r="AZ257" s="238"/>
      <c r="BA257" s="241"/>
      <c r="BB257" s="242"/>
      <c r="BC257" s="243" t="n">
        <v>4.8885</v>
      </c>
      <c r="BD257" s="195" t="n">
        <f aca="false">BC257-E257</f>
        <v>-0.035999999999996</v>
      </c>
      <c r="BE257" s="294"/>
      <c r="BF257" s="245"/>
      <c r="BG257" s="121"/>
      <c r="BH257" s="121"/>
      <c r="BI257" s="247"/>
      <c r="BJ257" s="121"/>
      <c r="BK257" s="121"/>
      <c r="BL257" s="121"/>
      <c r="BM257" s="121"/>
      <c r="BN257" s="121"/>
      <c r="BO257" s="121"/>
      <c r="BP257" s="275" t="n">
        <v>44652</v>
      </c>
      <c r="BQ257" s="143" t="n">
        <v>4.7635</v>
      </c>
      <c r="BR257" s="143" t="n">
        <v>0.17</v>
      </c>
      <c r="BS257" s="143" t="n">
        <v>0.0637944241547652</v>
      </c>
      <c r="BT257" s="121"/>
    </row>
    <row r="258" customFormat="false" ht="15" hidden="false" customHeight="false" outlineLevel="0" collapsed="false">
      <c r="A258" s="156" t="n">
        <f aca="false">EOMONTH(A257,0)+1</f>
        <v>44682</v>
      </c>
      <c r="B258" s="215"/>
      <c r="C258" s="281" t="n">
        <v>4.8885</v>
      </c>
      <c r="D258" s="282" t="n">
        <f aca="false">(E258-C258)*1000</f>
        <v>35.999999999996</v>
      </c>
      <c r="E258" s="283" t="n">
        <f aca="false">VLOOKUP(YEAR(A258),Yr_Sprds,2)+E246</f>
        <v>4.9245</v>
      </c>
      <c r="F258" s="287"/>
      <c r="G258" s="288"/>
      <c r="H258" s="287"/>
      <c r="I258" s="287"/>
      <c r="J258" s="279"/>
      <c r="K258" s="278"/>
      <c r="L258" s="291"/>
      <c r="M258" s="112"/>
      <c r="N258" s="278"/>
      <c r="O258" s="278"/>
      <c r="P258" s="278"/>
      <c r="Q258" s="167"/>
      <c r="R258" s="167"/>
      <c r="S258" s="167"/>
      <c r="T258" s="167"/>
      <c r="U258" s="167"/>
      <c r="V258" s="167"/>
      <c r="W258" s="167"/>
      <c r="X258" s="167"/>
      <c r="Y258" s="228" t="n">
        <f aca="false">DAY(EOMONTH(A258,0))</f>
        <v>31</v>
      </c>
      <c r="Z258" s="268" t="n">
        <v>44559</v>
      </c>
      <c r="AA258" s="230" t="e">
        <f aca="false">IF(AND(A258&gt;=Front!$E$11,A258&lt;=Front!$E$12),A258,"")</f>
        <v>#VALUE!</v>
      </c>
      <c r="AB258" s="231" t="e">
        <f aca="false">IF(AA258="","",VLOOKUP(MONTH(A257),Front!$W$6:$X$17,2)*IF(Front!D$9=0,Swap!Y258,1))</f>
        <v>#VALUE!</v>
      </c>
      <c r="AC258" s="274" t="e">
        <f aca="false">IF(AA258="","",AB258*AH258)</f>
        <v>#VALUE!</v>
      </c>
      <c r="AD258" s="233"/>
      <c r="AE258" s="231" t="e">
        <f aca="false">IF(AA258="","",AD258*AH258)</f>
        <v>#VALUE!</v>
      </c>
      <c r="AF258" s="243" t="n">
        <f aca="false">INDEX(IRTable,MATCH(A258,IRMonth,0),4)</f>
        <v>0.0637993941866988</v>
      </c>
      <c r="AG258" s="243" t="n">
        <f aca="false">AF258+$AG$9</f>
        <v>0.0637993941866988</v>
      </c>
      <c r="AH258" s="195" t="n">
        <f aca="false">1/((1+AG258/2)^(2*((A258-Front!$C$2)/365.25)))</f>
        <v>1.23849839642316</v>
      </c>
      <c r="AI258" s="236" t="e">
        <f aca="false">IF($AA258="","",E258*AC258)</f>
        <v>#VALUE!</v>
      </c>
      <c r="AJ258" s="236" t="e">
        <f aca="false">IF($AA258="","",E258*AE258)</f>
        <v>#VALUE!</v>
      </c>
      <c r="AK258" s="237" t="e">
        <f aca="false">IF($AA258="","",C258*AC258)</f>
        <v>#VALUE!</v>
      </c>
      <c r="AL258" s="160" t="n">
        <f aca="false">(AO258/10000)/30.5</f>
        <v>0</v>
      </c>
      <c r="AM258" s="238" t="n">
        <f aca="false">AD258/10000</f>
        <v>0</v>
      </c>
      <c r="AN258" s="238" t="n">
        <f aca="false">AD258*DAY(EOMONTH(A258,0))/10000</f>
        <v>0</v>
      </c>
      <c r="AO258" s="238"/>
      <c r="AP258" s="238"/>
      <c r="AQ258" s="238"/>
      <c r="AR258" s="239"/>
      <c r="AS258" s="238"/>
      <c r="AT258" s="238"/>
      <c r="AU258" s="238"/>
      <c r="AV258" s="238"/>
      <c r="AW258" s="238"/>
      <c r="AX258" s="238"/>
      <c r="AY258" s="238"/>
      <c r="AZ258" s="238"/>
      <c r="BA258" s="241"/>
      <c r="BB258" s="242"/>
      <c r="BC258" s="243" t="n">
        <v>4.8885</v>
      </c>
      <c r="BD258" s="195" t="n">
        <f aca="false">BC258-E258</f>
        <v>-0.035999999999996</v>
      </c>
      <c r="BE258" s="294"/>
      <c r="BF258" s="245"/>
      <c r="BG258" s="121"/>
      <c r="BH258" s="121"/>
      <c r="BI258" s="247"/>
      <c r="BJ258" s="121"/>
      <c r="BK258" s="121"/>
      <c r="BL258" s="121"/>
      <c r="BM258" s="121"/>
      <c r="BN258" s="121"/>
      <c r="BO258" s="121"/>
      <c r="BP258" s="275" t="n">
        <v>44682</v>
      </c>
      <c r="BQ258" s="143" t="n">
        <v>4.7635</v>
      </c>
      <c r="BR258" s="143" t="n">
        <v>0.17</v>
      </c>
      <c r="BS258" s="143" t="n">
        <v>0.0637993941866988</v>
      </c>
      <c r="BT258" s="121"/>
    </row>
    <row r="259" customFormat="false" ht="15" hidden="false" customHeight="false" outlineLevel="0" collapsed="false">
      <c r="A259" s="156" t="n">
        <f aca="false">EOMONTH(A258,0)+1</f>
        <v>44713</v>
      </c>
      <c r="B259" s="215"/>
      <c r="C259" s="281" t="n">
        <v>4.9205</v>
      </c>
      <c r="D259" s="282" t="n">
        <f aca="false">(E259-C259)*1000</f>
        <v>35.999999999996</v>
      </c>
      <c r="E259" s="283" t="n">
        <f aca="false">VLOOKUP(YEAR(A259),Yr_Sprds,2)+E247</f>
        <v>4.9565</v>
      </c>
      <c r="F259" s="287"/>
      <c r="G259" s="288"/>
      <c r="H259" s="287"/>
      <c r="I259" s="287"/>
      <c r="J259" s="279"/>
      <c r="K259" s="278"/>
      <c r="L259" s="291"/>
      <c r="M259" s="112"/>
      <c r="N259" s="278"/>
      <c r="O259" s="278"/>
      <c r="P259" s="278"/>
      <c r="Q259" s="167"/>
      <c r="R259" s="167"/>
      <c r="S259" s="167"/>
      <c r="T259" s="167"/>
      <c r="U259" s="167"/>
      <c r="V259" s="167"/>
      <c r="W259" s="167"/>
      <c r="X259" s="167"/>
      <c r="Y259" s="228" t="n">
        <f aca="false">DAY(EOMONTH(A259,0))</f>
        <v>30</v>
      </c>
      <c r="Z259" s="268" t="n">
        <v>44590</v>
      </c>
      <c r="AA259" s="230" t="e">
        <f aca="false">IF(AND(A259&gt;=Front!$E$11,A259&lt;=Front!$E$12),A259,"")</f>
        <v>#VALUE!</v>
      </c>
      <c r="AB259" s="231" t="e">
        <f aca="false">IF(AA259="","",VLOOKUP(MONTH(A258),Front!$W$6:$X$17,2)*IF(Front!D$9=0,Swap!Y259,1))</f>
        <v>#VALUE!</v>
      </c>
      <c r="AC259" s="274" t="e">
        <f aca="false">IF(AA259="","",AB259*AH259)</f>
        <v>#VALUE!</v>
      </c>
      <c r="AD259" s="233"/>
      <c r="AE259" s="231" t="e">
        <f aca="false">IF(AA259="","",AD259*AH259)</f>
        <v>#VALUE!</v>
      </c>
      <c r="AF259" s="243" t="n">
        <f aca="false">INDEX(IRTable,MATCH(A259,IRMonth,0),4)</f>
        <v>0.0638045298863723</v>
      </c>
      <c r="AG259" s="243" t="n">
        <f aca="false">AF259+$AG$9</f>
        <v>0.0638045298863723</v>
      </c>
      <c r="AH259" s="195" t="n">
        <f aca="false">1/((1+AG259/2)^(2*((A259-Front!$C$2)/365.25)))</f>
        <v>1.23193475641412</v>
      </c>
      <c r="AI259" s="236" t="e">
        <f aca="false">IF($AA259="","",E259*AC259)</f>
        <v>#VALUE!</v>
      </c>
      <c r="AJ259" s="236" t="e">
        <f aca="false">IF($AA259="","",E259*AE259)</f>
        <v>#VALUE!</v>
      </c>
      <c r="AK259" s="237" t="e">
        <f aca="false">IF($AA259="","",C259*AC259)</f>
        <v>#VALUE!</v>
      </c>
      <c r="AL259" s="160" t="n">
        <f aca="false">(AO259/10000)/30.5</f>
        <v>0</v>
      </c>
      <c r="AM259" s="238" t="n">
        <f aca="false">AD259/10000</f>
        <v>0</v>
      </c>
      <c r="AN259" s="238" t="n">
        <f aca="false">AD259*DAY(EOMONTH(A259,0))/10000</f>
        <v>0</v>
      </c>
      <c r="AO259" s="238"/>
      <c r="AP259" s="238"/>
      <c r="AQ259" s="238"/>
      <c r="AR259" s="239"/>
      <c r="AS259" s="238"/>
      <c r="AT259" s="238"/>
      <c r="AU259" s="238"/>
      <c r="AV259" s="238"/>
      <c r="AW259" s="238"/>
      <c r="AX259" s="238"/>
      <c r="AY259" s="238"/>
      <c r="AZ259" s="238"/>
      <c r="BA259" s="241"/>
      <c r="BB259" s="242"/>
      <c r="BC259" s="243" t="n">
        <v>4.9205</v>
      </c>
      <c r="BD259" s="195" t="n">
        <f aca="false">BC259-E259</f>
        <v>-0.035999999999996</v>
      </c>
      <c r="BE259" s="294"/>
      <c r="BF259" s="245"/>
      <c r="BG259" s="121"/>
      <c r="BH259" s="121"/>
      <c r="BI259" s="247"/>
      <c r="BJ259" s="121"/>
      <c r="BK259" s="121"/>
      <c r="BL259" s="121"/>
      <c r="BM259" s="121"/>
      <c r="BN259" s="121"/>
      <c r="BO259" s="121"/>
      <c r="BP259" s="275" t="n">
        <v>44713</v>
      </c>
      <c r="BQ259" s="143" t="n">
        <v>4.7955</v>
      </c>
      <c r="BR259" s="143" t="n">
        <v>0.17</v>
      </c>
      <c r="BS259" s="143" t="n">
        <v>0.0638045298863723</v>
      </c>
      <c r="BT259" s="121"/>
    </row>
    <row r="260" customFormat="false" ht="15" hidden="false" customHeight="false" outlineLevel="0" collapsed="false">
      <c r="A260" s="156" t="n">
        <f aca="false">EOMONTH(A259,0)+1</f>
        <v>44743</v>
      </c>
      <c r="B260" s="215"/>
      <c r="C260" s="281" t="n">
        <v>4.9705</v>
      </c>
      <c r="D260" s="282" t="n">
        <f aca="false">(E260-C260)*1000</f>
        <v>35.999999999996</v>
      </c>
      <c r="E260" s="283" t="n">
        <f aca="false">VLOOKUP(YEAR(A260),Yr_Sprds,2)+E248</f>
        <v>5.0065</v>
      </c>
      <c r="F260" s="287"/>
      <c r="G260" s="288"/>
      <c r="H260" s="287"/>
      <c r="I260" s="287"/>
      <c r="J260" s="279"/>
      <c r="K260" s="278"/>
      <c r="L260" s="291"/>
      <c r="M260" s="112"/>
      <c r="N260" s="278"/>
      <c r="O260" s="278"/>
      <c r="P260" s="278"/>
      <c r="Q260" s="167"/>
      <c r="R260" s="167"/>
      <c r="S260" s="167"/>
      <c r="T260" s="167"/>
      <c r="U260" s="167"/>
      <c r="V260" s="167"/>
      <c r="W260" s="167"/>
      <c r="X260" s="167"/>
      <c r="Y260" s="228" t="n">
        <f aca="false">DAY(EOMONTH(A260,0))</f>
        <v>31</v>
      </c>
      <c r="Z260" s="268" t="n">
        <v>44618</v>
      </c>
      <c r="AA260" s="230" t="e">
        <f aca="false">IF(AND(A260&gt;=Front!$E$11,A260&lt;=Front!$E$12),A260,"")</f>
        <v>#VALUE!</v>
      </c>
      <c r="AB260" s="231" t="e">
        <f aca="false">IF(AA260="","",VLOOKUP(MONTH(A259),Front!$W$6:$X$17,2)*IF(Front!D$9=0,Swap!Y260,1))</f>
        <v>#VALUE!</v>
      </c>
      <c r="AC260" s="274" t="e">
        <f aca="false">IF(AA260="","",AB260*AH260)</f>
        <v>#VALUE!</v>
      </c>
      <c r="AD260" s="233"/>
      <c r="AE260" s="231" t="e">
        <f aca="false">IF(AA260="","",AD260*AH260)</f>
        <v>#VALUE!</v>
      </c>
      <c r="AF260" s="243" t="n">
        <f aca="false">INDEX(IRTable,MATCH(A260,IRMonth,0),4)</f>
        <v>0.0638094999183232</v>
      </c>
      <c r="AG260" s="243" t="n">
        <f aca="false">AF260+$AG$9</f>
        <v>0.0638094999183232</v>
      </c>
      <c r="AH260" s="195" t="n">
        <f aca="false">1/((1+AG260/2)^(2*((A260-Front!$C$2)/365.25)))</f>
        <v>1.22561498282128</v>
      </c>
      <c r="AI260" s="236" t="e">
        <f aca="false">IF($AA260="","",E260*AC260)</f>
        <v>#VALUE!</v>
      </c>
      <c r="AJ260" s="236" t="e">
        <f aca="false">IF($AA260="","",E260*AE260)</f>
        <v>#VALUE!</v>
      </c>
      <c r="AK260" s="237" t="e">
        <f aca="false">IF($AA260="","",C260*AC260)</f>
        <v>#VALUE!</v>
      </c>
      <c r="AL260" s="160" t="n">
        <f aca="false">(AO260/10000)/30.5</f>
        <v>0</v>
      </c>
      <c r="AM260" s="238" t="n">
        <f aca="false">AD260/10000</f>
        <v>0</v>
      </c>
      <c r="AN260" s="238" t="n">
        <f aca="false">AD260*DAY(EOMONTH(A260,0))/10000</f>
        <v>0</v>
      </c>
      <c r="AO260" s="238"/>
      <c r="AP260" s="238"/>
      <c r="AQ260" s="238"/>
      <c r="AR260" s="239"/>
      <c r="AS260" s="238"/>
      <c r="AT260" s="238"/>
      <c r="AU260" s="238"/>
      <c r="AV260" s="238"/>
      <c r="AW260" s="238"/>
      <c r="AX260" s="238"/>
      <c r="AY260" s="238"/>
      <c r="AZ260" s="238"/>
      <c r="BA260" s="241"/>
      <c r="BB260" s="242"/>
      <c r="BC260" s="243" t="n">
        <v>4.9705</v>
      </c>
      <c r="BD260" s="195" t="n">
        <f aca="false">BC260-E260</f>
        <v>-0.035999999999996</v>
      </c>
      <c r="BE260" s="294"/>
      <c r="BF260" s="245"/>
      <c r="BG260" s="121"/>
      <c r="BH260" s="121"/>
      <c r="BI260" s="247"/>
      <c r="BJ260" s="121"/>
      <c r="BK260" s="121"/>
      <c r="BL260" s="121"/>
      <c r="BM260" s="121"/>
      <c r="BN260" s="121"/>
      <c r="BO260" s="121"/>
      <c r="BP260" s="275" t="n">
        <v>44743</v>
      </c>
      <c r="BQ260" s="143" t="n">
        <v>4.8455</v>
      </c>
      <c r="BR260" s="143" t="n">
        <v>0.17</v>
      </c>
      <c r="BS260" s="143" t="n">
        <v>0.0638094999183232</v>
      </c>
      <c r="BT260" s="121"/>
    </row>
    <row r="261" customFormat="false" ht="15" hidden="false" customHeight="false" outlineLevel="0" collapsed="false">
      <c r="A261" s="156" t="n">
        <f aca="false">EOMONTH(A260,0)+1</f>
        <v>44774</v>
      </c>
      <c r="B261" s="215"/>
      <c r="C261" s="281" t="n">
        <v>5.0045</v>
      </c>
      <c r="D261" s="282" t="n">
        <f aca="false">(E261-C261)*1000</f>
        <v>35.999999999996</v>
      </c>
      <c r="E261" s="283" t="n">
        <f aca="false">VLOOKUP(YEAR(A261),Yr_Sprds,2)+E249</f>
        <v>5.0405</v>
      </c>
      <c r="F261" s="287"/>
      <c r="G261" s="288"/>
      <c r="H261" s="287"/>
      <c r="I261" s="287"/>
      <c r="J261" s="279"/>
      <c r="K261" s="278"/>
      <c r="L261" s="291"/>
      <c r="M261" s="112"/>
      <c r="N261" s="278"/>
      <c r="O261" s="278"/>
      <c r="P261" s="278"/>
      <c r="Q261" s="167"/>
      <c r="R261" s="167"/>
      <c r="S261" s="167"/>
      <c r="T261" s="167"/>
      <c r="U261" s="167"/>
      <c r="V261" s="167"/>
      <c r="W261" s="167"/>
      <c r="X261" s="167"/>
      <c r="Y261" s="228" t="n">
        <f aca="false">DAY(EOMONTH(A261,0))</f>
        <v>31</v>
      </c>
      <c r="Z261" s="268" t="n">
        <v>44649</v>
      </c>
      <c r="AA261" s="230" t="e">
        <f aca="false">IF(AND(A261&gt;=Front!$E$11,A261&lt;=Front!$E$12),A261,"")</f>
        <v>#VALUE!</v>
      </c>
      <c r="AB261" s="231" t="e">
        <f aca="false">IF(AA261="","",VLOOKUP(MONTH(A260),Front!$W$6:$X$17,2)*IF(Front!D$9=0,Swap!Y261,1))</f>
        <v>#VALUE!</v>
      </c>
      <c r="AC261" s="274" t="e">
        <f aca="false">IF(AA261="","",AB261*AH261)</f>
        <v>#VALUE!</v>
      </c>
      <c r="AD261" s="233"/>
      <c r="AE261" s="231" t="e">
        <f aca="false">IF(AA261="","",AD261*AH261)</f>
        <v>#VALUE!</v>
      </c>
      <c r="AF261" s="243" t="n">
        <f aca="false">INDEX(IRTable,MATCH(A261,IRMonth,0),4)</f>
        <v>0.0638146356180136</v>
      </c>
      <c r="AG261" s="243" t="n">
        <f aca="false">AF261+$AG$9</f>
        <v>0.0638146356180136</v>
      </c>
      <c r="AH261" s="195" t="n">
        <f aca="false">1/((1+AG261/2)^(2*((A261-Front!$C$2)/365.25)))</f>
        <v>1.21911759399284</v>
      </c>
      <c r="AI261" s="236" t="e">
        <f aca="false">IF($AA261="","",E261*AC261)</f>
        <v>#VALUE!</v>
      </c>
      <c r="AJ261" s="236" t="e">
        <f aca="false">IF($AA261="","",E261*AE261)</f>
        <v>#VALUE!</v>
      </c>
      <c r="AK261" s="237" t="e">
        <f aca="false">IF($AA261="","",C261*AC261)</f>
        <v>#VALUE!</v>
      </c>
      <c r="AL261" s="160" t="n">
        <f aca="false">(AO261/10000)/30.5</f>
        <v>0</v>
      </c>
      <c r="AM261" s="238" t="n">
        <f aca="false">AD261/10000</f>
        <v>0</v>
      </c>
      <c r="AN261" s="238" t="n">
        <f aca="false">AD261*DAY(EOMONTH(A261,0))/10000</f>
        <v>0</v>
      </c>
      <c r="AO261" s="238"/>
      <c r="AP261" s="238"/>
      <c r="AQ261" s="238"/>
      <c r="AR261" s="239"/>
      <c r="AS261" s="238"/>
      <c r="AT261" s="238"/>
      <c r="AU261" s="238"/>
      <c r="AV261" s="238"/>
      <c r="AW261" s="238"/>
      <c r="AX261" s="238"/>
      <c r="AY261" s="238"/>
      <c r="AZ261" s="238"/>
      <c r="BA261" s="241"/>
      <c r="BB261" s="242"/>
      <c r="BC261" s="243" t="n">
        <v>5.0045</v>
      </c>
      <c r="BD261" s="195" t="n">
        <f aca="false">BC261-E261</f>
        <v>-0.035999999999996</v>
      </c>
      <c r="BE261" s="294"/>
      <c r="BF261" s="245"/>
      <c r="BG261" s="121"/>
      <c r="BH261" s="121"/>
      <c r="BI261" s="247"/>
      <c r="BJ261" s="121"/>
      <c r="BK261" s="121"/>
      <c r="BL261" s="121"/>
      <c r="BM261" s="121"/>
      <c r="BN261" s="121"/>
      <c r="BO261" s="121"/>
      <c r="BP261" s="275" t="n">
        <v>44774</v>
      </c>
      <c r="BQ261" s="143" t="n">
        <v>4.8795</v>
      </c>
      <c r="BR261" s="143" t="n">
        <v>0.17</v>
      </c>
      <c r="BS261" s="143" t="n">
        <v>0.0638146356180136</v>
      </c>
      <c r="BT261" s="121"/>
    </row>
    <row r="262" customFormat="false" ht="15" hidden="false" customHeight="false" outlineLevel="0" collapsed="false">
      <c r="A262" s="156" t="n">
        <f aca="false">EOMONTH(A261,0)+1</f>
        <v>44805</v>
      </c>
      <c r="B262" s="215"/>
      <c r="C262" s="281" t="n">
        <v>5.0175</v>
      </c>
      <c r="D262" s="282" t="n">
        <f aca="false">(E262-C262)*1000</f>
        <v>35.9999999999996</v>
      </c>
      <c r="E262" s="283" t="n">
        <f aca="false">VLOOKUP(YEAR(A262),Yr_Sprds,2)+E250</f>
        <v>5.0535</v>
      </c>
      <c r="F262" s="287"/>
      <c r="G262" s="288"/>
      <c r="H262" s="287"/>
      <c r="I262" s="287"/>
      <c r="J262" s="279"/>
      <c r="K262" s="278"/>
      <c r="L262" s="291"/>
      <c r="M262" s="112"/>
      <c r="N262" s="278"/>
      <c r="O262" s="278"/>
      <c r="P262" s="278"/>
      <c r="Q262" s="167"/>
      <c r="R262" s="167"/>
      <c r="S262" s="167"/>
      <c r="T262" s="167"/>
      <c r="U262" s="167"/>
      <c r="V262" s="167"/>
      <c r="W262" s="167"/>
      <c r="X262" s="167"/>
      <c r="Y262" s="228" t="n">
        <f aca="false">DAY(EOMONTH(A262,0))</f>
        <v>30</v>
      </c>
      <c r="Z262" s="268" t="n">
        <v>44679</v>
      </c>
      <c r="AA262" s="230" t="e">
        <f aca="false">IF(AND(A262&gt;=Front!$E$11,A262&lt;=Front!$E$12),A262,"")</f>
        <v>#VALUE!</v>
      </c>
      <c r="AB262" s="231" t="e">
        <f aca="false">IF(AA262="","",VLOOKUP(MONTH(A261),Front!$W$6:$X$17,2)*IF(Front!D$9=0,Swap!Y262,1))</f>
        <v>#VALUE!</v>
      </c>
      <c r="AC262" s="274" t="e">
        <f aca="false">IF(AA262="","",AB262*AH262)</f>
        <v>#VALUE!</v>
      </c>
      <c r="AD262" s="233"/>
      <c r="AE262" s="231" t="e">
        <f aca="false">IF(AA262="","",AD262*AH262)</f>
        <v>#VALUE!</v>
      </c>
      <c r="AF262" s="243" t="n">
        <f aca="false">INDEX(IRTable,MATCH(A262,IRMonth,0),4)</f>
        <v>0.0638197713177133</v>
      </c>
      <c r="AG262" s="243" t="n">
        <f aca="false">AF262+$AG$9</f>
        <v>0.0638197713177133</v>
      </c>
      <c r="AH262" s="195" t="n">
        <f aca="false">1/((1+AG262/2)^(2*((A262-Front!$C$2)/365.25)))</f>
        <v>1.21265362545042</v>
      </c>
      <c r="AI262" s="236" t="e">
        <f aca="false">IF($AA262="","",E262*AC262)</f>
        <v>#VALUE!</v>
      </c>
      <c r="AJ262" s="236" t="e">
        <f aca="false">IF($AA262="","",E262*AE262)</f>
        <v>#VALUE!</v>
      </c>
      <c r="AK262" s="237" t="e">
        <f aca="false">IF($AA262="","",C262*AC262)</f>
        <v>#VALUE!</v>
      </c>
      <c r="AL262" s="160" t="n">
        <f aca="false">(AO262/10000)/30.5</f>
        <v>0</v>
      </c>
      <c r="AM262" s="238" t="n">
        <f aca="false">AD262/10000</f>
        <v>0</v>
      </c>
      <c r="AN262" s="238" t="n">
        <f aca="false">AD262*DAY(EOMONTH(A262,0))/10000</f>
        <v>0</v>
      </c>
      <c r="AO262" s="238"/>
      <c r="AP262" s="238"/>
      <c r="AQ262" s="238"/>
      <c r="AR262" s="239"/>
      <c r="AS262" s="238"/>
      <c r="AT262" s="238"/>
      <c r="AU262" s="238"/>
      <c r="AV262" s="238"/>
      <c r="AW262" s="238"/>
      <c r="AX262" s="238"/>
      <c r="AY262" s="238"/>
      <c r="AZ262" s="238"/>
      <c r="BA262" s="241"/>
      <c r="BB262" s="242"/>
      <c r="BC262" s="243" t="n">
        <v>5.0175</v>
      </c>
      <c r="BD262" s="195" t="n">
        <f aca="false">BC262-E262</f>
        <v>-0.0359999999999996</v>
      </c>
      <c r="BE262" s="294"/>
      <c r="BF262" s="245"/>
      <c r="BG262" s="121"/>
      <c r="BH262" s="121"/>
      <c r="BI262" s="247"/>
      <c r="BJ262" s="121"/>
      <c r="BK262" s="121"/>
      <c r="BL262" s="121"/>
      <c r="BM262" s="121"/>
      <c r="BN262" s="121"/>
      <c r="BO262" s="121"/>
      <c r="BP262" s="275" t="n">
        <v>44805</v>
      </c>
      <c r="BQ262" s="143" t="n">
        <v>4.8925</v>
      </c>
      <c r="BR262" s="143" t="n">
        <v>0.17</v>
      </c>
      <c r="BS262" s="143" t="n">
        <v>0.0638197713177133</v>
      </c>
      <c r="BT262" s="121"/>
    </row>
    <row r="263" customFormat="false" ht="15" hidden="false" customHeight="false" outlineLevel="0" collapsed="false">
      <c r="A263" s="156" t="n">
        <f aca="false">EOMONTH(A262,0)+1</f>
        <v>44835</v>
      </c>
      <c r="B263" s="215"/>
      <c r="C263" s="281" t="n">
        <v>5.0095</v>
      </c>
      <c r="D263" s="282" t="n">
        <f aca="false">(E263-C263)*1000</f>
        <v>35.999999999996</v>
      </c>
      <c r="E263" s="283" t="n">
        <f aca="false">VLOOKUP(YEAR(A263),Yr_Sprds,2)+E251</f>
        <v>5.0455</v>
      </c>
      <c r="F263" s="287"/>
      <c r="G263" s="288"/>
      <c r="H263" s="287"/>
      <c r="I263" s="287"/>
      <c r="J263" s="279"/>
      <c r="K263" s="278"/>
      <c r="L263" s="291"/>
      <c r="M263" s="112"/>
      <c r="N263" s="278"/>
      <c r="O263" s="278"/>
      <c r="P263" s="278"/>
      <c r="Q263" s="167"/>
      <c r="R263" s="167"/>
      <c r="S263" s="167"/>
      <c r="T263" s="167"/>
      <c r="U263" s="167"/>
      <c r="V263" s="167"/>
      <c r="W263" s="167"/>
      <c r="X263" s="167"/>
      <c r="Y263" s="228" t="n">
        <f aca="false">DAY(EOMONTH(A263,0))</f>
        <v>31</v>
      </c>
      <c r="Z263" s="268" t="n">
        <v>44710</v>
      </c>
      <c r="AA263" s="230" t="e">
        <f aca="false">IF(AND(A263&gt;=Front!$E$11,A263&lt;=Front!$E$12),A263,"")</f>
        <v>#VALUE!</v>
      </c>
      <c r="AB263" s="231" t="e">
        <f aca="false">IF(AA263="","",VLOOKUP(MONTH(A262),Front!$W$6:$X$17,2)*IF(Front!D$9=0,Swap!Y263,1))</f>
        <v>#VALUE!</v>
      </c>
      <c r="AC263" s="274" t="e">
        <f aca="false">IF(AA263="","",AB263*AH263)</f>
        <v>#VALUE!</v>
      </c>
      <c r="AD263" s="233"/>
      <c r="AE263" s="231" t="e">
        <f aca="false">IF(AA263="","",AD263*AH263)</f>
        <v>#VALUE!</v>
      </c>
      <c r="AF263" s="243" t="n">
        <f aca="false">INDEX(IRTable,MATCH(A263,IRMonth,0),4)</f>
        <v>0.0638247413496886</v>
      </c>
      <c r="AG263" s="243" t="n">
        <f aca="false">AF263+$AG$9</f>
        <v>0.0638247413496886</v>
      </c>
      <c r="AH263" s="195" t="n">
        <f aca="false">1/((1+AG263/2)^(2*((A263-Front!$C$2)/365.25)))</f>
        <v>1.20642983593991</v>
      </c>
      <c r="AI263" s="236" t="e">
        <f aca="false">IF($AA263="","",E263*AC263)</f>
        <v>#VALUE!</v>
      </c>
      <c r="AJ263" s="236" t="e">
        <f aca="false">IF($AA263="","",E263*AE263)</f>
        <v>#VALUE!</v>
      </c>
      <c r="AK263" s="237" t="e">
        <f aca="false">IF($AA263="","",C263*AC263)</f>
        <v>#VALUE!</v>
      </c>
      <c r="AL263" s="160" t="n">
        <f aca="false">(AO263/10000)/30.5</f>
        <v>0</v>
      </c>
      <c r="AM263" s="238" t="n">
        <f aca="false">AD263/10000</f>
        <v>0</v>
      </c>
      <c r="AN263" s="238" t="n">
        <f aca="false">AD263*DAY(EOMONTH(A263,0))/10000</f>
        <v>0</v>
      </c>
      <c r="AO263" s="238"/>
      <c r="AP263" s="238"/>
      <c r="AQ263" s="238"/>
      <c r="AR263" s="239"/>
      <c r="AS263" s="238"/>
      <c r="AT263" s="238"/>
      <c r="AU263" s="238"/>
      <c r="AV263" s="238"/>
      <c r="AW263" s="238"/>
      <c r="AX263" s="238"/>
      <c r="AY263" s="238"/>
      <c r="AZ263" s="238"/>
      <c r="BA263" s="241"/>
      <c r="BB263" s="242"/>
      <c r="BC263" s="243" t="n">
        <v>5.0095</v>
      </c>
      <c r="BD263" s="195" t="n">
        <f aca="false">BC263-E263</f>
        <v>-0.035999999999996</v>
      </c>
      <c r="BE263" s="294"/>
      <c r="BF263" s="245"/>
      <c r="BG263" s="121"/>
      <c r="BH263" s="121"/>
      <c r="BI263" s="247"/>
      <c r="BJ263" s="121"/>
      <c r="BK263" s="121"/>
      <c r="BL263" s="121"/>
      <c r="BM263" s="121"/>
      <c r="BN263" s="121"/>
      <c r="BO263" s="121"/>
      <c r="BP263" s="275" t="n">
        <v>44835</v>
      </c>
      <c r="BQ263" s="143" t="n">
        <v>4.9145</v>
      </c>
      <c r="BR263" s="143" t="n">
        <v>0.17</v>
      </c>
      <c r="BS263" s="143" t="n">
        <v>0.0638247413496886</v>
      </c>
      <c r="BT263" s="121"/>
    </row>
    <row r="264" customFormat="false" ht="15" hidden="false" customHeight="false" outlineLevel="0" collapsed="false">
      <c r="A264" s="156" t="n">
        <f aca="false">EOMONTH(A263,0)+1</f>
        <v>44866</v>
      </c>
      <c r="B264" s="215"/>
      <c r="C264" s="281" t="n">
        <v>5.1795</v>
      </c>
      <c r="D264" s="282" t="n">
        <f aca="false">(E264-C264)*1000</f>
        <v>35.999999999996</v>
      </c>
      <c r="E264" s="283" t="n">
        <f aca="false">VLOOKUP(YEAR(A264),Yr_Sprds,2)+E252</f>
        <v>5.2155</v>
      </c>
      <c r="F264" s="287"/>
      <c r="G264" s="288"/>
      <c r="H264" s="287"/>
      <c r="I264" s="287"/>
      <c r="J264" s="279"/>
      <c r="K264" s="278"/>
      <c r="L264" s="291"/>
      <c r="M264" s="112"/>
      <c r="N264" s="278"/>
      <c r="O264" s="278"/>
      <c r="P264" s="278"/>
      <c r="Q264" s="167"/>
      <c r="R264" s="167"/>
      <c r="S264" s="167"/>
      <c r="T264" s="167"/>
      <c r="U264" s="167"/>
      <c r="V264" s="167"/>
      <c r="W264" s="167"/>
      <c r="X264" s="167"/>
      <c r="Y264" s="228" t="n">
        <f aca="false">DAY(EOMONTH(A264,0))</f>
        <v>30</v>
      </c>
      <c r="Z264" s="268" t="n">
        <v>44740</v>
      </c>
      <c r="AA264" s="230" t="e">
        <f aca="false">IF(AND(A264&gt;=Front!$E$11,A264&lt;=Front!$E$12),A264,"")</f>
        <v>#VALUE!</v>
      </c>
      <c r="AB264" s="231" t="e">
        <f aca="false">IF(AA264="","",VLOOKUP(MONTH(A263),Front!$W$6:$X$17,2)*IF(Front!D$9=0,Swap!Y264,1))</f>
        <v>#VALUE!</v>
      </c>
      <c r="AC264" s="274" t="e">
        <f aca="false">IF(AA264="","",AB264*AH264)</f>
        <v>#VALUE!</v>
      </c>
      <c r="AD264" s="233"/>
      <c r="AE264" s="231" t="e">
        <f aca="false">IF(AA264="","",AD264*AH264)</f>
        <v>#VALUE!</v>
      </c>
      <c r="AF264" s="243" t="n">
        <f aca="false">INDEX(IRTable,MATCH(A264,IRMonth,0),4)</f>
        <v>0.0638298770494052</v>
      </c>
      <c r="AG264" s="243" t="n">
        <f aca="false">AF264+$AG$9</f>
        <v>0.0638298770494052</v>
      </c>
      <c r="AH264" s="195" t="n">
        <f aca="false">1/((1+AG264/2)^(2*((A264-Front!$C$2)/365.25)))</f>
        <v>1.20003114506319</v>
      </c>
      <c r="AI264" s="236" t="e">
        <f aca="false">IF($AA264="","",E264*AC264)</f>
        <v>#VALUE!</v>
      </c>
      <c r="AJ264" s="236" t="e">
        <f aca="false">IF($AA264="","",E264*AE264)</f>
        <v>#VALUE!</v>
      </c>
      <c r="AK264" s="237" t="e">
        <f aca="false">IF($AA264="","",C264*AC264)</f>
        <v>#VALUE!</v>
      </c>
      <c r="AL264" s="160" t="n">
        <f aca="false">(AO264/10000)/30.5</f>
        <v>0</v>
      </c>
      <c r="AM264" s="238" t="n">
        <f aca="false">AD264/10000</f>
        <v>0</v>
      </c>
      <c r="AN264" s="238" t="n">
        <f aca="false">AD264*DAY(EOMONTH(A264,0))/10000</f>
        <v>0</v>
      </c>
      <c r="AO264" s="238"/>
      <c r="AP264" s="238"/>
      <c r="AQ264" s="238"/>
      <c r="AR264" s="239"/>
      <c r="AS264" s="238"/>
      <c r="AT264" s="238"/>
      <c r="AU264" s="238"/>
      <c r="AV264" s="238"/>
      <c r="AW264" s="238"/>
      <c r="AX264" s="238"/>
      <c r="AY264" s="238"/>
      <c r="AZ264" s="238"/>
      <c r="BA264" s="241"/>
      <c r="BB264" s="242"/>
      <c r="BC264" s="243" t="n">
        <v>5.1795</v>
      </c>
      <c r="BD264" s="195" t="n">
        <f aca="false">BC264-E264</f>
        <v>-0.035999999999996</v>
      </c>
      <c r="BE264" s="294"/>
      <c r="BF264" s="245"/>
      <c r="BG264" s="121"/>
      <c r="BH264" s="121"/>
      <c r="BI264" s="247"/>
      <c r="BJ264" s="121"/>
      <c r="BK264" s="121"/>
      <c r="BL264" s="121"/>
      <c r="BM264" s="121"/>
      <c r="BN264" s="121"/>
      <c r="BO264" s="121"/>
      <c r="BP264" s="275" t="n">
        <v>44866</v>
      </c>
      <c r="BQ264" s="143" t="n">
        <v>5.0845</v>
      </c>
      <c r="BR264" s="143" t="n">
        <v>0.17</v>
      </c>
      <c r="BS264" s="143" t="n">
        <v>0.0638298770494052</v>
      </c>
      <c r="BT264" s="121"/>
    </row>
    <row r="265" customFormat="false" ht="15" hidden="false" customHeight="false" outlineLevel="0" collapsed="false">
      <c r="A265" s="156" t="n">
        <f aca="false">EOMONTH(A264,0)+1</f>
        <v>44896</v>
      </c>
      <c r="B265" s="215"/>
      <c r="C265" s="281" t="n">
        <v>5.3545</v>
      </c>
      <c r="D265" s="282" t="n">
        <f aca="false">(E265-C265)*1000</f>
        <v>35.999999999996</v>
      </c>
      <c r="E265" s="283" t="n">
        <f aca="false">VLOOKUP(YEAR(A265),Yr_Sprds,2)+E253</f>
        <v>5.3905</v>
      </c>
      <c r="F265" s="287"/>
      <c r="G265" s="288"/>
      <c r="H265" s="287"/>
      <c r="I265" s="287"/>
      <c r="J265" s="279"/>
      <c r="K265" s="278"/>
      <c r="L265" s="291"/>
      <c r="M265" s="112"/>
      <c r="N265" s="278"/>
      <c r="O265" s="278"/>
      <c r="P265" s="278"/>
      <c r="Q265" s="167"/>
      <c r="R265" s="167"/>
      <c r="S265" s="167"/>
      <c r="T265" s="167"/>
      <c r="U265" s="167"/>
      <c r="V265" s="167"/>
      <c r="W265" s="167"/>
      <c r="X265" s="167"/>
      <c r="Y265" s="228" t="n">
        <f aca="false">DAY(EOMONTH(A265,0))</f>
        <v>31</v>
      </c>
      <c r="Z265" s="268" t="n">
        <v>44771</v>
      </c>
      <c r="AA265" s="230" t="e">
        <f aca="false">IF(AND(A265&gt;=Front!$E$11,A265&lt;=Front!$E$12),A265,"")</f>
        <v>#VALUE!</v>
      </c>
      <c r="AB265" s="231" t="e">
        <f aca="false">IF(AA265="","",VLOOKUP(MONTH(A264),Front!$W$6:$X$17,2)*IF(Front!D$9=0,Swap!Y265,1))</f>
        <v>#VALUE!</v>
      </c>
      <c r="AC265" s="274" t="e">
        <f aca="false">IF(AA265="","",AB265*AH265)</f>
        <v>#VALUE!</v>
      </c>
      <c r="AD265" s="233"/>
      <c r="AE265" s="231" t="e">
        <f aca="false">IF(AA265="","",AD265*AH265)</f>
        <v>#VALUE!</v>
      </c>
      <c r="AF265" s="243" t="n">
        <f aca="false">INDEX(IRTable,MATCH(A265,IRMonth,0),4)</f>
        <v>0.0638348470813979</v>
      </c>
      <c r="AG265" s="243" t="n">
        <f aca="false">AF265+$AG$9</f>
        <v>0.0638348470813979</v>
      </c>
      <c r="AH265" s="195" t="n">
        <f aca="false">1/((1+AG265/2)^(2*((A265-Front!$C$2)/365.25)))</f>
        <v>1.1938702181083</v>
      </c>
      <c r="AI265" s="236" t="e">
        <f aca="false">IF($AA265="","",E265*AC265)</f>
        <v>#VALUE!</v>
      </c>
      <c r="AJ265" s="236" t="e">
        <f aca="false">IF($AA265="","",E265*AE265)</f>
        <v>#VALUE!</v>
      </c>
      <c r="AK265" s="237" t="e">
        <f aca="false">IF($AA265="","",C265*AC265)</f>
        <v>#VALUE!</v>
      </c>
      <c r="AL265" s="160" t="n">
        <f aca="false">(AO265/10000)/30.5</f>
        <v>0</v>
      </c>
      <c r="AM265" s="238" t="n">
        <f aca="false">AD265/10000</f>
        <v>0</v>
      </c>
      <c r="AN265" s="238" t="n">
        <f aca="false">AD265*DAY(EOMONTH(A265,0))/10000</f>
        <v>0</v>
      </c>
      <c r="AO265" s="238"/>
      <c r="AP265" s="238"/>
      <c r="AQ265" s="238"/>
      <c r="AR265" s="239"/>
      <c r="AS265" s="238"/>
      <c r="AT265" s="238"/>
      <c r="AU265" s="238"/>
      <c r="AV265" s="238"/>
      <c r="AW265" s="238"/>
      <c r="AX265" s="238"/>
      <c r="AY265" s="238"/>
      <c r="AZ265" s="238"/>
      <c r="BA265" s="241"/>
      <c r="BB265" s="242"/>
      <c r="BC265" s="243" t="n">
        <v>5.3545</v>
      </c>
      <c r="BD265" s="195" t="n">
        <f aca="false">BC265-E265</f>
        <v>-0.035999999999996</v>
      </c>
      <c r="BE265" s="294"/>
      <c r="BF265" s="245"/>
      <c r="BG265" s="121"/>
      <c r="BH265" s="121"/>
      <c r="BI265" s="247"/>
      <c r="BJ265" s="121"/>
      <c r="BK265" s="121"/>
      <c r="BL265" s="121"/>
      <c r="BM265" s="121"/>
      <c r="BN265" s="121"/>
      <c r="BO265" s="121"/>
      <c r="BP265" s="275" t="n">
        <v>44896</v>
      </c>
      <c r="BQ265" s="143" t="n">
        <v>5.2595</v>
      </c>
      <c r="BR265" s="143" t="n">
        <v>0.17</v>
      </c>
      <c r="BS265" s="143" t="n">
        <v>0.0638348470813979</v>
      </c>
      <c r="BT265" s="121"/>
    </row>
    <row r="266" customFormat="false" ht="15" hidden="false" customHeight="false" outlineLevel="0" collapsed="false">
      <c r="A266" s="156" t="n">
        <f aca="false">EOMONTH(A265,0)+1</f>
        <v>44927</v>
      </c>
      <c r="B266" s="215"/>
      <c r="C266" s="281" t="n">
        <v>5.4095</v>
      </c>
      <c r="D266" s="282" t="n">
        <f aca="false">(E266-C266)*1000</f>
        <v>38.4999999999955</v>
      </c>
      <c r="E266" s="283" t="n">
        <f aca="false">VLOOKUP(YEAR(A266),Yr_Sprds,2)+E254</f>
        <v>5.448</v>
      </c>
      <c r="F266" s="287"/>
      <c r="G266" s="288"/>
      <c r="H266" s="287"/>
      <c r="I266" s="287"/>
      <c r="J266" s="279"/>
      <c r="K266" s="278"/>
      <c r="L266" s="291"/>
      <c r="M266" s="112"/>
      <c r="N266" s="278"/>
      <c r="O266" s="278"/>
      <c r="P266" s="278"/>
      <c r="Q266" s="167"/>
      <c r="R266" s="167"/>
      <c r="S266" s="167"/>
      <c r="T266" s="167"/>
      <c r="U266" s="167"/>
      <c r="V266" s="167"/>
      <c r="W266" s="167"/>
      <c r="X266" s="167"/>
      <c r="Y266" s="228" t="n">
        <f aca="false">DAY(EOMONTH(A266,0))</f>
        <v>31</v>
      </c>
      <c r="Z266" s="268" t="n">
        <v>44802</v>
      </c>
      <c r="AA266" s="230" t="e">
        <f aca="false">IF(AND(A266&gt;=Front!$E$11,A266&lt;=Front!$E$12),A266,"")</f>
        <v>#VALUE!</v>
      </c>
      <c r="AB266" s="231" t="e">
        <f aca="false">IF(AA266="","",VLOOKUP(MONTH(A265),Front!$W$6:$X$17,2)*IF(Front!D$9=0,Swap!Y266,1))</f>
        <v>#VALUE!</v>
      </c>
      <c r="AC266" s="274" t="e">
        <f aca="false">IF(AA266="","",AB266*AH266)</f>
        <v>#VALUE!</v>
      </c>
      <c r="AD266" s="233"/>
      <c r="AE266" s="231" t="e">
        <f aca="false">IF(AA266="","",AD266*AH266)</f>
        <v>#VALUE!</v>
      </c>
      <c r="AF266" s="243" t="n">
        <f aca="false">INDEX(IRTable,MATCH(A266,IRMonth,0),4)</f>
        <v>0.0638399827811318</v>
      </c>
      <c r="AG266" s="243" t="n">
        <f aca="false">AF266+$AG$9</f>
        <v>0.0638399827811318</v>
      </c>
      <c r="AH266" s="195" t="n">
        <f aca="false">1/((1+AG266/2)^(2*((A266-Front!$C$2)/365.25)))</f>
        <v>1.18753616703163</v>
      </c>
      <c r="AI266" s="236" t="e">
        <f aca="false">IF($AA266="","",E266*AC266)</f>
        <v>#VALUE!</v>
      </c>
      <c r="AJ266" s="236" t="e">
        <f aca="false">IF($AA266="","",E266*AE266)</f>
        <v>#VALUE!</v>
      </c>
      <c r="AK266" s="295"/>
      <c r="AL266" s="120"/>
      <c r="AM266" s="238" t="n">
        <f aca="false">AD266/10000</f>
        <v>0</v>
      </c>
      <c r="AN266" s="238" t="n">
        <f aca="false">AD266*DAY(EOMONTH(A266,0))/10000</f>
        <v>0</v>
      </c>
      <c r="AO266" s="238"/>
      <c r="AP266" s="238"/>
      <c r="AQ266" s="238"/>
      <c r="AR266" s="239"/>
      <c r="AS266" s="238"/>
      <c r="AT266" s="238"/>
      <c r="AU266" s="238"/>
      <c r="AV266" s="238"/>
      <c r="AW266" s="238"/>
      <c r="AX266" s="238"/>
      <c r="AY266" s="238"/>
      <c r="AZ266" s="238"/>
      <c r="BA266" s="241"/>
      <c r="BB266" s="242"/>
      <c r="BC266" s="243" t="n">
        <v>5.4095</v>
      </c>
      <c r="BD266" s="195" t="n">
        <f aca="false">BC266-E266</f>
        <v>-0.0384999999999955</v>
      </c>
      <c r="BE266" s="294"/>
      <c r="BF266" s="245"/>
      <c r="BG266" s="121"/>
      <c r="BH266" s="121"/>
      <c r="BI266" s="247"/>
      <c r="BJ266" s="121"/>
      <c r="BK266" s="121"/>
      <c r="BL266" s="121"/>
      <c r="BM266" s="121"/>
      <c r="BN266" s="121"/>
      <c r="BO266" s="121"/>
      <c r="BP266" s="275" t="n">
        <v>44927</v>
      </c>
      <c r="BQ266" s="143" t="n">
        <v>5.282</v>
      </c>
      <c r="BR266" s="143" t="n">
        <v>0.17</v>
      </c>
      <c r="BS266" s="143" t="n">
        <v>0.0638399827811318</v>
      </c>
      <c r="BT266" s="121"/>
    </row>
    <row r="267" customFormat="false" ht="15" hidden="false" customHeight="false" outlineLevel="0" collapsed="false">
      <c r="A267" s="156" t="n">
        <f aca="false">EOMONTH(A266,0)+1</f>
        <v>44958</v>
      </c>
      <c r="B267" s="215"/>
      <c r="C267" s="281" t="n">
        <v>5.2955</v>
      </c>
      <c r="D267" s="282" t="n">
        <f aca="false">(E267-C267)*1000</f>
        <v>38.4999999999964</v>
      </c>
      <c r="E267" s="283" t="n">
        <f aca="false">VLOOKUP(YEAR(A267),Yr_Sprds,2)+E255</f>
        <v>5.334</v>
      </c>
      <c r="F267" s="287"/>
      <c r="G267" s="288"/>
      <c r="H267" s="287"/>
      <c r="I267" s="287"/>
      <c r="J267" s="279"/>
      <c r="K267" s="278"/>
      <c r="L267" s="291"/>
      <c r="M267" s="112"/>
      <c r="N267" s="278"/>
      <c r="O267" s="278"/>
      <c r="P267" s="278"/>
      <c r="Q267" s="167"/>
      <c r="R267" s="167"/>
      <c r="S267" s="167"/>
      <c r="T267" s="167"/>
      <c r="U267" s="167"/>
      <c r="V267" s="167"/>
      <c r="W267" s="167"/>
      <c r="X267" s="167"/>
      <c r="Y267" s="228" t="n">
        <f aca="false">DAY(EOMONTH(A267,0))</f>
        <v>28</v>
      </c>
      <c r="Z267" s="268" t="n">
        <v>44832</v>
      </c>
      <c r="AA267" s="230" t="e">
        <f aca="false">IF(AND(A267&gt;=Front!$E$11,A267&lt;=Front!$E$12),A267,"")</f>
        <v>#VALUE!</v>
      </c>
      <c r="AB267" s="231" t="e">
        <f aca="false">IF(AA267="","",VLOOKUP(MONTH(A266),Front!$W$6:$X$17,2)*IF(Front!D$9=0,Swap!Y267,1))</f>
        <v>#VALUE!</v>
      </c>
      <c r="AC267" s="274" t="e">
        <f aca="false">IF(AA267="","",AB267*AH267)</f>
        <v>#VALUE!</v>
      </c>
      <c r="AD267" s="233"/>
      <c r="AE267" s="231" t="e">
        <f aca="false">IF(AA267="","",AD267*AH267)</f>
        <v>#VALUE!</v>
      </c>
      <c r="AF267" s="243" t="n">
        <f aca="false">INDEX(IRTable,MATCH(A267,IRMonth,0),4)</f>
        <v>0.0638451184808746</v>
      </c>
      <c r="AG267" s="243" t="n">
        <f aca="false">AF267+$AG$9</f>
        <v>0.0638451184808746</v>
      </c>
      <c r="AH267" s="195" t="n">
        <f aca="false">1/((1+AG267/2)^(2*((A267-Front!$C$2)/365.25)))</f>
        <v>1.18123472316759</v>
      </c>
      <c r="AI267" s="236" t="e">
        <f aca="false">IF($AA267="","",E267*AC267)</f>
        <v>#VALUE!</v>
      </c>
      <c r="AJ267" s="236" t="e">
        <f aca="false">IF($AA267="","",E267*AE267)</f>
        <v>#VALUE!</v>
      </c>
      <c r="AK267" s="295"/>
      <c r="AL267" s="120"/>
      <c r="AM267" s="238" t="n">
        <f aca="false">AD267/10000</f>
        <v>0</v>
      </c>
      <c r="AN267" s="238" t="n">
        <f aca="false">AD267*DAY(EOMONTH(A267,0))/10000</f>
        <v>0</v>
      </c>
      <c r="AO267" s="238"/>
      <c r="AP267" s="238"/>
      <c r="AQ267" s="238"/>
      <c r="AR267" s="239"/>
      <c r="AS267" s="238"/>
      <c r="AT267" s="238"/>
      <c r="AU267" s="238"/>
      <c r="AV267" s="238"/>
      <c r="AW267" s="238"/>
      <c r="AX267" s="238"/>
      <c r="AY267" s="238"/>
      <c r="AZ267" s="238"/>
      <c r="BA267" s="241"/>
      <c r="BB267" s="242"/>
      <c r="BC267" s="243" t="n">
        <v>5.2955</v>
      </c>
      <c r="BD267" s="195" t="n">
        <f aca="false">BC267-E267</f>
        <v>-0.0384999999999964</v>
      </c>
      <c r="BE267" s="294"/>
      <c r="BF267" s="245"/>
      <c r="BG267" s="121"/>
      <c r="BH267" s="121"/>
      <c r="BI267" s="247"/>
      <c r="BJ267" s="121"/>
      <c r="BK267" s="121"/>
      <c r="BL267" s="121"/>
      <c r="BM267" s="121"/>
      <c r="BN267" s="121"/>
      <c r="BO267" s="121"/>
      <c r="BP267" s="275" t="n">
        <v>44958</v>
      </c>
      <c r="BQ267" s="143" t="n">
        <v>5.168</v>
      </c>
      <c r="BR267" s="143" t="n">
        <v>0.17</v>
      </c>
      <c r="BS267" s="143" t="n">
        <v>0.0638451184808746</v>
      </c>
      <c r="BT267" s="121"/>
    </row>
    <row r="268" customFormat="false" ht="15" hidden="false" customHeight="false" outlineLevel="0" collapsed="false">
      <c r="A268" s="156" t="n">
        <f aca="false">EOMONTH(A267,0)+1</f>
        <v>44986</v>
      </c>
      <c r="B268" s="215"/>
      <c r="C268" s="281" t="n">
        <v>5.1635</v>
      </c>
      <c r="D268" s="282" t="n">
        <f aca="false">(E268-C268)*1000</f>
        <v>38.4999999999955</v>
      </c>
      <c r="E268" s="283" t="n">
        <f aca="false">VLOOKUP(YEAR(A268),Yr_Sprds,2)+E256</f>
        <v>5.202</v>
      </c>
      <c r="F268" s="287"/>
      <c r="G268" s="288"/>
      <c r="H268" s="287"/>
      <c r="I268" s="287"/>
      <c r="J268" s="279"/>
      <c r="K268" s="278"/>
      <c r="L268" s="291"/>
      <c r="M268" s="112"/>
      <c r="N268" s="278"/>
      <c r="O268" s="278"/>
      <c r="P268" s="278"/>
      <c r="Q268" s="167"/>
      <c r="R268" s="167"/>
      <c r="S268" s="167"/>
      <c r="T268" s="167"/>
      <c r="U268" s="167"/>
      <c r="V268" s="167"/>
      <c r="W268" s="167"/>
      <c r="X268" s="167"/>
      <c r="Y268" s="228" t="n">
        <f aca="false">DAY(EOMONTH(A268,0))</f>
        <v>31</v>
      </c>
      <c r="Z268" s="268" t="n">
        <v>44863</v>
      </c>
      <c r="AA268" s="230" t="e">
        <f aca="false">IF(AND(A268&gt;=Front!$E$11,A268&lt;=Front!$E$12),A268,"")</f>
        <v>#VALUE!</v>
      </c>
      <c r="AB268" s="231" t="e">
        <f aca="false">IF(AA268="","",VLOOKUP(MONTH(A267),Front!$W$6:$X$17,2)*IF(Front!D$9=0,Swap!Y268,1))</f>
        <v>#VALUE!</v>
      </c>
      <c r="AC268" s="274" t="e">
        <f aca="false">IF(AA268="","",AB268*AH268)</f>
        <v>#VALUE!</v>
      </c>
      <c r="AD268" s="233"/>
      <c r="AE268" s="231" t="e">
        <f aca="false">IF(AA268="","",AD268*AH268)</f>
        <v>#VALUE!</v>
      </c>
      <c r="AF268" s="243" t="n">
        <f aca="false">INDEX(IRTable,MATCH(A268,IRMonth,0),4)</f>
        <v>0.0638497571774237</v>
      </c>
      <c r="AG268" s="243" t="n">
        <f aca="false">AF268+$AG$9</f>
        <v>0.0638497571774237</v>
      </c>
      <c r="AH268" s="195" t="n">
        <f aca="false">1/((1+AG268/2)^(2*((A268-Front!$C$2)/365.25)))</f>
        <v>1.17557098794618</v>
      </c>
      <c r="AI268" s="236" t="e">
        <f aca="false">IF($AA268="","",E268*AC268)</f>
        <v>#VALUE!</v>
      </c>
      <c r="AJ268" s="236" t="e">
        <f aca="false">IF($AA268="","",E268*AE268)</f>
        <v>#VALUE!</v>
      </c>
      <c r="AK268" s="295"/>
      <c r="AL268" s="120"/>
      <c r="AM268" s="238" t="n">
        <f aca="false">AD268/10000</f>
        <v>0</v>
      </c>
      <c r="AN268" s="238" t="n">
        <f aca="false">AD268*DAY(EOMONTH(A268,0))/10000</f>
        <v>0</v>
      </c>
      <c r="AO268" s="238"/>
      <c r="AP268" s="238"/>
      <c r="AQ268" s="238"/>
      <c r="AR268" s="239"/>
      <c r="AS268" s="238"/>
      <c r="AT268" s="238"/>
      <c r="AU268" s="238"/>
      <c r="AV268" s="238"/>
      <c r="AW268" s="238"/>
      <c r="AX268" s="238"/>
      <c r="AY268" s="238"/>
      <c r="AZ268" s="238"/>
      <c r="BA268" s="241"/>
      <c r="BB268" s="242"/>
      <c r="BC268" s="243" t="n">
        <v>5.1635</v>
      </c>
      <c r="BD268" s="195" t="n">
        <f aca="false">BC268-E268</f>
        <v>-0.0384999999999955</v>
      </c>
      <c r="BE268" s="294"/>
      <c r="BF268" s="245"/>
      <c r="BG268" s="121"/>
      <c r="BH268" s="121"/>
      <c r="BI268" s="247"/>
      <c r="BJ268" s="121"/>
      <c r="BK268" s="121"/>
      <c r="BL268" s="121"/>
      <c r="BM268" s="121"/>
      <c r="BN268" s="121"/>
      <c r="BO268" s="121"/>
      <c r="BP268" s="275" t="n">
        <v>44986</v>
      </c>
      <c r="BQ268" s="143" t="n">
        <v>5.036</v>
      </c>
      <c r="BR268" s="143" t="n">
        <v>0.17</v>
      </c>
      <c r="BS268" s="143" t="n">
        <v>0.0638497571774237</v>
      </c>
      <c r="BT268" s="121"/>
    </row>
    <row r="269" customFormat="false" ht="15" hidden="false" customHeight="false" outlineLevel="0" collapsed="false">
      <c r="A269" s="156" t="n">
        <f aca="false">EOMONTH(A268,0)+1</f>
        <v>45017</v>
      </c>
      <c r="B269" s="215"/>
      <c r="C269" s="281" t="n">
        <v>4.9935</v>
      </c>
      <c r="D269" s="282" t="n">
        <f aca="false">(E269-C269)*1000</f>
        <v>38.4999999999955</v>
      </c>
      <c r="E269" s="283" t="n">
        <f aca="false">VLOOKUP(YEAR(A269),Yr_Sprds,2)+E257</f>
        <v>5.032</v>
      </c>
      <c r="F269" s="287"/>
      <c r="G269" s="288"/>
      <c r="H269" s="287"/>
      <c r="I269" s="287"/>
      <c r="J269" s="279"/>
      <c r="K269" s="278"/>
      <c r="L269" s="291"/>
      <c r="M269" s="112"/>
      <c r="N269" s="278"/>
      <c r="O269" s="278"/>
      <c r="P269" s="278"/>
      <c r="Q269" s="167"/>
      <c r="R269" s="167"/>
      <c r="S269" s="167"/>
      <c r="T269" s="167"/>
      <c r="U269" s="167"/>
      <c r="V269" s="167"/>
      <c r="W269" s="167"/>
      <c r="X269" s="167"/>
      <c r="Y269" s="228" t="n">
        <f aca="false">DAY(EOMONTH(A269,0))</f>
        <v>30</v>
      </c>
      <c r="Z269" s="268" t="n">
        <v>44893</v>
      </c>
      <c r="AA269" s="230" t="e">
        <f aca="false">IF(AND(A269&gt;=Front!$E$11,A269&lt;=Front!$E$12),A269,"")</f>
        <v>#VALUE!</v>
      </c>
      <c r="AB269" s="231" t="e">
        <f aca="false">IF(AA269="","",VLOOKUP(MONTH(A268),Front!$W$6:$X$17,2)*IF(Front!D$9=0,Swap!Y269,1))</f>
        <v>#VALUE!</v>
      </c>
      <c r="AC269" s="274" t="e">
        <f aca="false">IF(AA269="","",AB269*AH269)</f>
        <v>#VALUE!</v>
      </c>
      <c r="AD269" s="233"/>
      <c r="AE269" s="231" t="e">
        <f aca="false">IF(AA269="","",AD269*AH269)</f>
        <v>#VALUE!</v>
      </c>
      <c r="AF269" s="243" t="n">
        <f aca="false">INDEX(IRTable,MATCH(A269,IRMonth,0),4)</f>
        <v>0.0638548928771829</v>
      </c>
      <c r="AG269" s="243" t="n">
        <f aca="false">AF269+$AG$9</f>
        <v>0.0638548928771829</v>
      </c>
      <c r="AH269" s="195" t="n">
        <f aca="false">1/((1+AG269/2)^(2*((A269-Front!$C$2)/365.25)))</f>
        <v>1.16933115494538</v>
      </c>
      <c r="AI269" s="236" t="e">
        <f aca="false">IF($AA269="","",E269*AC269)</f>
        <v>#VALUE!</v>
      </c>
      <c r="AJ269" s="236" t="e">
        <f aca="false">IF($AA269="","",E269*AE269)</f>
        <v>#VALUE!</v>
      </c>
      <c r="AK269" s="295"/>
      <c r="AL269" s="120"/>
      <c r="AM269" s="238" t="n">
        <f aca="false">AD269/10000</f>
        <v>0</v>
      </c>
      <c r="AN269" s="238" t="n">
        <f aca="false">AD269*DAY(EOMONTH(A269,0))/10000</f>
        <v>0</v>
      </c>
      <c r="AO269" s="238"/>
      <c r="AP269" s="238"/>
      <c r="AQ269" s="238"/>
      <c r="AR269" s="239"/>
      <c r="AS269" s="238"/>
      <c r="AT269" s="238"/>
      <c r="AU269" s="238"/>
      <c r="AV269" s="238"/>
      <c r="AW269" s="238"/>
      <c r="AX269" s="238"/>
      <c r="AY269" s="238"/>
      <c r="AZ269" s="238"/>
      <c r="BA269" s="241"/>
      <c r="BB269" s="242"/>
      <c r="BC269" s="243" t="n">
        <v>4.9935</v>
      </c>
      <c r="BD269" s="195" t="n">
        <f aca="false">BC269-E269</f>
        <v>-0.0384999999999955</v>
      </c>
      <c r="BE269" s="294"/>
      <c r="BF269" s="245"/>
      <c r="BG269" s="121"/>
      <c r="BH269" s="121"/>
      <c r="BI269" s="247"/>
      <c r="BJ269" s="121"/>
      <c r="BK269" s="121"/>
      <c r="BL269" s="121"/>
      <c r="BM269" s="121"/>
      <c r="BN269" s="121"/>
      <c r="BO269" s="121"/>
      <c r="BP269" s="275" t="n">
        <v>45017</v>
      </c>
      <c r="BQ269" s="143" t="n">
        <v>4.866</v>
      </c>
      <c r="BR269" s="143" t="n">
        <v>0.17</v>
      </c>
      <c r="BS269" s="143" t="n">
        <v>0.0638548928771829</v>
      </c>
      <c r="BT269" s="121"/>
    </row>
    <row r="270" customFormat="false" ht="15" hidden="false" customHeight="false" outlineLevel="0" collapsed="false">
      <c r="A270" s="156" t="n">
        <f aca="false">EOMONTH(A269,0)+1</f>
        <v>45047</v>
      </c>
      <c r="B270" s="215"/>
      <c r="C270" s="281" t="n">
        <v>4.9935</v>
      </c>
      <c r="D270" s="282" t="n">
        <f aca="false">(E270-C270)*1000</f>
        <v>38.4999999999955</v>
      </c>
      <c r="E270" s="283" t="n">
        <f aca="false">VLOOKUP(YEAR(A270),Yr_Sprds,2)+E258</f>
        <v>5.032</v>
      </c>
      <c r="F270" s="287"/>
      <c r="G270" s="288"/>
      <c r="H270" s="287"/>
      <c r="I270" s="287"/>
      <c r="J270" s="279"/>
      <c r="K270" s="278"/>
      <c r="L270" s="291"/>
      <c r="M270" s="112"/>
      <c r="N270" s="278"/>
      <c r="O270" s="278"/>
      <c r="P270" s="278"/>
      <c r="Q270" s="167"/>
      <c r="R270" s="167"/>
      <c r="S270" s="167"/>
      <c r="T270" s="167"/>
      <c r="U270" s="167"/>
      <c r="V270" s="167"/>
      <c r="W270" s="167"/>
      <c r="X270" s="167"/>
      <c r="Y270" s="228" t="n">
        <f aca="false">DAY(EOMONTH(A270,0))</f>
        <v>31</v>
      </c>
      <c r="Z270" s="268" t="n">
        <v>44924</v>
      </c>
      <c r="AA270" s="230" t="e">
        <f aca="false">IF(AND(A270&gt;=Front!$E$11,A270&lt;=Front!$E$12),A270,"")</f>
        <v>#VALUE!</v>
      </c>
      <c r="AB270" s="231" t="e">
        <f aca="false">IF(AA270="","",VLOOKUP(MONTH(A269),Front!$W$6:$X$17,2)*IF(Front!D$9=0,Swap!Y270,1))</f>
        <v>#VALUE!</v>
      </c>
      <c r="AC270" s="274" t="e">
        <f aca="false">IF(AA270="","",AB270*AH270)</f>
        <v>#VALUE!</v>
      </c>
      <c r="AD270" s="233"/>
      <c r="AE270" s="231" t="e">
        <f aca="false">IF(AA270="","",AD270*AH270)</f>
        <v>#VALUE!</v>
      </c>
      <c r="AF270" s="243" t="n">
        <f aca="false">INDEX(IRTable,MATCH(A270,IRMonth,0),4)</f>
        <v>0.0638598629092164</v>
      </c>
      <c r="AG270" s="243" t="n">
        <f aca="false">AF270+$AG$9</f>
        <v>0.0638598629092164</v>
      </c>
      <c r="AH270" s="195" t="n">
        <f aca="false">1/((1+AG270/2)^(2*((A270-Front!$C$2)/365.25)))</f>
        <v>1.16332320806024</v>
      </c>
      <c r="AI270" s="236" t="e">
        <f aca="false">IF($AA270="","",E270*AC270)</f>
        <v>#VALUE!</v>
      </c>
      <c r="AJ270" s="236" t="e">
        <f aca="false">IF($AA270="","",E270*AE270)</f>
        <v>#VALUE!</v>
      </c>
      <c r="AK270" s="295"/>
      <c r="AL270" s="120"/>
      <c r="AM270" s="238" t="n">
        <f aca="false">AD270/10000</f>
        <v>0</v>
      </c>
      <c r="AN270" s="238" t="n">
        <f aca="false">AD270*DAY(EOMONTH(A270,0))/10000</f>
        <v>0</v>
      </c>
      <c r="AO270" s="238"/>
      <c r="AP270" s="238"/>
      <c r="AQ270" s="238"/>
      <c r="AR270" s="239"/>
      <c r="AS270" s="238"/>
      <c r="AT270" s="238"/>
      <c r="AU270" s="238"/>
      <c r="AV270" s="238"/>
      <c r="AW270" s="238"/>
      <c r="AX270" s="238"/>
      <c r="AY270" s="238"/>
      <c r="AZ270" s="238"/>
      <c r="BA270" s="241"/>
      <c r="BB270" s="242"/>
      <c r="BC270" s="243" t="n">
        <v>4.9935</v>
      </c>
      <c r="BD270" s="195" t="n">
        <f aca="false">BC270-E270</f>
        <v>-0.0384999999999955</v>
      </c>
      <c r="BE270" s="294"/>
      <c r="BF270" s="245"/>
      <c r="BG270" s="121"/>
      <c r="BH270" s="121"/>
      <c r="BI270" s="247"/>
      <c r="BJ270" s="121"/>
      <c r="BK270" s="121"/>
      <c r="BL270" s="121"/>
      <c r="BM270" s="121"/>
      <c r="BN270" s="121"/>
      <c r="BO270" s="121"/>
      <c r="BP270" s="275" t="n">
        <v>45047</v>
      </c>
      <c r="BQ270" s="143" t="n">
        <v>4.866</v>
      </c>
      <c r="BR270" s="143" t="n">
        <v>0.17</v>
      </c>
      <c r="BS270" s="143" t="n">
        <v>0.0638598629092164</v>
      </c>
      <c r="BT270" s="121"/>
    </row>
    <row r="271" customFormat="false" ht="15" hidden="false" customHeight="false" outlineLevel="0" collapsed="false">
      <c r="A271" s="156" t="n">
        <f aca="false">EOMONTH(A270,0)+1</f>
        <v>45078</v>
      </c>
      <c r="B271" s="215"/>
      <c r="C271" s="281" t="n">
        <v>5.0255</v>
      </c>
      <c r="D271" s="282" t="n">
        <f aca="false">(E271-C271)*1000</f>
        <v>38.4999999999955</v>
      </c>
      <c r="E271" s="283" t="n">
        <f aca="false">VLOOKUP(YEAR(A271),Yr_Sprds,2)+E259</f>
        <v>5.064</v>
      </c>
      <c r="F271" s="287"/>
      <c r="G271" s="288"/>
      <c r="H271" s="287"/>
      <c r="I271" s="287"/>
      <c r="J271" s="279"/>
      <c r="K271" s="278"/>
      <c r="L271" s="291"/>
      <c r="M271" s="112"/>
      <c r="N271" s="278"/>
      <c r="O271" s="278"/>
      <c r="P271" s="278"/>
      <c r="Q271" s="167"/>
      <c r="R271" s="167"/>
      <c r="S271" s="167"/>
      <c r="T271" s="167"/>
      <c r="U271" s="167"/>
      <c r="V271" s="167"/>
      <c r="W271" s="167"/>
      <c r="X271" s="167"/>
      <c r="Y271" s="228" t="n">
        <f aca="false">DAY(EOMONTH(A271,0))</f>
        <v>30</v>
      </c>
      <c r="Z271" s="268" t="n">
        <v>44955</v>
      </c>
      <c r="AA271" s="230" t="e">
        <f aca="false">IF(AND(A271&gt;=Front!$E$11,A271&lt;=Front!$E$12),A271,"")</f>
        <v>#VALUE!</v>
      </c>
      <c r="AB271" s="231" t="e">
        <f aca="false">IF(AA271="","",VLOOKUP(MONTH(A270),Front!$W$6:$X$17,2)*IF(Front!D$9=0,Swap!Y271,1))</f>
        <v>#VALUE!</v>
      </c>
      <c r="AC271" s="274" t="e">
        <f aca="false">IF(AA271="","",AB271*AH271)</f>
        <v>#VALUE!</v>
      </c>
      <c r="AD271" s="233"/>
      <c r="AE271" s="231" t="e">
        <f aca="false">IF(AA271="","",AD271*AH271)</f>
        <v>#VALUE!</v>
      </c>
      <c r="AF271" s="243" t="n">
        <f aca="false">INDEX(IRTable,MATCH(A271,IRMonth,0),4)</f>
        <v>0.0638649986089934</v>
      </c>
      <c r="AG271" s="243" t="n">
        <f aca="false">AF271+$AG$9</f>
        <v>0.0638649986089934</v>
      </c>
      <c r="AH271" s="195" t="n">
        <f aca="false">1/((1+AG271/2)^(2*((A271-Front!$C$2)/365.25)))</f>
        <v>1.15714646161606</v>
      </c>
      <c r="AI271" s="236" t="e">
        <f aca="false">IF($AA271="","",E271*AC271)</f>
        <v>#VALUE!</v>
      </c>
      <c r="AJ271" s="236" t="e">
        <f aca="false">IF($AA271="","",E271*AE271)</f>
        <v>#VALUE!</v>
      </c>
      <c r="AK271" s="295"/>
      <c r="AL271" s="120"/>
      <c r="AM271" s="238" t="n">
        <f aca="false">AD271/10000</f>
        <v>0</v>
      </c>
      <c r="AN271" s="238" t="n">
        <f aca="false">AD271*DAY(EOMONTH(A271,0))/10000</f>
        <v>0</v>
      </c>
      <c r="AO271" s="238"/>
      <c r="AP271" s="238"/>
      <c r="AQ271" s="238"/>
      <c r="AR271" s="239"/>
      <c r="AS271" s="238"/>
      <c r="AT271" s="238"/>
      <c r="AU271" s="238"/>
      <c r="AV271" s="238"/>
      <c r="AW271" s="238"/>
      <c r="AX271" s="238"/>
      <c r="AY271" s="238"/>
      <c r="AZ271" s="238"/>
      <c r="BA271" s="241"/>
      <c r="BB271" s="242"/>
      <c r="BC271" s="243" t="n">
        <v>5.0255</v>
      </c>
      <c r="BD271" s="195" t="n">
        <f aca="false">BC271-E271</f>
        <v>-0.0384999999999955</v>
      </c>
      <c r="BE271" s="294"/>
      <c r="BF271" s="245"/>
      <c r="BG271" s="121"/>
      <c r="BH271" s="121"/>
      <c r="BI271" s="247"/>
      <c r="BJ271" s="121"/>
      <c r="BK271" s="121"/>
      <c r="BL271" s="121"/>
      <c r="BM271" s="121"/>
      <c r="BN271" s="121"/>
      <c r="BO271" s="121"/>
      <c r="BP271" s="275" t="n">
        <v>45078</v>
      </c>
      <c r="BQ271" s="143" t="n">
        <v>4.898</v>
      </c>
      <c r="BR271" s="143" t="n">
        <v>0.17</v>
      </c>
      <c r="BS271" s="143" t="n">
        <v>0.0638649986089934</v>
      </c>
      <c r="BT271" s="121"/>
    </row>
    <row r="272" customFormat="false" ht="15" hidden="false" customHeight="false" outlineLevel="0" collapsed="false">
      <c r="A272" s="156" t="n">
        <f aca="false">EOMONTH(A271,0)+1</f>
        <v>45108</v>
      </c>
      <c r="B272" s="215"/>
      <c r="C272" s="281" t="n">
        <v>5.0755</v>
      </c>
      <c r="D272" s="282" t="n">
        <f aca="false">(E272-C272)*1000</f>
        <v>38.4999999999955</v>
      </c>
      <c r="E272" s="283" t="n">
        <f aca="false">VLOOKUP(YEAR(A272),Yr_Sprds,2)+E260</f>
        <v>5.114</v>
      </c>
      <c r="F272" s="287"/>
      <c r="G272" s="288"/>
      <c r="H272" s="287"/>
      <c r="I272" s="287"/>
      <c r="J272" s="279"/>
      <c r="K272" s="278"/>
      <c r="L272" s="291"/>
      <c r="M272" s="112"/>
      <c r="N272" s="278"/>
      <c r="O272" s="278"/>
      <c r="P272" s="278"/>
      <c r="Q272" s="167"/>
      <c r="R272" s="167"/>
      <c r="S272" s="167"/>
      <c r="T272" s="167"/>
      <c r="U272" s="167"/>
      <c r="V272" s="167"/>
      <c r="W272" s="167"/>
      <c r="X272" s="167"/>
      <c r="Y272" s="228" t="n">
        <f aca="false">DAY(EOMONTH(A272,0))</f>
        <v>31</v>
      </c>
      <c r="Z272" s="268" t="n">
        <v>44983</v>
      </c>
      <c r="AA272" s="230" t="e">
        <f aca="false">IF(AND(A272&gt;=Front!$E$11,A272&lt;=Front!$E$12),A272,"")</f>
        <v>#VALUE!</v>
      </c>
      <c r="AB272" s="231" t="e">
        <f aca="false">IF(AA272="","",VLOOKUP(MONTH(A271),Front!$W$6:$X$17,2)*IF(Front!D$9=0,Swap!Y272,1))</f>
        <v>#VALUE!</v>
      </c>
      <c r="AC272" s="274" t="e">
        <f aca="false">IF(AA272="","",AB272*AH272)</f>
        <v>#VALUE!</v>
      </c>
      <c r="AD272" s="233"/>
      <c r="AE272" s="231" t="e">
        <f aca="false">IF(AA272="","",AD272*AH272)</f>
        <v>#VALUE!</v>
      </c>
      <c r="AF272" s="243" t="n">
        <f aca="false">INDEX(IRTable,MATCH(A272,IRMonth,0),4)</f>
        <v>0.0638699686410433</v>
      </c>
      <c r="AG272" s="243" t="n">
        <f aca="false">AF272+$AG$9</f>
        <v>0.0638699686410433</v>
      </c>
      <c r="AH272" s="195" t="n">
        <f aca="false">1/((1+AG272/2)^(2*((A272-Front!$C$2)/365.25)))</f>
        <v>1.15119926687456</v>
      </c>
      <c r="AI272" s="236" t="e">
        <f aca="false">IF($AA272="","",E272*AC272)</f>
        <v>#VALUE!</v>
      </c>
      <c r="AJ272" s="236" t="e">
        <f aca="false">IF($AA272="","",E272*AE272)</f>
        <v>#VALUE!</v>
      </c>
      <c r="AK272" s="295"/>
      <c r="AL272" s="120"/>
      <c r="AM272" s="238" t="n">
        <f aca="false">AD272/10000</f>
        <v>0</v>
      </c>
      <c r="AN272" s="238" t="n">
        <f aca="false">AD272*DAY(EOMONTH(A272,0))/10000</f>
        <v>0</v>
      </c>
      <c r="AO272" s="238"/>
      <c r="AP272" s="238"/>
      <c r="AQ272" s="238"/>
      <c r="AR272" s="239"/>
      <c r="AS272" s="238"/>
      <c r="AT272" s="238"/>
      <c r="AU272" s="238"/>
      <c r="AV272" s="238"/>
      <c r="AW272" s="238"/>
      <c r="AX272" s="238"/>
      <c r="AY272" s="238"/>
      <c r="AZ272" s="238"/>
      <c r="BA272" s="241"/>
      <c r="BB272" s="242"/>
      <c r="BC272" s="243" t="n">
        <v>5.0755</v>
      </c>
      <c r="BD272" s="195" t="n">
        <f aca="false">BC272-E272</f>
        <v>-0.0384999999999955</v>
      </c>
      <c r="BE272" s="294"/>
      <c r="BF272" s="245"/>
      <c r="BG272" s="121"/>
      <c r="BH272" s="121"/>
      <c r="BI272" s="247"/>
      <c r="BJ272" s="121"/>
      <c r="BK272" s="121"/>
      <c r="BL272" s="121"/>
      <c r="BM272" s="121"/>
      <c r="BN272" s="121"/>
      <c r="BO272" s="121"/>
      <c r="BP272" s="275" t="n">
        <v>45108</v>
      </c>
      <c r="BQ272" s="143" t="n">
        <v>4.948</v>
      </c>
      <c r="BR272" s="143" t="n">
        <v>0.17</v>
      </c>
      <c r="BS272" s="143" t="n">
        <v>0.0638699686410433</v>
      </c>
      <c r="BT272" s="121"/>
    </row>
    <row r="273" customFormat="false" ht="15" hidden="false" customHeight="false" outlineLevel="0" collapsed="false">
      <c r="A273" s="156" t="n">
        <f aca="false">EOMONTH(A272,0)+1</f>
        <v>45139</v>
      </c>
      <c r="B273" s="215"/>
      <c r="C273" s="281" t="n">
        <v>5.1095</v>
      </c>
      <c r="D273" s="282" t="n">
        <f aca="false">(E273-C273)*1000</f>
        <v>38.4999999999955</v>
      </c>
      <c r="E273" s="283" t="n">
        <f aca="false">VLOOKUP(YEAR(A273),Yr_Sprds,2)+E261</f>
        <v>5.148</v>
      </c>
      <c r="F273" s="296"/>
      <c r="G273" s="288"/>
      <c r="H273" s="296"/>
      <c r="I273" s="296"/>
      <c r="J273" s="279"/>
      <c r="K273" s="278"/>
      <c r="L273" s="291"/>
      <c r="M273" s="112"/>
      <c r="N273" s="278"/>
      <c r="O273" s="278"/>
      <c r="P273" s="278"/>
      <c r="Q273" s="167"/>
      <c r="R273" s="167"/>
      <c r="S273" s="167"/>
      <c r="T273" s="167"/>
      <c r="U273" s="167"/>
      <c r="V273" s="167"/>
      <c r="W273" s="167"/>
      <c r="X273" s="167"/>
      <c r="Y273" s="228" t="n">
        <f aca="false">DAY(EOMONTH(A273,0))</f>
        <v>31</v>
      </c>
      <c r="Z273" s="268" t="n">
        <v>45014</v>
      </c>
      <c r="AA273" s="230" t="e">
        <f aca="false">IF(AND(A273&gt;=Front!$E$11,A273&lt;=Front!$E$12),A273,"")</f>
        <v>#VALUE!</v>
      </c>
      <c r="AB273" s="231" t="e">
        <f aca="false">IF(AA273="","",VLOOKUP(MONTH(A272),Front!$W$6:$X$17,2)*IF(Front!D$9=0,Swap!Y273,1))</f>
        <v>#VALUE!</v>
      </c>
      <c r="AC273" s="274" t="e">
        <f aca="false">IF(AA273="","",AB273*AH273)</f>
        <v>#VALUE!</v>
      </c>
      <c r="AD273" s="233"/>
      <c r="AE273" s="231" t="e">
        <f aca="false">IF(AA273="","",AD273*AH273)</f>
        <v>#VALUE!</v>
      </c>
      <c r="AF273" s="243" t="n">
        <f aca="false">INDEX(IRTable,MATCH(A273,IRMonth,0),4)</f>
        <v>0.0638751043408372</v>
      </c>
      <c r="AG273" s="243" t="n">
        <f aca="false">AF273+$AG$9</f>
        <v>0.0638751043408372</v>
      </c>
      <c r="AH273" s="195" t="n">
        <f aca="false">1/((1+AG273/2)^(2*((A273-Front!$C$2)/365.25)))</f>
        <v>1.14508498977425</v>
      </c>
      <c r="AI273" s="236" t="e">
        <f aca="false">IF($AA273="","",E273*AC273)</f>
        <v>#VALUE!</v>
      </c>
      <c r="AJ273" s="236" t="e">
        <f aca="false">IF($AA273="","",E273*AE273)</f>
        <v>#VALUE!</v>
      </c>
      <c r="AK273" s="295"/>
      <c r="AL273" s="120"/>
      <c r="AM273" s="238" t="n">
        <f aca="false">AD273/10000</f>
        <v>0</v>
      </c>
      <c r="AN273" s="238" t="n">
        <f aca="false">AD273*DAY(EOMONTH(A273,0))/10000</f>
        <v>0</v>
      </c>
      <c r="AO273" s="238"/>
      <c r="AP273" s="238"/>
      <c r="AQ273" s="238"/>
      <c r="AR273" s="239"/>
      <c r="AS273" s="238"/>
      <c r="AT273" s="238"/>
      <c r="AU273" s="238"/>
      <c r="AV273" s="238"/>
      <c r="AW273" s="238"/>
      <c r="AX273" s="238"/>
      <c r="AY273" s="238"/>
      <c r="AZ273" s="238"/>
      <c r="BA273" s="241"/>
      <c r="BB273" s="242"/>
      <c r="BC273" s="243" t="n">
        <v>5.1095</v>
      </c>
      <c r="BD273" s="195" t="n">
        <f aca="false">BC273-E273</f>
        <v>-0.0384999999999955</v>
      </c>
      <c r="BE273" s="294"/>
      <c r="BF273" s="245"/>
      <c r="BG273" s="121"/>
      <c r="BH273" s="121"/>
      <c r="BI273" s="247"/>
      <c r="BJ273" s="121"/>
      <c r="BK273" s="121"/>
      <c r="BL273" s="121"/>
      <c r="BM273" s="121"/>
      <c r="BN273" s="121"/>
      <c r="BO273" s="121"/>
      <c r="BP273" s="275" t="n">
        <v>45139</v>
      </c>
      <c r="BQ273" s="143" t="n">
        <v>4.982</v>
      </c>
      <c r="BR273" s="143" t="n">
        <v>0.17</v>
      </c>
      <c r="BS273" s="143" t="n">
        <v>0.0638751043408372</v>
      </c>
      <c r="BT273" s="121"/>
    </row>
    <row r="274" customFormat="false" ht="15" hidden="false" customHeight="false" outlineLevel="0" collapsed="false">
      <c r="A274" s="156" t="n">
        <f aca="false">EOMONTH(A273,0)+1</f>
        <v>45170</v>
      </c>
      <c r="B274" s="215"/>
      <c r="C274" s="281" t="n">
        <v>5.1225</v>
      </c>
      <c r="D274" s="282" t="n">
        <f aca="false">(E274-C274)*1000</f>
        <v>38.5</v>
      </c>
      <c r="E274" s="283" t="n">
        <f aca="false">VLOOKUP(YEAR(A274),Yr_Sprds,2)+E262</f>
        <v>5.161</v>
      </c>
      <c r="F274" s="296"/>
      <c r="G274" s="288"/>
      <c r="H274" s="296"/>
      <c r="I274" s="296"/>
      <c r="J274" s="279"/>
      <c r="K274" s="278"/>
      <c r="L274" s="291"/>
      <c r="M274" s="112"/>
      <c r="N274" s="278"/>
      <c r="O274" s="278"/>
      <c r="P274" s="278"/>
      <c r="Q274" s="167"/>
      <c r="R274" s="167"/>
      <c r="S274" s="167"/>
      <c r="T274" s="167"/>
      <c r="U274" s="167"/>
      <c r="V274" s="167"/>
      <c r="W274" s="167"/>
      <c r="X274" s="167"/>
      <c r="Y274" s="228" t="n">
        <f aca="false">DAY(EOMONTH(A274,0))</f>
        <v>30</v>
      </c>
      <c r="Z274" s="268" t="n">
        <v>45044</v>
      </c>
      <c r="AA274" s="230" t="e">
        <f aca="false">IF(AND(A274&gt;=Front!$E$11,A274&lt;=Front!$E$12),A274,"")</f>
        <v>#VALUE!</v>
      </c>
      <c r="AB274" s="231" t="e">
        <f aca="false">IF(AA274="","",VLOOKUP(MONTH(A273),Front!$W$6:$X$17,2)*IF(Front!D$9=0,Swap!Y274,1))</f>
        <v>#VALUE!</v>
      </c>
      <c r="AC274" s="274" t="e">
        <f aca="false">IF(AA274="","",AB274*AH274)</f>
        <v>#VALUE!</v>
      </c>
      <c r="AD274" s="233"/>
      <c r="AE274" s="231" t="e">
        <f aca="false">IF(AA274="","",AD274*AH274)</f>
        <v>#VALUE!</v>
      </c>
      <c r="AF274" s="243" t="n">
        <f aca="false">INDEX(IRTable,MATCH(A274,IRMonth,0),4)</f>
        <v>0.0638802400406395</v>
      </c>
      <c r="AG274" s="243" t="n">
        <f aca="false">AF274+$AG$9</f>
        <v>0.0638802400406395</v>
      </c>
      <c r="AH274" s="195" t="n">
        <f aca="false">1/((1+AG274/2)^(2*((A274-Front!$C$2)/365.25)))</f>
        <v>1.13900222472276</v>
      </c>
      <c r="AI274" s="236" t="e">
        <f aca="false">IF($AA274="","",E274*AC274)</f>
        <v>#VALUE!</v>
      </c>
      <c r="AJ274" s="236" t="e">
        <f aca="false">IF($AA274="","",E274*AE274)</f>
        <v>#VALUE!</v>
      </c>
      <c r="AK274" s="295"/>
      <c r="AL274" s="120"/>
      <c r="AM274" s="238" t="n">
        <f aca="false">AD274/10000</f>
        <v>0</v>
      </c>
      <c r="AN274" s="238" t="n">
        <f aca="false">AD274*DAY(EOMONTH(A274,0))/10000</f>
        <v>0</v>
      </c>
      <c r="AO274" s="238"/>
      <c r="AP274" s="238"/>
      <c r="AQ274" s="238"/>
      <c r="AR274" s="239"/>
      <c r="AS274" s="238"/>
      <c r="AT274" s="238"/>
      <c r="AU274" s="238"/>
      <c r="AV274" s="238"/>
      <c r="AW274" s="238"/>
      <c r="AX274" s="238"/>
      <c r="AY274" s="238"/>
      <c r="AZ274" s="238"/>
      <c r="BA274" s="241"/>
      <c r="BB274" s="242"/>
      <c r="BC274" s="243" t="n">
        <v>5.1225</v>
      </c>
      <c r="BD274" s="195" t="n">
        <f aca="false">BC274-E274</f>
        <v>-0.0385</v>
      </c>
      <c r="BE274" s="294"/>
      <c r="BF274" s="245"/>
      <c r="BG274" s="121"/>
      <c r="BH274" s="121"/>
      <c r="BI274" s="247"/>
      <c r="BJ274" s="121"/>
      <c r="BK274" s="121"/>
      <c r="BL274" s="121"/>
      <c r="BM274" s="121"/>
      <c r="BN274" s="121"/>
      <c r="BO274" s="121"/>
      <c r="BP274" s="275" t="n">
        <v>45170</v>
      </c>
      <c r="BQ274" s="143" t="n">
        <v>4.995</v>
      </c>
      <c r="BR274" s="143" t="n">
        <v>0.17</v>
      </c>
      <c r="BS274" s="143" t="n">
        <v>0.0638802400406395</v>
      </c>
      <c r="BT274" s="121"/>
    </row>
    <row r="275" customFormat="false" ht="15" hidden="false" customHeight="false" outlineLevel="0" collapsed="false">
      <c r="A275" s="156" t="n">
        <f aca="false">EOMONTH(A274,0)+1</f>
        <v>45200</v>
      </c>
      <c r="B275" s="215"/>
      <c r="C275" s="281" t="n">
        <v>5.1145</v>
      </c>
      <c r="D275" s="282" t="n">
        <f aca="false">(E275-C275)*1000</f>
        <v>38.4999999999955</v>
      </c>
      <c r="E275" s="283" t="n">
        <f aca="false">VLOOKUP(YEAR(A275),Yr_Sprds,2)+E263</f>
        <v>5.153</v>
      </c>
      <c r="F275" s="287"/>
      <c r="G275" s="288"/>
      <c r="H275" s="287"/>
      <c r="I275" s="287"/>
      <c r="J275" s="121"/>
      <c r="K275" s="121"/>
      <c r="L275" s="291"/>
      <c r="M275" s="112"/>
      <c r="N275" s="278"/>
      <c r="O275" s="278"/>
      <c r="P275" s="278"/>
      <c r="Q275" s="167"/>
      <c r="R275" s="167"/>
      <c r="S275" s="167"/>
      <c r="T275" s="167"/>
      <c r="U275" s="167"/>
      <c r="V275" s="167"/>
      <c r="W275" s="167"/>
      <c r="X275" s="167"/>
      <c r="Y275" s="228" t="n">
        <f aca="false">DAY(EOMONTH(A275,0))</f>
        <v>31</v>
      </c>
      <c r="Z275" s="268" t="n">
        <v>45075</v>
      </c>
      <c r="AA275" s="230" t="e">
        <f aca="false">IF(AND(A275&gt;=Front!$E$11,A275&lt;=Front!$E$12),A275,"")</f>
        <v>#VALUE!</v>
      </c>
      <c r="AB275" s="231" t="e">
        <f aca="false">IF(AA275="","",VLOOKUP(MONTH(A274),Front!$W$6:$X$17,2)*IF(Front!D$9=0,Swap!Y275,1))</f>
        <v>#VALUE!</v>
      </c>
      <c r="AC275" s="274" t="e">
        <f aca="false">IF(AA275="","",AB275*AH275)</f>
        <v>#VALUE!</v>
      </c>
      <c r="AD275" s="233"/>
      <c r="AE275" s="231" t="e">
        <f aca="false">IF(AA275="","",AD275*AH275)</f>
        <v>#VALUE!</v>
      </c>
      <c r="AF275" s="243" t="n">
        <f aca="false">INDEX(IRTable,MATCH(A275,IRMonth,0),4)</f>
        <v>0.0638852100727152</v>
      </c>
      <c r="AG275" s="243" t="n">
        <f aca="false">AF275+$AG$9</f>
        <v>0.0638852100727152</v>
      </c>
      <c r="AH275" s="195" t="n">
        <f aca="false">1/((1+AG275/2)^(2*((A275-Front!$C$2)/365.25)))</f>
        <v>1.13314553355117</v>
      </c>
      <c r="AI275" s="236" t="e">
        <f aca="false">IF($AA275="","",E275*AC275)</f>
        <v>#VALUE!</v>
      </c>
      <c r="AJ275" s="236" t="e">
        <f aca="false">IF($AA275="","",E275*AE275)</f>
        <v>#VALUE!</v>
      </c>
      <c r="AK275" s="295"/>
      <c r="AL275" s="120"/>
      <c r="AM275" s="238" t="n">
        <f aca="false">AD275/10000</f>
        <v>0</v>
      </c>
      <c r="AN275" s="238" t="n">
        <f aca="false">AD275*DAY(EOMONTH(A275,0))/10000</f>
        <v>0</v>
      </c>
      <c r="AO275" s="238"/>
      <c r="AP275" s="238"/>
      <c r="AQ275" s="238"/>
      <c r="AR275" s="239"/>
      <c r="AS275" s="238"/>
      <c r="AT275" s="238"/>
      <c r="AU275" s="238"/>
      <c r="AV275" s="238"/>
      <c r="AW275" s="238"/>
      <c r="AX275" s="238"/>
      <c r="AY275" s="238"/>
      <c r="AZ275" s="238"/>
      <c r="BA275" s="241"/>
      <c r="BB275" s="242"/>
      <c r="BC275" s="243" t="n">
        <v>5.1145</v>
      </c>
      <c r="BD275" s="195" t="n">
        <f aca="false">BC275-E275</f>
        <v>-0.0384999999999955</v>
      </c>
      <c r="BE275" s="294"/>
      <c r="BF275" s="245"/>
      <c r="BG275" s="121"/>
      <c r="BH275" s="121"/>
      <c r="BI275" s="247"/>
      <c r="BJ275" s="121"/>
      <c r="BK275" s="121"/>
      <c r="BL275" s="121"/>
      <c r="BM275" s="121"/>
      <c r="BN275" s="121"/>
      <c r="BO275" s="121"/>
      <c r="BP275" s="275" t="n">
        <v>45200</v>
      </c>
      <c r="BQ275" s="143" t="n">
        <v>5.017</v>
      </c>
      <c r="BR275" s="143" t="n">
        <v>0.17</v>
      </c>
      <c r="BS275" s="143" t="n">
        <v>0.0638852100727152</v>
      </c>
      <c r="BT275" s="121"/>
    </row>
    <row r="276" customFormat="false" ht="15" hidden="false" customHeight="false" outlineLevel="0" collapsed="false">
      <c r="A276" s="156" t="n">
        <f aca="false">EOMONTH(A275,0)+1</f>
        <v>45231</v>
      </c>
      <c r="B276" s="215"/>
      <c r="C276" s="281" t="n">
        <v>5.2845</v>
      </c>
      <c r="D276" s="282" t="n">
        <f aca="false">(E276-C276)*1000</f>
        <v>38.4999999999955</v>
      </c>
      <c r="E276" s="283" t="n">
        <f aca="false">VLOOKUP(YEAR(A276),Yr_Sprds,2)+E264</f>
        <v>5.323</v>
      </c>
      <c r="F276" s="287"/>
      <c r="G276" s="288"/>
      <c r="H276" s="287"/>
      <c r="I276" s="287"/>
      <c r="J276" s="121"/>
      <c r="K276" s="121"/>
      <c r="L276" s="291"/>
      <c r="M276" s="112"/>
      <c r="N276" s="121"/>
      <c r="O276" s="121"/>
      <c r="P276" s="121"/>
      <c r="Q276" s="167"/>
      <c r="R276" s="167"/>
      <c r="S276" s="167"/>
      <c r="T276" s="167"/>
      <c r="U276" s="167"/>
      <c r="V276" s="167"/>
      <c r="W276" s="167"/>
      <c r="X276" s="167"/>
      <c r="Y276" s="228" t="n">
        <f aca="false">DAY(EOMONTH(A276,0))</f>
        <v>30</v>
      </c>
      <c r="Z276" s="268" t="n">
        <v>45105</v>
      </c>
      <c r="AA276" s="230" t="e">
        <f aca="false">IF(AND(A276&gt;=Front!$E$11,A276&lt;=Front!$E$12),A276,"")</f>
        <v>#VALUE!</v>
      </c>
      <c r="AB276" s="231" t="e">
        <f aca="false">IF(AA276="","",VLOOKUP(MONTH(A275),Front!$W$6:$X$17,2)*IF(Front!D$9=0,Swap!Y276,1))</f>
        <v>#VALUE!</v>
      </c>
      <c r="AC276" s="274" t="e">
        <f aca="false">IF(AA276="","",AB276*AH276)</f>
        <v>#VALUE!</v>
      </c>
      <c r="AD276" s="233"/>
      <c r="AE276" s="231" t="e">
        <f aca="false">IF(AA276="","",AD276*AH276)</f>
        <v>#VALUE!</v>
      </c>
      <c r="AF276" s="243" t="n">
        <f aca="false">INDEX(IRTable,MATCH(A276,IRMonth,0),4)</f>
        <v>0.0638903457725348</v>
      </c>
      <c r="AG276" s="243" t="n">
        <f aca="false">AF276+$AG$9</f>
        <v>0.0638903457725348</v>
      </c>
      <c r="AH276" s="195" t="n">
        <f aca="false">1/((1+AG276/2)^(2*((A276-Front!$C$2)/365.25)))</f>
        <v>1.12712431796164</v>
      </c>
      <c r="AI276" s="236" t="e">
        <f aca="false">IF($AA276="","",E276*AC276)</f>
        <v>#VALUE!</v>
      </c>
      <c r="AJ276" s="236" t="e">
        <f aca="false">IF($AA276="","",E276*AE276)</f>
        <v>#VALUE!</v>
      </c>
      <c r="AK276" s="295"/>
      <c r="AL276" s="120"/>
      <c r="AM276" s="238" t="n">
        <f aca="false">AD276/10000</f>
        <v>0</v>
      </c>
      <c r="AN276" s="238" t="n">
        <f aca="false">AD276*DAY(EOMONTH(A276,0))/10000</f>
        <v>0</v>
      </c>
      <c r="AO276" s="238"/>
      <c r="AP276" s="238"/>
      <c r="AQ276" s="238"/>
      <c r="AR276" s="239"/>
      <c r="AS276" s="238"/>
      <c r="AT276" s="238"/>
      <c r="AU276" s="238"/>
      <c r="AV276" s="238"/>
      <c r="AW276" s="238"/>
      <c r="AX276" s="238"/>
      <c r="AY276" s="238"/>
      <c r="AZ276" s="238"/>
      <c r="BA276" s="241"/>
      <c r="BB276" s="242"/>
      <c r="BC276" s="243" t="n">
        <v>5.2845</v>
      </c>
      <c r="BD276" s="195" t="n">
        <f aca="false">BC276-E276</f>
        <v>-0.0384999999999955</v>
      </c>
      <c r="BE276" s="294"/>
      <c r="BF276" s="245"/>
      <c r="BG276" s="121"/>
      <c r="BH276" s="121"/>
      <c r="BI276" s="247"/>
      <c r="BJ276" s="121"/>
      <c r="BK276" s="121"/>
      <c r="BL276" s="121"/>
      <c r="BM276" s="121"/>
      <c r="BN276" s="121"/>
      <c r="BO276" s="121"/>
      <c r="BP276" s="275" t="n">
        <v>45231</v>
      </c>
      <c r="BQ276" s="143" t="n">
        <v>5.187</v>
      </c>
      <c r="BR276" s="143" t="n">
        <v>0.17</v>
      </c>
      <c r="BS276" s="143" t="n">
        <v>0.0638903457725348</v>
      </c>
      <c r="BT276" s="121"/>
    </row>
    <row r="277" customFormat="false" ht="15" hidden="false" customHeight="false" outlineLevel="0" collapsed="false">
      <c r="A277" s="156" t="n">
        <f aca="false">EOMONTH(A276,0)+1</f>
        <v>45261</v>
      </c>
      <c r="B277" s="215"/>
      <c r="C277" s="281" t="n">
        <v>5.4595</v>
      </c>
      <c r="D277" s="282" t="n">
        <f aca="false">(E277-C277)*1000</f>
        <v>38.4999999999955</v>
      </c>
      <c r="E277" s="283" t="n">
        <f aca="false">VLOOKUP(YEAR(A277),Yr_Sprds,2)+E265</f>
        <v>5.498</v>
      </c>
      <c r="F277" s="287"/>
      <c r="G277" s="288"/>
      <c r="H277" s="287"/>
      <c r="I277" s="287"/>
      <c r="J277" s="279"/>
      <c r="K277" s="278"/>
      <c r="L277" s="291"/>
      <c r="M277" s="112"/>
      <c r="N277" s="121"/>
      <c r="O277" s="121"/>
      <c r="P277" s="121"/>
      <c r="Q277" s="167"/>
      <c r="R277" s="167"/>
      <c r="S277" s="167"/>
      <c r="T277" s="167"/>
      <c r="U277" s="167"/>
      <c r="V277" s="167"/>
      <c r="W277" s="167"/>
      <c r="X277" s="167"/>
      <c r="Y277" s="228" t="n">
        <f aca="false">DAY(EOMONTH(A277,0))</f>
        <v>31</v>
      </c>
      <c r="Z277" s="268" t="n">
        <v>45136</v>
      </c>
      <c r="AA277" s="230" t="e">
        <f aca="false">IF(AND(A277&gt;=Front!$E$11,A277&lt;=Front!$E$12),A277,"")</f>
        <v>#VALUE!</v>
      </c>
      <c r="AB277" s="231" t="e">
        <f aca="false">IF(AA277="","",VLOOKUP(MONTH(A276),Front!$W$6:$X$17,2)*IF(Front!D$9=0,Swap!Y277,1))</f>
        <v>#VALUE!</v>
      </c>
      <c r="AC277" s="274" t="e">
        <f aca="false">IF(AA277="","",AB277*AH277)</f>
        <v>#VALUE!</v>
      </c>
      <c r="AD277" s="233"/>
      <c r="AE277" s="231" t="e">
        <f aca="false">IF(AA277="","",AD277*AH277)</f>
        <v>#VALUE!</v>
      </c>
      <c r="AF277" s="243" t="n">
        <f aca="false">INDEX(IRTable,MATCH(A277,IRMonth,0),4)</f>
        <v>0.0638953158046265</v>
      </c>
      <c r="AG277" s="243" t="n">
        <f aca="false">AF277+$AG$9</f>
        <v>0.0638953158046265</v>
      </c>
      <c r="AH277" s="195" t="n">
        <f aca="false">1/((1+AG277/2)^(2*((A277-Front!$C$2)/365.25)))</f>
        <v>1.12132689845728</v>
      </c>
      <c r="AI277" s="236" t="e">
        <f aca="false">IF($AA277="","",E277*AC277)</f>
        <v>#VALUE!</v>
      </c>
      <c r="AJ277" s="236" t="e">
        <f aca="false">IF($AA277="","",E277*AE277)</f>
        <v>#VALUE!</v>
      </c>
      <c r="AK277" s="295"/>
      <c r="AL277" s="120"/>
      <c r="AM277" s="238" t="n">
        <f aca="false">AD277/10000</f>
        <v>0</v>
      </c>
      <c r="AN277" s="238" t="n">
        <f aca="false">AD277*DAY(EOMONTH(A277,0))/10000</f>
        <v>0</v>
      </c>
      <c r="AO277" s="238"/>
      <c r="AP277" s="238"/>
      <c r="AQ277" s="238"/>
      <c r="AR277" s="239"/>
      <c r="AS277" s="238"/>
      <c r="AT277" s="238"/>
      <c r="AU277" s="238"/>
      <c r="AV277" s="238"/>
      <c r="AW277" s="238"/>
      <c r="AX277" s="238"/>
      <c r="AY277" s="238"/>
      <c r="AZ277" s="238"/>
      <c r="BA277" s="241"/>
      <c r="BB277" s="242"/>
      <c r="BC277" s="243" t="n">
        <v>5.4595</v>
      </c>
      <c r="BD277" s="195" t="n">
        <f aca="false">BC277-E277</f>
        <v>-0.0384999999999955</v>
      </c>
      <c r="BE277" s="294"/>
      <c r="BF277" s="245"/>
      <c r="BG277" s="121"/>
      <c r="BH277" s="121"/>
      <c r="BI277" s="247"/>
      <c r="BJ277" s="121"/>
      <c r="BK277" s="121"/>
      <c r="BL277" s="121"/>
      <c r="BM277" s="121"/>
      <c r="BN277" s="121"/>
      <c r="BO277" s="121"/>
      <c r="BP277" s="275" t="n">
        <v>45261</v>
      </c>
      <c r="BQ277" s="143" t="n">
        <v>5.362</v>
      </c>
      <c r="BR277" s="143" t="n">
        <v>0.17</v>
      </c>
      <c r="BS277" s="143" t="n">
        <v>0.0638953158046265</v>
      </c>
      <c r="BT277" s="121"/>
    </row>
    <row r="278" customFormat="false" ht="15" hidden="false" customHeight="false" outlineLevel="0" collapsed="false">
      <c r="A278" s="156" t="n">
        <f aca="false">EOMONTH(A277,0)+1</f>
        <v>45292</v>
      </c>
      <c r="B278" s="215"/>
      <c r="C278" s="281" t="n">
        <v>5.5145</v>
      </c>
      <c r="D278" s="282" t="n">
        <f aca="false">(E278-C278)*1000</f>
        <v>40.999999999995</v>
      </c>
      <c r="E278" s="283" t="n">
        <f aca="false">VLOOKUP(YEAR(A278),Yr_Sprds,2)+E266</f>
        <v>5.5555</v>
      </c>
      <c r="F278" s="287"/>
      <c r="G278" s="288"/>
      <c r="H278" s="287"/>
      <c r="I278" s="287"/>
      <c r="J278" s="279"/>
      <c r="K278" s="278"/>
      <c r="L278" s="291"/>
      <c r="M278" s="112"/>
      <c r="N278" s="278"/>
      <c r="O278" s="278"/>
      <c r="P278" s="278"/>
      <c r="Q278" s="167"/>
      <c r="R278" s="167"/>
      <c r="S278" s="167"/>
      <c r="T278" s="167"/>
      <c r="U278" s="167"/>
      <c r="V278" s="167"/>
      <c r="W278" s="167"/>
      <c r="X278" s="167"/>
      <c r="Y278" s="228" t="n">
        <f aca="false">DAY(EOMONTH(A278,0))</f>
        <v>31</v>
      </c>
      <c r="Z278" s="268" t="n">
        <v>45167</v>
      </c>
      <c r="AA278" s="230" t="e">
        <f aca="false">IF(AND(A278&gt;=Front!$E$11,A278&lt;=Front!$E$12),A278,"")</f>
        <v>#VALUE!</v>
      </c>
      <c r="AB278" s="231" t="e">
        <f aca="false">IF(AA278="","",VLOOKUP(MONTH(A277),Front!$W$6:$X$17,2)*IF(Front!D$9=0,Swap!Y278,1))</f>
        <v>#VALUE!</v>
      </c>
      <c r="AC278" s="274" t="e">
        <f aca="false">IF(AA278="","",AB278*AH278)</f>
        <v>#VALUE!</v>
      </c>
      <c r="AD278" s="233"/>
      <c r="AE278" s="231" t="e">
        <f aca="false">IF(AA278="","",AD278*AH278)</f>
        <v>#VALUE!</v>
      </c>
      <c r="AF278" s="243" t="n">
        <f aca="false">INDEX(IRTable,MATCH(A278,IRMonth,0),4)</f>
        <v>0.0639004515044634</v>
      </c>
      <c r="AG278" s="243" t="n">
        <f aca="false">AF278+$AG$9</f>
        <v>0.0639004515044634</v>
      </c>
      <c r="AH278" s="195" t="n">
        <f aca="false">1/((1+AG278/2)^(2*((A278-Front!$C$2)/365.25)))</f>
        <v>1.11536662962188</v>
      </c>
      <c r="AI278" s="236" t="e">
        <f aca="false">IF($AA278="","",E278*AC278)</f>
        <v>#VALUE!</v>
      </c>
      <c r="AJ278" s="236" t="e">
        <f aca="false">IF($AA278="","",E278*AE278)</f>
        <v>#VALUE!</v>
      </c>
      <c r="AK278" s="295"/>
      <c r="AL278" s="120"/>
      <c r="AM278" s="238" t="n">
        <f aca="false">AD278/10000</f>
        <v>0</v>
      </c>
      <c r="AN278" s="238" t="n">
        <f aca="false">AD278*DAY(EOMONTH(A278,0))/10000</f>
        <v>0</v>
      </c>
      <c r="AO278" s="238"/>
      <c r="AP278" s="238"/>
      <c r="AQ278" s="238"/>
      <c r="AR278" s="239"/>
      <c r="AS278" s="238"/>
      <c r="AT278" s="238"/>
      <c r="AU278" s="238"/>
      <c r="AV278" s="238"/>
      <c r="AW278" s="238"/>
      <c r="AX278" s="238"/>
      <c r="AY278" s="238"/>
      <c r="AZ278" s="238"/>
      <c r="BA278" s="241"/>
      <c r="BB278" s="242"/>
      <c r="BC278" s="243" t="n">
        <v>5.5145</v>
      </c>
      <c r="BD278" s="195" t="n">
        <f aca="false">BC278-E278</f>
        <v>-0.040999999999995</v>
      </c>
      <c r="BE278" s="294"/>
      <c r="BF278" s="245"/>
      <c r="BG278" s="121"/>
      <c r="BH278" s="121"/>
      <c r="BI278" s="247"/>
      <c r="BJ278" s="121"/>
      <c r="BK278" s="121"/>
      <c r="BL278" s="121"/>
      <c r="BM278" s="121"/>
      <c r="BN278" s="121"/>
      <c r="BO278" s="121"/>
      <c r="BP278" s="275" t="n">
        <v>45292</v>
      </c>
      <c r="BQ278" s="143" t="n">
        <v>5.3845</v>
      </c>
      <c r="BR278" s="143" t="n">
        <v>0.17</v>
      </c>
      <c r="BS278" s="143" t="n">
        <v>0.0639004515044634</v>
      </c>
      <c r="BT278" s="121"/>
    </row>
    <row r="279" customFormat="false" ht="15" hidden="false" customHeight="false" outlineLevel="0" collapsed="false">
      <c r="A279" s="156" t="n">
        <f aca="false">EOMONTH(A278,0)+1</f>
        <v>45323</v>
      </c>
      <c r="B279" s="215"/>
      <c r="C279" s="281" t="n">
        <v>5.4005</v>
      </c>
      <c r="D279" s="282" t="n">
        <f aca="false">(E279-C279)*1000</f>
        <v>40.9999999999959</v>
      </c>
      <c r="E279" s="283" t="n">
        <f aca="false">VLOOKUP(YEAR(A279),Yr_Sprds,2)+E267</f>
        <v>5.4415</v>
      </c>
      <c r="F279" s="287"/>
      <c r="G279" s="288"/>
      <c r="H279" s="287"/>
      <c r="I279" s="287"/>
      <c r="J279" s="279"/>
      <c r="K279" s="278"/>
      <c r="L279" s="291"/>
      <c r="M279" s="112"/>
      <c r="N279" s="278"/>
      <c r="O279" s="278"/>
      <c r="P279" s="278"/>
      <c r="Q279" s="167"/>
      <c r="R279" s="167"/>
      <c r="S279" s="167"/>
      <c r="T279" s="167"/>
      <c r="U279" s="167"/>
      <c r="V279" s="167"/>
      <c r="W279" s="167"/>
      <c r="X279" s="167"/>
      <c r="Y279" s="228" t="n">
        <f aca="false">DAY(EOMONTH(A279,0))</f>
        <v>29</v>
      </c>
      <c r="Z279" s="268" t="n">
        <v>45197</v>
      </c>
      <c r="AA279" s="230" t="e">
        <f aca="false">IF(AND(A279&gt;=Front!$E$11,A279&lt;=Front!$E$12),A279,"")</f>
        <v>#VALUE!</v>
      </c>
      <c r="AB279" s="231" t="e">
        <f aca="false">IF(AA279="","",VLOOKUP(MONTH(A278),Front!$W$6:$X$17,2)*IF(Front!D$9=0,Swap!Y279,1))</f>
        <v>#VALUE!</v>
      </c>
      <c r="AC279" s="274" t="e">
        <f aca="false">IF(AA279="","",AB279*AH279)</f>
        <v>#VALUE!</v>
      </c>
      <c r="AD279" s="233"/>
      <c r="AE279" s="231" t="e">
        <f aca="false">IF(AA279="","",AD279*AH279)</f>
        <v>#VALUE!</v>
      </c>
      <c r="AF279" s="243" t="n">
        <f aca="false">INDEX(IRTable,MATCH(A279,IRMonth,0),4)</f>
        <v>0.0639055872043093</v>
      </c>
      <c r="AG279" s="243" t="n">
        <f aca="false">AF279+$AG$9</f>
        <v>0.0639055872043093</v>
      </c>
      <c r="AH279" s="195" t="n">
        <f aca="false">1/((1+AG279/2)^(2*((A279-Front!$C$2)/365.25)))</f>
        <v>1.10943710457675</v>
      </c>
      <c r="AI279" s="236" t="e">
        <f aca="false">IF($AA279="","",E279*AC279)</f>
        <v>#VALUE!</v>
      </c>
      <c r="AJ279" s="236" t="e">
        <f aca="false">IF($AA279="","",E279*AE279)</f>
        <v>#VALUE!</v>
      </c>
      <c r="AK279" s="295"/>
      <c r="AL279" s="120"/>
      <c r="AM279" s="238" t="n">
        <f aca="false">AD279/10000</f>
        <v>0</v>
      </c>
      <c r="AN279" s="238" t="n">
        <f aca="false">AD279*DAY(EOMONTH(A279,0))/10000</f>
        <v>0</v>
      </c>
      <c r="AO279" s="238"/>
      <c r="AP279" s="238"/>
      <c r="AQ279" s="238"/>
      <c r="AR279" s="239"/>
      <c r="AS279" s="238"/>
      <c r="AT279" s="238"/>
      <c r="AU279" s="238"/>
      <c r="AV279" s="238"/>
      <c r="AW279" s="238"/>
      <c r="AX279" s="238"/>
      <c r="AY279" s="238"/>
      <c r="AZ279" s="238"/>
      <c r="BA279" s="241"/>
      <c r="BB279" s="242"/>
      <c r="BC279" s="243" t="n">
        <v>5.4005</v>
      </c>
      <c r="BD279" s="195" t="n">
        <f aca="false">BC279-E279</f>
        <v>-0.0409999999999959</v>
      </c>
      <c r="BE279" s="294"/>
      <c r="BF279" s="245"/>
      <c r="BG279" s="121"/>
      <c r="BH279" s="121"/>
      <c r="BI279" s="247"/>
      <c r="BJ279" s="121"/>
      <c r="BK279" s="121"/>
      <c r="BL279" s="121"/>
      <c r="BM279" s="121"/>
      <c r="BN279" s="121"/>
      <c r="BO279" s="121"/>
      <c r="BP279" s="275" t="n">
        <v>45323</v>
      </c>
      <c r="BQ279" s="143" t="n">
        <v>5.2705</v>
      </c>
      <c r="BR279" s="143" t="n">
        <v>0.17</v>
      </c>
      <c r="BS279" s="143" t="n">
        <v>0.0639055872043093</v>
      </c>
      <c r="BT279" s="121"/>
    </row>
    <row r="280" customFormat="false" ht="15" hidden="false" customHeight="false" outlineLevel="0" collapsed="false">
      <c r="A280" s="156" t="n">
        <f aca="false">EOMONTH(A279,0)+1</f>
        <v>45352</v>
      </c>
      <c r="B280" s="215"/>
      <c r="C280" s="281" t="n">
        <v>5.2685</v>
      </c>
      <c r="D280" s="282" t="n">
        <f aca="false">(E280-C280)*1000</f>
        <v>40.999999999995</v>
      </c>
      <c r="E280" s="283" t="n">
        <f aca="false">VLOOKUP(YEAR(A280),Yr_Sprds,2)+E268</f>
        <v>5.3095</v>
      </c>
      <c r="F280" s="287"/>
      <c r="G280" s="288"/>
      <c r="H280" s="287"/>
      <c r="I280" s="287"/>
      <c r="J280" s="279"/>
      <c r="K280" s="278"/>
      <c r="L280" s="291"/>
      <c r="M280" s="112"/>
      <c r="N280" s="278"/>
      <c r="O280" s="278"/>
      <c r="P280" s="278"/>
      <c r="Q280" s="167"/>
      <c r="R280" s="167"/>
      <c r="S280" s="167"/>
      <c r="T280" s="167"/>
      <c r="U280" s="167"/>
      <c r="V280" s="167"/>
      <c r="W280" s="167"/>
      <c r="X280" s="167"/>
      <c r="Y280" s="228" t="n">
        <f aca="false">DAY(EOMONTH(A280,0))</f>
        <v>31</v>
      </c>
      <c r="Z280" s="268" t="n">
        <v>45228</v>
      </c>
      <c r="AA280" s="230" t="e">
        <f aca="false">IF(AND(A280&gt;=Front!$E$11,A280&lt;=Front!$E$12),A280,"")</f>
        <v>#VALUE!</v>
      </c>
      <c r="AB280" s="231" t="e">
        <f aca="false">IF(AA280="","",VLOOKUP(MONTH(A279),Front!$W$6:$X$17,2)*IF(Front!D$9=0,Swap!Y280,1))</f>
        <v>#VALUE!</v>
      </c>
      <c r="AC280" s="274" t="e">
        <f aca="false">IF(AA280="","",AB280*AH280)</f>
        <v>#VALUE!</v>
      </c>
      <c r="AD280" s="233"/>
      <c r="AE280" s="231" t="e">
        <f aca="false">IF(AA280="","",AD280*AH280)</f>
        <v>#VALUE!</v>
      </c>
      <c r="AF280" s="243" t="n">
        <f aca="false">INDEX(IRTable,MATCH(A280,IRMonth,0),4)</f>
        <v>0.0639103915686889</v>
      </c>
      <c r="AG280" s="243" t="n">
        <f aca="false">AF280+$AG$9</f>
        <v>0.0639103915686889</v>
      </c>
      <c r="AH280" s="195" t="n">
        <f aca="false">1/((1+AG280/2)^(2*((A280-Front!$C$2)/365.25)))</f>
        <v>1.1039178261641</v>
      </c>
      <c r="AI280" s="236" t="e">
        <f aca="false">IF($AA280="","",E280*AC280)</f>
        <v>#VALUE!</v>
      </c>
      <c r="AJ280" s="236" t="e">
        <f aca="false">IF($AA280="","",E280*AE280)</f>
        <v>#VALUE!</v>
      </c>
      <c r="AK280" s="295"/>
      <c r="AL280" s="120"/>
      <c r="AM280" s="238" t="n">
        <f aca="false">AD280/10000</f>
        <v>0</v>
      </c>
      <c r="AN280" s="238" t="n">
        <f aca="false">AD280*DAY(EOMONTH(A280,0))/10000</f>
        <v>0</v>
      </c>
      <c r="AO280" s="238"/>
      <c r="AP280" s="238"/>
      <c r="AQ280" s="238"/>
      <c r="AR280" s="239"/>
      <c r="AS280" s="238"/>
      <c r="AT280" s="238"/>
      <c r="AU280" s="238"/>
      <c r="AV280" s="238"/>
      <c r="AW280" s="238"/>
      <c r="AX280" s="238"/>
      <c r="AY280" s="238"/>
      <c r="AZ280" s="238"/>
      <c r="BA280" s="241"/>
      <c r="BB280" s="242"/>
      <c r="BC280" s="243" t="n">
        <v>5.2685</v>
      </c>
      <c r="BD280" s="195" t="n">
        <f aca="false">BC280-E280</f>
        <v>-0.040999999999995</v>
      </c>
      <c r="BE280" s="294"/>
      <c r="BF280" s="245"/>
      <c r="BG280" s="121"/>
      <c r="BH280" s="121"/>
      <c r="BI280" s="247"/>
      <c r="BJ280" s="121"/>
      <c r="BK280" s="121"/>
      <c r="BL280" s="121"/>
      <c r="BM280" s="121"/>
      <c r="BN280" s="121"/>
      <c r="BO280" s="121"/>
      <c r="BP280" s="275" t="n">
        <v>45352</v>
      </c>
      <c r="BQ280" s="143" t="n">
        <v>5.1385</v>
      </c>
      <c r="BR280" s="143" t="n">
        <v>0.17</v>
      </c>
      <c r="BS280" s="143" t="n">
        <v>0.0639103915686889</v>
      </c>
      <c r="BT280" s="121"/>
    </row>
    <row r="281" customFormat="false" ht="15" hidden="false" customHeight="false" outlineLevel="0" collapsed="false">
      <c r="A281" s="156" t="n">
        <f aca="false">EOMONTH(A280,0)+1</f>
        <v>45383</v>
      </c>
      <c r="B281" s="215"/>
      <c r="C281" s="281" t="n">
        <v>5.0985</v>
      </c>
      <c r="D281" s="282" t="n">
        <f aca="false">(E281-C281)*1000</f>
        <v>40.999999999995</v>
      </c>
      <c r="E281" s="283" t="n">
        <f aca="false">VLOOKUP(YEAR(A281),Yr_Sprds,2)+E269</f>
        <v>5.1395</v>
      </c>
      <c r="F281" s="287"/>
      <c r="G281" s="288"/>
      <c r="H281" s="287"/>
      <c r="I281" s="287"/>
      <c r="J281" s="279"/>
      <c r="K281" s="278"/>
      <c r="L281" s="291"/>
      <c r="M281" s="112"/>
      <c r="N281" s="278"/>
      <c r="O281" s="278"/>
      <c r="P281" s="278"/>
      <c r="Q281" s="167"/>
      <c r="R281" s="167"/>
      <c r="S281" s="167"/>
      <c r="T281" s="167"/>
      <c r="U281" s="167"/>
      <c r="V281" s="167"/>
      <c r="W281" s="167"/>
      <c r="X281" s="167"/>
      <c r="Y281" s="228" t="n">
        <f aca="false">DAY(EOMONTH(A281,0))</f>
        <v>30</v>
      </c>
      <c r="Z281" s="268" t="n">
        <v>45258</v>
      </c>
      <c r="AA281" s="230" t="e">
        <f aca="false">IF(AND(A281&gt;=Front!$E$11,A281&lt;=Front!$E$12),A281,"")</f>
        <v>#VALUE!</v>
      </c>
      <c r="AB281" s="231" t="e">
        <f aca="false">IF(AA281="","",VLOOKUP(MONTH(A280),Front!$W$6:$X$17,2)*IF(Front!D$9=0,Swap!Y281,1))</f>
        <v>#VALUE!</v>
      </c>
      <c r="AC281" s="274" t="e">
        <f aca="false">IF(AA281="","",AB281*AH281)</f>
        <v>#VALUE!</v>
      </c>
      <c r="AD281" s="233"/>
      <c r="AE281" s="231" t="e">
        <f aca="false">IF(AA281="","",AD281*AH281)</f>
        <v>#VALUE!</v>
      </c>
      <c r="AF281" s="243" t="n">
        <f aca="false">INDEX(IRTable,MATCH(A281,IRMonth,0),4)</f>
        <v>0.0639155272685516</v>
      </c>
      <c r="AG281" s="243" t="n">
        <f aca="false">AF281+$AG$9</f>
        <v>0.0639155272685516</v>
      </c>
      <c r="AH281" s="195" t="n">
        <f aca="false">1/((1+AG281/2)^(2*((A281-Front!$C$2)/365.25)))</f>
        <v>1.09804736997781</v>
      </c>
      <c r="AI281" s="236" t="e">
        <f aca="false">IF($AA281="","",E281*AC281)</f>
        <v>#VALUE!</v>
      </c>
      <c r="AJ281" s="236" t="e">
        <f aca="false">IF($AA281="","",E281*AE281)</f>
        <v>#VALUE!</v>
      </c>
      <c r="AK281" s="295"/>
      <c r="AL281" s="120"/>
      <c r="AM281" s="238" t="n">
        <f aca="false">AD281/10000</f>
        <v>0</v>
      </c>
      <c r="AN281" s="238" t="n">
        <f aca="false">AD281*DAY(EOMONTH(A281,0))/10000</f>
        <v>0</v>
      </c>
      <c r="AO281" s="238"/>
      <c r="AP281" s="238"/>
      <c r="AQ281" s="238"/>
      <c r="AR281" s="239"/>
      <c r="AS281" s="238"/>
      <c r="AT281" s="238"/>
      <c r="AU281" s="238"/>
      <c r="AV281" s="238"/>
      <c r="AW281" s="238"/>
      <c r="AX281" s="238"/>
      <c r="AY281" s="238"/>
      <c r="AZ281" s="238"/>
      <c r="BA281" s="241"/>
      <c r="BB281" s="242"/>
      <c r="BC281" s="243" t="n">
        <v>5.0985</v>
      </c>
      <c r="BD281" s="195" t="n">
        <f aca="false">BC281-E281</f>
        <v>-0.040999999999995</v>
      </c>
      <c r="BE281" s="294"/>
      <c r="BF281" s="245"/>
      <c r="BG281" s="121"/>
      <c r="BH281" s="121"/>
      <c r="BI281" s="247"/>
      <c r="BJ281" s="121"/>
      <c r="BK281" s="121"/>
      <c r="BL281" s="121"/>
      <c r="BM281" s="121"/>
      <c r="BN281" s="121"/>
      <c r="BO281" s="121"/>
      <c r="BP281" s="275" t="n">
        <v>45383</v>
      </c>
      <c r="BQ281" s="143" t="n">
        <v>4.9685</v>
      </c>
      <c r="BR281" s="143" t="n">
        <v>0.17</v>
      </c>
      <c r="BS281" s="143" t="n">
        <v>0.0639155272685516</v>
      </c>
      <c r="BT281" s="121"/>
    </row>
    <row r="282" customFormat="false" ht="15" hidden="false" customHeight="false" outlineLevel="0" collapsed="false">
      <c r="A282" s="156" t="n">
        <f aca="false">EOMONTH(A281,0)+1</f>
        <v>45413</v>
      </c>
      <c r="B282" s="215"/>
      <c r="C282" s="281" t="n">
        <v>5.0985</v>
      </c>
      <c r="D282" s="282" t="n">
        <f aca="false">(E282-C282)*1000</f>
        <v>40.999999999995</v>
      </c>
      <c r="E282" s="283" t="n">
        <f aca="false">VLOOKUP(YEAR(A282),Yr_Sprds,2)+E270</f>
        <v>5.1395</v>
      </c>
      <c r="F282" s="287"/>
      <c r="G282" s="288"/>
      <c r="H282" s="287"/>
      <c r="I282" s="287"/>
      <c r="J282" s="279"/>
      <c r="K282" s="278"/>
      <c r="L282" s="291"/>
      <c r="M282" s="112"/>
      <c r="N282" s="278"/>
      <c r="O282" s="278"/>
      <c r="P282" s="278"/>
      <c r="Q282" s="167"/>
      <c r="R282" s="167"/>
      <c r="S282" s="167"/>
      <c r="T282" s="167"/>
      <c r="U282" s="167"/>
      <c r="V282" s="167"/>
      <c r="W282" s="167"/>
      <c r="X282" s="167"/>
      <c r="Y282" s="228" t="n">
        <f aca="false">DAY(EOMONTH(A282,0))</f>
        <v>31</v>
      </c>
      <c r="Z282" s="268" t="n">
        <v>45289</v>
      </c>
      <c r="AA282" s="230" t="e">
        <f aca="false">IF(AND(A282&gt;=Front!$E$11,A282&lt;=Front!$E$12),A282,"")</f>
        <v>#VALUE!</v>
      </c>
      <c r="AB282" s="231" t="e">
        <f aca="false">IF(AA282="","",VLOOKUP(MONTH(A281),Front!$W$6:$X$17,2)*IF(Front!D$9=0,Swap!Y282,1))</f>
        <v>#VALUE!</v>
      </c>
      <c r="AC282" s="274" t="e">
        <f aca="false">IF(AA282="","",AB282*AH282)</f>
        <v>#VALUE!</v>
      </c>
      <c r="AD282" s="233"/>
      <c r="AE282" s="231" t="e">
        <f aca="false">IF(AA282="","",AD282*AH282)</f>
        <v>#VALUE!</v>
      </c>
      <c r="AF282" s="243" t="n">
        <f aca="false">INDEX(IRTable,MATCH(A282,IRMonth,0),4)</f>
        <v>0.063920497300685</v>
      </c>
      <c r="AG282" s="243" t="n">
        <f aca="false">AF282+$AG$9</f>
        <v>0.063920497300685</v>
      </c>
      <c r="AH282" s="195" t="n">
        <f aca="false">1/((1+AG282/2)^(2*((A282-Front!$C$2)/365.25)))</f>
        <v>1.0923951301996</v>
      </c>
      <c r="AI282" s="236" t="e">
        <f aca="false">IF($AA282="","",E282*AC282)</f>
        <v>#VALUE!</v>
      </c>
      <c r="AJ282" s="236" t="e">
        <f aca="false">IF($AA282="","",E282*AE282)</f>
        <v>#VALUE!</v>
      </c>
      <c r="AK282" s="295"/>
      <c r="AL282" s="120"/>
      <c r="AM282" s="238" t="n">
        <f aca="false">AD282/10000</f>
        <v>0</v>
      </c>
      <c r="AN282" s="238" t="n">
        <f aca="false">AD282*DAY(EOMONTH(A282,0))/10000</f>
        <v>0</v>
      </c>
      <c r="AO282" s="238"/>
      <c r="AP282" s="238"/>
      <c r="AQ282" s="238"/>
      <c r="AR282" s="239"/>
      <c r="AS282" s="238"/>
      <c r="AT282" s="238"/>
      <c r="AU282" s="238"/>
      <c r="AV282" s="238"/>
      <c r="AW282" s="238"/>
      <c r="AX282" s="238"/>
      <c r="AY282" s="238"/>
      <c r="AZ282" s="238"/>
      <c r="BA282" s="241"/>
      <c r="BB282" s="242"/>
      <c r="BC282" s="243" t="n">
        <v>5.0985</v>
      </c>
      <c r="BD282" s="195" t="n">
        <f aca="false">BC282-E282</f>
        <v>-0.040999999999995</v>
      </c>
      <c r="BE282" s="294"/>
      <c r="BF282" s="245"/>
      <c r="BG282" s="121"/>
      <c r="BH282" s="121"/>
      <c r="BI282" s="247"/>
      <c r="BJ282" s="121"/>
      <c r="BK282" s="121"/>
      <c r="BL282" s="121"/>
      <c r="BM282" s="121"/>
      <c r="BN282" s="121"/>
      <c r="BO282" s="121"/>
      <c r="BP282" s="275" t="n">
        <v>45413</v>
      </c>
      <c r="BQ282" s="143" t="n">
        <v>4.9685</v>
      </c>
      <c r="BR282" s="143" t="n">
        <v>0.17</v>
      </c>
      <c r="BS282" s="143" t="n">
        <v>0.063920497300685</v>
      </c>
      <c r="BT282" s="121"/>
    </row>
    <row r="283" customFormat="false" ht="15" hidden="false" customHeight="false" outlineLevel="0" collapsed="false">
      <c r="A283" s="156" t="n">
        <f aca="false">EOMONTH(A282,0)+1</f>
        <v>45444</v>
      </c>
      <c r="B283" s="215"/>
      <c r="C283" s="281" t="n">
        <v>5.1305</v>
      </c>
      <c r="D283" s="282" t="n">
        <f aca="false">(E283-C283)*1000</f>
        <v>40.999999999995</v>
      </c>
      <c r="E283" s="283" t="n">
        <f aca="false">VLOOKUP(YEAR(A283),Yr_Sprds,2)+E271</f>
        <v>5.1715</v>
      </c>
      <c r="F283" s="287"/>
      <c r="G283" s="288"/>
      <c r="H283" s="287"/>
      <c r="I283" s="287"/>
      <c r="J283" s="279"/>
      <c r="K283" s="278"/>
      <c r="L283" s="291"/>
      <c r="M283" s="112"/>
      <c r="N283" s="278"/>
      <c r="O283" s="278"/>
      <c r="P283" s="278"/>
      <c r="Q283" s="167"/>
      <c r="R283" s="167"/>
      <c r="S283" s="167"/>
      <c r="T283" s="167"/>
      <c r="U283" s="167"/>
      <c r="V283" s="167"/>
      <c r="W283" s="167"/>
      <c r="X283" s="167"/>
      <c r="Y283" s="228" t="n">
        <f aca="false">DAY(EOMONTH(A283,0))</f>
        <v>30</v>
      </c>
      <c r="Z283" s="268" t="n">
        <v>45320</v>
      </c>
      <c r="AA283" s="230" t="e">
        <f aca="false">IF(AND(A283&gt;=Front!$E$11,A283&lt;=Front!$E$12),A283,"")</f>
        <v>#VALUE!</v>
      </c>
      <c r="AB283" s="231" t="e">
        <f aca="false">IF(AA283="","",VLOOKUP(MONTH(A282),Front!$W$6:$X$17,2)*IF(Front!D$9=0,Swap!Y283,1))</f>
        <v>#VALUE!</v>
      </c>
      <c r="AC283" s="274" t="e">
        <f aca="false">IF(AA283="","",AB283*AH283)</f>
        <v>#VALUE!</v>
      </c>
      <c r="AD283" s="233"/>
      <c r="AE283" s="231" t="e">
        <f aca="false">IF(AA283="","",AD283*AH283)</f>
        <v>#VALUE!</v>
      </c>
      <c r="AF283" s="243" t="n">
        <f aca="false">INDEX(IRTable,MATCH(A283,IRMonth,0),4)</f>
        <v>0.0639256330005651</v>
      </c>
      <c r="AG283" s="243" t="n">
        <f aca="false">AF283+$AG$9</f>
        <v>0.0639256330005651</v>
      </c>
      <c r="AH283" s="195" t="n">
        <f aca="false">1/((1+AG283/2)^(2*((A283-Front!$C$2)/365.25)))</f>
        <v>1.08658414358626</v>
      </c>
      <c r="AI283" s="236" t="e">
        <f aca="false">IF($AA283="","",E283*AC283)</f>
        <v>#VALUE!</v>
      </c>
      <c r="AJ283" s="236" t="e">
        <f aca="false">IF($AA283="","",E283*AE283)</f>
        <v>#VALUE!</v>
      </c>
      <c r="AK283" s="295"/>
      <c r="AL283" s="120"/>
      <c r="AM283" s="238" t="n">
        <f aca="false">AD283/10000</f>
        <v>0</v>
      </c>
      <c r="AN283" s="238" t="n">
        <f aca="false">AD283*DAY(EOMONTH(A283,0))/10000</f>
        <v>0</v>
      </c>
      <c r="AO283" s="238"/>
      <c r="AP283" s="238"/>
      <c r="AQ283" s="238"/>
      <c r="AR283" s="239"/>
      <c r="AS283" s="238"/>
      <c r="AT283" s="238"/>
      <c r="AU283" s="238"/>
      <c r="AV283" s="238"/>
      <c r="AW283" s="238"/>
      <c r="AX283" s="238"/>
      <c r="AY283" s="238"/>
      <c r="AZ283" s="238"/>
      <c r="BA283" s="241"/>
      <c r="BB283" s="242"/>
      <c r="BC283" s="243" t="n">
        <v>5.1305</v>
      </c>
      <c r="BD283" s="195" t="n">
        <f aca="false">BC283-E283</f>
        <v>-0.040999999999995</v>
      </c>
      <c r="BE283" s="294"/>
      <c r="BF283" s="245"/>
      <c r="BG283" s="121"/>
      <c r="BH283" s="121"/>
      <c r="BI283" s="247"/>
      <c r="BJ283" s="121"/>
      <c r="BK283" s="121"/>
      <c r="BL283" s="121"/>
      <c r="BM283" s="121"/>
      <c r="BN283" s="121"/>
      <c r="BO283" s="121"/>
      <c r="BP283" s="275" t="n">
        <v>45444</v>
      </c>
      <c r="BQ283" s="143" t="n">
        <v>5.0005</v>
      </c>
      <c r="BR283" s="143" t="n">
        <v>0.17</v>
      </c>
      <c r="BS283" s="143" t="n">
        <v>0.0639256330005651</v>
      </c>
      <c r="BT283" s="121"/>
    </row>
    <row r="284" customFormat="false" ht="15" hidden="false" customHeight="false" outlineLevel="0" collapsed="false">
      <c r="A284" s="156" t="n">
        <f aca="false">EOMONTH(A283,0)+1</f>
        <v>45474</v>
      </c>
      <c r="B284" s="215"/>
      <c r="C284" s="281" t="n">
        <v>5.1805</v>
      </c>
      <c r="D284" s="282" t="n">
        <f aca="false">(E284-C284)*1000</f>
        <v>40.999999999995</v>
      </c>
      <c r="E284" s="283" t="n">
        <f aca="false">VLOOKUP(YEAR(A284),Yr_Sprds,2)+E272</f>
        <v>5.2215</v>
      </c>
      <c r="F284" s="287"/>
      <c r="G284" s="288"/>
      <c r="H284" s="287"/>
      <c r="I284" s="287"/>
      <c r="J284" s="279"/>
      <c r="K284" s="278"/>
      <c r="L284" s="291"/>
      <c r="M284" s="112"/>
      <c r="N284" s="278"/>
      <c r="O284" s="278"/>
      <c r="P284" s="278"/>
      <c r="Q284" s="167"/>
      <c r="R284" s="167"/>
      <c r="S284" s="167"/>
      <c r="T284" s="167"/>
      <c r="U284" s="167"/>
      <c r="V284" s="167"/>
      <c r="W284" s="167"/>
      <c r="X284" s="167"/>
      <c r="Y284" s="228" t="n">
        <f aca="false">DAY(EOMONTH(A284,0))</f>
        <v>31</v>
      </c>
      <c r="Z284" s="268" t="n">
        <v>45349</v>
      </c>
      <c r="AA284" s="230" t="e">
        <f aca="false">IF(AND(A284&gt;=Front!$E$11,A284&lt;=Front!$E$12),A284,"")</f>
        <v>#VALUE!</v>
      </c>
      <c r="AB284" s="231" t="e">
        <f aca="false">IF(AA284="","",VLOOKUP(MONTH(A283),Front!$W$6:$X$17,2)*IF(Front!D$9=0,Swap!Y284,1))</f>
        <v>#VALUE!</v>
      </c>
      <c r="AC284" s="274" t="e">
        <f aca="false">IF(AA284="","",AB284*AH284)</f>
        <v>#VALUE!</v>
      </c>
      <c r="AD284" s="233"/>
      <c r="AE284" s="231" t="e">
        <f aca="false">IF(AA284="","",AD284*AH284)</f>
        <v>#VALUE!</v>
      </c>
      <c r="AF284" s="243" t="n">
        <f aca="false">INDEX(IRTable,MATCH(A284,IRMonth,0),4)</f>
        <v>0.0639306030327149</v>
      </c>
      <c r="AG284" s="243" t="n">
        <f aca="false">AF284+$AG$9</f>
        <v>0.0639306030327149</v>
      </c>
      <c r="AH284" s="195" t="n">
        <f aca="false">1/((1+AG284/2)^(2*((A284-Front!$C$2)/365.25)))</f>
        <v>1.08098917220904</v>
      </c>
      <c r="AI284" s="236" t="e">
        <f aca="false">IF($AA284="","",E284*AC284)</f>
        <v>#VALUE!</v>
      </c>
      <c r="AJ284" s="236" t="e">
        <f aca="false">IF($AA284="","",E284*AE284)</f>
        <v>#VALUE!</v>
      </c>
      <c r="AK284" s="295"/>
      <c r="AL284" s="120"/>
      <c r="AM284" s="238" t="n">
        <f aca="false">AD284/10000</f>
        <v>0</v>
      </c>
      <c r="AN284" s="238" t="n">
        <f aca="false">AD284*DAY(EOMONTH(A284,0))/10000</f>
        <v>0</v>
      </c>
      <c r="AO284" s="238"/>
      <c r="AP284" s="238"/>
      <c r="AQ284" s="238"/>
      <c r="AR284" s="239"/>
      <c r="AS284" s="238"/>
      <c r="AT284" s="238"/>
      <c r="AU284" s="238"/>
      <c r="AV284" s="238"/>
      <c r="AW284" s="238"/>
      <c r="AX284" s="238"/>
      <c r="AY284" s="238"/>
      <c r="AZ284" s="238"/>
      <c r="BA284" s="241"/>
      <c r="BB284" s="242"/>
      <c r="BC284" s="297" t="n">
        <v>5.1805</v>
      </c>
      <c r="BD284" s="195" t="n">
        <f aca="false">BC284-E284</f>
        <v>-0.040999999999995</v>
      </c>
      <c r="BE284" s="294"/>
      <c r="BF284" s="245"/>
      <c r="BG284" s="121"/>
      <c r="BH284" s="121"/>
      <c r="BI284" s="247"/>
      <c r="BJ284" s="121"/>
      <c r="BK284" s="121"/>
      <c r="BL284" s="121"/>
      <c r="BM284" s="121"/>
      <c r="BN284" s="121"/>
      <c r="BO284" s="121"/>
      <c r="BP284" s="275" t="n">
        <v>45474</v>
      </c>
      <c r="BQ284" s="143" t="n">
        <v>5.0505</v>
      </c>
      <c r="BR284" s="143" t="n">
        <v>0.17</v>
      </c>
      <c r="BS284" s="143" t="n">
        <v>0.0639306030327149</v>
      </c>
      <c r="BT284" s="121"/>
    </row>
    <row r="285" customFormat="false" ht="15" hidden="false" customHeight="false" outlineLevel="0" collapsed="false">
      <c r="A285" s="156" t="n">
        <f aca="false">EOMONTH(A284,0)+1</f>
        <v>45505</v>
      </c>
      <c r="B285" s="215"/>
      <c r="C285" s="281" t="n">
        <v>5.2145</v>
      </c>
      <c r="D285" s="282" t="n">
        <f aca="false">(E285-C285)*1000</f>
        <v>40.999999999995</v>
      </c>
      <c r="E285" s="283" t="n">
        <f aca="false">VLOOKUP(YEAR(A285),Yr_Sprds,2)+E273</f>
        <v>5.2555</v>
      </c>
      <c r="F285" s="287"/>
      <c r="G285" s="288"/>
      <c r="H285" s="287"/>
      <c r="I285" s="287"/>
      <c r="J285" s="279"/>
      <c r="K285" s="278"/>
      <c r="L285" s="291"/>
      <c r="M285" s="112"/>
      <c r="N285" s="278"/>
      <c r="O285" s="278"/>
      <c r="P285" s="278"/>
      <c r="Q285" s="167"/>
      <c r="R285" s="167"/>
      <c r="S285" s="167"/>
      <c r="T285" s="167"/>
      <c r="U285" s="167"/>
      <c r="V285" s="167"/>
      <c r="W285" s="167"/>
      <c r="X285" s="167"/>
      <c r="Y285" s="228" t="n">
        <f aca="false">DAY(EOMONTH(A285,0))</f>
        <v>31</v>
      </c>
      <c r="Z285" s="268" t="n">
        <v>45380</v>
      </c>
      <c r="AA285" s="230" t="e">
        <f aca="false">IF(AND(A285&gt;=Front!$E$11,A285&lt;=Front!$E$12),A285,"")</f>
        <v>#VALUE!</v>
      </c>
      <c r="AB285" s="231" t="e">
        <f aca="false">IF(AA285="","",VLOOKUP(MONTH(A284),Front!$W$6:$X$17,2)*IF(Front!D$9=0,Swap!Y285,1))</f>
        <v>#VALUE!</v>
      </c>
      <c r="AC285" s="274" t="e">
        <f aca="false">IF(AA285="","",AB285*AH285)</f>
        <v>#VALUE!</v>
      </c>
      <c r="AD285" s="233"/>
      <c r="AE285" s="231" t="e">
        <f aca="false">IF(AA285="","",AD285*AH285)</f>
        <v>#VALUE!</v>
      </c>
      <c r="AF285" s="243" t="n">
        <f aca="false">INDEX(IRTable,MATCH(A285,IRMonth,0),4)</f>
        <v>0.0639357387326118</v>
      </c>
      <c r="AG285" s="243" t="n">
        <f aca="false">AF285+$AG$9</f>
        <v>0.0639357387326118</v>
      </c>
      <c r="AH285" s="195" t="n">
        <f aca="false">1/((1+AG285/2)^(2*((A285-Front!$C$2)/365.25)))</f>
        <v>1.07523707211026</v>
      </c>
      <c r="AI285" s="236" t="e">
        <f aca="false">IF($AA285="","",E285*AC285)</f>
        <v>#VALUE!</v>
      </c>
      <c r="AJ285" s="236" t="e">
        <f aca="false">IF($AA285="","",E285*AE285)</f>
        <v>#VALUE!</v>
      </c>
      <c r="AK285" s="295"/>
      <c r="AL285" s="120"/>
      <c r="AM285" s="238" t="n">
        <f aca="false">AD285/10000</f>
        <v>0</v>
      </c>
      <c r="AN285" s="238" t="n">
        <f aca="false">AD285*DAY(EOMONTH(A285,0))/10000</f>
        <v>0</v>
      </c>
      <c r="AO285" s="238"/>
      <c r="AP285" s="238"/>
      <c r="AQ285" s="238"/>
      <c r="AR285" s="239"/>
      <c r="AS285" s="238"/>
      <c r="AT285" s="238"/>
      <c r="AU285" s="238"/>
      <c r="AV285" s="238"/>
      <c r="AW285" s="238"/>
      <c r="AX285" s="238"/>
      <c r="AY285" s="238"/>
      <c r="AZ285" s="238"/>
      <c r="BA285" s="241"/>
      <c r="BB285" s="242"/>
      <c r="BC285" s="297" t="n">
        <v>5.2145</v>
      </c>
      <c r="BD285" s="195" t="n">
        <f aca="false">BC285-E285</f>
        <v>-0.040999999999995</v>
      </c>
      <c r="BE285" s="294"/>
      <c r="BF285" s="245"/>
      <c r="BG285" s="121"/>
      <c r="BH285" s="121"/>
      <c r="BI285" s="247"/>
      <c r="BJ285" s="121"/>
      <c r="BK285" s="121"/>
      <c r="BL285" s="121"/>
      <c r="BM285" s="121"/>
      <c r="BN285" s="121"/>
      <c r="BO285" s="121"/>
      <c r="BP285" s="275" t="n">
        <v>45505</v>
      </c>
      <c r="BQ285" s="143" t="n">
        <v>5.0845</v>
      </c>
      <c r="BR285" s="143" t="n">
        <v>0.17</v>
      </c>
      <c r="BS285" s="143" t="n">
        <v>0.0639357387326118</v>
      </c>
      <c r="BT285" s="121"/>
    </row>
    <row r="286" customFormat="false" ht="15" hidden="false" customHeight="false" outlineLevel="0" collapsed="false">
      <c r="A286" s="156" t="n">
        <f aca="false">EOMONTH(A285,0)+1</f>
        <v>45536</v>
      </c>
      <c r="B286" s="215"/>
      <c r="C286" s="281" t="n">
        <v>5.2275</v>
      </c>
      <c r="D286" s="282" t="n">
        <f aca="false">(E286-C286)*1000</f>
        <v>40.9999999999995</v>
      </c>
      <c r="E286" s="283" t="n">
        <f aca="false">VLOOKUP(YEAR(A286),Yr_Sprds,2)+E274</f>
        <v>5.2685</v>
      </c>
      <c r="F286" s="287"/>
      <c r="G286" s="288"/>
      <c r="H286" s="287"/>
      <c r="I286" s="287"/>
      <c r="J286" s="279"/>
      <c r="K286" s="278"/>
      <c r="L286" s="291"/>
      <c r="M286" s="112"/>
      <c r="N286" s="278"/>
      <c r="O286" s="278"/>
      <c r="P286" s="278"/>
      <c r="Q286" s="167"/>
      <c r="R286" s="167"/>
      <c r="S286" s="167"/>
      <c r="T286" s="167"/>
      <c r="U286" s="167"/>
      <c r="V286" s="167"/>
      <c r="W286" s="167"/>
      <c r="X286" s="167"/>
      <c r="Y286" s="228" t="n">
        <f aca="false">DAY(EOMONTH(A286,0))</f>
        <v>30</v>
      </c>
      <c r="Z286" s="268" t="n">
        <v>45410</v>
      </c>
      <c r="AA286" s="230" t="e">
        <f aca="false">IF(AND(A286&gt;=Front!$E$11,A286&lt;=Front!$E$12),A286,"")</f>
        <v>#VALUE!</v>
      </c>
      <c r="AB286" s="231" t="e">
        <f aca="false">IF(AA286="","",VLOOKUP(MONTH(A285),Front!$W$6:$X$17,2)*IF(Front!D$9=0,Swap!Y286,1))</f>
        <v>#VALUE!</v>
      </c>
      <c r="AC286" s="274" t="e">
        <f aca="false">IF(AA286="","",AB286*AH286)</f>
        <v>#VALUE!</v>
      </c>
      <c r="AD286" s="233"/>
      <c r="AE286" s="231" t="e">
        <f aca="false">IF(AA286="","",AD286*AH286)</f>
        <v>#VALUE!</v>
      </c>
      <c r="AF286" s="243" t="n">
        <f aca="false">INDEX(IRTable,MATCH(A286,IRMonth,0),4)</f>
        <v>0.0639408744325176</v>
      </c>
      <c r="AG286" s="243" t="n">
        <f aca="false">AF286+$AG$9</f>
        <v>0.0639408744325176</v>
      </c>
      <c r="AH286" s="195" t="n">
        <f aca="false">1/((1+AG286/2)^(2*((A286-Front!$C$2)/365.25)))</f>
        <v>1.06951467626785</v>
      </c>
      <c r="AI286" s="236" t="e">
        <f aca="false">IF($AA286="","",E286*AC286)</f>
        <v>#VALUE!</v>
      </c>
      <c r="AJ286" s="236" t="e">
        <f aca="false">IF($AA286="","",E286*AE286)</f>
        <v>#VALUE!</v>
      </c>
      <c r="AK286" s="295"/>
      <c r="AL286" s="120"/>
      <c r="AM286" s="238" t="n">
        <f aca="false">AD286/10000</f>
        <v>0</v>
      </c>
      <c r="AN286" s="238" t="n">
        <f aca="false">AD286*DAY(EOMONTH(A286,0))/10000</f>
        <v>0</v>
      </c>
      <c r="AO286" s="238"/>
      <c r="AP286" s="238"/>
      <c r="AQ286" s="238"/>
      <c r="AR286" s="239"/>
      <c r="AS286" s="238"/>
      <c r="AT286" s="238"/>
      <c r="AU286" s="238"/>
      <c r="AV286" s="238"/>
      <c r="AW286" s="238"/>
      <c r="AX286" s="238"/>
      <c r="AY286" s="238"/>
      <c r="AZ286" s="238"/>
      <c r="BA286" s="241"/>
      <c r="BB286" s="242"/>
      <c r="BC286" s="297" t="n">
        <v>5.2275</v>
      </c>
      <c r="BD286" s="195" t="n">
        <f aca="false">BC286-E286</f>
        <v>-0.0409999999999995</v>
      </c>
      <c r="BE286" s="294"/>
      <c r="BF286" s="245"/>
      <c r="BG286" s="121"/>
      <c r="BH286" s="121"/>
      <c r="BI286" s="247"/>
      <c r="BJ286" s="121"/>
      <c r="BK286" s="121"/>
      <c r="BL286" s="121"/>
      <c r="BM286" s="121"/>
      <c r="BN286" s="121"/>
      <c r="BO286" s="121"/>
      <c r="BP286" s="275" t="n">
        <v>45536</v>
      </c>
      <c r="BQ286" s="143" t="n">
        <v>5.0975</v>
      </c>
      <c r="BR286" s="143" t="n">
        <v>0.17</v>
      </c>
      <c r="BS286" s="143" t="n">
        <v>0.0639408744325176</v>
      </c>
      <c r="BT286" s="121"/>
    </row>
    <row r="287" customFormat="false" ht="15" hidden="false" customHeight="false" outlineLevel="0" collapsed="false">
      <c r="A287" s="156" t="n">
        <f aca="false">EOMONTH(A286,0)+1</f>
        <v>45566</v>
      </c>
      <c r="B287" s="215"/>
      <c r="C287" s="281" t="n">
        <v>5.2195</v>
      </c>
      <c r="D287" s="282" t="n">
        <f aca="false">(E287-C287)*1000</f>
        <v>40.999999999995</v>
      </c>
      <c r="E287" s="283" t="n">
        <f aca="false">VLOOKUP(YEAR(A287),Yr_Sprds,2)+E275</f>
        <v>5.2605</v>
      </c>
      <c r="F287" s="287"/>
      <c r="G287" s="288"/>
      <c r="H287" s="287"/>
      <c r="I287" s="287"/>
      <c r="J287" s="279"/>
      <c r="K287" s="278"/>
      <c r="L287" s="291"/>
      <c r="M287" s="112"/>
      <c r="N287" s="278"/>
      <c r="O287" s="278"/>
      <c r="P287" s="278"/>
      <c r="Q287" s="167"/>
      <c r="R287" s="167"/>
      <c r="S287" s="167"/>
      <c r="T287" s="167"/>
      <c r="U287" s="167"/>
      <c r="V287" s="167"/>
      <c r="W287" s="167"/>
      <c r="X287" s="167"/>
      <c r="Y287" s="228" t="n">
        <f aca="false">DAY(EOMONTH(A287,0))</f>
        <v>31</v>
      </c>
      <c r="Z287" s="268" t="n">
        <v>45441</v>
      </c>
      <c r="AA287" s="230" t="e">
        <f aca="false">IF(AND(A287&gt;=Front!$E$11,A287&lt;=Front!$E$12),A287,"")</f>
        <v>#VALUE!</v>
      </c>
      <c r="AB287" s="231" t="e">
        <f aca="false">IF(AA287="","",VLOOKUP(MONTH(A286),Front!$W$6:$X$17,2)*IF(Front!D$9=0,Swap!Y287,1))</f>
        <v>#VALUE!</v>
      </c>
      <c r="AC287" s="274" t="e">
        <f aca="false">IF(AA287="","",AB287*AH287)</f>
        <v>#VALUE!</v>
      </c>
      <c r="AD287" s="233"/>
      <c r="AE287" s="231" t="e">
        <f aca="false">IF(AA287="","",AD287*AH287)</f>
        <v>#VALUE!</v>
      </c>
      <c r="AF287" s="243" t="n">
        <f aca="false">INDEX(IRTable,MATCH(A287,IRMonth,0),4)</f>
        <v>0.0639458444646932</v>
      </c>
      <c r="AG287" s="243" t="n">
        <f aca="false">AF287+$AG$9</f>
        <v>0.0639458444646932</v>
      </c>
      <c r="AH287" s="195" t="n">
        <f aca="false">1/((1+AG287/2)^(2*((A287-Front!$C$2)/365.25)))</f>
        <v>1.06400501642814</v>
      </c>
      <c r="AI287" s="236" t="e">
        <f aca="false">IF($AA287="","",E287*AC287)</f>
        <v>#VALUE!</v>
      </c>
      <c r="AJ287" s="236" t="e">
        <f aca="false">IF($AA287="","",E287*AE287)</f>
        <v>#VALUE!</v>
      </c>
      <c r="AK287" s="295"/>
      <c r="AL287" s="120"/>
      <c r="AM287" s="238" t="n">
        <f aca="false">AD287/10000</f>
        <v>0</v>
      </c>
      <c r="AN287" s="238" t="n">
        <f aca="false">AD287*DAY(EOMONTH(A287,0))/10000</f>
        <v>0</v>
      </c>
      <c r="AO287" s="238"/>
      <c r="AP287" s="238"/>
      <c r="AQ287" s="238"/>
      <c r="AR287" s="239"/>
      <c r="AS287" s="238"/>
      <c r="AT287" s="238"/>
      <c r="AU287" s="238"/>
      <c r="AV287" s="238"/>
      <c r="AW287" s="238"/>
      <c r="AX287" s="238"/>
      <c r="AY287" s="238"/>
      <c r="AZ287" s="238"/>
      <c r="BA287" s="241"/>
      <c r="BB287" s="242"/>
      <c r="BC287" s="297" t="n">
        <v>5.2195</v>
      </c>
      <c r="BD287" s="195" t="n">
        <f aca="false">BC287-E287</f>
        <v>-0.040999999999995</v>
      </c>
      <c r="BE287" s="294"/>
      <c r="BF287" s="245"/>
      <c r="BG287" s="121"/>
      <c r="BH287" s="121"/>
      <c r="BI287" s="247"/>
      <c r="BJ287" s="121"/>
      <c r="BK287" s="121"/>
      <c r="BL287" s="121"/>
      <c r="BM287" s="121"/>
      <c r="BN287" s="121"/>
      <c r="BO287" s="121"/>
      <c r="BP287" s="275" t="n">
        <v>45566</v>
      </c>
      <c r="BQ287" s="143" t="n">
        <v>5.1195</v>
      </c>
      <c r="BR287" s="143" t="n">
        <v>0.17</v>
      </c>
      <c r="BS287" s="143" t="n">
        <v>0.0639458444646932</v>
      </c>
      <c r="BT287" s="121"/>
    </row>
    <row r="288" customFormat="false" ht="15" hidden="false" customHeight="false" outlineLevel="0" collapsed="false">
      <c r="A288" s="156" t="n">
        <f aca="false">EOMONTH(A287,0)+1</f>
        <v>45597</v>
      </c>
      <c r="B288" s="215"/>
      <c r="C288" s="281" t="n">
        <v>5.3895</v>
      </c>
      <c r="D288" s="282" t="n">
        <f aca="false">(E288-C288)*1000</f>
        <v>40.999999999995</v>
      </c>
      <c r="E288" s="283" t="n">
        <f aca="false">VLOOKUP(YEAR(A288),Yr_Sprds,2)+E276</f>
        <v>5.4305</v>
      </c>
      <c r="F288" s="287"/>
      <c r="G288" s="288"/>
      <c r="H288" s="287"/>
      <c r="I288" s="287"/>
      <c r="J288" s="279"/>
      <c r="K288" s="278"/>
      <c r="L288" s="291"/>
      <c r="M288" s="112"/>
      <c r="N288" s="278"/>
      <c r="O288" s="278"/>
      <c r="P288" s="278"/>
      <c r="Q288" s="167"/>
      <c r="R288" s="167"/>
      <c r="S288" s="167"/>
      <c r="T288" s="167"/>
      <c r="U288" s="167"/>
      <c r="V288" s="167"/>
      <c r="W288" s="167"/>
      <c r="X288" s="167"/>
      <c r="Y288" s="228" t="n">
        <f aca="false">DAY(EOMONTH(A288,0))</f>
        <v>30</v>
      </c>
      <c r="Z288" s="268" t="n">
        <v>45471</v>
      </c>
      <c r="AA288" s="230" t="e">
        <f aca="false">IF(AND(A288&gt;=Front!$E$11,A288&lt;=Front!$E$12),A288,"")</f>
        <v>#VALUE!</v>
      </c>
      <c r="AB288" s="231" t="e">
        <f aca="false">IF(AA288="","",VLOOKUP(MONTH(A287),Front!$W$6:$X$17,2)*IF(Front!D$9=0,Swap!Y288,1))</f>
        <v>#VALUE!</v>
      </c>
      <c r="AC288" s="274" t="e">
        <f aca="false">IF(AA288="","",AB288*AH288)</f>
        <v>#VALUE!</v>
      </c>
      <c r="AD288" s="233"/>
      <c r="AE288" s="231" t="e">
        <f aca="false">IF(AA288="","",AD288*AH288)</f>
        <v>#VALUE!</v>
      </c>
      <c r="AF288" s="243" t="n">
        <f aca="false">INDEX(IRTable,MATCH(A288,IRMonth,0),4)</f>
        <v>0.0639509801646163</v>
      </c>
      <c r="AG288" s="243" t="n">
        <f aca="false">AF288+$AG$9</f>
        <v>0.0639509801646163</v>
      </c>
      <c r="AH288" s="195" t="n">
        <f aca="false">1/((1+AG288/2)^(2*((A288-Front!$C$2)/365.25)))</f>
        <v>1.05834063814503</v>
      </c>
      <c r="AI288" s="236" t="e">
        <f aca="false">IF($AA288="","",E288*AC288)</f>
        <v>#VALUE!</v>
      </c>
      <c r="AJ288" s="236" t="e">
        <f aca="false">IF($AA288="","",E288*AE288)</f>
        <v>#VALUE!</v>
      </c>
      <c r="AK288" s="295"/>
      <c r="AL288" s="120"/>
      <c r="AM288" s="238" t="n">
        <f aca="false">AD288/10000</f>
        <v>0</v>
      </c>
      <c r="AN288" s="238" t="n">
        <f aca="false">AD288*DAY(EOMONTH(A288,0))/10000</f>
        <v>0</v>
      </c>
      <c r="AO288" s="238"/>
      <c r="AP288" s="238"/>
      <c r="AQ288" s="238"/>
      <c r="AR288" s="239"/>
      <c r="AS288" s="238"/>
      <c r="AT288" s="238"/>
      <c r="AU288" s="238"/>
      <c r="AV288" s="238"/>
      <c r="AW288" s="238"/>
      <c r="AX288" s="238"/>
      <c r="AY288" s="238"/>
      <c r="AZ288" s="238"/>
      <c r="BA288" s="241"/>
      <c r="BB288" s="242"/>
      <c r="BC288" s="297" t="n">
        <v>5.3895</v>
      </c>
      <c r="BD288" s="195" t="n">
        <f aca="false">BC288-E288</f>
        <v>-0.040999999999995</v>
      </c>
      <c r="BE288" s="294"/>
      <c r="BF288" s="245"/>
      <c r="BG288" s="121"/>
      <c r="BH288" s="121"/>
      <c r="BI288" s="247"/>
      <c r="BJ288" s="121"/>
      <c r="BK288" s="121"/>
      <c r="BL288" s="121"/>
      <c r="BM288" s="121"/>
      <c r="BN288" s="121"/>
      <c r="BO288" s="121"/>
      <c r="BP288" s="275" t="n">
        <v>45597</v>
      </c>
      <c r="BQ288" s="143" t="n">
        <v>5.2895</v>
      </c>
      <c r="BR288" s="143" t="n">
        <v>0.17</v>
      </c>
      <c r="BS288" s="143" t="n">
        <v>0.0639509801646163</v>
      </c>
      <c r="BT288" s="121"/>
    </row>
    <row r="289" customFormat="false" ht="15" hidden="false" customHeight="false" outlineLevel="0" collapsed="false">
      <c r="A289" s="156" t="n">
        <f aca="false">EOMONTH(A288,0)+1</f>
        <v>45627</v>
      </c>
      <c r="B289" s="215"/>
      <c r="C289" s="281" t="n">
        <v>5.5645</v>
      </c>
      <c r="D289" s="282" t="n">
        <f aca="false">(E289-C289)*1000</f>
        <v>40.999999999995</v>
      </c>
      <c r="E289" s="283" t="n">
        <f aca="false">VLOOKUP(YEAR(A289),Yr_Sprds,2)+E277</f>
        <v>5.6055</v>
      </c>
      <c r="F289" s="287"/>
      <c r="G289" s="288"/>
      <c r="H289" s="287"/>
      <c r="I289" s="287"/>
      <c r="J289" s="279"/>
      <c r="K289" s="278"/>
      <c r="L289" s="291"/>
      <c r="M289" s="112"/>
      <c r="N289" s="278"/>
      <c r="O289" s="278"/>
      <c r="P289" s="278"/>
      <c r="Q289" s="167"/>
      <c r="R289" s="167"/>
      <c r="S289" s="167"/>
      <c r="T289" s="167"/>
      <c r="U289" s="167"/>
      <c r="V289" s="167"/>
      <c r="W289" s="167"/>
      <c r="X289" s="167"/>
      <c r="Y289" s="228" t="n">
        <f aca="false">DAY(EOMONTH(A289,0))</f>
        <v>31</v>
      </c>
      <c r="Z289" s="268" t="n">
        <v>45502</v>
      </c>
      <c r="AA289" s="230" t="e">
        <f aca="false">IF(AND(A289&gt;=Front!$E$11,A289&lt;=Front!$E$12),A289,"")</f>
        <v>#VALUE!</v>
      </c>
      <c r="AB289" s="231" t="e">
        <f aca="false">IF(AA289="","",VLOOKUP(MONTH(A288),Front!$W$6:$X$17,2)*IF(Front!D$9=0,Swap!Y289,1))</f>
        <v>#VALUE!</v>
      </c>
      <c r="AC289" s="274" t="e">
        <f aca="false">IF(AA289="","",AB289*AH289)</f>
        <v>#VALUE!</v>
      </c>
      <c r="AD289" s="233"/>
      <c r="AE289" s="231" t="e">
        <f aca="false">IF(AA289="","",AD289*AH289)</f>
        <v>#VALUE!</v>
      </c>
      <c r="AF289" s="243" t="n">
        <f aca="false">INDEX(IRTable,MATCH(A289,IRMonth,0),4)</f>
        <v>0.0639559501968079</v>
      </c>
      <c r="AG289" s="243" t="n">
        <f aca="false">AF289+$AG$9</f>
        <v>0.0639559501968079</v>
      </c>
      <c r="AH289" s="195" t="n">
        <f aca="false">1/((1+AG289/2)^(2*((A289-Front!$C$2)/365.25)))</f>
        <v>1.05288684819222</v>
      </c>
      <c r="AI289" s="236" t="e">
        <f aca="false">IF($AA289="","",E289*AC289)</f>
        <v>#VALUE!</v>
      </c>
      <c r="AJ289" s="236" t="e">
        <f aca="false">IF($AA289="","",E289*AE289)</f>
        <v>#VALUE!</v>
      </c>
      <c r="AK289" s="295"/>
      <c r="AL289" s="120"/>
      <c r="AM289" s="238" t="n">
        <f aca="false">AD289/10000</f>
        <v>0</v>
      </c>
      <c r="AN289" s="238" t="n">
        <f aca="false">AD289*DAY(EOMONTH(A289,0))/10000</f>
        <v>0</v>
      </c>
      <c r="AO289" s="238"/>
      <c r="AP289" s="238"/>
      <c r="AQ289" s="238"/>
      <c r="AR289" s="239"/>
      <c r="AS289" s="238"/>
      <c r="AT289" s="238"/>
      <c r="AU289" s="238"/>
      <c r="AV289" s="238"/>
      <c r="AW289" s="238"/>
      <c r="AX289" s="238"/>
      <c r="AY289" s="238"/>
      <c r="AZ289" s="238"/>
      <c r="BA289" s="241"/>
      <c r="BB289" s="242"/>
      <c r="BC289" s="297" t="n">
        <v>5.5645</v>
      </c>
      <c r="BD289" s="195" t="n">
        <f aca="false">BC289-E289</f>
        <v>-0.040999999999995</v>
      </c>
      <c r="BE289" s="294"/>
      <c r="BF289" s="245"/>
      <c r="BG289" s="121"/>
      <c r="BH289" s="121"/>
      <c r="BI289" s="247"/>
      <c r="BJ289" s="121"/>
      <c r="BK289" s="121"/>
      <c r="BL289" s="121"/>
      <c r="BM289" s="121"/>
      <c r="BN289" s="121"/>
      <c r="BO289" s="121"/>
      <c r="BP289" s="275" t="n">
        <v>45627</v>
      </c>
      <c r="BQ289" s="143" t="n">
        <v>5.4645</v>
      </c>
      <c r="BR289" s="143" t="n">
        <v>0.17</v>
      </c>
      <c r="BS289" s="143" t="n">
        <v>0.0639559501968079</v>
      </c>
      <c r="BT289" s="121"/>
    </row>
    <row r="290" customFormat="false" ht="15" hidden="false" customHeight="false" outlineLevel="0" collapsed="false">
      <c r="A290" s="156" t="n">
        <f aca="false">EOMONTH(A289,0)+1</f>
        <v>45658</v>
      </c>
      <c r="B290" s="215"/>
      <c r="C290" s="281" t="n">
        <v>5.6195</v>
      </c>
      <c r="D290" s="282" t="n">
        <f aca="false">(E290-C290)*1000</f>
        <v>43.4999999999945</v>
      </c>
      <c r="E290" s="283" t="n">
        <f aca="false">VLOOKUP(YEAR(A290),Yr_Sprds,2)+E278</f>
        <v>5.663</v>
      </c>
      <c r="F290" s="287"/>
      <c r="G290" s="288"/>
      <c r="H290" s="287"/>
      <c r="I290" s="287"/>
      <c r="J290" s="279"/>
      <c r="K290" s="278"/>
      <c r="L290" s="291"/>
      <c r="M290" s="112"/>
      <c r="N290" s="278"/>
      <c r="O290" s="278"/>
      <c r="P290" s="278"/>
      <c r="Q290" s="167"/>
      <c r="R290" s="167"/>
      <c r="S290" s="167"/>
      <c r="T290" s="167"/>
      <c r="U290" s="167"/>
      <c r="V290" s="167"/>
      <c r="W290" s="167"/>
      <c r="X290" s="167"/>
      <c r="Y290" s="228" t="n">
        <f aca="false">DAY(EOMONTH(A290,0))</f>
        <v>31</v>
      </c>
      <c r="Z290" s="268" t="n">
        <v>45533</v>
      </c>
      <c r="AA290" s="230" t="e">
        <f aca="false">IF(AND(A290&gt;=Front!$E$11,A290&lt;=Front!$E$12),A290,"")</f>
        <v>#VALUE!</v>
      </c>
      <c r="AB290" s="231" t="e">
        <f aca="false">IF(AA290="","",VLOOKUP(MONTH(A289),Front!$W$6:$X$17,2)*IF(Front!D$9=0,Swap!Y290,1))</f>
        <v>#VALUE!</v>
      </c>
      <c r="AC290" s="274" t="e">
        <f aca="false">IF(AA290="","",AB290*AH290)</f>
        <v>#VALUE!</v>
      </c>
      <c r="AD290" s="233"/>
      <c r="AE290" s="231" t="e">
        <f aca="false">IF(AA290="","",AD290*AH290)</f>
        <v>#VALUE!</v>
      </c>
      <c r="AF290" s="243" t="e">
        <f aca="false">INDEX(IRTable,MATCH(A290,IRMonth,0),4)</f>
        <v>#N/A</v>
      </c>
      <c r="AG290" s="243" t="e">
        <f aca="false">AF290+$AG$9</f>
        <v>#N/A</v>
      </c>
      <c r="AH290" s="195" t="e">
        <f aca="false">1/((1+AG290/2)^(2*((A290-Front!$C$2)/365.25)))</f>
        <v>#N/A</v>
      </c>
      <c r="AI290" s="236" t="e">
        <f aca="false">IF($AA290="","",E290*AC290)</f>
        <v>#VALUE!</v>
      </c>
      <c r="AJ290" s="236" t="e">
        <f aca="false">IF($AA290="","",E290*AE290)</f>
        <v>#VALUE!</v>
      </c>
      <c r="AK290" s="295"/>
      <c r="AL290" s="120"/>
      <c r="AM290" s="238" t="n">
        <f aca="false">AD290/10000</f>
        <v>0</v>
      </c>
      <c r="AN290" s="238" t="n">
        <f aca="false">AD290*DAY(EOMONTH(A290,0))/10000</f>
        <v>0</v>
      </c>
      <c r="AO290" s="238"/>
      <c r="AP290" s="238"/>
      <c r="AQ290" s="238"/>
      <c r="AR290" s="239"/>
      <c r="AS290" s="238"/>
      <c r="AT290" s="238"/>
      <c r="AU290" s="238"/>
      <c r="AV290" s="238"/>
      <c r="AW290" s="238"/>
      <c r="AX290" s="238"/>
      <c r="AY290" s="238"/>
      <c r="AZ290" s="238"/>
      <c r="BA290" s="241"/>
      <c r="BB290" s="242"/>
      <c r="BC290" s="297" t="n">
        <v>5.6195</v>
      </c>
      <c r="BD290" s="195" t="n">
        <f aca="false">BC290-E290</f>
        <v>-0.0434999999999945</v>
      </c>
      <c r="BE290" s="294"/>
      <c r="BF290" s="245"/>
      <c r="BG290" s="121"/>
      <c r="BH290" s="121"/>
      <c r="BI290" s="247"/>
      <c r="BJ290" s="121"/>
      <c r="BK290" s="121"/>
      <c r="BL290" s="121"/>
      <c r="BM290" s="121"/>
      <c r="BN290" s="121"/>
      <c r="BO290" s="121"/>
      <c r="BP290" s="275"/>
      <c r="BQ290" s="143"/>
      <c r="BR290" s="143"/>
      <c r="BS290" s="143" t="n">
        <v>0.0639610858967479</v>
      </c>
      <c r="BT290" s="121"/>
    </row>
    <row r="291" customFormat="false" ht="15" hidden="false" customHeight="false" outlineLevel="0" collapsed="false">
      <c r="A291" s="156" t="n">
        <f aca="false">EOMONTH(A290,0)+1</f>
        <v>45689</v>
      </c>
      <c r="B291" s="215"/>
      <c r="C291" s="281" t="n">
        <v>5.5055</v>
      </c>
      <c r="D291" s="282"/>
      <c r="E291" s="283"/>
      <c r="F291" s="287"/>
      <c r="G291" s="288"/>
      <c r="H291" s="287"/>
      <c r="I291" s="287"/>
      <c r="J291" s="279"/>
      <c r="K291" s="278"/>
      <c r="L291" s="291"/>
      <c r="M291" s="112"/>
      <c r="N291" s="278"/>
      <c r="O291" s="278"/>
      <c r="P291" s="278"/>
      <c r="Q291" s="167"/>
      <c r="R291" s="167"/>
      <c r="S291" s="167"/>
      <c r="T291" s="167"/>
      <c r="U291" s="167"/>
      <c r="V291" s="167"/>
      <c r="W291" s="167"/>
      <c r="X291" s="167"/>
      <c r="Y291" s="228" t="n">
        <f aca="false">DAY(EOMONTH(A291,0))</f>
        <v>28</v>
      </c>
      <c r="Z291" s="268" t="n">
        <v>45563</v>
      </c>
      <c r="AA291" s="230" t="e">
        <f aca="false">IF(AND(A291&gt;=Front!$E$11,A291&lt;=Front!$E$12),A291,"")</f>
        <v>#VALUE!</v>
      </c>
      <c r="AB291" s="231" t="e">
        <f aca="false">IF(AA291="","",VLOOKUP(MONTH(A290),Front!$W$6:$X$17,2)*IF(Front!D$9=0,Swap!Y291,1))</f>
        <v>#VALUE!</v>
      </c>
      <c r="AC291" s="274" t="e">
        <f aca="false">IF(AA291="","",AB291*AH291)</f>
        <v>#VALUE!</v>
      </c>
      <c r="AD291" s="233"/>
      <c r="AE291" s="231" t="e">
        <f aca="false">IF(AA291="","",AD291*AH291)</f>
        <v>#VALUE!</v>
      </c>
      <c r="AF291" s="243" t="e">
        <f aca="false">INDEX(IRTable,MATCH(A291,IRMonth,0),4)</f>
        <v>#N/A</v>
      </c>
      <c r="AG291" s="243" t="e">
        <f aca="false">AF291+$AG$9</f>
        <v>#N/A</v>
      </c>
      <c r="AH291" s="195" t="e">
        <f aca="false">1/((1+AG291/2)^(2*((A291-Front!$C$2)/365.25)))</f>
        <v>#N/A</v>
      </c>
      <c r="AI291" s="236" t="e">
        <f aca="false">IF($AA291="","",E291*AC291)</f>
        <v>#VALUE!</v>
      </c>
      <c r="AJ291" s="236" t="e">
        <f aca="false">IF($AA291="","",E291*AE291)</f>
        <v>#VALUE!</v>
      </c>
      <c r="AK291" s="295"/>
      <c r="AL291" s="120"/>
      <c r="AM291" s="238" t="n">
        <f aca="false">AD291/10000</f>
        <v>0</v>
      </c>
      <c r="AN291" s="238" t="n">
        <f aca="false">AD291*DAY(EOMONTH(A291,0))/10000</f>
        <v>0</v>
      </c>
      <c r="AO291" s="238"/>
      <c r="AP291" s="238"/>
      <c r="AQ291" s="238"/>
      <c r="AR291" s="239"/>
      <c r="AS291" s="238"/>
      <c r="AT291" s="238"/>
      <c r="AU291" s="238"/>
      <c r="AV291" s="238"/>
      <c r="AW291" s="238"/>
      <c r="AX291" s="238"/>
      <c r="AY291" s="238"/>
      <c r="AZ291" s="238"/>
      <c r="BA291" s="241"/>
      <c r="BB291" s="242"/>
      <c r="BC291" s="297" t="n">
        <v>5.5055</v>
      </c>
      <c r="BD291" s="195"/>
      <c r="BE291" s="294"/>
      <c r="BF291" s="245"/>
      <c r="BG291" s="121"/>
      <c r="BH291" s="121"/>
      <c r="BI291" s="247"/>
      <c r="BJ291" s="121"/>
      <c r="BK291" s="121"/>
      <c r="BL291" s="121"/>
      <c r="BM291" s="121"/>
      <c r="BN291" s="121"/>
      <c r="BO291" s="121"/>
      <c r="BP291" s="275"/>
      <c r="BQ291" s="143"/>
      <c r="BR291" s="143"/>
      <c r="BS291" s="143" t="n">
        <v>0.0639662215966967</v>
      </c>
      <c r="BT291" s="121"/>
    </row>
    <row r="292" customFormat="false" ht="15" hidden="false" customHeight="false" outlineLevel="0" collapsed="false">
      <c r="A292" s="156" t="n">
        <f aca="false">EOMONTH(A291,0)+1</f>
        <v>45717</v>
      </c>
      <c r="B292" s="215"/>
      <c r="C292" s="281" t="n">
        <v>5.3735</v>
      </c>
      <c r="D292" s="282"/>
      <c r="E292" s="283"/>
      <c r="F292" s="287"/>
      <c r="G292" s="288"/>
      <c r="H292" s="287"/>
      <c r="I292" s="287"/>
      <c r="J292" s="279"/>
      <c r="K292" s="278"/>
      <c r="L292" s="291"/>
      <c r="M292" s="112"/>
      <c r="N292" s="278"/>
      <c r="O292" s="278"/>
      <c r="P292" s="278"/>
      <c r="Q292" s="167"/>
      <c r="R292" s="167"/>
      <c r="S292" s="167"/>
      <c r="T292" s="167"/>
      <c r="U292" s="167"/>
      <c r="V292" s="167"/>
      <c r="W292" s="167"/>
      <c r="X292" s="167"/>
      <c r="Y292" s="228" t="n">
        <f aca="false">DAY(EOMONTH(A292,0))</f>
        <v>31</v>
      </c>
      <c r="Z292" s="268" t="n">
        <v>45594</v>
      </c>
      <c r="AA292" s="230" t="e">
        <f aca="false">IF(AND(A292&gt;=Front!$E$11,A292&lt;=Front!$E$12),A292,"")</f>
        <v>#VALUE!</v>
      </c>
      <c r="AB292" s="231" t="e">
        <f aca="false">IF(AA292="","",VLOOKUP(MONTH(A291),Front!$W$6:$X$17,2)*IF(Front!D$9=0,Swap!Y292,1))</f>
        <v>#VALUE!</v>
      </c>
      <c r="AC292" s="274" t="e">
        <f aca="false">IF(AA292="","",AB292*AH292)</f>
        <v>#VALUE!</v>
      </c>
      <c r="AD292" s="233"/>
      <c r="AE292" s="231" t="e">
        <f aca="false">IF(AA292="","",AD292*AH292)</f>
        <v>#VALUE!</v>
      </c>
      <c r="AF292" s="243" t="e">
        <f aca="false">AF291</f>
        <v>#N/A</v>
      </c>
      <c r="AG292" s="243" t="e">
        <f aca="false">AF292+$AG$9</f>
        <v>#N/A</v>
      </c>
      <c r="AH292" s="195" t="e">
        <f aca="false">1/((1+AG292/2)^(2*((A292-Front!$C$2)/365.25)))</f>
        <v>#N/A</v>
      </c>
      <c r="AI292" s="236" t="e">
        <f aca="false">IF($AA292="","",E292*AC292)</f>
        <v>#VALUE!</v>
      </c>
      <c r="AJ292" s="236" t="e">
        <f aca="false">IF($AA292="","",E292*AE292)</f>
        <v>#VALUE!</v>
      </c>
      <c r="AK292" s="295"/>
      <c r="AL292" s="120"/>
      <c r="AM292" s="238" t="n">
        <f aca="false">AD292/10000</f>
        <v>0</v>
      </c>
      <c r="AN292" s="238" t="n">
        <f aca="false">AD292*DAY(EOMONTH(A292,0))/10000</f>
        <v>0</v>
      </c>
      <c r="AO292" s="238"/>
      <c r="AP292" s="238"/>
      <c r="AQ292" s="238"/>
      <c r="AR292" s="239"/>
      <c r="AS292" s="238"/>
      <c r="AT292" s="238"/>
      <c r="AU292" s="238"/>
      <c r="AV292" s="238"/>
      <c r="AW292" s="238"/>
      <c r="AX292" s="238"/>
      <c r="AY292" s="238"/>
      <c r="AZ292" s="238"/>
      <c r="BA292" s="241"/>
      <c r="BB292" s="242"/>
      <c r="BC292" s="297" t="n">
        <v>5.3735</v>
      </c>
      <c r="BD292" s="195"/>
      <c r="BE292" s="294"/>
      <c r="BF292" s="245"/>
      <c r="BG292" s="121"/>
      <c r="BH292" s="121"/>
      <c r="BI292" s="247"/>
      <c r="BJ292" s="121"/>
      <c r="BK292" s="121"/>
      <c r="BL292" s="121"/>
      <c r="BM292" s="121"/>
      <c r="BN292" s="121"/>
      <c r="BO292" s="121"/>
      <c r="BP292" s="275"/>
      <c r="BQ292" s="143"/>
      <c r="BR292" s="143"/>
      <c r="BS292" s="143" t="n">
        <v>0.0639708602934324</v>
      </c>
      <c r="BT292" s="121"/>
    </row>
    <row r="293" customFormat="false" ht="15" hidden="false" customHeight="false" outlineLevel="0" collapsed="false">
      <c r="A293" s="156" t="n">
        <f aca="false">EOMONTH(A292,0)+1</f>
        <v>45748</v>
      </c>
      <c r="B293" s="215"/>
      <c r="C293" s="281" t="n">
        <v>5.2035</v>
      </c>
      <c r="D293" s="282"/>
      <c r="E293" s="283"/>
      <c r="F293" s="287"/>
      <c r="G293" s="288"/>
      <c r="H293" s="287"/>
      <c r="I293" s="287"/>
      <c r="J293" s="279"/>
      <c r="K293" s="278"/>
      <c r="L293" s="291"/>
      <c r="M293" s="112"/>
      <c r="N293" s="278"/>
      <c r="O293" s="278"/>
      <c r="P293" s="278"/>
      <c r="Q293" s="167"/>
      <c r="R293" s="167"/>
      <c r="S293" s="167"/>
      <c r="T293" s="167"/>
      <c r="U293" s="167"/>
      <c r="V293" s="167"/>
      <c r="W293" s="167"/>
      <c r="X293" s="167"/>
      <c r="Y293" s="228" t="n">
        <f aca="false">DAY(EOMONTH(A293,0))</f>
        <v>30</v>
      </c>
      <c r="Z293" s="268" t="n">
        <v>45624</v>
      </c>
      <c r="AA293" s="230" t="e">
        <f aca="false">IF(AND(A293&gt;=Front!$E$11,A293&lt;=Front!$E$12),A293,"")</f>
        <v>#VALUE!</v>
      </c>
      <c r="AB293" s="231" t="e">
        <f aca="false">IF(AA293="","",VLOOKUP(MONTH(A292),Front!$W$6:$X$17,2)*IF(Front!D$9=0,Swap!Y293,1))</f>
        <v>#VALUE!</v>
      </c>
      <c r="AC293" s="274" t="e">
        <f aca="false">IF(AA293="","",AB293*AH293)</f>
        <v>#VALUE!</v>
      </c>
      <c r="AD293" s="233"/>
      <c r="AE293" s="231" t="e">
        <f aca="false">IF(AA293="","",AD293*AH293)</f>
        <v>#VALUE!</v>
      </c>
      <c r="AF293" s="243" t="e">
        <f aca="false">AF292</f>
        <v>#N/A</v>
      </c>
      <c r="AG293" s="243" t="e">
        <f aca="false">AF293+$AG$9</f>
        <v>#N/A</v>
      </c>
      <c r="AH293" s="195" t="e">
        <f aca="false">1/((1+AG293/2)^(2*((A293-Front!$C$2)/365.25)))</f>
        <v>#N/A</v>
      </c>
      <c r="AI293" s="236" t="e">
        <f aca="false">IF($AA293="","",E293*AC293)</f>
        <v>#VALUE!</v>
      </c>
      <c r="AJ293" s="236" t="e">
        <f aca="false">IF($AA293="","",E293*AE293)</f>
        <v>#VALUE!</v>
      </c>
      <c r="AK293" s="295"/>
      <c r="AL293" s="120"/>
      <c r="AM293" s="238" t="n">
        <f aca="false">AD293/10000</f>
        <v>0</v>
      </c>
      <c r="AN293" s="238" t="n">
        <f aca="false">AD293*DAY(EOMONTH(A293,0))/10000</f>
        <v>0</v>
      </c>
      <c r="AO293" s="238"/>
      <c r="AP293" s="238"/>
      <c r="AQ293" s="238"/>
      <c r="AR293" s="239"/>
      <c r="AS293" s="238"/>
      <c r="AT293" s="238"/>
      <c r="AU293" s="238"/>
      <c r="AV293" s="238"/>
      <c r="AW293" s="238"/>
      <c r="AX293" s="238"/>
      <c r="AY293" s="238"/>
      <c r="AZ293" s="238"/>
      <c r="BA293" s="241"/>
      <c r="BB293" s="242"/>
      <c r="BC293" s="297" t="n">
        <v>5.2035</v>
      </c>
      <c r="BD293" s="195"/>
      <c r="BE293" s="294"/>
      <c r="BF293" s="245"/>
      <c r="BG293" s="121"/>
      <c r="BH293" s="121"/>
      <c r="BI293" s="247"/>
      <c r="BJ293" s="121"/>
      <c r="BK293" s="121"/>
      <c r="BL293" s="121"/>
      <c r="BM293" s="121"/>
      <c r="BN293" s="121"/>
      <c r="BO293" s="121"/>
      <c r="BP293" s="275"/>
      <c r="BQ293" s="143"/>
      <c r="BR293" s="143"/>
      <c r="BS293" s="143" t="n">
        <v>0.0639759959933981</v>
      </c>
      <c r="BT293" s="121"/>
    </row>
    <row r="294" customFormat="false" ht="15" hidden="false" customHeight="false" outlineLevel="0" collapsed="false">
      <c r="A294" s="156" t="n">
        <f aca="false">EOMONTH(A293,0)+1</f>
        <v>45778</v>
      </c>
      <c r="B294" s="215"/>
      <c r="C294" s="281" t="n">
        <v>5.2035</v>
      </c>
      <c r="D294" s="282"/>
      <c r="E294" s="283"/>
      <c r="F294" s="287"/>
      <c r="G294" s="288"/>
      <c r="H294" s="287"/>
      <c r="I294" s="287"/>
      <c r="J294" s="279"/>
      <c r="K294" s="278"/>
      <c r="L294" s="291"/>
      <c r="M294" s="112"/>
      <c r="N294" s="278"/>
      <c r="O294" s="278"/>
      <c r="P294" s="278"/>
      <c r="Q294" s="167"/>
      <c r="R294" s="167"/>
      <c r="S294" s="167"/>
      <c r="T294" s="167"/>
      <c r="U294" s="167"/>
      <c r="V294" s="167"/>
      <c r="W294" s="167"/>
      <c r="X294" s="167"/>
      <c r="Y294" s="228" t="n">
        <f aca="false">DAY(EOMONTH(A294,0))</f>
        <v>31</v>
      </c>
      <c r="Z294" s="268" t="n">
        <v>45655</v>
      </c>
      <c r="AA294" s="230" t="e">
        <f aca="false">IF(AND(A294&gt;=Front!$E$11,A294&lt;=Front!$E$12),A294,"")</f>
        <v>#VALUE!</v>
      </c>
      <c r="AB294" s="231" t="e">
        <f aca="false">IF(AA294="","",VLOOKUP(MONTH(A293),Front!$W$6:$X$17,2)*IF(Front!D$9=0,Swap!Y294,1))</f>
        <v>#VALUE!</v>
      </c>
      <c r="AC294" s="274" t="e">
        <f aca="false">IF(AA294="","",AB294*AH294)</f>
        <v>#VALUE!</v>
      </c>
      <c r="AD294" s="233"/>
      <c r="AE294" s="231" t="e">
        <f aca="false">IF(AA294="","",AD294*AH294)</f>
        <v>#VALUE!</v>
      </c>
      <c r="AF294" s="243" t="e">
        <f aca="false">AF293</f>
        <v>#N/A</v>
      </c>
      <c r="AG294" s="243" t="e">
        <f aca="false">AF294+$AG$9</f>
        <v>#N/A</v>
      </c>
      <c r="AH294" s="195" t="e">
        <f aca="false">1/((1+AG294/2)^(2*((A294-Front!$C$2)/365.25)))</f>
        <v>#N/A</v>
      </c>
      <c r="AI294" s="236" t="e">
        <f aca="false">IF($AA294="","",E294*AC294)</f>
        <v>#VALUE!</v>
      </c>
      <c r="AJ294" s="236" t="e">
        <f aca="false">IF($AA294="","",E294*AE294)</f>
        <v>#VALUE!</v>
      </c>
      <c r="AK294" s="295"/>
      <c r="AL294" s="120"/>
      <c r="AM294" s="238" t="n">
        <f aca="false">AD294/10000</f>
        <v>0</v>
      </c>
      <c r="AN294" s="238" t="n">
        <f aca="false">AD294*DAY(EOMONTH(A294,0))/10000</f>
        <v>0</v>
      </c>
      <c r="AO294" s="238"/>
      <c r="AP294" s="238"/>
      <c r="AQ294" s="238"/>
      <c r="AR294" s="239"/>
      <c r="AS294" s="238"/>
      <c r="AT294" s="238"/>
      <c r="AU294" s="238"/>
      <c r="AV294" s="238"/>
      <c r="AW294" s="238"/>
      <c r="AX294" s="238"/>
      <c r="AY294" s="238"/>
      <c r="AZ294" s="238"/>
      <c r="BA294" s="241"/>
      <c r="BB294" s="242"/>
      <c r="BC294" s="297" t="n">
        <v>5.2035</v>
      </c>
      <c r="BD294" s="195"/>
      <c r="BE294" s="294"/>
      <c r="BF294" s="245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275"/>
      <c r="BQ294" s="143"/>
      <c r="BR294" s="143"/>
      <c r="BS294" s="143" t="n">
        <v>0.0639809660256314</v>
      </c>
      <c r="BT294" s="121"/>
    </row>
    <row r="295" customFormat="false" ht="15" hidden="false" customHeight="false" outlineLevel="0" collapsed="false">
      <c r="A295" s="156" t="n">
        <f aca="false">EOMONTH(A294,0)+1</f>
        <v>45809</v>
      </c>
      <c r="B295" s="215"/>
      <c r="C295" s="281" t="n">
        <v>5.2355</v>
      </c>
      <c r="D295" s="282"/>
      <c r="E295" s="283"/>
      <c r="F295" s="287"/>
      <c r="G295" s="288"/>
      <c r="H295" s="287"/>
      <c r="I295" s="287"/>
      <c r="J295" s="279"/>
      <c r="K295" s="278"/>
      <c r="L295" s="291"/>
      <c r="M295" s="112"/>
      <c r="N295" s="278"/>
      <c r="O295" s="278"/>
      <c r="P295" s="278"/>
      <c r="Q295" s="167"/>
      <c r="R295" s="167"/>
      <c r="S295" s="167"/>
      <c r="T295" s="167"/>
      <c r="U295" s="167"/>
      <c r="V295" s="167"/>
      <c r="W295" s="167"/>
      <c r="X295" s="167"/>
      <c r="Y295" s="228" t="n">
        <f aca="false">DAY(EOMONTH(A295,0))</f>
        <v>30</v>
      </c>
      <c r="Z295" s="268" t="n">
        <v>45594</v>
      </c>
      <c r="AA295" s="230" t="e">
        <f aca="false">IF(AND(A295&gt;=Front!$E$11,A295&lt;=Front!$E$12),A295,"")</f>
        <v>#VALUE!</v>
      </c>
      <c r="AB295" s="231" t="e">
        <f aca="false">IF(AA295="","",VLOOKUP(MONTH(A294),Front!$W$6:$X$17,2)*IF(Front!D$9=0,Swap!Y295,1))</f>
        <v>#VALUE!</v>
      </c>
      <c r="AC295" s="274" t="e">
        <f aca="false">IF(AA295="","",AB295*AH295)</f>
        <v>#VALUE!</v>
      </c>
      <c r="AD295" s="233"/>
      <c r="AE295" s="231" t="e">
        <f aca="false">IF(AA295="","",AD295*AH295)</f>
        <v>#VALUE!</v>
      </c>
      <c r="AF295" s="243" t="e">
        <f aca="false">AF294</f>
        <v>#N/A</v>
      </c>
      <c r="AG295" s="243" t="e">
        <f aca="false">AF295+$AG$9</f>
        <v>#N/A</v>
      </c>
      <c r="AH295" s="195" t="e">
        <f aca="false">1/((1+AG295/2)^(2*((A295-Front!$C$2)/365.25)))</f>
        <v>#N/A</v>
      </c>
      <c r="AI295" s="236" t="e">
        <f aca="false">IF($AA295="","",E295*AC295)</f>
        <v>#VALUE!</v>
      </c>
      <c r="AJ295" s="236" t="e">
        <f aca="false">IF($AA295="","",E295*AE295)</f>
        <v>#VALUE!</v>
      </c>
      <c r="AK295" s="295"/>
      <c r="AL295" s="120"/>
      <c r="AM295" s="238" t="n">
        <f aca="false">AD295/10000</f>
        <v>0</v>
      </c>
      <c r="AN295" s="238" t="n">
        <f aca="false">AD295*DAY(EOMONTH(A295,0))/10000</f>
        <v>0</v>
      </c>
      <c r="AO295" s="238"/>
      <c r="AP295" s="238"/>
      <c r="AQ295" s="238"/>
      <c r="AR295" s="239"/>
      <c r="AS295" s="238"/>
      <c r="AT295" s="238"/>
      <c r="AU295" s="238"/>
      <c r="AV295" s="238"/>
      <c r="AW295" s="238"/>
      <c r="AX295" s="238"/>
      <c r="AY295" s="238"/>
      <c r="AZ295" s="238"/>
      <c r="BA295" s="241"/>
      <c r="BB295" s="242"/>
      <c r="BC295" s="297" t="n">
        <v>5.2355</v>
      </c>
      <c r="BD295" s="195"/>
      <c r="BE295" s="294"/>
      <c r="BF295" s="245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275"/>
      <c r="BQ295" s="143"/>
      <c r="BR295" s="143"/>
      <c r="BS295" s="143" t="n">
        <v>0.0639861017256145</v>
      </c>
      <c r="BT295" s="121"/>
    </row>
    <row r="296" customFormat="false" ht="15" hidden="false" customHeight="false" outlineLevel="0" collapsed="false">
      <c r="A296" s="156" t="n">
        <f aca="false">EOMONTH(A295,0)+1</f>
        <v>45839</v>
      </c>
      <c r="B296" s="215"/>
      <c r="C296" s="281"/>
      <c r="D296" s="282"/>
      <c r="E296" s="283"/>
      <c r="F296" s="287"/>
      <c r="G296" s="288"/>
      <c r="H296" s="287"/>
      <c r="I296" s="287"/>
      <c r="J296" s="279"/>
      <c r="K296" s="278"/>
      <c r="L296" s="291"/>
      <c r="M296" s="112"/>
      <c r="N296" s="278"/>
      <c r="O296" s="278"/>
      <c r="P296" s="278"/>
      <c r="Q296" s="167"/>
      <c r="R296" s="167"/>
      <c r="S296" s="167"/>
      <c r="T296" s="167"/>
      <c r="U296" s="167"/>
      <c r="V296" s="167"/>
      <c r="W296" s="167"/>
      <c r="X296" s="167"/>
      <c r="Y296" s="228" t="n">
        <f aca="false">DAY(EOMONTH(A296,0))</f>
        <v>31</v>
      </c>
      <c r="Z296" s="268" t="n">
        <v>45624</v>
      </c>
      <c r="AA296" s="230" t="e">
        <f aca="false">IF(AND(A296&gt;=Front!$E$11,A296&lt;=Front!$E$12),A296,"")</f>
        <v>#VALUE!</v>
      </c>
      <c r="AB296" s="231" t="e">
        <f aca="false">IF(AA296="","",VLOOKUP(MONTH(A295),Front!$W$6:$X$17,2)*IF(Front!D$9=0,Swap!Y296,1))</f>
        <v>#VALUE!</v>
      </c>
      <c r="AC296" s="274" t="e">
        <f aca="false">IF(AA296="","",AB296*AH296)</f>
        <v>#VALUE!</v>
      </c>
      <c r="AD296" s="233"/>
      <c r="AE296" s="231" t="e">
        <f aca="false">IF(AA296="","",AD296*AH296)</f>
        <v>#VALUE!</v>
      </c>
      <c r="AF296" s="243" t="e">
        <f aca="false">AF295</f>
        <v>#N/A</v>
      </c>
      <c r="AG296" s="243" t="e">
        <f aca="false">AF296+$AG$9</f>
        <v>#N/A</v>
      </c>
      <c r="AH296" s="195" t="e">
        <f aca="false">1/((1+AG296/2)^(2*((A296-Front!$C$2)/365.25)))</f>
        <v>#N/A</v>
      </c>
      <c r="AI296" s="236" t="e">
        <f aca="false">IF($AA296="","",E296*AC296)</f>
        <v>#VALUE!</v>
      </c>
      <c r="AJ296" s="236" t="e">
        <f aca="false">IF($AA296="","",E296*AE296)</f>
        <v>#VALUE!</v>
      </c>
      <c r="AK296" s="295"/>
      <c r="AL296" s="120"/>
      <c r="AM296" s="238" t="n">
        <f aca="false">AD296/10000</f>
        <v>0</v>
      </c>
      <c r="AN296" s="238" t="n">
        <f aca="false">AD296*DAY(EOMONTH(A296,0))/10000</f>
        <v>0</v>
      </c>
      <c r="AO296" s="238"/>
      <c r="AP296" s="238"/>
      <c r="AQ296" s="238"/>
      <c r="AR296" s="239"/>
      <c r="AS296" s="238"/>
      <c r="AT296" s="238"/>
      <c r="AU296" s="238"/>
      <c r="AV296" s="238"/>
      <c r="AW296" s="238"/>
      <c r="AX296" s="238"/>
      <c r="AY296" s="238"/>
      <c r="AZ296" s="238"/>
      <c r="BA296" s="241"/>
      <c r="BB296" s="242"/>
      <c r="BC296" s="297"/>
      <c r="BD296" s="195"/>
      <c r="BE296" s="294"/>
      <c r="BF296" s="245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275"/>
      <c r="BQ296" s="143"/>
      <c r="BR296" s="143"/>
      <c r="BS296" s="143" t="n">
        <v>0.0639910717578638</v>
      </c>
      <c r="BT296" s="121"/>
    </row>
    <row r="297" customFormat="false" ht="15" hidden="false" customHeight="false" outlineLevel="0" collapsed="false">
      <c r="A297" s="156" t="n">
        <f aca="false">EOMONTH(A296,0)+1</f>
        <v>45870</v>
      </c>
      <c r="B297" s="215"/>
      <c r="C297" s="281"/>
      <c r="D297" s="282"/>
      <c r="E297" s="283"/>
      <c r="F297" s="287"/>
      <c r="G297" s="288"/>
      <c r="H297" s="287"/>
      <c r="I297" s="287"/>
      <c r="J297" s="279"/>
      <c r="K297" s="278"/>
      <c r="L297" s="291"/>
      <c r="M297" s="112"/>
      <c r="N297" s="278"/>
      <c r="O297" s="278"/>
      <c r="P297" s="278"/>
      <c r="Q297" s="167"/>
      <c r="R297" s="167"/>
      <c r="S297" s="167"/>
      <c r="T297" s="167"/>
      <c r="U297" s="167"/>
      <c r="V297" s="167"/>
      <c r="W297" s="167"/>
      <c r="X297" s="167"/>
      <c r="Y297" s="228" t="n">
        <f aca="false">DAY(EOMONTH(A297,0))</f>
        <v>31</v>
      </c>
      <c r="Z297" s="268" t="n">
        <v>45655</v>
      </c>
      <c r="AA297" s="230" t="e">
        <f aca="false">IF(AND(A297&gt;=Front!$E$11,A297&lt;=Front!$E$12),A297,"")</f>
        <v>#VALUE!</v>
      </c>
      <c r="AB297" s="231" t="e">
        <f aca="false">IF(AA297="","",VLOOKUP(MONTH(A296),Front!$W$6:$X$17,2)*IF(Front!D$9=0,Swap!Y297,1))</f>
        <v>#VALUE!</v>
      </c>
      <c r="AC297" s="274" t="e">
        <f aca="false">IF(AA297="","",AB297*AH297)</f>
        <v>#VALUE!</v>
      </c>
      <c r="AD297" s="233"/>
      <c r="AE297" s="231" t="e">
        <f aca="false">IF(AA297="","",AD297*AH297)</f>
        <v>#VALUE!</v>
      </c>
      <c r="AF297" s="243" t="e">
        <f aca="false">AF296</f>
        <v>#N/A</v>
      </c>
      <c r="AG297" s="243" t="e">
        <f aca="false">AF297+$AG$9</f>
        <v>#N/A</v>
      </c>
      <c r="AH297" s="195" t="e">
        <f aca="false">1/((1+AG297/2)^(2*((A297-Front!$C$2)/365.25)))</f>
        <v>#N/A</v>
      </c>
      <c r="AI297" s="236" t="e">
        <f aca="false">IF($AA297="","",E297*AC297)</f>
        <v>#VALUE!</v>
      </c>
      <c r="AJ297" s="236" t="e">
        <f aca="false">IF($AA297="","",E297*AE297)</f>
        <v>#VALUE!</v>
      </c>
      <c r="AK297" s="295"/>
      <c r="AL297" s="120"/>
      <c r="AM297" s="238" t="n">
        <f aca="false">AD297/10000</f>
        <v>0</v>
      </c>
      <c r="AN297" s="238" t="n">
        <f aca="false">AD297*DAY(EOMONTH(A297,0))/10000</f>
        <v>0</v>
      </c>
      <c r="AO297" s="238"/>
      <c r="AP297" s="238"/>
      <c r="AQ297" s="238"/>
      <c r="AR297" s="239"/>
      <c r="AS297" s="238"/>
      <c r="AT297" s="238"/>
      <c r="AU297" s="238"/>
      <c r="AV297" s="238"/>
      <c r="AW297" s="238"/>
      <c r="AX297" s="238"/>
      <c r="AY297" s="238"/>
      <c r="AZ297" s="238"/>
      <c r="BA297" s="241"/>
      <c r="BB297" s="242"/>
      <c r="BC297" s="297"/>
      <c r="BD297" s="195"/>
      <c r="BE297" s="294"/>
      <c r="BF297" s="245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298"/>
      <c r="BQ297" s="81"/>
      <c r="BR297" s="81"/>
      <c r="BS297" s="81" t="n">
        <v>0.0639962074578642</v>
      </c>
      <c r="BT297" s="121"/>
    </row>
    <row r="298" customFormat="false" ht="15" hidden="false" customHeight="false" outlineLevel="0" collapsed="false">
      <c r="A298" s="156" t="n">
        <f aca="false">EOMONTH(A297,0)+1</f>
        <v>45901</v>
      </c>
      <c r="B298" s="215"/>
      <c r="C298" s="281"/>
      <c r="D298" s="282"/>
      <c r="E298" s="283"/>
      <c r="F298" s="287"/>
      <c r="G298" s="288"/>
      <c r="H298" s="287"/>
      <c r="I298" s="287"/>
      <c r="J298" s="279"/>
      <c r="K298" s="278"/>
      <c r="L298" s="291"/>
      <c r="M298" s="112"/>
      <c r="N298" s="278"/>
      <c r="O298" s="278"/>
      <c r="P298" s="278"/>
      <c r="Q298" s="167"/>
      <c r="R298" s="167"/>
      <c r="S298" s="167"/>
      <c r="T298" s="167"/>
      <c r="U298" s="167"/>
      <c r="V298" s="167"/>
      <c r="W298" s="167"/>
      <c r="X298" s="167"/>
      <c r="Y298" s="228" t="n">
        <f aca="false">DAY(EOMONTH(A298,0))</f>
        <v>30</v>
      </c>
      <c r="Z298" s="268" t="n">
        <v>45594</v>
      </c>
      <c r="AA298" s="230" t="e">
        <f aca="false">IF(AND(A298&gt;=Front!$E$11,A298&lt;=Front!$E$12),A298,"")</f>
        <v>#VALUE!</v>
      </c>
      <c r="AB298" s="231" t="e">
        <f aca="false">IF(AA298="","",VLOOKUP(MONTH(A297),Front!$W$6:$X$17,2)*IF(Front!D$9=0,Swap!Y298,1))</f>
        <v>#VALUE!</v>
      </c>
      <c r="AC298" s="274" t="e">
        <f aca="false">IF(AA298="","",AB298*AH298)</f>
        <v>#VALUE!</v>
      </c>
      <c r="AD298" s="233"/>
      <c r="AE298" s="231" t="e">
        <f aca="false">IF(AA298="","",AD298*AH298)</f>
        <v>#VALUE!</v>
      </c>
      <c r="AF298" s="243" t="e">
        <f aca="false">AF297</f>
        <v>#N/A</v>
      </c>
      <c r="AG298" s="243" t="e">
        <f aca="false">AF298+$AG$9</f>
        <v>#N/A</v>
      </c>
      <c r="AH298" s="195" t="e">
        <f aca="false">1/((1+AG298/2)^(2*((A298-Front!$C$2)/365.25)))</f>
        <v>#N/A</v>
      </c>
      <c r="AI298" s="236" t="e">
        <f aca="false">IF($AA298="","",E298*AC298)</f>
        <v>#VALUE!</v>
      </c>
      <c r="AJ298" s="236" t="e">
        <f aca="false">IF($AA298="","",E298*AE298)</f>
        <v>#VALUE!</v>
      </c>
      <c r="AK298" s="295"/>
      <c r="AL298" s="120"/>
      <c r="AM298" s="238" t="n">
        <f aca="false">AD298/10000</f>
        <v>0</v>
      </c>
      <c r="AN298" s="238" t="n">
        <f aca="false">AD298*DAY(EOMONTH(A298,0))/10000</f>
        <v>0</v>
      </c>
      <c r="AO298" s="238"/>
      <c r="AP298" s="238"/>
      <c r="AQ298" s="238"/>
      <c r="AR298" s="239"/>
      <c r="AS298" s="238"/>
      <c r="AT298" s="238"/>
      <c r="AU298" s="238"/>
      <c r="AV298" s="238"/>
      <c r="AW298" s="238"/>
      <c r="AX298" s="238"/>
      <c r="AY298" s="238"/>
      <c r="AZ298" s="238"/>
      <c r="BA298" s="241"/>
      <c r="BB298" s="242"/>
      <c r="BC298" s="297"/>
      <c r="BD298" s="195"/>
      <c r="BE298" s="294"/>
      <c r="BF298" s="245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298"/>
      <c r="BQ298" s="81"/>
      <c r="BR298" s="81"/>
      <c r="BS298" s="81" t="n">
        <v>0.064001343157873</v>
      </c>
      <c r="BT298" s="121"/>
    </row>
    <row r="299" customFormat="false" ht="15" hidden="false" customHeight="false" outlineLevel="0" collapsed="false">
      <c r="A299" s="156" t="n">
        <f aca="false">EOMONTH(A298,0)+1</f>
        <v>45931</v>
      </c>
      <c r="B299" s="215"/>
      <c r="C299" s="281"/>
      <c r="D299" s="282"/>
      <c r="E299" s="283"/>
      <c r="F299" s="287"/>
      <c r="G299" s="288"/>
      <c r="H299" s="287"/>
      <c r="I299" s="287"/>
      <c r="J299" s="279"/>
      <c r="K299" s="278"/>
      <c r="L299" s="291"/>
      <c r="M299" s="112"/>
      <c r="N299" s="278"/>
      <c r="O299" s="278"/>
      <c r="P299" s="278"/>
      <c r="Q299" s="167"/>
      <c r="R299" s="167"/>
      <c r="S299" s="167"/>
      <c r="T299" s="167"/>
      <c r="U299" s="167"/>
      <c r="V299" s="167"/>
      <c r="W299" s="167"/>
      <c r="X299" s="167"/>
      <c r="Y299" s="228" t="n">
        <f aca="false">DAY(EOMONTH(A299,0))</f>
        <v>31</v>
      </c>
      <c r="Z299" s="268" t="n">
        <v>45624</v>
      </c>
      <c r="AA299" s="230" t="e">
        <f aca="false">IF(AND(A299&gt;=Front!$E$11,A299&lt;=Front!$E$12),A299,"")</f>
        <v>#VALUE!</v>
      </c>
      <c r="AB299" s="231" t="e">
        <f aca="false">IF(AA299="","",VLOOKUP(MONTH(A298),Front!$W$6:$X$17,2)*IF(Front!D$9=0,Swap!Y299,1))</f>
        <v>#VALUE!</v>
      </c>
      <c r="AC299" s="274" t="e">
        <f aca="false">IF(AA299="","",AB299*AH299)</f>
        <v>#VALUE!</v>
      </c>
      <c r="AD299" s="233"/>
      <c r="AE299" s="231" t="e">
        <f aca="false">IF(AA299="","",AD299*AH299)</f>
        <v>#VALUE!</v>
      </c>
      <c r="AF299" s="243" t="e">
        <f aca="false">AF298</f>
        <v>#N/A</v>
      </c>
      <c r="AG299" s="243" t="e">
        <f aca="false">AF299+$AG$9</f>
        <v>#N/A</v>
      </c>
      <c r="AH299" s="195" t="e">
        <f aca="false">1/((1+AG299/2)^(2*((A299-Front!$C$2)/365.25)))</f>
        <v>#N/A</v>
      </c>
      <c r="AI299" s="236" t="e">
        <f aca="false">IF($AA299="","",E299*AC299)</f>
        <v>#VALUE!</v>
      </c>
      <c r="AJ299" s="236" t="e">
        <f aca="false">IF($AA299="","",E299*AE299)</f>
        <v>#VALUE!</v>
      </c>
      <c r="AK299" s="295"/>
      <c r="AL299" s="120"/>
      <c r="AM299" s="238" t="n">
        <f aca="false">AD299/10000</f>
        <v>0</v>
      </c>
      <c r="AN299" s="238" t="n">
        <f aca="false">AD299*DAY(EOMONTH(A299,0))/10000</f>
        <v>0</v>
      </c>
      <c r="AO299" s="238"/>
      <c r="AP299" s="238"/>
      <c r="AQ299" s="238"/>
      <c r="AR299" s="239"/>
      <c r="AS299" s="238"/>
      <c r="AT299" s="238"/>
      <c r="AU299" s="238"/>
      <c r="AV299" s="238"/>
      <c r="AW299" s="238"/>
      <c r="AX299" s="238"/>
      <c r="AY299" s="238"/>
      <c r="AZ299" s="238"/>
      <c r="BA299" s="241"/>
      <c r="BB299" s="242"/>
      <c r="BC299" s="297"/>
      <c r="BD299" s="195"/>
      <c r="BE299" s="294"/>
      <c r="BF299" s="245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298"/>
      <c r="BQ299" s="81"/>
      <c r="BR299" s="81"/>
      <c r="BS299" s="81" t="n">
        <v>0.0640063131901476</v>
      </c>
      <c r="BT299" s="121"/>
    </row>
    <row r="300" customFormat="false" ht="15" hidden="false" customHeight="false" outlineLevel="0" collapsed="false">
      <c r="A300" s="156" t="n">
        <f aca="false">EOMONTH(A299,0)+1</f>
        <v>45962</v>
      </c>
      <c r="B300" s="215"/>
      <c r="C300" s="281"/>
      <c r="D300" s="282"/>
      <c r="E300" s="283"/>
      <c r="F300" s="287"/>
      <c r="G300" s="288"/>
      <c r="H300" s="287"/>
      <c r="I300" s="287"/>
      <c r="J300" s="279"/>
      <c r="K300" s="278"/>
      <c r="L300" s="291"/>
      <c r="M300" s="112"/>
      <c r="N300" s="278"/>
      <c r="O300" s="278"/>
      <c r="P300" s="278"/>
      <c r="Q300" s="167"/>
      <c r="R300" s="167"/>
      <c r="S300" s="167"/>
      <c r="T300" s="167"/>
      <c r="U300" s="167"/>
      <c r="V300" s="167"/>
      <c r="W300" s="167"/>
      <c r="X300" s="167"/>
      <c r="Y300" s="228" t="n">
        <f aca="false">DAY(EOMONTH(A300,0))</f>
        <v>30</v>
      </c>
      <c r="Z300" s="268" t="n">
        <v>45655</v>
      </c>
      <c r="AA300" s="230" t="e">
        <f aca="false">IF(AND(A300&gt;=Front!$E$11,A300&lt;=Front!$E$12),A300,"")</f>
        <v>#VALUE!</v>
      </c>
      <c r="AB300" s="231" t="e">
        <f aca="false">IF(AA300="","",VLOOKUP(MONTH(A299),Front!$W$6:$X$17,2)*IF(Front!D$9=0,Swap!Y300,1))</f>
        <v>#VALUE!</v>
      </c>
      <c r="AC300" s="274" t="e">
        <f aca="false">IF(AA300="","",AB300*AH300)</f>
        <v>#VALUE!</v>
      </c>
      <c r="AD300" s="233"/>
      <c r="AE300" s="231" t="e">
        <f aca="false">IF(AA300="","",AD300*AH300)</f>
        <v>#VALUE!</v>
      </c>
      <c r="AF300" s="243" t="e">
        <f aca="false">AF299</f>
        <v>#N/A</v>
      </c>
      <c r="AG300" s="243" t="e">
        <f aca="false">AF300+$AG$9</f>
        <v>#N/A</v>
      </c>
      <c r="AH300" s="195" t="e">
        <f aca="false">1/((1+AG300/2)^(2*((A300-Front!$C$2)/365.25)))</f>
        <v>#N/A</v>
      </c>
      <c r="AI300" s="236" t="e">
        <f aca="false">IF($AA300="","",E300*AC300)</f>
        <v>#VALUE!</v>
      </c>
      <c r="AJ300" s="236" t="e">
        <f aca="false">IF($AA300="","",E300*AE300)</f>
        <v>#VALUE!</v>
      </c>
      <c r="AK300" s="295"/>
      <c r="AL300" s="120"/>
      <c r="AM300" s="238" t="n">
        <f aca="false">AD300/10000</f>
        <v>0</v>
      </c>
      <c r="AN300" s="238" t="n">
        <f aca="false">AD300*DAY(EOMONTH(A300,0))/10000</f>
        <v>0</v>
      </c>
      <c r="AO300" s="238"/>
      <c r="AP300" s="238"/>
      <c r="AQ300" s="238"/>
      <c r="AR300" s="239"/>
      <c r="AS300" s="238"/>
      <c r="AT300" s="238"/>
      <c r="AU300" s="238"/>
      <c r="AV300" s="238"/>
      <c r="AW300" s="238"/>
      <c r="AX300" s="238"/>
      <c r="AY300" s="238"/>
      <c r="AZ300" s="238"/>
      <c r="BA300" s="241"/>
      <c r="BB300" s="242"/>
      <c r="BC300" s="297"/>
      <c r="BD300" s="195"/>
      <c r="BE300" s="294"/>
      <c r="BF300" s="245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298"/>
      <c r="BQ300" s="81"/>
      <c r="BR300" s="81"/>
      <c r="BS300" s="81" t="n">
        <v>0.0640114488901737</v>
      </c>
      <c r="BT300" s="121"/>
    </row>
    <row r="301" customFormat="false" ht="15" hidden="false" customHeight="false" outlineLevel="0" collapsed="false">
      <c r="A301" s="156" t="n">
        <f aca="false">EOMONTH(A300,0)+1</f>
        <v>45992</v>
      </c>
      <c r="B301" s="215"/>
      <c r="C301" s="281"/>
      <c r="D301" s="282"/>
      <c r="E301" s="283"/>
      <c r="F301" s="287"/>
      <c r="G301" s="288"/>
      <c r="H301" s="287"/>
      <c r="I301" s="287"/>
      <c r="J301" s="279"/>
      <c r="K301" s="278"/>
      <c r="L301" s="291"/>
      <c r="M301" s="112"/>
      <c r="N301" s="278"/>
      <c r="O301" s="278"/>
      <c r="P301" s="278"/>
      <c r="Q301" s="167"/>
      <c r="R301" s="167"/>
      <c r="S301" s="167"/>
      <c r="T301" s="167"/>
      <c r="U301" s="167"/>
      <c r="V301" s="167"/>
      <c r="W301" s="167"/>
      <c r="X301" s="167"/>
      <c r="Y301" s="228" t="n">
        <f aca="false">DAY(EOMONTH(A301,0))</f>
        <v>31</v>
      </c>
      <c r="Z301" s="268" t="n">
        <v>45594</v>
      </c>
      <c r="AA301" s="230" t="e">
        <f aca="false">IF(AND(A301&gt;=Front!$E$11,A301&lt;=Front!$E$12),A301,"")</f>
        <v>#VALUE!</v>
      </c>
      <c r="AB301" s="231" t="e">
        <f aca="false">IF(AA301="","",VLOOKUP(MONTH(A300),Front!$W$6:$X$17,2)*IF(Front!D$9=0,Swap!Y301,1))</f>
        <v>#VALUE!</v>
      </c>
      <c r="AC301" s="274" t="e">
        <f aca="false">IF(AA301="","",AB301*AH301)</f>
        <v>#VALUE!</v>
      </c>
      <c r="AD301" s="233"/>
      <c r="AE301" s="231" t="e">
        <f aca="false">IF(AA301="","",AD301*AH301)</f>
        <v>#VALUE!</v>
      </c>
      <c r="AF301" s="243" t="e">
        <f aca="false">AF300</f>
        <v>#N/A</v>
      </c>
      <c r="AG301" s="243" t="e">
        <f aca="false">AF301+$AG$9</f>
        <v>#N/A</v>
      </c>
      <c r="AH301" s="195" t="e">
        <f aca="false">1/((1+AG301/2)^(2*((A301-Front!$C$2)/365.25)))</f>
        <v>#N/A</v>
      </c>
      <c r="AI301" s="236" t="e">
        <f aca="false">IF($AA301="","",E301*AC301)</f>
        <v>#VALUE!</v>
      </c>
      <c r="AJ301" s="236" t="e">
        <f aca="false">IF($AA301="","",E301*AE301)</f>
        <v>#VALUE!</v>
      </c>
      <c r="AK301" s="295"/>
      <c r="AL301" s="120"/>
      <c r="AM301" s="238" t="n">
        <f aca="false">AD301/10000</f>
        <v>0</v>
      </c>
      <c r="AN301" s="238" t="n">
        <f aca="false">AD301*DAY(EOMONTH(A301,0))/10000</f>
        <v>0</v>
      </c>
      <c r="AO301" s="238"/>
      <c r="AP301" s="238"/>
      <c r="AQ301" s="238"/>
      <c r="AR301" s="239"/>
      <c r="AS301" s="238"/>
      <c r="AT301" s="238"/>
      <c r="AU301" s="238"/>
      <c r="AV301" s="238"/>
      <c r="AW301" s="238"/>
      <c r="AX301" s="238"/>
      <c r="AY301" s="238"/>
      <c r="AZ301" s="238"/>
      <c r="BA301" s="241"/>
      <c r="BB301" s="242"/>
      <c r="BC301" s="297"/>
      <c r="BD301" s="195"/>
      <c r="BE301" s="294"/>
      <c r="BF301" s="245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298"/>
      <c r="BQ301" s="81"/>
      <c r="BR301" s="81"/>
      <c r="BS301" s="81" t="n">
        <v>0.0640164189224652</v>
      </c>
      <c r="BT301" s="121"/>
    </row>
    <row r="302" customFormat="false" ht="15" hidden="false" customHeight="false" outlineLevel="0" collapsed="false">
      <c r="A302" s="156" t="n">
        <f aca="false">EOMONTH(A301,0)+1</f>
        <v>46023</v>
      </c>
      <c r="B302" s="215"/>
      <c r="C302" s="281"/>
      <c r="D302" s="282"/>
      <c r="E302" s="283"/>
      <c r="F302" s="287"/>
      <c r="G302" s="288"/>
      <c r="H302" s="287"/>
      <c r="I302" s="287"/>
      <c r="J302" s="279"/>
      <c r="K302" s="278"/>
      <c r="L302" s="291"/>
      <c r="M302" s="112"/>
      <c r="N302" s="278"/>
      <c r="O302" s="278"/>
      <c r="P302" s="278"/>
      <c r="Q302" s="167"/>
      <c r="R302" s="167"/>
      <c r="S302" s="167"/>
      <c r="T302" s="167"/>
      <c r="U302" s="167"/>
      <c r="V302" s="167"/>
      <c r="W302" s="167"/>
      <c r="X302" s="167"/>
      <c r="Y302" s="228" t="n">
        <f aca="false">DAY(EOMONTH(A302,0))</f>
        <v>31</v>
      </c>
      <c r="Z302" s="268" t="n">
        <v>45624</v>
      </c>
      <c r="AA302" s="230" t="e">
        <f aca="false">IF(AND(A302&gt;=Front!$E$11,A302&lt;=Front!$E$12),A302,"")</f>
        <v>#VALUE!</v>
      </c>
      <c r="AB302" s="231" t="e">
        <f aca="false">IF(AA302="","",VLOOKUP(MONTH(A301),Front!$W$6:$X$17,2)*IF(Front!D$9=0,Swap!Y302,1))</f>
        <v>#VALUE!</v>
      </c>
      <c r="AC302" s="274" t="e">
        <f aca="false">IF(AA302="","",AB302*AH302)</f>
        <v>#VALUE!</v>
      </c>
      <c r="AD302" s="233"/>
      <c r="AE302" s="231" t="e">
        <f aca="false">IF(AA302="","",AD302*AH302)</f>
        <v>#VALUE!</v>
      </c>
      <c r="AF302" s="243" t="e">
        <f aca="false">AF301</f>
        <v>#N/A</v>
      </c>
      <c r="AG302" s="243" t="e">
        <f aca="false">AF302+$AG$9</f>
        <v>#N/A</v>
      </c>
      <c r="AH302" s="195" t="e">
        <f aca="false">1/((1+AG302/2)^(2*((A302-Front!$C$2)/365.25)))</f>
        <v>#N/A</v>
      </c>
      <c r="AI302" s="236" t="e">
        <f aca="false">IF($AA302="","",E302*AC302)</f>
        <v>#VALUE!</v>
      </c>
      <c r="AJ302" s="236" t="e">
        <f aca="false">IF($AA302="","",E302*AE302)</f>
        <v>#VALUE!</v>
      </c>
      <c r="AK302" s="295"/>
      <c r="AL302" s="120"/>
      <c r="AM302" s="238" t="n">
        <f aca="false">AD302/10000</f>
        <v>0</v>
      </c>
      <c r="AN302" s="238" t="n">
        <f aca="false">AD302*DAY(EOMONTH(A302,0))/10000</f>
        <v>0</v>
      </c>
      <c r="AO302" s="238"/>
      <c r="AP302" s="238"/>
      <c r="AQ302" s="238"/>
      <c r="AR302" s="239"/>
      <c r="AS302" s="238"/>
      <c r="AT302" s="238"/>
      <c r="AU302" s="238"/>
      <c r="AV302" s="238"/>
      <c r="AW302" s="238"/>
      <c r="AX302" s="238"/>
      <c r="AY302" s="238"/>
      <c r="AZ302" s="238"/>
      <c r="BA302" s="241"/>
      <c r="BB302" s="242"/>
      <c r="BC302" s="297"/>
      <c r="BD302" s="195"/>
      <c r="BE302" s="294"/>
      <c r="BF302" s="245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298"/>
      <c r="BQ302" s="81"/>
      <c r="BR302" s="81"/>
      <c r="BS302" s="81" t="n">
        <v>0.0640215546225087</v>
      </c>
      <c r="BT302" s="121"/>
    </row>
    <row r="303" customFormat="false" ht="15" hidden="false" customHeight="false" outlineLevel="0" collapsed="false">
      <c r="A303" s="156" t="n">
        <f aca="false">EOMONTH(A302,0)+1</f>
        <v>46054</v>
      </c>
      <c r="B303" s="215"/>
      <c r="C303" s="281"/>
      <c r="D303" s="282"/>
      <c r="E303" s="283"/>
      <c r="F303" s="287"/>
      <c r="G303" s="288"/>
      <c r="H303" s="287"/>
      <c r="I303" s="287"/>
      <c r="J303" s="279"/>
      <c r="K303" s="278"/>
      <c r="L303" s="291"/>
      <c r="M303" s="112"/>
      <c r="N303" s="278"/>
      <c r="O303" s="278"/>
      <c r="P303" s="278"/>
      <c r="Q303" s="167"/>
      <c r="R303" s="167"/>
      <c r="S303" s="167"/>
      <c r="T303" s="167"/>
      <c r="U303" s="167"/>
      <c r="V303" s="167"/>
      <c r="W303" s="167"/>
      <c r="X303" s="167"/>
      <c r="Y303" s="228" t="n">
        <f aca="false">DAY(EOMONTH(A303,0))</f>
        <v>28</v>
      </c>
      <c r="Z303" s="268" t="n">
        <v>45655</v>
      </c>
      <c r="AA303" s="230" t="e">
        <f aca="false">IF(AND(A303&gt;=Front!$E$11,A303&lt;=Front!$E$12),A303,"")</f>
        <v>#VALUE!</v>
      </c>
      <c r="AB303" s="231" t="e">
        <f aca="false">IF(AA303="","",VLOOKUP(MONTH(A302),Front!$W$6:$X$17,2)*IF(Front!D$9=0,Swap!Y303,1))</f>
        <v>#VALUE!</v>
      </c>
      <c r="AC303" s="274" t="e">
        <f aca="false">IF(AA303="","",AB303*AH303)</f>
        <v>#VALUE!</v>
      </c>
      <c r="AD303" s="233"/>
      <c r="AE303" s="231" t="e">
        <f aca="false">IF(AA303="","",AD303*AH303)</f>
        <v>#VALUE!</v>
      </c>
      <c r="AF303" s="243" t="e">
        <f aca="false">AF302</f>
        <v>#N/A</v>
      </c>
      <c r="AG303" s="243" t="e">
        <f aca="false">AF303+$AG$9</f>
        <v>#N/A</v>
      </c>
      <c r="AH303" s="195" t="e">
        <f aca="false">1/((1+AG303/2)^(2*((A303-Front!$C$2)/365.25)))</f>
        <v>#N/A</v>
      </c>
      <c r="AI303" s="236" t="e">
        <f aca="false">IF($AA303="","",E303*AC303)</f>
        <v>#VALUE!</v>
      </c>
      <c r="AJ303" s="236" t="e">
        <f aca="false">IF($AA303="","",E303*AE303)</f>
        <v>#VALUE!</v>
      </c>
      <c r="AK303" s="295"/>
      <c r="AL303" s="120"/>
      <c r="AM303" s="238" t="n">
        <f aca="false">AD303/10000</f>
        <v>0</v>
      </c>
      <c r="AN303" s="238" t="n">
        <f aca="false">AD303*DAY(EOMONTH(A303,0))/10000</f>
        <v>0</v>
      </c>
      <c r="AO303" s="238"/>
      <c r="AP303" s="238"/>
      <c r="AQ303" s="238"/>
      <c r="AR303" s="239"/>
      <c r="AS303" s="238"/>
      <c r="AT303" s="238"/>
      <c r="AU303" s="238"/>
      <c r="AV303" s="238"/>
      <c r="AW303" s="238"/>
      <c r="AX303" s="238"/>
      <c r="AY303" s="238"/>
      <c r="AZ303" s="238"/>
      <c r="BA303" s="241"/>
      <c r="BB303" s="242"/>
      <c r="BC303" s="297"/>
      <c r="BD303" s="195"/>
      <c r="BE303" s="294"/>
      <c r="BF303" s="245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298"/>
      <c r="BQ303" s="81"/>
      <c r="BR303" s="81"/>
      <c r="BS303" s="81" t="n">
        <v>0.0640266903225606</v>
      </c>
      <c r="BT303" s="121"/>
    </row>
    <row r="304" customFormat="false" ht="15" hidden="false" customHeight="false" outlineLevel="0" collapsed="false">
      <c r="A304" s="156" t="n">
        <f aca="false">EOMONTH(A303,0)+1</f>
        <v>46082</v>
      </c>
      <c r="B304" s="215"/>
      <c r="C304" s="281"/>
      <c r="D304" s="282"/>
      <c r="E304" s="283"/>
      <c r="F304" s="287"/>
      <c r="G304" s="288"/>
      <c r="H304" s="287"/>
      <c r="I304" s="287"/>
      <c r="J304" s="279"/>
      <c r="K304" s="278"/>
      <c r="L304" s="278"/>
      <c r="M304" s="112"/>
      <c r="N304" s="278"/>
      <c r="O304" s="278"/>
      <c r="P304" s="278"/>
      <c r="Q304" s="167"/>
      <c r="R304" s="167"/>
      <c r="S304" s="167"/>
      <c r="T304" s="167"/>
      <c r="U304" s="167"/>
      <c r="V304" s="167"/>
      <c r="W304" s="167"/>
      <c r="X304" s="167"/>
      <c r="Y304" s="228" t="n">
        <f aca="false">DAY(EOMONTH(A304,0))</f>
        <v>31</v>
      </c>
      <c r="Z304" s="268" t="n">
        <v>45594</v>
      </c>
      <c r="AA304" s="230" t="e">
        <f aca="false">IF(AND(A304&gt;=Front!$E$11,A304&lt;=Front!$E$12),A304,"")</f>
        <v>#VALUE!</v>
      </c>
      <c r="AB304" s="231" t="e">
        <f aca="false">IF(AA304="","",VLOOKUP(MONTH(A303),Front!$W$6:$X$17,2)*IF(Front!D$9=0,Swap!Y304,1))</f>
        <v>#VALUE!</v>
      </c>
      <c r="AC304" s="274" t="e">
        <f aca="false">IF(AA304="","",AB304*AH304)</f>
        <v>#VALUE!</v>
      </c>
      <c r="AD304" s="233"/>
      <c r="AE304" s="231" t="e">
        <f aca="false">IF(AA304="","",AD304*AH304)</f>
        <v>#VALUE!</v>
      </c>
      <c r="AF304" s="243" t="e">
        <f aca="false">AF303</f>
        <v>#N/A</v>
      </c>
      <c r="AG304" s="243" t="e">
        <f aca="false">AF304+$AG$9</f>
        <v>#N/A</v>
      </c>
      <c r="AH304" s="195" t="e">
        <f aca="false">1/((1+AG304/2)^(2*((A304-Front!$C$2)/365.25)))</f>
        <v>#N/A</v>
      </c>
      <c r="AI304" s="236" t="e">
        <f aca="false">IF($AA304="","",E304*AC304)</f>
        <v>#VALUE!</v>
      </c>
      <c r="AJ304" s="236" t="e">
        <f aca="false">IF($AA304="","",E304*AE304)</f>
        <v>#VALUE!</v>
      </c>
      <c r="AK304" s="295"/>
      <c r="AL304" s="120"/>
      <c r="AM304" s="238" t="n">
        <f aca="false">AD304/10000</f>
        <v>0</v>
      </c>
      <c r="AN304" s="238" t="n">
        <f aca="false">AD304*DAY(EOMONTH(A304,0))/10000</f>
        <v>0</v>
      </c>
      <c r="AO304" s="238"/>
      <c r="AP304" s="238"/>
      <c r="AQ304" s="238"/>
      <c r="AR304" s="239"/>
      <c r="AS304" s="238"/>
      <c r="AT304" s="238"/>
      <c r="AU304" s="238"/>
      <c r="AV304" s="238"/>
      <c r="AW304" s="238"/>
      <c r="AX304" s="238"/>
      <c r="AY304" s="238"/>
      <c r="AZ304" s="238"/>
      <c r="BA304" s="241"/>
      <c r="BB304" s="242"/>
      <c r="BC304" s="297"/>
      <c r="BD304" s="195"/>
      <c r="BE304" s="294"/>
      <c r="BF304" s="245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298"/>
      <c r="BQ304" s="81"/>
      <c r="BR304" s="81"/>
      <c r="BS304" s="81" t="n">
        <v>0.064031329019389</v>
      </c>
      <c r="BT304" s="121"/>
    </row>
    <row r="305" customFormat="false" ht="15" hidden="false" customHeight="false" outlineLevel="0" collapsed="false">
      <c r="A305" s="156" t="n">
        <f aca="false">EOMONTH(A304,0)+1</f>
        <v>46113</v>
      </c>
      <c r="B305" s="215"/>
      <c r="C305" s="281"/>
      <c r="D305" s="282"/>
      <c r="E305" s="283"/>
      <c r="F305" s="278" t="s">
        <v>197</v>
      </c>
      <c r="G305" s="112" t="s">
        <v>197</v>
      </c>
      <c r="H305" s="278" t="s">
        <v>197</v>
      </c>
      <c r="I305" s="278" t="s">
        <v>197</v>
      </c>
      <c r="J305" s="279" t="s">
        <v>197</v>
      </c>
      <c r="K305" s="278" t="s">
        <v>197</v>
      </c>
      <c r="L305" s="278" t="s">
        <v>197</v>
      </c>
      <c r="M305" s="278" t="s">
        <v>197</v>
      </c>
      <c r="N305" s="278" t="s">
        <v>197</v>
      </c>
      <c r="O305" s="278" t="s">
        <v>197</v>
      </c>
      <c r="P305" s="278" t="s">
        <v>197</v>
      </c>
      <c r="Q305" s="278" t="s">
        <v>197</v>
      </c>
      <c r="R305" s="278" t="s">
        <v>197</v>
      </c>
      <c r="S305" s="299" t="s">
        <v>197</v>
      </c>
      <c r="T305" s="278" t="s">
        <v>197</v>
      </c>
      <c r="U305" s="278" t="s">
        <v>197</v>
      </c>
      <c r="V305" s="300" t="s">
        <v>197</v>
      </c>
      <c r="W305" s="278" t="s">
        <v>197</v>
      </c>
      <c r="X305" s="112" t="s">
        <v>197</v>
      </c>
      <c r="Y305" s="228" t="n">
        <f aca="false">DAY(EOMONTH(A305,0))</f>
        <v>30</v>
      </c>
      <c r="Z305" s="268" t="n">
        <v>45624</v>
      </c>
      <c r="AA305" s="230" t="e">
        <f aca="false">IF(AND(A305&gt;=Front!$E$11,A305&lt;=Front!$E$12),A305,"")</f>
        <v>#VALUE!</v>
      </c>
      <c r="AB305" s="231" t="e">
        <f aca="false">IF(AA305="","",VLOOKUP(MONTH(A304),Front!$W$6:$X$17,2)*IF(Front!D$9=0,Swap!Y305,1))</f>
        <v>#VALUE!</v>
      </c>
      <c r="AC305" s="274" t="e">
        <f aca="false">IF(AA305="","",AB305*AH305)</f>
        <v>#VALUE!</v>
      </c>
      <c r="AD305" s="233"/>
      <c r="AE305" s="231" t="e">
        <f aca="false">IF(AA305="","",AD305*AH305)</f>
        <v>#VALUE!</v>
      </c>
      <c r="AF305" s="243" t="e">
        <f aca="false">AF304</f>
        <v>#N/A</v>
      </c>
      <c r="AG305" s="243" t="e">
        <f aca="false">AF305+$AG$9</f>
        <v>#N/A</v>
      </c>
      <c r="AH305" s="195" t="e">
        <f aca="false">1/((1+AG305/2)^(2*((A305-Front!$C$2)/365.25)))</f>
        <v>#N/A</v>
      </c>
      <c r="AI305" s="236" t="e">
        <f aca="false">IF($AA305="","",E305*AC305)</f>
        <v>#VALUE!</v>
      </c>
      <c r="AJ305" s="236" t="e">
        <f aca="false">IF($AA305="","",E305*AE305)</f>
        <v>#VALUE!</v>
      </c>
      <c r="AK305" s="295"/>
      <c r="AL305" s="112" t="s">
        <v>197</v>
      </c>
      <c r="AM305" s="301" t="s">
        <v>197</v>
      </c>
      <c r="AN305" s="301" t="s">
        <v>197</v>
      </c>
      <c r="AO305" s="301" t="s">
        <v>197</v>
      </c>
      <c r="AP305" s="301"/>
      <c r="AQ305" s="301"/>
      <c r="AR305" s="301"/>
      <c r="AS305" s="301"/>
      <c r="AT305" s="301"/>
      <c r="AU305" s="301"/>
      <c r="AV305" s="301"/>
      <c r="AW305" s="301"/>
      <c r="AX305" s="301"/>
      <c r="AY305" s="301"/>
      <c r="AZ305" s="301"/>
      <c r="BA305" s="301" t="s">
        <v>197</v>
      </c>
      <c r="BB305" s="112" t="s">
        <v>197</v>
      </c>
      <c r="BC305" s="112" t="s">
        <v>197</v>
      </c>
      <c r="BD305" s="112" t="s">
        <v>197</v>
      </c>
      <c r="BE305" s="112" t="s">
        <v>197</v>
      </c>
      <c r="BF305" s="112" t="s">
        <v>197</v>
      </c>
      <c r="BG305" s="112" t="s">
        <v>197</v>
      </c>
      <c r="BH305" s="112" t="s">
        <v>197</v>
      </c>
      <c r="BI305" s="112" t="s">
        <v>197</v>
      </c>
      <c r="BJ305" s="112" t="s">
        <v>197</v>
      </c>
      <c r="BK305" s="112" t="s">
        <v>197</v>
      </c>
      <c r="BL305" s="112" t="s">
        <v>197</v>
      </c>
      <c r="BM305" s="112" t="s">
        <v>197</v>
      </c>
      <c r="BN305" s="112" t="s">
        <v>197</v>
      </c>
      <c r="BO305" s="112" t="s">
        <v>197</v>
      </c>
      <c r="BP305" s="112"/>
      <c r="BQ305" s="112"/>
      <c r="BR305" s="112"/>
      <c r="BS305" s="81" t="n">
        <v>0.0640364647194578</v>
      </c>
      <c r="BT305" s="121" t="s">
        <v>68</v>
      </c>
    </row>
    <row r="306" customFormat="false" ht="15" hidden="false" customHeight="false" outlineLevel="0" collapsed="false">
      <c r="A306" s="156" t="n">
        <f aca="false">EOMONTH(A305,0)+1</f>
        <v>46143</v>
      </c>
      <c r="B306" s="215"/>
      <c r="C306" s="281"/>
      <c r="D306" s="282"/>
      <c r="E306" s="283"/>
      <c r="F306" s="277"/>
      <c r="H306" s="277"/>
      <c r="I306" s="277"/>
      <c r="J306" s="69"/>
      <c r="K306" s="277"/>
      <c r="L306" s="277"/>
      <c r="M306" s="277"/>
      <c r="N306" s="277"/>
      <c r="O306" s="277"/>
      <c r="P306" s="277"/>
      <c r="Q306" s="277"/>
      <c r="R306" s="277"/>
      <c r="T306" s="277"/>
      <c r="U306" s="277"/>
      <c r="W306" s="277"/>
      <c r="Y306" s="228" t="n">
        <f aca="false">DAY(EOMONTH(A306,0))</f>
        <v>31</v>
      </c>
      <c r="Z306" s="268" t="n">
        <v>45655</v>
      </c>
      <c r="AA306" s="230" t="e">
        <f aca="false">IF(AND(A306&gt;=Front!$E$11,A306&lt;=Front!$E$12),A306,"")</f>
        <v>#VALUE!</v>
      </c>
      <c r="AB306" s="231" t="e">
        <f aca="false">IF(AA306="","",VLOOKUP(MONTH(A305),Front!$W$6:$X$17,2)*IF(Front!D$9=0,Swap!Y306,1))</f>
        <v>#VALUE!</v>
      </c>
      <c r="AC306" s="274" t="e">
        <f aca="false">IF(AA306="","",AB306*AH306)</f>
        <v>#VALUE!</v>
      </c>
      <c r="AD306" s="233"/>
      <c r="AE306" s="231" t="e">
        <f aca="false">IF(AA306="","",AD306*AH306)</f>
        <v>#VALUE!</v>
      </c>
      <c r="AF306" s="243" t="e">
        <f aca="false">AF305</f>
        <v>#N/A</v>
      </c>
      <c r="AG306" s="243" t="e">
        <f aca="false">AF306+$AG$9</f>
        <v>#N/A</v>
      </c>
      <c r="AH306" s="195" t="e">
        <f aca="false">1/((1+AG306/2)^(2*((A306-Front!$C$2)/365.25)))</f>
        <v>#N/A</v>
      </c>
      <c r="AI306" s="236" t="e">
        <f aca="false">IF($AA306="","",E306*AC306)</f>
        <v>#VALUE!</v>
      </c>
      <c r="AJ306" s="236" t="e">
        <f aca="false">IF($AA306="","",E306*AE306)</f>
        <v>#VALUE!</v>
      </c>
      <c r="AK306" s="295"/>
      <c r="AL306" s="107"/>
      <c r="AM306" s="302"/>
      <c r="AN306" s="302"/>
      <c r="AO306" s="302"/>
      <c r="AP306" s="302"/>
      <c r="AQ306" s="302"/>
      <c r="AR306" s="302"/>
      <c r="AS306" s="302"/>
      <c r="AT306" s="302"/>
      <c r="AU306" s="302"/>
      <c r="AV306" s="302"/>
      <c r="AW306" s="302"/>
      <c r="AX306" s="302"/>
      <c r="AY306" s="302"/>
      <c r="AZ306" s="302"/>
      <c r="BA306" s="302"/>
      <c r="BB306" s="107"/>
      <c r="BC306" s="107"/>
      <c r="BD306" s="107"/>
      <c r="BE306" s="107"/>
      <c r="BF306" s="107"/>
      <c r="BG306" s="107"/>
      <c r="BH306" s="107"/>
      <c r="BI306" s="107"/>
      <c r="BJ306" s="107"/>
      <c r="BK306" s="107"/>
      <c r="BL306" s="107"/>
      <c r="BM306" s="107"/>
      <c r="BN306" s="107"/>
      <c r="BO306" s="107"/>
      <c r="BP306" s="107"/>
      <c r="BQ306" s="107"/>
      <c r="BR306" s="107"/>
      <c r="BS306" s="81" t="n">
        <v>0.0640414347517901</v>
      </c>
    </row>
    <row r="307" customFormat="false" ht="15" hidden="false" customHeight="false" outlineLevel="0" collapsed="false">
      <c r="A307" s="156" t="n">
        <f aca="false">EOMONTH(A306,0)+1</f>
        <v>46174</v>
      </c>
      <c r="B307" s="215"/>
      <c r="C307" s="281"/>
      <c r="D307" s="282"/>
      <c r="E307" s="283"/>
      <c r="F307" s="277"/>
      <c r="H307" s="277"/>
      <c r="I307" s="277"/>
      <c r="J307" s="69"/>
      <c r="K307" s="277"/>
      <c r="L307" s="277"/>
      <c r="M307" s="277"/>
      <c r="N307" s="277"/>
      <c r="O307" s="277"/>
      <c r="P307" s="277"/>
      <c r="Q307" s="277"/>
      <c r="R307" s="277"/>
      <c r="T307" s="277"/>
      <c r="U307" s="277"/>
      <c r="W307" s="277"/>
      <c r="Y307" s="228" t="n">
        <f aca="false">DAY(EOMONTH(A307,0))</f>
        <v>30</v>
      </c>
      <c r="Z307" s="268" t="n">
        <v>45594</v>
      </c>
      <c r="AA307" s="230" t="e">
        <f aca="false">IF(AND(A307&gt;=Front!$E$11,A307&lt;=Front!$E$12),A307,"")</f>
        <v>#VALUE!</v>
      </c>
      <c r="AB307" s="231" t="e">
        <f aca="false">IF(AA307="","",VLOOKUP(MONTH(A306),Front!$W$6:$X$17,2)*IF(Front!D$9=0,Swap!Y307,1))</f>
        <v>#VALUE!</v>
      </c>
      <c r="AC307" s="274" t="e">
        <f aca="false">IF(AA307="","",AB307*AH307)</f>
        <v>#VALUE!</v>
      </c>
      <c r="AD307" s="233"/>
      <c r="AE307" s="231" t="e">
        <f aca="false">IF(AA307="","",AD307*AH307)</f>
        <v>#VALUE!</v>
      </c>
      <c r="AF307" s="243" t="e">
        <f aca="false">AF306</f>
        <v>#N/A</v>
      </c>
      <c r="AG307" s="243" t="e">
        <f aca="false">AF307+$AG$9</f>
        <v>#N/A</v>
      </c>
      <c r="AH307" s="195" t="e">
        <f aca="false">1/((1+AG307/2)^(2*((A307-Front!$C$2)/365.25)))</f>
        <v>#N/A</v>
      </c>
      <c r="AI307" s="236" t="e">
        <f aca="false">IF($AA307="","",E307*AC307)</f>
        <v>#VALUE!</v>
      </c>
      <c r="AJ307" s="236" t="e">
        <f aca="false">IF($AA307="","",E307*AE307)</f>
        <v>#VALUE!</v>
      </c>
      <c r="AK307" s="295"/>
      <c r="AL307" s="107"/>
      <c r="AM307" s="302"/>
      <c r="AN307" s="302"/>
      <c r="AO307" s="302"/>
      <c r="AP307" s="302"/>
      <c r="AQ307" s="302"/>
      <c r="AR307" s="302"/>
      <c r="AS307" s="302"/>
      <c r="AT307" s="302"/>
      <c r="AU307" s="302"/>
      <c r="AV307" s="302"/>
      <c r="AW307" s="302"/>
      <c r="AX307" s="302"/>
      <c r="AY307" s="302"/>
      <c r="AZ307" s="302"/>
      <c r="BA307" s="302"/>
      <c r="BB307" s="107"/>
      <c r="BC307" s="107"/>
      <c r="BD307" s="107"/>
      <c r="BE307" s="107"/>
      <c r="BF307" s="107"/>
      <c r="BG307" s="107"/>
      <c r="BH307" s="107"/>
      <c r="BI307" s="107"/>
      <c r="BJ307" s="107"/>
      <c r="BK307" s="107"/>
      <c r="BL307" s="107"/>
      <c r="BM307" s="107"/>
      <c r="BN307" s="107"/>
      <c r="BO307" s="107"/>
      <c r="BP307" s="107"/>
      <c r="BQ307" s="107"/>
      <c r="BR307" s="107"/>
      <c r="BS307" s="81" t="n">
        <v>0.0640465704518762</v>
      </c>
    </row>
    <row r="308" customFormat="false" ht="15" hidden="false" customHeight="false" outlineLevel="0" collapsed="false">
      <c r="A308" s="156" t="n">
        <f aca="false">EOMONTH(A307,0)+1</f>
        <v>46204</v>
      </c>
      <c r="B308" s="215"/>
      <c r="C308" s="281"/>
      <c r="D308" s="282"/>
      <c r="E308" s="283"/>
      <c r="F308" s="277"/>
      <c r="H308" s="277"/>
      <c r="I308" s="277"/>
      <c r="J308" s="69"/>
      <c r="K308" s="277"/>
      <c r="L308" s="277"/>
      <c r="M308" s="277"/>
      <c r="N308" s="277"/>
      <c r="O308" s="277"/>
      <c r="P308" s="277"/>
      <c r="Q308" s="277"/>
      <c r="R308" s="277"/>
      <c r="T308" s="277"/>
      <c r="U308" s="277"/>
      <c r="W308" s="277"/>
      <c r="Y308" s="228" t="n">
        <f aca="false">DAY(EOMONTH(A308,0))</f>
        <v>31</v>
      </c>
      <c r="Z308" s="268" t="n">
        <v>45624</v>
      </c>
      <c r="AA308" s="230" t="e">
        <f aca="false">IF(AND(A308&gt;=Front!$E$11,A308&lt;=Front!$E$12),A308,"")</f>
        <v>#VALUE!</v>
      </c>
      <c r="AB308" s="231" t="e">
        <f aca="false">IF(AA308="","",VLOOKUP(MONTH(A307),Front!$W$6:$X$17,2)*IF(Front!D$9=0,Swap!Y308,1))</f>
        <v>#VALUE!</v>
      </c>
      <c r="AC308" s="274" t="e">
        <f aca="false">IF(AA308="","",AB308*AH308)</f>
        <v>#VALUE!</v>
      </c>
      <c r="AD308" s="233"/>
      <c r="AE308" s="231" t="e">
        <f aca="false">IF(AA308="","",AD308*AH308)</f>
        <v>#VALUE!</v>
      </c>
      <c r="AF308" s="243" t="e">
        <f aca="false">AF307</f>
        <v>#N/A</v>
      </c>
      <c r="AG308" s="243" t="e">
        <f aca="false">AF308+$AG$9</f>
        <v>#N/A</v>
      </c>
      <c r="AH308" s="195" t="e">
        <f aca="false">1/((1+AG308/2)^(2*((A308-Front!$C$2)/365.25)))</f>
        <v>#N/A</v>
      </c>
      <c r="AI308" s="236" t="e">
        <f aca="false">IF($AA308="","",E308*AC308)</f>
        <v>#VALUE!</v>
      </c>
      <c r="AJ308" s="236" t="e">
        <f aca="false">IF($AA308="","",E308*AE308)</f>
        <v>#VALUE!</v>
      </c>
      <c r="AK308" s="295"/>
      <c r="AL308" s="107"/>
      <c r="AM308" s="302"/>
      <c r="AN308" s="302"/>
      <c r="AO308" s="302"/>
      <c r="AP308" s="302"/>
      <c r="AQ308" s="302"/>
      <c r="AR308" s="302"/>
      <c r="AS308" s="302"/>
      <c r="AT308" s="302"/>
      <c r="AU308" s="302"/>
      <c r="AV308" s="302"/>
      <c r="AW308" s="302"/>
      <c r="AX308" s="302"/>
      <c r="AY308" s="302"/>
      <c r="AZ308" s="302"/>
      <c r="BA308" s="302"/>
      <c r="BB308" s="107"/>
      <c r="BC308" s="107"/>
      <c r="BD308" s="107"/>
      <c r="BE308" s="107"/>
      <c r="BF308" s="107"/>
      <c r="BG308" s="107"/>
      <c r="BH308" s="107"/>
      <c r="BI308" s="107"/>
      <c r="BJ308" s="107"/>
      <c r="BK308" s="107"/>
      <c r="BL308" s="107"/>
      <c r="BM308" s="107"/>
      <c r="BN308" s="107"/>
      <c r="BO308" s="107"/>
      <c r="BP308" s="107"/>
      <c r="BQ308" s="107"/>
      <c r="BR308" s="107"/>
      <c r="BS308" s="81" t="n">
        <v>0.0640515404842259</v>
      </c>
    </row>
    <row r="309" customFormat="false" ht="15" hidden="false" customHeight="false" outlineLevel="0" collapsed="false">
      <c r="A309" s="156" t="n">
        <f aca="false">EOMONTH(A308,0)+1</f>
        <v>46235</v>
      </c>
      <c r="B309" s="215"/>
      <c r="C309" s="281"/>
      <c r="D309" s="282"/>
      <c r="E309" s="283"/>
      <c r="F309" s="277"/>
      <c r="H309" s="277"/>
      <c r="I309" s="277"/>
      <c r="J309" s="69"/>
      <c r="K309" s="277"/>
      <c r="L309" s="277"/>
      <c r="M309" s="277"/>
      <c r="N309" s="277"/>
      <c r="O309" s="277"/>
      <c r="P309" s="277"/>
      <c r="Q309" s="277"/>
      <c r="R309" s="277"/>
      <c r="T309" s="277"/>
      <c r="U309" s="277"/>
      <c r="W309" s="277"/>
      <c r="Y309" s="228" t="n">
        <f aca="false">DAY(EOMONTH(A309,0))</f>
        <v>31</v>
      </c>
      <c r="Z309" s="268" t="n">
        <v>45655</v>
      </c>
      <c r="AA309" s="230" t="e">
        <f aca="false">IF(AND(A309&gt;=Front!$E$11,A309&lt;=Front!$E$12),A309,"")</f>
        <v>#VALUE!</v>
      </c>
      <c r="AB309" s="231" t="e">
        <f aca="false">IF(AA309="","",VLOOKUP(MONTH(A308),Front!$W$6:$X$17,2)*IF(Front!D$9=0,Swap!Y309,1))</f>
        <v>#VALUE!</v>
      </c>
      <c r="AC309" s="274" t="e">
        <f aca="false">IF(AA309="","",AB309*AH309)</f>
        <v>#VALUE!</v>
      </c>
      <c r="AD309" s="233"/>
      <c r="AE309" s="231" t="e">
        <f aca="false">IF(AA309="","",AD309*AH309)</f>
        <v>#VALUE!</v>
      </c>
      <c r="AF309" s="243" t="e">
        <f aca="false">AF308</f>
        <v>#N/A</v>
      </c>
      <c r="AG309" s="243" t="e">
        <f aca="false">AF309+$AG$9</f>
        <v>#N/A</v>
      </c>
      <c r="AH309" s="195" t="e">
        <f aca="false">1/((1+AG309/2)^(2*((A309-Front!$C$2)/365.25)))</f>
        <v>#N/A</v>
      </c>
      <c r="AI309" s="236" t="e">
        <f aca="false">IF($AA309="","",E309*AC309)</f>
        <v>#VALUE!</v>
      </c>
      <c r="AJ309" s="236" t="e">
        <f aca="false">IF($AA309="","",E309*AE309)</f>
        <v>#VALUE!</v>
      </c>
      <c r="AK309" s="295"/>
      <c r="AL309" s="107"/>
      <c r="AM309" s="302"/>
      <c r="AN309" s="302"/>
      <c r="AO309" s="302"/>
      <c r="AP309" s="302"/>
      <c r="AQ309" s="302"/>
      <c r="AR309" s="302"/>
      <c r="AS309" s="302"/>
      <c r="AT309" s="302"/>
      <c r="AU309" s="302"/>
      <c r="AV309" s="302"/>
      <c r="AW309" s="302"/>
      <c r="AX309" s="302"/>
      <c r="AY309" s="302"/>
      <c r="AZ309" s="302"/>
      <c r="BA309" s="302"/>
      <c r="BB309" s="107"/>
      <c r="BC309" s="107"/>
      <c r="BD309" s="107"/>
      <c r="BE309" s="107"/>
      <c r="BF309" s="107"/>
      <c r="BG309" s="107"/>
      <c r="BH309" s="107"/>
      <c r="BI309" s="107"/>
      <c r="BJ309" s="107"/>
      <c r="BK309" s="107"/>
      <c r="BL309" s="107"/>
      <c r="BM309" s="107"/>
      <c r="BN309" s="107"/>
      <c r="BO309" s="107"/>
      <c r="BP309" s="107"/>
      <c r="BQ309" s="107"/>
      <c r="BR309" s="107"/>
      <c r="BS309" s="81" t="n">
        <v>0.0640566761843289</v>
      </c>
    </row>
    <row r="310" customFormat="false" ht="15" hidden="false" customHeight="false" outlineLevel="0" collapsed="false">
      <c r="A310" s="156" t="n">
        <f aca="false">EOMONTH(A309,0)+1</f>
        <v>46266</v>
      </c>
      <c r="B310" s="215"/>
      <c r="C310" s="281"/>
      <c r="D310" s="282"/>
      <c r="E310" s="283"/>
      <c r="F310" s="277"/>
      <c r="H310" s="277"/>
      <c r="I310" s="277"/>
      <c r="J310" s="69"/>
      <c r="K310" s="277"/>
      <c r="L310" s="277"/>
      <c r="M310" s="277"/>
      <c r="N310" s="277"/>
      <c r="O310" s="277"/>
      <c r="P310" s="277"/>
      <c r="Q310" s="277"/>
      <c r="R310" s="277"/>
      <c r="T310" s="277"/>
      <c r="U310" s="277"/>
      <c r="W310" s="277"/>
      <c r="Y310" s="228" t="n">
        <f aca="false">DAY(EOMONTH(A310,0))</f>
        <v>30</v>
      </c>
      <c r="Z310" s="268" t="n">
        <v>45594</v>
      </c>
      <c r="AA310" s="230" t="e">
        <f aca="false">IF(AND(A310&gt;=Front!$E$11,A310&lt;=Front!$E$12),A310,"")</f>
        <v>#VALUE!</v>
      </c>
      <c r="AB310" s="231" t="e">
        <f aca="false">IF(AA310="","",VLOOKUP(MONTH(A309),Front!$W$6:$X$17,2)*IF(Front!D$9=0,Swap!Y310,1))</f>
        <v>#VALUE!</v>
      </c>
      <c r="AC310" s="274" t="e">
        <f aca="false">IF(AA310="","",AB310*AH310)</f>
        <v>#VALUE!</v>
      </c>
      <c r="AD310" s="233"/>
      <c r="AE310" s="231" t="e">
        <f aca="false">IF(AA310="","",AD310*AH310)</f>
        <v>#VALUE!</v>
      </c>
      <c r="AF310" s="243" t="e">
        <f aca="false">AF309</f>
        <v>#N/A</v>
      </c>
      <c r="AG310" s="243" t="e">
        <f aca="false">AF310+$AG$9</f>
        <v>#N/A</v>
      </c>
      <c r="AH310" s="195" t="e">
        <f aca="false">1/((1+AG310/2)^(2*((A310-Front!$C$2)/365.25)))</f>
        <v>#N/A</v>
      </c>
      <c r="AI310" s="236" t="e">
        <f aca="false">IF($AA310="","",E310*AC310)</f>
        <v>#VALUE!</v>
      </c>
      <c r="AJ310" s="236" t="e">
        <f aca="false">IF($AA310="","",E310*AE310)</f>
        <v>#VALUE!</v>
      </c>
      <c r="AK310" s="295"/>
      <c r="AL310" s="107"/>
      <c r="AM310" s="302"/>
      <c r="AN310" s="302"/>
      <c r="AO310" s="302"/>
      <c r="AP310" s="302"/>
      <c r="AQ310" s="302"/>
      <c r="AR310" s="302"/>
      <c r="AS310" s="302"/>
      <c r="AT310" s="302"/>
      <c r="AU310" s="302"/>
      <c r="AV310" s="302"/>
      <c r="AW310" s="302"/>
      <c r="AX310" s="302"/>
      <c r="AY310" s="302"/>
      <c r="AZ310" s="302"/>
      <c r="BA310" s="302"/>
      <c r="BB310" s="107"/>
      <c r="BC310" s="107"/>
      <c r="BD310" s="107"/>
      <c r="BE310" s="107"/>
      <c r="BF310" s="107"/>
      <c r="BG310" s="107"/>
      <c r="BH310" s="107"/>
      <c r="BI310" s="107"/>
      <c r="BJ310" s="107"/>
      <c r="BK310" s="107"/>
      <c r="BL310" s="107"/>
      <c r="BM310" s="107"/>
      <c r="BN310" s="107"/>
      <c r="BO310" s="107"/>
      <c r="BP310" s="107"/>
      <c r="BQ310" s="107"/>
      <c r="BR310" s="107"/>
      <c r="BS310" s="81" t="n">
        <v>0.0640618118844403</v>
      </c>
    </row>
    <row r="311" customFormat="false" ht="15" hidden="false" customHeight="false" outlineLevel="0" collapsed="false">
      <c r="A311" s="156" t="n">
        <f aca="false">EOMONTH(A310,0)+1</f>
        <v>46296</v>
      </c>
      <c r="B311" s="215"/>
      <c r="C311" s="281"/>
      <c r="D311" s="282"/>
      <c r="E311" s="283"/>
      <c r="F311" s="277"/>
      <c r="H311" s="277"/>
      <c r="I311" s="277"/>
      <c r="J311" s="69"/>
      <c r="K311" s="277"/>
      <c r="L311" s="277"/>
      <c r="M311" s="277"/>
      <c r="N311" s="277"/>
      <c r="O311" s="277"/>
      <c r="P311" s="277"/>
      <c r="Q311" s="277"/>
      <c r="R311" s="277"/>
      <c r="T311" s="277"/>
      <c r="U311" s="277"/>
      <c r="W311" s="277"/>
      <c r="Y311" s="228" t="n">
        <f aca="false">DAY(EOMONTH(A311,0))</f>
        <v>31</v>
      </c>
      <c r="Z311" s="268" t="n">
        <v>45624</v>
      </c>
      <c r="AA311" s="230" t="e">
        <f aca="false">IF(AND(A311&gt;=Front!$E$11,A311&lt;=Front!$E$12),A311,"")</f>
        <v>#VALUE!</v>
      </c>
      <c r="AB311" s="231" t="e">
        <f aca="false">IF(AA311="","",VLOOKUP(MONTH(A310),Front!$W$6:$X$17,2)*IF(Front!D$9=0,Swap!Y311,1))</f>
        <v>#VALUE!</v>
      </c>
      <c r="AC311" s="274" t="e">
        <f aca="false">IF(AA311="","",AB311*AH311)</f>
        <v>#VALUE!</v>
      </c>
      <c r="AD311" s="233"/>
      <c r="AE311" s="231" t="e">
        <f aca="false">IF(AA311="","",AD311*AH311)</f>
        <v>#VALUE!</v>
      </c>
      <c r="AF311" s="243" t="e">
        <f aca="false">AF310</f>
        <v>#N/A</v>
      </c>
      <c r="AG311" s="243" t="e">
        <f aca="false">AF311+$AG$9</f>
        <v>#N/A</v>
      </c>
      <c r="AH311" s="195" t="e">
        <f aca="false">1/((1+AG311/2)^(2*((A311-Front!$C$2)/365.25)))</f>
        <v>#N/A</v>
      </c>
      <c r="AI311" s="236" t="e">
        <f aca="false">IF($AA311="","",E311*AC311)</f>
        <v>#VALUE!</v>
      </c>
      <c r="AJ311" s="236" t="e">
        <f aca="false">IF($AA311="","",E311*AE311)</f>
        <v>#VALUE!</v>
      </c>
      <c r="AK311" s="295"/>
      <c r="AL311" s="107"/>
      <c r="AM311" s="302"/>
      <c r="AN311" s="302"/>
      <c r="AO311" s="302"/>
      <c r="AP311" s="302"/>
      <c r="AQ311" s="302"/>
      <c r="AR311" s="302"/>
      <c r="AS311" s="302"/>
      <c r="AT311" s="302"/>
      <c r="AU311" s="302"/>
      <c r="AV311" s="302"/>
      <c r="AW311" s="302"/>
      <c r="AX311" s="302"/>
      <c r="AY311" s="302"/>
      <c r="AZ311" s="302"/>
      <c r="BA311" s="302"/>
      <c r="BB311" s="107"/>
      <c r="BC311" s="107"/>
      <c r="BD311" s="107"/>
      <c r="BE311" s="107"/>
      <c r="BF311" s="107"/>
      <c r="BG311" s="107"/>
      <c r="BH311" s="107"/>
      <c r="BI311" s="107"/>
      <c r="BJ311" s="107"/>
      <c r="BK311" s="107"/>
      <c r="BL311" s="107"/>
      <c r="BM311" s="107"/>
      <c r="BN311" s="107"/>
      <c r="BO311" s="107"/>
      <c r="BP311" s="107"/>
      <c r="BQ311" s="107"/>
      <c r="BR311" s="107"/>
      <c r="BS311" s="81" t="n">
        <v>0.0640667819168148</v>
      </c>
    </row>
    <row r="312" customFormat="false" ht="15" hidden="false" customHeight="false" outlineLevel="0" collapsed="false">
      <c r="A312" s="156" t="n">
        <f aca="false">EOMONTH(A311,0)+1</f>
        <v>46327</v>
      </c>
      <c r="B312" s="215"/>
      <c r="C312" s="281"/>
      <c r="D312" s="282"/>
      <c r="E312" s="283"/>
      <c r="F312" s="277"/>
      <c r="H312" s="277"/>
      <c r="I312" s="277"/>
      <c r="J312" s="69"/>
      <c r="K312" s="277"/>
      <c r="L312" s="277"/>
      <c r="M312" s="277"/>
      <c r="N312" s="277"/>
      <c r="O312" s="277"/>
      <c r="P312" s="277"/>
      <c r="Q312" s="277"/>
      <c r="R312" s="277"/>
      <c r="T312" s="277"/>
      <c r="U312" s="277"/>
      <c r="W312" s="277"/>
      <c r="Y312" s="228" t="n">
        <f aca="false">DAY(EOMONTH(A312,0))</f>
        <v>30</v>
      </c>
      <c r="Z312" s="268" t="n">
        <v>45655</v>
      </c>
      <c r="AA312" s="230" t="e">
        <f aca="false">IF(AND(A312&gt;=Front!$E$11,A312&lt;=Front!$E$12),A312,"")</f>
        <v>#VALUE!</v>
      </c>
      <c r="AB312" s="231" t="e">
        <f aca="false">IF(AA312="","",VLOOKUP(MONTH(A311),Front!$W$6:$X$17,2)*IF(Front!D$9=0,Swap!Y312,1))</f>
        <v>#VALUE!</v>
      </c>
      <c r="AC312" s="274" t="e">
        <f aca="false">IF(AA312="","",AB312*AH312)</f>
        <v>#VALUE!</v>
      </c>
      <c r="AD312" s="233"/>
      <c r="AE312" s="231" t="e">
        <f aca="false">IF(AA312="","",AD312*AH312)</f>
        <v>#VALUE!</v>
      </c>
      <c r="AF312" s="243" t="e">
        <f aca="false">AF311</f>
        <v>#N/A</v>
      </c>
      <c r="AG312" s="243" t="e">
        <f aca="false">AF312+$AG$9</f>
        <v>#N/A</v>
      </c>
      <c r="AH312" s="195" t="e">
        <f aca="false">1/((1+AG312/2)^(2*((A312-Front!$C$2)/365.25)))</f>
        <v>#N/A</v>
      </c>
      <c r="AI312" s="236" t="e">
        <f aca="false">IF($AA312="","",E312*AC312)</f>
        <v>#VALUE!</v>
      </c>
      <c r="AJ312" s="236" t="e">
        <f aca="false">IF($AA312="","",E312*AE312)</f>
        <v>#VALUE!</v>
      </c>
      <c r="AK312" s="295"/>
      <c r="AL312" s="107"/>
      <c r="AM312" s="302"/>
      <c r="AN312" s="302"/>
      <c r="AO312" s="302"/>
      <c r="AP312" s="302"/>
      <c r="AQ312" s="302"/>
      <c r="AR312" s="302"/>
      <c r="AS312" s="302"/>
      <c r="AT312" s="302"/>
      <c r="AU312" s="302"/>
      <c r="AV312" s="302"/>
      <c r="AW312" s="302"/>
      <c r="AX312" s="302"/>
      <c r="AY312" s="302"/>
      <c r="AZ312" s="302"/>
      <c r="BA312" s="302"/>
      <c r="BB312" s="107"/>
      <c r="BC312" s="107"/>
      <c r="BD312" s="107"/>
      <c r="BE312" s="107"/>
      <c r="BF312" s="107"/>
      <c r="BG312" s="107"/>
      <c r="BH312" s="107"/>
      <c r="BI312" s="107"/>
      <c r="BJ312" s="107"/>
      <c r="BK312" s="107"/>
      <c r="BL312" s="107"/>
      <c r="BM312" s="107"/>
      <c r="BN312" s="107"/>
      <c r="BO312" s="107"/>
      <c r="BP312" s="107"/>
      <c r="BQ312" s="107"/>
      <c r="BR312" s="107"/>
      <c r="BS312" s="81" t="n">
        <v>0.0640719176169435</v>
      </c>
    </row>
    <row r="313" customFormat="false" ht="15" hidden="false" customHeight="false" outlineLevel="0" collapsed="false">
      <c r="A313" s="156" t="n">
        <f aca="false">EOMONTH(A312,0)+1</f>
        <v>46357</v>
      </c>
      <c r="B313" s="215"/>
      <c r="C313" s="281"/>
      <c r="D313" s="282"/>
      <c r="E313" s="283"/>
      <c r="F313" s="277"/>
      <c r="H313" s="277"/>
      <c r="I313" s="277"/>
      <c r="J313" s="69"/>
      <c r="K313" s="277"/>
      <c r="L313" s="277"/>
      <c r="M313" s="277"/>
      <c r="N313" s="277"/>
      <c r="O313" s="277"/>
      <c r="P313" s="277"/>
      <c r="Q313" s="277"/>
      <c r="R313" s="277"/>
      <c r="T313" s="277"/>
      <c r="U313" s="277"/>
      <c r="W313" s="277"/>
      <c r="Y313" s="228" t="n">
        <f aca="false">DAY(EOMONTH(A313,0))</f>
        <v>31</v>
      </c>
      <c r="Z313" s="268" t="n">
        <v>45594</v>
      </c>
      <c r="AA313" s="230" t="e">
        <f aca="false">IF(AND(A313&gt;=Front!$E$11,A313&lt;=Front!$E$12),A313,"")</f>
        <v>#VALUE!</v>
      </c>
      <c r="AB313" s="231" t="e">
        <f aca="false">IF(AA313="","",VLOOKUP(MONTH(A312),Front!$W$6:$X$17,2)*IF(Front!D$9=0,Swap!Y313,1))</f>
        <v>#VALUE!</v>
      </c>
      <c r="AC313" s="274" t="e">
        <f aca="false">IF(AA313="","",AB313*AH313)</f>
        <v>#VALUE!</v>
      </c>
      <c r="AD313" s="233"/>
      <c r="AE313" s="231" t="e">
        <f aca="false">IF(AA313="","",AD313*AH313)</f>
        <v>#VALUE!</v>
      </c>
      <c r="AF313" s="243" t="e">
        <f aca="false">AF312</f>
        <v>#N/A</v>
      </c>
      <c r="AG313" s="243" t="e">
        <f aca="false">AF313+$AG$9</f>
        <v>#N/A</v>
      </c>
      <c r="AH313" s="195" t="e">
        <f aca="false">1/((1+AG313/2)^(2*((A313-Front!$C$2)/365.25)))</f>
        <v>#N/A</v>
      </c>
      <c r="AI313" s="236" t="e">
        <f aca="false">IF($AA313="","",E313*AC313)</f>
        <v>#VALUE!</v>
      </c>
      <c r="AJ313" s="236" t="e">
        <f aca="false">IF($AA313="","",E313*AE313)</f>
        <v>#VALUE!</v>
      </c>
      <c r="AK313" s="295"/>
      <c r="AL313" s="107"/>
      <c r="AM313" s="302"/>
      <c r="AN313" s="302"/>
      <c r="AO313" s="302"/>
      <c r="AP313" s="302"/>
      <c r="AQ313" s="302"/>
      <c r="AR313" s="302"/>
      <c r="AS313" s="302"/>
      <c r="AT313" s="302"/>
      <c r="AU313" s="302"/>
      <c r="AV313" s="302"/>
      <c r="AW313" s="302"/>
      <c r="AX313" s="302"/>
      <c r="AY313" s="302"/>
      <c r="AZ313" s="302"/>
      <c r="BA313" s="302"/>
      <c r="BB313" s="107"/>
      <c r="BC313" s="107"/>
      <c r="BD313" s="107"/>
      <c r="BE313" s="107"/>
      <c r="BF313" s="107"/>
      <c r="BG313" s="107"/>
      <c r="BH313" s="107"/>
      <c r="BI313" s="107"/>
      <c r="BJ313" s="107"/>
      <c r="BK313" s="107"/>
      <c r="BL313" s="107"/>
      <c r="BM313" s="107"/>
      <c r="BN313" s="107"/>
      <c r="BO313" s="107"/>
      <c r="BP313" s="107"/>
      <c r="BQ313" s="107"/>
      <c r="BR313" s="107"/>
      <c r="BS313" s="81" t="n">
        <v>0.064076887649335</v>
      </c>
    </row>
    <row r="314" customFormat="false" ht="15" hidden="false" customHeight="false" outlineLevel="0" collapsed="false">
      <c r="A314" s="156" t="n">
        <f aca="false">EOMONTH(A313,0)+1</f>
        <v>46388</v>
      </c>
      <c r="B314" s="215"/>
      <c r="C314" s="281"/>
      <c r="D314" s="282"/>
      <c r="E314" s="283"/>
      <c r="F314" s="277"/>
      <c r="H314" s="277"/>
      <c r="I314" s="277"/>
      <c r="J314" s="69"/>
      <c r="K314" s="277"/>
      <c r="L314" s="277"/>
      <c r="M314" s="277"/>
      <c r="N314" s="277"/>
      <c r="O314" s="277"/>
      <c r="P314" s="277"/>
      <c r="Q314" s="277"/>
      <c r="R314" s="277"/>
      <c r="T314" s="277"/>
      <c r="U314" s="277"/>
      <c r="W314" s="277"/>
      <c r="Y314" s="228" t="n">
        <f aca="false">DAY(EOMONTH(A314,0))</f>
        <v>31</v>
      </c>
      <c r="Z314" s="268" t="n">
        <v>45624</v>
      </c>
      <c r="AA314" s="230" t="e">
        <f aca="false">IF(AND(A314&gt;=Front!$E$11,A314&lt;=Front!$E$12),A314,"")</f>
        <v>#VALUE!</v>
      </c>
      <c r="AB314" s="231" t="e">
        <f aca="false">IF(AA314="","",VLOOKUP(MONTH(A313),Front!$W$6:$X$17,2)*IF(Front!D$9=0,Swap!Y314,1))</f>
        <v>#VALUE!</v>
      </c>
      <c r="AC314" s="274" t="e">
        <f aca="false">IF(AA314="","",AB314*AH314)</f>
        <v>#VALUE!</v>
      </c>
      <c r="AD314" s="233"/>
      <c r="AE314" s="231" t="e">
        <f aca="false">IF(AA314="","",AD314*AH314)</f>
        <v>#VALUE!</v>
      </c>
      <c r="AF314" s="243" t="e">
        <f aca="false">AF313</f>
        <v>#N/A</v>
      </c>
      <c r="AG314" s="243" t="e">
        <f aca="false">AF314+$AG$9</f>
        <v>#N/A</v>
      </c>
      <c r="AH314" s="195" t="e">
        <f aca="false">1/((1+AG314/2)^(2*((A314-Front!$C$2)/365.25)))</f>
        <v>#N/A</v>
      </c>
      <c r="AI314" s="236" t="e">
        <f aca="false">IF($AA314="","",E314*AC314)</f>
        <v>#VALUE!</v>
      </c>
      <c r="AJ314" s="236" t="e">
        <f aca="false">IF($AA314="","",E314*AE314)</f>
        <v>#VALUE!</v>
      </c>
      <c r="AK314" s="295"/>
      <c r="AL314" s="107"/>
      <c r="AM314" s="302"/>
      <c r="AN314" s="302"/>
      <c r="AO314" s="302"/>
      <c r="AP314" s="302"/>
      <c r="AQ314" s="302"/>
      <c r="AR314" s="302"/>
      <c r="AS314" s="302"/>
      <c r="AT314" s="302"/>
      <c r="AU314" s="302"/>
      <c r="AV314" s="302"/>
      <c r="AW314" s="302"/>
      <c r="AX314" s="302"/>
      <c r="AY314" s="302"/>
      <c r="AZ314" s="302"/>
      <c r="BA314" s="302"/>
      <c r="BB314" s="107"/>
      <c r="BC314" s="107"/>
      <c r="BD314" s="107"/>
      <c r="BE314" s="107"/>
      <c r="BF314" s="107"/>
      <c r="BG314" s="107"/>
      <c r="BH314" s="107"/>
      <c r="BI314" s="107"/>
      <c r="BJ314" s="107"/>
      <c r="BK314" s="107"/>
      <c r="BL314" s="107"/>
      <c r="BM314" s="107"/>
      <c r="BN314" s="107"/>
      <c r="BO314" s="107"/>
      <c r="BP314" s="107"/>
      <c r="BQ314" s="107"/>
      <c r="BR314" s="107"/>
      <c r="BS314" s="81" t="n">
        <v>0.0640820233494814</v>
      </c>
    </row>
    <row r="315" customFormat="false" ht="15" hidden="false" customHeight="false" outlineLevel="0" collapsed="false">
      <c r="A315" s="156" t="n">
        <f aca="false">EOMONTH(A314,0)+1</f>
        <v>46419</v>
      </c>
      <c r="B315" s="215"/>
      <c r="C315" s="281"/>
      <c r="D315" s="282"/>
      <c r="E315" s="283"/>
      <c r="F315" s="277"/>
      <c r="H315" s="277"/>
      <c r="I315" s="277"/>
      <c r="J315" s="69"/>
      <c r="K315" s="277"/>
      <c r="L315" s="277"/>
      <c r="M315" s="277"/>
      <c r="N315" s="277"/>
      <c r="O315" s="277"/>
      <c r="P315" s="277"/>
      <c r="Q315" s="277"/>
      <c r="R315" s="277"/>
      <c r="T315" s="277"/>
      <c r="U315" s="277"/>
      <c r="W315" s="277"/>
      <c r="Y315" s="228" t="n">
        <f aca="false">DAY(EOMONTH(A315,0))</f>
        <v>28</v>
      </c>
      <c r="Z315" s="268" t="n">
        <v>45655</v>
      </c>
      <c r="AA315" s="230" t="e">
        <f aca="false">IF(AND(A315&gt;=Front!$E$11,A315&lt;=Front!$E$12),A315,"")</f>
        <v>#VALUE!</v>
      </c>
      <c r="AB315" s="231" t="e">
        <f aca="false">IF(AA315="","",VLOOKUP(MONTH(A314),Front!$W$6:$X$17,2)*IF(Front!D$9=0,Swap!Y315,1))</f>
        <v>#VALUE!</v>
      </c>
      <c r="AC315" s="274" t="e">
        <f aca="false">IF(AA315="","",AB315*AH315)</f>
        <v>#VALUE!</v>
      </c>
      <c r="AD315" s="233"/>
      <c r="AE315" s="231" t="e">
        <f aca="false">IF(AA315="","",AD315*AH315)</f>
        <v>#VALUE!</v>
      </c>
      <c r="AF315" s="243" t="e">
        <f aca="false">AF314</f>
        <v>#N/A</v>
      </c>
      <c r="AG315" s="243" t="e">
        <f aca="false">AF315+$AG$9</f>
        <v>#N/A</v>
      </c>
      <c r="AH315" s="195" t="e">
        <f aca="false">1/((1+AG315/2)^(2*((A315-Front!$C$2)/365.25)))</f>
        <v>#N/A</v>
      </c>
      <c r="AI315" s="236" t="e">
        <f aca="false">IF($AA315="","",E315*AC315)</f>
        <v>#VALUE!</v>
      </c>
      <c r="AJ315" s="236" t="e">
        <f aca="false">IF($AA315="","",E315*AE315)</f>
        <v>#VALUE!</v>
      </c>
      <c r="AK315" s="295"/>
      <c r="AL315" s="107"/>
      <c r="AM315" s="302"/>
      <c r="AN315" s="302"/>
      <c r="AO315" s="302"/>
      <c r="AP315" s="302"/>
      <c r="AQ315" s="302"/>
      <c r="AR315" s="302"/>
      <c r="AS315" s="302"/>
      <c r="AT315" s="302"/>
      <c r="AU315" s="302"/>
      <c r="AV315" s="302"/>
      <c r="AW315" s="302"/>
      <c r="AX315" s="302"/>
      <c r="AY315" s="302"/>
      <c r="AZ315" s="302"/>
      <c r="BA315" s="302"/>
      <c r="BB315" s="107"/>
      <c r="BC315" s="107"/>
      <c r="BD315" s="107"/>
      <c r="BE315" s="107"/>
      <c r="BF315" s="107"/>
      <c r="BG315" s="107"/>
      <c r="BH315" s="107"/>
      <c r="BI315" s="107"/>
      <c r="BJ315" s="107"/>
      <c r="BK315" s="107"/>
      <c r="BL315" s="107"/>
      <c r="BM315" s="107"/>
      <c r="BN315" s="107"/>
      <c r="BO315" s="107"/>
      <c r="BP315" s="107"/>
      <c r="BQ315" s="107"/>
      <c r="BR315" s="107"/>
      <c r="BS315" s="81" t="n">
        <v>0.0640871590496364</v>
      </c>
    </row>
    <row r="316" customFormat="false" ht="15" hidden="false" customHeight="false" outlineLevel="0" collapsed="false">
      <c r="A316" s="156" t="n">
        <f aca="false">EOMONTH(A315,0)+1</f>
        <v>46447</v>
      </c>
      <c r="B316" s="215"/>
      <c r="C316" s="281"/>
      <c r="D316" s="282"/>
      <c r="E316" s="283"/>
      <c r="F316" s="277"/>
      <c r="H316" s="277"/>
      <c r="I316" s="277"/>
      <c r="J316" s="69"/>
      <c r="K316" s="277"/>
      <c r="L316" s="277"/>
      <c r="M316" s="277"/>
      <c r="N316" s="277"/>
      <c r="O316" s="277"/>
      <c r="P316" s="277"/>
      <c r="Q316" s="277"/>
      <c r="R316" s="277"/>
      <c r="T316" s="277"/>
      <c r="U316" s="277"/>
      <c r="W316" s="277"/>
      <c r="Y316" s="228" t="n">
        <f aca="false">DAY(EOMONTH(A316,0))</f>
        <v>31</v>
      </c>
      <c r="Z316" s="268" t="n">
        <v>45594</v>
      </c>
      <c r="AA316" s="230" t="e">
        <f aca="false">IF(AND(A316&gt;=Front!$E$11,A316&lt;=Front!$E$12),A316,"")</f>
        <v>#VALUE!</v>
      </c>
      <c r="AB316" s="231" t="e">
        <f aca="false">IF(AA316="","",VLOOKUP(MONTH(A315),Front!$W$6:$X$17,2)*IF(Front!D$9=0,Swap!Y316,1))</f>
        <v>#VALUE!</v>
      </c>
      <c r="AC316" s="274" t="e">
        <f aca="false">IF(AA316="","",AB316*AH316)</f>
        <v>#VALUE!</v>
      </c>
      <c r="AD316" s="233"/>
      <c r="AE316" s="231" t="e">
        <f aca="false">IF(AA316="","",AD316*AH316)</f>
        <v>#VALUE!</v>
      </c>
      <c r="AF316" s="243" t="e">
        <f aca="false">AF315</f>
        <v>#N/A</v>
      </c>
      <c r="AG316" s="243" t="e">
        <f aca="false">AF316+$AG$9</f>
        <v>#N/A</v>
      </c>
      <c r="AH316" s="195" t="e">
        <f aca="false">1/((1+AG316/2)^(2*((A316-Front!$C$2)/365.25)))</f>
        <v>#N/A</v>
      </c>
      <c r="AI316" s="236" t="e">
        <f aca="false">IF($AA316="","",E316*AC316)</f>
        <v>#VALUE!</v>
      </c>
      <c r="AJ316" s="236" t="e">
        <f aca="false">IF($AA316="","",E316*AE316)</f>
        <v>#VALUE!</v>
      </c>
      <c r="AK316" s="295"/>
      <c r="AL316" s="107"/>
      <c r="AM316" s="302"/>
      <c r="AN316" s="302"/>
      <c r="AO316" s="302"/>
      <c r="AP316" s="302"/>
      <c r="AQ316" s="302"/>
      <c r="AR316" s="302"/>
      <c r="AS316" s="302"/>
      <c r="AT316" s="302"/>
      <c r="AU316" s="302"/>
      <c r="AV316" s="302"/>
      <c r="AW316" s="302"/>
      <c r="AX316" s="302"/>
      <c r="AY316" s="302"/>
      <c r="AZ316" s="302"/>
      <c r="BA316" s="302"/>
      <c r="BB316" s="107"/>
      <c r="BC316" s="107"/>
      <c r="BD316" s="107"/>
      <c r="BE316" s="107"/>
      <c r="BF316" s="107"/>
      <c r="BG316" s="107"/>
      <c r="BH316" s="107"/>
      <c r="BI316" s="107"/>
      <c r="BJ316" s="107"/>
      <c r="BK316" s="107"/>
      <c r="BL316" s="107"/>
      <c r="BM316" s="107"/>
      <c r="BN316" s="107"/>
      <c r="BO316" s="107"/>
      <c r="BP316" s="107"/>
      <c r="BQ316" s="107"/>
      <c r="BR316" s="107"/>
      <c r="BS316" s="81" t="n">
        <v>0.064091797746558</v>
      </c>
    </row>
    <row r="317" customFormat="false" ht="15" hidden="false" customHeight="false" outlineLevel="0" collapsed="false">
      <c r="A317" s="156" t="n">
        <f aca="false">EOMONTH(A316,0)+1</f>
        <v>46478</v>
      </c>
      <c r="B317" s="215"/>
      <c r="C317" s="281"/>
      <c r="D317" s="282"/>
      <c r="E317" s="283"/>
      <c r="F317" s="277"/>
      <c r="H317" s="277"/>
      <c r="I317" s="277"/>
      <c r="J317" s="69"/>
      <c r="K317" s="277"/>
      <c r="L317" s="277"/>
      <c r="M317" s="277"/>
      <c r="N317" s="277"/>
      <c r="O317" s="277"/>
      <c r="P317" s="277"/>
      <c r="Q317" s="277"/>
      <c r="R317" s="277"/>
      <c r="T317" s="277"/>
      <c r="U317" s="277"/>
      <c r="W317" s="277"/>
      <c r="Y317" s="228" t="n">
        <f aca="false">DAY(EOMONTH(A317,0))</f>
        <v>30</v>
      </c>
      <c r="Z317" s="268" t="n">
        <v>45624</v>
      </c>
      <c r="AA317" s="230" t="e">
        <f aca="false">IF(AND(A317&gt;=Front!$E$11,A317&lt;=Front!$E$12),A317,"")</f>
        <v>#VALUE!</v>
      </c>
      <c r="AB317" s="231" t="e">
        <f aca="false">IF(AA317="","",VLOOKUP(MONTH(A316),Front!$W$6:$X$17,2)*IF(Front!D$9=0,Swap!Y317,1))</f>
        <v>#VALUE!</v>
      </c>
      <c r="AC317" s="274" t="e">
        <f aca="false">IF(AA317="","",AB317*AH317)</f>
        <v>#VALUE!</v>
      </c>
      <c r="AD317" s="233"/>
      <c r="AE317" s="231" t="e">
        <f aca="false">IF(AA317="","",AD317*AH317)</f>
        <v>#VALUE!</v>
      </c>
      <c r="AF317" s="243" t="e">
        <f aca="false">AF316</f>
        <v>#N/A</v>
      </c>
      <c r="AG317" s="243" t="e">
        <f aca="false">AF317+$AG$9</f>
        <v>#N/A</v>
      </c>
      <c r="AH317" s="195" t="e">
        <f aca="false">1/((1+AG317/2)^(2*((A317-Front!$C$2)/365.25)))</f>
        <v>#N/A</v>
      </c>
      <c r="AI317" s="236" t="e">
        <f aca="false">IF($AA317="","",E317*AC317)</f>
        <v>#VALUE!</v>
      </c>
      <c r="AJ317" s="236" t="e">
        <f aca="false">IF($AA317="","",E317*AE317)</f>
        <v>#VALUE!</v>
      </c>
      <c r="AK317" s="295"/>
      <c r="AL317" s="107"/>
      <c r="AM317" s="302"/>
      <c r="AN317" s="302"/>
      <c r="AO317" s="302"/>
      <c r="AP317" s="302"/>
      <c r="AQ317" s="302"/>
      <c r="AR317" s="302"/>
      <c r="AS317" s="302"/>
      <c r="AT317" s="302"/>
      <c r="AU317" s="302"/>
      <c r="AV317" s="302"/>
      <c r="AW317" s="302"/>
      <c r="AX317" s="302"/>
      <c r="AY317" s="302"/>
      <c r="AZ317" s="302"/>
      <c r="BA317" s="302"/>
      <c r="BB317" s="107"/>
      <c r="BC317" s="107"/>
      <c r="BD317" s="107"/>
      <c r="BE317" s="107"/>
      <c r="BF317" s="107"/>
      <c r="BG317" s="107"/>
      <c r="BH317" s="107"/>
      <c r="BI317" s="107"/>
      <c r="BJ317" s="107"/>
      <c r="BK317" s="107"/>
      <c r="BL317" s="107"/>
      <c r="BM317" s="107"/>
      <c r="BN317" s="107"/>
      <c r="BO317" s="107"/>
      <c r="BP317" s="107"/>
      <c r="BQ317" s="107"/>
      <c r="BR317" s="107"/>
      <c r="BS317" s="81" t="n">
        <v>0.0640969334467294</v>
      </c>
    </row>
    <row r="318" customFormat="false" ht="15" hidden="false" customHeight="false" outlineLevel="0" collapsed="false">
      <c r="A318" s="156" t="n">
        <f aca="false">EOMONTH(A317,0)+1</f>
        <v>46508</v>
      </c>
      <c r="B318" s="215"/>
      <c r="C318" s="281"/>
      <c r="D318" s="282"/>
      <c r="E318" s="283"/>
      <c r="F318" s="277"/>
      <c r="H318" s="277"/>
      <c r="I318" s="277"/>
      <c r="J318" s="69"/>
      <c r="K318" s="277"/>
      <c r="L318" s="277"/>
      <c r="M318" s="277"/>
      <c r="N318" s="277"/>
      <c r="O318" s="277"/>
      <c r="P318" s="277"/>
      <c r="Q318" s="277"/>
      <c r="R318" s="277"/>
      <c r="T318" s="277"/>
      <c r="U318" s="277"/>
      <c r="W318" s="277"/>
      <c r="Y318" s="228" t="n">
        <f aca="false">DAY(EOMONTH(A318,0))</f>
        <v>31</v>
      </c>
      <c r="Z318" s="268" t="n">
        <v>45655</v>
      </c>
      <c r="AA318" s="230" t="e">
        <f aca="false">IF(AND(A318&gt;=Front!$E$11,A318&lt;=Front!$E$12),A318,"")</f>
        <v>#VALUE!</v>
      </c>
      <c r="AB318" s="231" t="e">
        <f aca="false">IF(AA318="","",VLOOKUP(MONTH(A317),Front!$W$6:$X$17,2)*IF(Front!D$9=0,Swap!Y318,1))</f>
        <v>#VALUE!</v>
      </c>
      <c r="AC318" s="274" t="e">
        <f aca="false">IF(AA318="","",AB318*AH318)</f>
        <v>#VALUE!</v>
      </c>
      <c r="AD318" s="233"/>
      <c r="AE318" s="231" t="e">
        <f aca="false">IF(AA318="","",AD318*AH318)</f>
        <v>#VALUE!</v>
      </c>
      <c r="AF318" s="243" t="e">
        <f aca="false">AF317</f>
        <v>#N/A</v>
      </c>
      <c r="AG318" s="243" t="e">
        <f aca="false">AF318+$AG$9</f>
        <v>#N/A</v>
      </c>
      <c r="AH318" s="195" t="e">
        <f aca="false">1/((1+AG318/2)^(2*((A318-Front!$C$2)/365.25)))</f>
        <v>#N/A</v>
      </c>
      <c r="AI318" s="236" t="e">
        <f aca="false">IF($AA318="","",E318*AC318)</f>
        <v>#VALUE!</v>
      </c>
      <c r="AJ318" s="236" t="e">
        <f aca="false">IF($AA318="","",E318*AE318)</f>
        <v>#VALUE!</v>
      </c>
      <c r="AK318" s="295"/>
      <c r="AL318" s="107"/>
      <c r="AM318" s="302"/>
      <c r="AN318" s="302"/>
      <c r="AO318" s="302"/>
      <c r="AP318" s="302"/>
      <c r="AQ318" s="302"/>
      <c r="AR318" s="302"/>
      <c r="AS318" s="302"/>
      <c r="AT318" s="302"/>
      <c r="AU318" s="302"/>
      <c r="AV318" s="302"/>
      <c r="AW318" s="302"/>
      <c r="AX318" s="302"/>
      <c r="AY318" s="302"/>
      <c r="AZ318" s="302"/>
      <c r="BA318" s="302"/>
      <c r="BB318" s="107"/>
      <c r="BC318" s="107"/>
      <c r="BD318" s="107"/>
      <c r="BE318" s="107"/>
      <c r="BF318" s="107"/>
      <c r="BG318" s="107"/>
      <c r="BH318" s="107"/>
      <c r="BI318" s="107"/>
      <c r="BJ318" s="107"/>
      <c r="BK318" s="107"/>
      <c r="BL318" s="107"/>
      <c r="BM318" s="107"/>
      <c r="BN318" s="107"/>
      <c r="BO318" s="107"/>
      <c r="BP318" s="107"/>
      <c r="BQ318" s="107"/>
      <c r="BR318" s="107"/>
      <c r="BS318" s="81" t="n">
        <v>0.0641019034791621</v>
      </c>
    </row>
    <row r="319" customFormat="false" ht="15" hidden="false" customHeight="false" outlineLevel="0" collapsed="false">
      <c r="A319" s="156" t="n">
        <f aca="false">EOMONTH(A318,0)+1</f>
        <v>46539</v>
      </c>
      <c r="B319" s="215"/>
      <c r="C319" s="281"/>
      <c r="D319" s="282"/>
      <c r="E319" s="283"/>
      <c r="F319" s="277"/>
      <c r="H319" s="277"/>
      <c r="I319" s="277"/>
      <c r="J319" s="69"/>
      <c r="K319" s="277"/>
      <c r="L319" s="277"/>
      <c r="M319" s="277"/>
      <c r="N319" s="277"/>
      <c r="O319" s="277"/>
      <c r="P319" s="277"/>
      <c r="Q319" s="277"/>
      <c r="R319" s="277"/>
      <c r="T319" s="277"/>
      <c r="U319" s="277"/>
      <c r="W319" s="277"/>
      <c r="Y319" s="228" t="n">
        <f aca="false">DAY(EOMONTH(A319,0))</f>
        <v>30</v>
      </c>
      <c r="Z319" s="268" t="n">
        <v>45594</v>
      </c>
      <c r="AA319" s="230" t="e">
        <f aca="false">IF(AND(A319&gt;=Front!$E$11,A319&lt;=Front!$E$12),A319,"")</f>
        <v>#VALUE!</v>
      </c>
      <c r="AB319" s="231" t="e">
        <f aca="false">IF(AA319="","",VLOOKUP(MONTH(A318),Front!$W$6:$X$17,2)*IF(Front!D$9=0,Swap!Y319,1))</f>
        <v>#VALUE!</v>
      </c>
      <c r="AC319" s="274" t="e">
        <f aca="false">IF(AA319="","",AB319*AH319)</f>
        <v>#VALUE!</v>
      </c>
      <c r="AD319" s="233"/>
      <c r="AE319" s="231" t="e">
        <f aca="false">IF(AA319="","",AD319*AH319)</f>
        <v>#VALUE!</v>
      </c>
      <c r="AF319" s="243" t="e">
        <f aca="false">AF318</f>
        <v>#N/A</v>
      </c>
      <c r="AG319" s="243" t="e">
        <f aca="false">AF319+$AG$9</f>
        <v>#N/A</v>
      </c>
      <c r="AH319" s="195" t="e">
        <f aca="false">1/((1+AG319/2)^(2*((A319-Front!$C$2)/365.25)))</f>
        <v>#N/A</v>
      </c>
      <c r="AI319" s="236" t="e">
        <f aca="false">IF($AA319="","",E319*AC319)</f>
        <v>#VALUE!</v>
      </c>
      <c r="AJ319" s="236" t="e">
        <f aca="false">IF($AA319="","",E319*AE319)</f>
        <v>#VALUE!</v>
      </c>
      <c r="AK319" s="295"/>
      <c r="AL319" s="107"/>
      <c r="AM319" s="302"/>
      <c r="AN319" s="302"/>
      <c r="AO319" s="302"/>
      <c r="AP319" s="302"/>
      <c r="AQ319" s="302"/>
      <c r="AR319" s="302"/>
      <c r="AS319" s="302"/>
      <c r="AT319" s="302"/>
      <c r="AU319" s="302"/>
      <c r="AV319" s="302"/>
      <c r="AW319" s="302"/>
      <c r="AX319" s="302"/>
      <c r="AY319" s="302"/>
      <c r="AZ319" s="302"/>
      <c r="BA319" s="302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7"/>
      <c r="BM319" s="107"/>
      <c r="BN319" s="107"/>
      <c r="BO319" s="107"/>
      <c r="BP319" s="107"/>
      <c r="BQ319" s="107"/>
      <c r="BR319" s="107"/>
      <c r="BS319" s="81" t="n">
        <v>0.0641070391793508</v>
      </c>
    </row>
    <row r="320" customFormat="false" ht="15" hidden="false" customHeight="false" outlineLevel="0" collapsed="false">
      <c r="A320" s="156" t="n">
        <f aca="false">EOMONTH(A319,0)+1</f>
        <v>46569</v>
      </c>
      <c r="B320" s="215"/>
      <c r="C320" s="281"/>
      <c r="D320" s="282"/>
      <c r="E320" s="283"/>
      <c r="F320" s="277"/>
      <c r="H320" s="277"/>
      <c r="I320" s="277"/>
      <c r="J320" s="69"/>
      <c r="K320" s="277"/>
      <c r="L320" s="277"/>
      <c r="M320" s="277"/>
      <c r="N320" s="277"/>
      <c r="O320" s="277"/>
      <c r="P320" s="277"/>
      <c r="Q320" s="277"/>
      <c r="R320" s="277"/>
      <c r="T320" s="277"/>
      <c r="U320" s="277"/>
      <c r="W320" s="277"/>
      <c r="Y320" s="228" t="n">
        <f aca="false">DAY(EOMONTH(A320,0))</f>
        <v>31</v>
      </c>
      <c r="Z320" s="268" t="n">
        <v>45624</v>
      </c>
      <c r="AA320" s="230" t="e">
        <f aca="false">IF(AND(A320&gt;=Front!$E$11,A320&lt;=Front!$E$12),A320,"")</f>
        <v>#VALUE!</v>
      </c>
      <c r="AB320" s="231" t="e">
        <f aca="false">IF(AA320="","",VLOOKUP(MONTH(A319),Front!$W$6:$X$17,2)*IF(Front!D$9=0,Swap!Y320,1))</f>
        <v>#VALUE!</v>
      </c>
      <c r="AC320" s="274" t="e">
        <f aca="false">IF(AA320="","",AB320*AH320)</f>
        <v>#VALUE!</v>
      </c>
      <c r="AD320" s="233"/>
      <c r="AE320" s="231" t="e">
        <f aca="false">IF(AA320="","",AD320*AH320)</f>
        <v>#VALUE!</v>
      </c>
      <c r="AF320" s="243" t="e">
        <f aca="false">AF319</f>
        <v>#N/A</v>
      </c>
      <c r="AG320" s="243" t="e">
        <f aca="false">AF320+$AG$9</f>
        <v>#N/A</v>
      </c>
      <c r="AH320" s="195" t="e">
        <f aca="false">1/((1+AG320/2)^(2*((A320-Front!$C$2)/365.25)))</f>
        <v>#N/A</v>
      </c>
      <c r="AI320" s="236" t="e">
        <f aca="false">IF($AA320="","",E320*AC320)</f>
        <v>#VALUE!</v>
      </c>
      <c r="AJ320" s="236" t="e">
        <f aca="false">IF($AA320="","",E320*AE320)</f>
        <v>#VALUE!</v>
      </c>
      <c r="AK320" s="295"/>
      <c r="AL320" s="107"/>
      <c r="AM320" s="303"/>
      <c r="AN320" s="303"/>
      <c r="AO320" s="303"/>
      <c r="AP320" s="303"/>
      <c r="AQ320" s="303"/>
      <c r="AR320" s="303"/>
      <c r="AS320" s="303"/>
      <c r="AT320" s="303"/>
      <c r="AU320" s="303"/>
      <c r="AV320" s="303"/>
      <c r="AW320" s="303"/>
      <c r="AX320" s="303"/>
      <c r="AY320" s="303"/>
      <c r="AZ320" s="303"/>
      <c r="BA320" s="303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7"/>
      <c r="BM320" s="107"/>
      <c r="BN320" s="107"/>
      <c r="BO320" s="107"/>
      <c r="BP320" s="107"/>
      <c r="BQ320" s="107"/>
      <c r="BR320" s="107"/>
      <c r="BS320" s="81" t="n">
        <v>0.0641120092117995</v>
      </c>
    </row>
    <row r="321" customFormat="false" ht="15" hidden="false" customHeight="false" outlineLevel="0" collapsed="false">
      <c r="A321" s="156" t="n">
        <f aca="false">EOMONTH(A320,0)+1</f>
        <v>46600</v>
      </c>
      <c r="B321" s="215"/>
      <c r="C321" s="281"/>
      <c r="D321" s="282"/>
      <c r="E321" s="283"/>
      <c r="F321" s="277"/>
      <c r="H321" s="277"/>
      <c r="I321" s="277"/>
      <c r="J321" s="69"/>
      <c r="K321" s="277"/>
      <c r="L321" s="277"/>
      <c r="M321" s="277"/>
      <c r="N321" s="277"/>
      <c r="O321" s="277"/>
      <c r="P321" s="277"/>
      <c r="Q321" s="277"/>
      <c r="R321" s="277"/>
      <c r="T321" s="277"/>
      <c r="U321" s="277"/>
      <c r="W321" s="277"/>
      <c r="Y321" s="228" t="n">
        <f aca="false">DAY(EOMONTH(A321,0))</f>
        <v>31</v>
      </c>
      <c r="Z321" s="268" t="n">
        <v>45655</v>
      </c>
      <c r="AA321" s="230" t="e">
        <f aca="false">IF(AND(A321&gt;=Front!$E$11,A321&lt;=Front!$E$12),A321,"")</f>
        <v>#VALUE!</v>
      </c>
      <c r="AB321" s="231" t="e">
        <f aca="false">IF(AA321="","",VLOOKUP(MONTH(A320),Front!$W$6:$X$17,2)*IF(Front!D$9=0,Swap!Y321,1))</f>
        <v>#VALUE!</v>
      </c>
      <c r="AC321" s="274" t="e">
        <f aca="false">IF(AA321="","",AB321*AH321)</f>
        <v>#VALUE!</v>
      </c>
      <c r="AD321" s="233"/>
      <c r="AE321" s="231" t="e">
        <f aca="false">IF(AA321="","",AD321*AH321)</f>
        <v>#VALUE!</v>
      </c>
      <c r="AF321" s="243" t="e">
        <f aca="false">AF320</f>
        <v>#N/A</v>
      </c>
      <c r="AG321" s="243" t="e">
        <f aca="false">AF321+$AG$9</f>
        <v>#N/A</v>
      </c>
      <c r="AH321" s="195" t="e">
        <f aca="false">1/((1+AG321/2)^(2*((A321-Front!$C$2)/365.25)))</f>
        <v>#N/A</v>
      </c>
      <c r="AI321" s="236" t="e">
        <f aca="false">IF($AA321="","",E321*AC321)</f>
        <v>#VALUE!</v>
      </c>
      <c r="AJ321" s="236" t="e">
        <f aca="false">IF($AA321="","",E321*AE321)</f>
        <v>#VALUE!</v>
      </c>
      <c r="AK321" s="295"/>
      <c r="AL321" s="107"/>
      <c r="AM321" s="303"/>
      <c r="AN321" s="303"/>
      <c r="AO321" s="303"/>
      <c r="AP321" s="303"/>
      <c r="AQ321" s="303"/>
      <c r="AR321" s="303"/>
      <c r="AS321" s="303"/>
      <c r="AT321" s="303"/>
      <c r="AU321" s="303"/>
      <c r="AV321" s="303"/>
      <c r="AW321" s="303"/>
      <c r="AX321" s="303"/>
      <c r="AY321" s="303"/>
      <c r="AZ321" s="303"/>
      <c r="BA321" s="303"/>
      <c r="BB321" s="107"/>
      <c r="BC321" s="107"/>
      <c r="BD321" s="107"/>
      <c r="BE321" s="107"/>
      <c r="BF321" s="107"/>
      <c r="BG321" s="107"/>
      <c r="BH321" s="107"/>
      <c r="BI321" s="107"/>
      <c r="BJ321" s="107"/>
      <c r="BK321" s="107"/>
      <c r="BL321" s="107"/>
      <c r="BM321" s="107"/>
      <c r="BN321" s="107"/>
      <c r="BO321" s="107"/>
      <c r="BP321" s="107"/>
      <c r="BQ321" s="107"/>
      <c r="BR321" s="107"/>
      <c r="BS321" s="81" t="n">
        <v>0.0641171449120055</v>
      </c>
    </row>
    <row r="322" customFormat="false" ht="15" hidden="false" customHeight="false" outlineLevel="0" collapsed="false">
      <c r="A322" s="156" t="n">
        <f aca="false">EOMONTH(A321,0)+1</f>
        <v>46631</v>
      </c>
      <c r="B322" s="215"/>
      <c r="C322" s="281"/>
      <c r="D322" s="282"/>
      <c r="E322" s="283"/>
      <c r="F322" s="277"/>
      <c r="H322" s="277"/>
      <c r="I322" s="277"/>
      <c r="J322" s="69"/>
      <c r="K322" s="277"/>
      <c r="L322" s="277"/>
      <c r="M322" s="277"/>
      <c r="N322" s="277"/>
      <c r="O322" s="277"/>
      <c r="P322" s="277"/>
      <c r="Q322" s="277"/>
      <c r="R322" s="277"/>
      <c r="T322" s="277"/>
      <c r="U322" s="277"/>
      <c r="W322" s="277"/>
      <c r="Y322" s="228" t="n">
        <f aca="false">DAY(EOMONTH(A322,0))</f>
        <v>30</v>
      </c>
      <c r="Z322" s="268" t="n">
        <v>45594</v>
      </c>
      <c r="AA322" s="230" t="e">
        <f aca="false">IF(AND(A322&gt;=Front!$E$11,A322&lt;=Front!$E$12),A322,"")</f>
        <v>#VALUE!</v>
      </c>
      <c r="AB322" s="231" t="e">
        <f aca="false">IF(AA322="","",VLOOKUP(MONTH(A321),Front!$W$6:$X$17,2)*IF(Front!D$9=0,Swap!Y322,1))</f>
        <v>#VALUE!</v>
      </c>
      <c r="AC322" s="274" t="e">
        <f aca="false">IF(AA322="","",AB322*AH322)</f>
        <v>#VALUE!</v>
      </c>
      <c r="AD322" s="233"/>
      <c r="AE322" s="231" t="e">
        <f aca="false">IF(AA322="","",AD322*AH322)</f>
        <v>#VALUE!</v>
      </c>
      <c r="AF322" s="243" t="e">
        <f aca="false">AF321</f>
        <v>#N/A</v>
      </c>
      <c r="AG322" s="243" t="e">
        <f aca="false">AF322+$AG$9</f>
        <v>#N/A</v>
      </c>
      <c r="AH322" s="195" t="e">
        <f aca="false">1/((1+AG322/2)^(2*((A322-Front!$C$2)/365.25)))</f>
        <v>#N/A</v>
      </c>
      <c r="AI322" s="236" t="e">
        <f aca="false">IF($AA322="","",E322*AC322)</f>
        <v>#VALUE!</v>
      </c>
      <c r="AJ322" s="236" t="e">
        <f aca="false">IF($AA322="","",E322*AE322)</f>
        <v>#VALUE!</v>
      </c>
      <c r="AK322" s="295"/>
      <c r="AL322" s="107"/>
      <c r="AM322" s="303"/>
      <c r="AN322" s="303"/>
      <c r="AO322" s="303"/>
      <c r="AP322" s="303"/>
      <c r="AQ322" s="303"/>
      <c r="AR322" s="303"/>
      <c r="AS322" s="303"/>
      <c r="AT322" s="303"/>
      <c r="AU322" s="303"/>
      <c r="AV322" s="303"/>
      <c r="AW322" s="303"/>
      <c r="AX322" s="303"/>
      <c r="AY322" s="303"/>
      <c r="AZ322" s="303"/>
      <c r="BA322" s="303"/>
      <c r="BB322" s="107"/>
      <c r="BC322" s="107"/>
      <c r="BD322" s="107"/>
      <c r="BE322" s="107"/>
      <c r="BF322" s="107"/>
      <c r="BG322" s="107"/>
      <c r="BH322" s="107"/>
      <c r="BI322" s="107"/>
      <c r="BJ322" s="107"/>
      <c r="BK322" s="107"/>
      <c r="BL322" s="107"/>
      <c r="BM322" s="107"/>
      <c r="BN322" s="107"/>
      <c r="BO322" s="107"/>
      <c r="BP322" s="107"/>
      <c r="BQ322" s="107"/>
      <c r="BR322" s="107"/>
      <c r="BS322" s="81" t="n">
        <v>0.0641222806122204</v>
      </c>
    </row>
    <row r="323" customFormat="false" ht="15" hidden="false" customHeight="false" outlineLevel="0" collapsed="false">
      <c r="A323" s="156" t="n">
        <f aca="false">EOMONTH(A322,0)+1</f>
        <v>46661</v>
      </c>
      <c r="B323" s="215"/>
      <c r="C323" s="281"/>
      <c r="D323" s="282"/>
      <c r="E323" s="283"/>
      <c r="F323" s="277"/>
      <c r="H323" s="277"/>
      <c r="I323" s="277"/>
      <c r="J323" s="69"/>
      <c r="K323" s="277"/>
      <c r="L323" s="277"/>
      <c r="M323" s="277"/>
      <c r="N323" s="277"/>
      <c r="O323" s="277"/>
      <c r="P323" s="277"/>
      <c r="Q323" s="277"/>
      <c r="R323" s="277"/>
      <c r="T323" s="277"/>
      <c r="U323" s="277"/>
      <c r="W323" s="277"/>
      <c r="Y323" s="228" t="n">
        <f aca="false">DAY(EOMONTH(A323,0))</f>
        <v>31</v>
      </c>
      <c r="Z323" s="268" t="n">
        <v>45624</v>
      </c>
      <c r="AA323" s="230" t="e">
        <f aca="false">IF(AND(A323&gt;=Front!$E$11,A323&lt;=Front!$E$12),A323,"")</f>
        <v>#VALUE!</v>
      </c>
      <c r="AB323" s="231" t="e">
        <f aca="false">IF(AA323="","",VLOOKUP(MONTH(A322),Front!$W$6:$X$17,2)*IF(Front!D$9=0,Swap!Y323,1))</f>
        <v>#VALUE!</v>
      </c>
      <c r="AC323" s="274" t="e">
        <f aca="false">IF(AA323="","",AB323*AH323)</f>
        <v>#VALUE!</v>
      </c>
      <c r="AD323" s="233"/>
      <c r="AE323" s="231" t="e">
        <f aca="false">IF(AA323="","",AD323*AH323)</f>
        <v>#VALUE!</v>
      </c>
      <c r="AF323" s="243" t="e">
        <f aca="false">AF322</f>
        <v>#N/A</v>
      </c>
      <c r="AG323" s="243" t="e">
        <f aca="false">AF323+$AG$9</f>
        <v>#N/A</v>
      </c>
      <c r="AH323" s="195" t="e">
        <f aca="false">1/((1+AG323/2)^(2*((A323-Front!$C$2)/365.25)))</f>
        <v>#N/A</v>
      </c>
      <c r="AI323" s="236" t="e">
        <f aca="false">IF($AA323="","",E323*AC323)</f>
        <v>#VALUE!</v>
      </c>
      <c r="AJ323" s="236" t="e">
        <f aca="false">IF($AA323="","",E323*AE323)</f>
        <v>#VALUE!</v>
      </c>
      <c r="AK323" s="295"/>
      <c r="AL323" s="107"/>
      <c r="AM323" s="303"/>
      <c r="AN323" s="303"/>
      <c r="AO323" s="303"/>
      <c r="AP323" s="303"/>
      <c r="AQ323" s="303"/>
      <c r="AR323" s="303"/>
      <c r="AS323" s="303"/>
      <c r="AT323" s="303"/>
      <c r="AU323" s="303"/>
      <c r="AV323" s="303"/>
      <c r="AW323" s="303"/>
      <c r="AX323" s="303"/>
      <c r="AY323" s="303"/>
      <c r="AZ323" s="303"/>
      <c r="BA323" s="303"/>
      <c r="BB323" s="107"/>
      <c r="BC323" s="107"/>
      <c r="BD323" s="107"/>
      <c r="BE323" s="107"/>
      <c r="BF323" s="107"/>
      <c r="BG323" s="107"/>
      <c r="BH323" s="107"/>
      <c r="BI323" s="107"/>
      <c r="BJ323" s="107"/>
      <c r="BK323" s="107"/>
      <c r="BL323" s="107"/>
      <c r="BM323" s="107"/>
      <c r="BN323" s="107"/>
      <c r="BO323" s="107"/>
      <c r="BP323" s="107"/>
      <c r="BQ323" s="107"/>
      <c r="BR323" s="107"/>
      <c r="BS323" s="81" t="n">
        <v>0.0641272506446948</v>
      </c>
    </row>
    <row r="324" customFormat="false" ht="15" hidden="false" customHeight="false" outlineLevel="0" collapsed="false">
      <c r="A324" s="156" t="n">
        <f aca="false">EOMONTH(A323,0)+1</f>
        <v>46692</v>
      </c>
      <c r="B324" s="215"/>
      <c r="C324" s="281"/>
      <c r="D324" s="282"/>
      <c r="E324" s="283"/>
      <c r="F324" s="277"/>
      <c r="H324" s="277"/>
      <c r="I324" s="277"/>
      <c r="J324" s="69"/>
      <c r="K324" s="277"/>
      <c r="L324" s="277"/>
      <c r="M324" s="277"/>
      <c r="N324" s="277"/>
      <c r="O324" s="277"/>
      <c r="P324" s="277"/>
      <c r="Q324" s="277"/>
      <c r="R324" s="277"/>
      <c r="T324" s="277"/>
      <c r="U324" s="277"/>
      <c r="W324" s="277"/>
      <c r="Y324" s="228" t="n">
        <f aca="false">DAY(EOMONTH(A324,0))</f>
        <v>30</v>
      </c>
      <c r="Z324" s="268" t="n">
        <v>45655</v>
      </c>
      <c r="AA324" s="230" t="e">
        <f aca="false">IF(AND(A324&gt;=Front!$E$11,A324&lt;=Front!$E$12),A324,"")</f>
        <v>#VALUE!</v>
      </c>
      <c r="AB324" s="231" t="e">
        <f aca="false">IF(AA324="","",VLOOKUP(MONTH(A323),Front!$W$6:$X$17,2)*IF(Front!D$9=0,Swap!Y324,1))</f>
        <v>#VALUE!</v>
      </c>
      <c r="AC324" s="274" t="e">
        <f aca="false">IF(AA324="","",AB324*AH324)</f>
        <v>#VALUE!</v>
      </c>
      <c r="AD324" s="233"/>
      <c r="AE324" s="231" t="e">
        <f aca="false">IF(AA324="","",AD324*AH324)</f>
        <v>#VALUE!</v>
      </c>
      <c r="AF324" s="243" t="e">
        <f aca="false">AF323</f>
        <v>#N/A</v>
      </c>
      <c r="AG324" s="243" t="e">
        <f aca="false">AF324+$AG$9</f>
        <v>#N/A</v>
      </c>
      <c r="AH324" s="195" t="e">
        <f aca="false">1/((1+AG324/2)^(2*((A324-Front!$C$2)/365.25)))</f>
        <v>#N/A</v>
      </c>
      <c r="AI324" s="236" t="e">
        <f aca="false">IF($AA324="","",E324*AC324)</f>
        <v>#VALUE!</v>
      </c>
      <c r="AJ324" s="236" t="e">
        <f aca="false">IF($AA324="","",E324*AE324)</f>
        <v>#VALUE!</v>
      </c>
      <c r="AK324" s="295"/>
      <c r="AL324" s="107"/>
      <c r="AM324" s="304"/>
      <c r="AN324" s="304"/>
      <c r="AO324" s="304"/>
      <c r="AP324" s="304"/>
      <c r="AQ324" s="304"/>
      <c r="AR324" s="304"/>
      <c r="AS324" s="304"/>
      <c r="AT324" s="304"/>
      <c r="AU324" s="304"/>
      <c r="AV324" s="304"/>
      <c r="AW324" s="304"/>
      <c r="AX324" s="304"/>
      <c r="AY324" s="304"/>
      <c r="AZ324" s="304"/>
      <c r="BA324" s="304"/>
      <c r="BB324" s="107"/>
      <c r="BC324" s="107"/>
      <c r="BD324" s="107"/>
      <c r="BE324" s="107"/>
      <c r="BF324" s="107"/>
      <c r="BG324" s="107"/>
      <c r="BH324" s="107"/>
      <c r="BI324" s="107"/>
      <c r="BJ324" s="107"/>
      <c r="BK324" s="107"/>
      <c r="BL324" s="107"/>
      <c r="BM324" s="107"/>
      <c r="BN324" s="107"/>
      <c r="BO324" s="107"/>
      <c r="BP324" s="107"/>
      <c r="BQ324" s="107"/>
      <c r="BR324" s="107"/>
      <c r="BS324" s="81" t="n">
        <v>0.0641323863449266</v>
      </c>
    </row>
    <row r="325" customFormat="false" ht="15" hidden="false" customHeight="false" outlineLevel="0" collapsed="false">
      <c r="A325" s="156" t="n">
        <f aca="false">EOMONTH(A324,0)+1</f>
        <v>46722</v>
      </c>
      <c r="B325" s="215"/>
      <c r="C325" s="281"/>
      <c r="D325" s="282"/>
      <c r="E325" s="283"/>
      <c r="J325" s="69"/>
      <c r="K325" s="277"/>
      <c r="L325" s="277"/>
      <c r="M325" s="277"/>
      <c r="N325" s="277"/>
      <c r="O325" s="277"/>
      <c r="P325" s="277"/>
      <c r="Q325" s="277"/>
      <c r="R325" s="277"/>
      <c r="T325" s="277"/>
      <c r="U325" s="277"/>
      <c r="W325" s="277"/>
      <c r="Y325" s="228" t="n">
        <f aca="false">DAY(EOMONTH(A325,0))</f>
        <v>31</v>
      </c>
      <c r="Z325" s="268" t="n">
        <v>45594</v>
      </c>
      <c r="AA325" s="230" t="e">
        <f aca="false">IF(AND(A325&gt;=Front!$E$11,A325&lt;=Front!$E$12),A325,"")</f>
        <v>#VALUE!</v>
      </c>
      <c r="AB325" s="231" t="e">
        <f aca="false">IF(AA325="","",VLOOKUP(MONTH(A324),Front!$W$6:$X$17,2)*IF(Front!D$9=0,Swap!Y325,1))</f>
        <v>#VALUE!</v>
      </c>
      <c r="AC325" s="274" t="e">
        <f aca="false">IF(AA325="","",AB325*AH325)</f>
        <v>#VALUE!</v>
      </c>
      <c r="AD325" s="233"/>
      <c r="AE325" s="231" t="e">
        <f aca="false">IF(AA325="","",AD325*AH325)</f>
        <v>#VALUE!</v>
      </c>
      <c r="AF325" s="243" t="e">
        <f aca="false">AF324</f>
        <v>#N/A</v>
      </c>
      <c r="AG325" s="243" t="e">
        <f aca="false">AF325+$AG$9</f>
        <v>#N/A</v>
      </c>
      <c r="AH325" s="195" t="e">
        <f aca="false">1/((1+AG325/2)^(2*((A325-Front!$C$2)/365.25)))</f>
        <v>#N/A</v>
      </c>
      <c r="AI325" s="236" t="e">
        <f aca="false">IF($AA325="","",E325*AC325)</f>
        <v>#VALUE!</v>
      </c>
      <c r="AJ325" s="236" t="e">
        <f aca="false">IF($AA325="","",E325*AE325)</f>
        <v>#VALUE!</v>
      </c>
      <c r="AK325" s="295"/>
      <c r="AL325" s="107"/>
      <c r="AM325" s="304"/>
      <c r="AN325" s="304"/>
      <c r="AO325" s="304"/>
      <c r="AP325" s="304"/>
      <c r="AQ325" s="304"/>
      <c r="AR325" s="304"/>
      <c r="AS325" s="304"/>
      <c r="AT325" s="304"/>
      <c r="AU325" s="304"/>
      <c r="AV325" s="304"/>
      <c r="AW325" s="304"/>
      <c r="AX325" s="304"/>
      <c r="AY325" s="304"/>
      <c r="AZ325" s="304"/>
      <c r="BA325" s="304"/>
      <c r="BB325" s="107"/>
      <c r="BC325" s="107"/>
      <c r="BD325" s="107"/>
      <c r="BE325" s="107"/>
      <c r="BF325" s="107"/>
      <c r="BG325" s="107"/>
      <c r="BH325" s="107"/>
      <c r="BI325" s="107"/>
      <c r="BJ325" s="107"/>
      <c r="BK325" s="107"/>
      <c r="BL325" s="107"/>
      <c r="BM325" s="107"/>
      <c r="BN325" s="107"/>
      <c r="BO325" s="107"/>
      <c r="BP325" s="107"/>
      <c r="BQ325" s="107"/>
      <c r="BR325" s="107"/>
      <c r="BS325" s="81" t="n">
        <v>0.0641373563774175</v>
      </c>
    </row>
    <row r="326" customFormat="false" ht="15" hidden="false" customHeight="false" outlineLevel="0" collapsed="false">
      <c r="A326" s="156" t="n">
        <f aca="false">EOMONTH(A325,0)+1</f>
        <v>46753</v>
      </c>
      <c r="B326" s="215"/>
      <c r="C326" s="281"/>
      <c r="D326" s="282"/>
      <c r="E326" s="283"/>
      <c r="J326" s="69"/>
      <c r="K326" s="277"/>
      <c r="L326" s="277"/>
      <c r="M326" s="277"/>
      <c r="N326" s="277"/>
      <c r="O326" s="277"/>
      <c r="P326" s="277"/>
      <c r="Q326" s="277"/>
      <c r="R326" s="277"/>
      <c r="T326" s="277"/>
      <c r="U326" s="277"/>
      <c r="W326" s="277"/>
      <c r="Y326" s="228" t="n">
        <f aca="false">DAY(EOMONTH(A326,0))</f>
        <v>31</v>
      </c>
      <c r="Z326" s="268" t="n">
        <v>45624</v>
      </c>
      <c r="AA326" s="230" t="e">
        <f aca="false">IF(AND(A326&gt;=Front!$E$11,A326&lt;=Front!$E$12),A326,"")</f>
        <v>#VALUE!</v>
      </c>
      <c r="AB326" s="231" t="e">
        <f aca="false">IF(AA326="","",VLOOKUP(MONTH(A325),Front!$W$6:$X$17,2)*IF(Front!D$9=0,Swap!Y326,1))</f>
        <v>#VALUE!</v>
      </c>
      <c r="AC326" s="274" t="e">
        <f aca="false">IF(AA326="","",AB326*AH326)</f>
        <v>#VALUE!</v>
      </c>
      <c r="AD326" s="233"/>
      <c r="AE326" s="231" t="e">
        <f aca="false">IF(AA326="","",AD326*AH326)</f>
        <v>#VALUE!</v>
      </c>
      <c r="AF326" s="243" t="e">
        <f aca="false">AF325</f>
        <v>#N/A</v>
      </c>
      <c r="AG326" s="243" t="e">
        <f aca="false">AF326+$AG$9</f>
        <v>#N/A</v>
      </c>
      <c r="AH326" s="195" t="e">
        <f aca="false">1/((1+AG326/2)^(2*((A326-Front!$C$2)/365.25)))</f>
        <v>#N/A</v>
      </c>
      <c r="AI326" s="236" t="e">
        <f aca="false">IF($AA326="","",E326*AC326)</f>
        <v>#VALUE!</v>
      </c>
      <c r="AJ326" s="236" t="e">
        <f aca="false">IF($AA326="","",E326*AE326)</f>
        <v>#VALUE!</v>
      </c>
      <c r="AK326" s="295"/>
      <c r="AL326" s="107"/>
      <c r="AM326" s="304"/>
      <c r="AN326" s="304"/>
      <c r="AO326" s="304"/>
      <c r="AP326" s="304"/>
      <c r="AQ326" s="304"/>
      <c r="AR326" s="304"/>
      <c r="AS326" s="304"/>
      <c r="AT326" s="304"/>
      <c r="AU326" s="304"/>
      <c r="AV326" s="304"/>
      <c r="AW326" s="304"/>
      <c r="AX326" s="304"/>
      <c r="AY326" s="304"/>
      <c r="AZ326" s="304"/>
      <c r="BA326" s="304"/>
      <c r="BB326" s="107"/>
      <c r="BC326" s="107"/>
      <c r="BD326" s="107"/>
      <c r="BE326" s="107"/>
      <c r="BF326" s="107"/>
      <c r="BG326" s="107"/>
      <c r="BH326" s="107"/>
      <c r="BI326" s="107"/>
      <c r="BJ326" s="107"/>
      <c r="BK326" s="107"/>
      <c r="BL326" s="107"/>
      <c r="BM326" s="107"/>
      <c r="BN326" s="107"/>
      <c r="BO326" s="107"/>
      <c r="BP326" s="107"/>
      <c r="BQ326" s="107"/>
      <c r="BR326" s="107"/>
      <c r="BS326" s="81" t="n">
        <v>0.0641424920776665</v>
      </c>
    </row>
    <row r="327" customFormat="false" ht="15" hidden="false" customHeight="false" outlineLevel="0" collapsed="false">
      <c r="A327" s="156" t="n">
        <f aca="false">EOMONTH(A326,0)+1</f>
        <v>46784</v>
      </c>
      <c r="B327" s="215"/>
      <c r="C327" s="281"/>
      <c r="D327" s="282"/>
      <c r="E327" s="283"/>
      <c r="F327" s="277"/>
      <c r="H327" s="277"/>
      <c r="I327" s="277"/>
      <c r="J327" s="69"/>
      <c r="K327" s="277"/>
      <c r="L327" s="277"/>
      <c r="M327" s="277"/>
      <c r="N327" s="277"/>
      <c r="O327" s="277"/>
      <c r="P327" s="277"/>
      <c r="Q327" s="277"/>
      <c r="R327" s="277"/>
      <c r="T327" s="277"/>
      <c r="U327" s="277"/>
      <c r="W327" s="277"/>
      <c r="Y327" s="228" t="n">
        <f aca="false">DAY(EOMONTH(A327,0))</f>
        <v>29</v>
      </c>
      <c r="Z327" s="268" t="n">
        <v>45655</v>
      </c>
      <c r="AA327" s="230" t="e">
        <f aca="false">IF(AND(A327&gt;=Front!$E$11,A327&lt;=Front!$E$12),A327,"")</f>
        <v>#VALUE!</v>
      </c>
      <c r="AB327" s="231" t="e">
        <f aca="false">IF(AA327="","",VLOOKUP(MONTH(A326),Front!$W$6:$X$17,2)*IF(Front!D$9=0,Swap!Y327,1))</f>
        <v>#VALUE!</v>
      </c>
      <c r="AC327" s="274" t="e">
        <f aca="false">IF(AA327="","",AB327*AH327)</f>
        <v>#VALUE!</v>
      </c>
      <c r="AD327" s="233"/>
      <c r="AE327" s="231" t="e">
        <f aca="false">IF(AA327="","",AD327*AH327)</f>
        <v>#VALUE!</v>
      </c>
      <c r="AF327" s="243" t="e">
        <f aca="false">AF326</f>
        <v>#N/A</v>
      </c>
      <c r="AG327" s="243" t="e">
        <f aca="false">AF327+$AG$9</f>
        <v>#N/A</v>
      </c>
      <c r="AH327" s="195" t="e">
        <f aca="false">1/((1+AG327/2)^(2*((A327-Front!$C$2)/365.25)))</f>
        <v>#N/A</v>
      </c>
      <c r="AI327" s="236" t="e">
        <f aca="false">IF($AA327="","",E327*AC327)</f>
        <v>#VALUE!</v>
      </c>
      <c r="AJ327" s="236" t="e">
        <f aca="false">IF($AA327="","",E327*AE327)</f>
        <v>#VALUE!</v>
      </c>
      <c r="AK327" s="295"/>
      <c r="AL327" s="107"/>
      <c r="AM327" s="304"/>
      <c r="AN327" s="304"/>
      <c r="AO327" s="304"/>
      <c r="AP327" s="304"/>
      <c r="AQ327" s="304"/>
      <c r="AR327" s="304"/>
      <c r="AS327" s="304"/>
      <c r="AT327" s="304"/>
      <c r="AU327" s="304"/>
      <c r="AV327" s="304"/>
      <c r="AW327" s="304"/>
      <c r="AX327" s="304"/>
      <c r="AY327" s="304"/>
      <c r="AZ327" s="304"/>
      <c r="BA327" s="304"/>
      <c r="BB327" s="107"/>
      <c r="BC327" s="107"/>
      <c r="BD327" s="107"/>
      <c r="BE327" s="107"/>
      <c r="BF327" s="107"/>
      <c r="BG327" s="107"/>
      <c r="BH327" s="107"/>
      <c r="BI327" s="107"/>
      <c r="BJ327" s="107"/>
      <c r="BK327" s="107"/>
      <c r="BL327" s="107"/>
      <c r="BM327" s="107"/>
      <c r="BN327" s="107"/>
      <c r="BO327" s="107"/>
      <c r="BP327" s="107"/>
      <c r="BQ327" s="107"/>
      <c r="BR327" s="107"/>
      <c r="BS327" s="81" t="n">
        <v>0.0641476277779245</v>
      </c>
    </row>
    <row r="328" customFormat="false" ht="15" hidden="false" customHeight="false" outlineLevel="0" collapsed="false">
      <c r="A328" s="156" t="n">
        <f aca="false">EOMONTH(A327,0)+1</f>
        <v>46813</v>
      </c>
      <c r="B328" s="215"/>
      <c r="C328" s="281"/>
      <c r="D328" s="282"/>
      <c r="E328" s="283"/>
      <c r="F328" s="277"/>
      <c r="H328" s="277"/>
      <c r="I328" s="277"/>
      <c r="J328" s="69"/>
      <c r="K328" s="277"/>
      <c r="L328" s="277"/>
      <c r="M328" s="277"/>
      <c r="N328" s="277"/>
      <c r="O328" s="277"/>
      <c r="P328" s="277"/>
      <c r="Q328" s="277"/>
      <c r="R328" s="277"/>
      <c r="T328" s="277"/>
      <c r="U328" s="277"/>
      <c r="W328" s="277"/>
      <c r="Y328" s="228" t="n">
        <f aca="false">DAY(EOMONTH(A328,0))</f>
        <v>31</v>
      </c>
      <c r="Z328" s="268" t="n">
        <v>45594</v>
      </c>
      <c r="AA328" s="230" t="e">
        <f aca="false">IF(AND(A328&gt;=Front!$E$11,A328&lt;=Front!$E$12),A328,"")</f>
        <v>#VALUE!</v>
      </c>
      <c r="AB328" s="231" t="e">
        <f aca="false">IF(AA328="","",VLOOKUP(MONTH(A327),Front!$W$6:$X$17,2)*IF(Front!D$9=0,Swap!Y328,1))</f>
        <v>#VALUE!</v>
      </c>
      <c r="AC328" s="274" t="e">
        <f aca="false">IF(AA328="","",AB328*AH328)</f>
        <v>#VALUE!</v>
      </c>
      <c r="AD328" s="233"/>
      <c r="AE328" s="231" t="e">
        <f aca="false">IF(AA328="","",AD328*AH328)</f>
        <v>#VALUE!</v>
      </c>
      <c r="AF328" s="243" t="e">
        <f aca="false">AF327</f>
        <v>#N/A</v>
      </c>
      <c r="AG328" s="243" t="e">
        <f aca="false">AF328+$AG$9</f>
        <v>#N/A</v>
      </c>
      <c r="AH328" s="195" t="e">
        <f aca="false">1/((1+AG328/2)^(2*((A328-Front!$C$2)/365.25)))</f>
        <v>#N/A</v>
      </c>
      <c r="AI328" s="236" t="e">
        <f aca="false">IF($AA328="","",E328*AC328)</f>
        <v>#VALUE!</v>
      </c>
      <c r="AJ328" s="236" t="e">
        <f aca="false">IF($AA328="","",E328*AE328)</f>
        <v>#VALUE!</v>
      </c>
      <c r="AK328" s="295"/>
      <c r="AL328" s="107"/>
      <c r="AM328" s="304"/>
      <c r="AN328" s="304"/>
      <c r="AO328" s="304"/>
      <c r="AP328" s="304"/>
      <c r="AQ328" s="304"/>
      <c r="AR328" s="304"/>
      <c r="AS328" s="304"/>
      <c r="AT328" s="304"/>
      <c r="AU328" s="304"/>
      <c r="AV328" s="304"/>
      <c r="AW328" s="304"/>
      <c r="AX328" s="304"/>
      <c r="AY328" s="304"/>
      <c r="AZ328" s="304"/>
      <c r="BA328" s="304"/>
      <c r="BB328" s="107"/>
      <c r="BC328" s="107"/>
      <c r="BD328" s="107"/>
      <c r="BE328" s="107"/>
      <c r="BF328" s="107"/>
      <c r="BG328" s="107"/>
      <c r="BH328" s="107"/>
      <c r="BI328" s="107"/>
      <c r="BJ328" s="107"/>
      <c r="BK328" s="107"/>
      <c r="BL328" s="107"/>
      <c r="BM328" s="107"/>
      <c r="BN328" s="107"/>
      <c r="BO328" s="107"/>
      <c r="BP328" s="107"/>
      <c r="BQ328" s="107"/>
      <c r="BR328" s="107"/>
      <c r="BS328" s="81" t="n">
        <v>0.0641524321426896</v>
      </c>
    </row>
    <row r="329" customFormat="false" ht="15" hidden="false" customHeight="false" outlineLevel="0" collapsed="false">
      <c r="A329" s="156" t="n">
        <f aca="false">EOMONTH(A328,0)+1</f>
        <v>46844</v>
      </c>
      <c r="B329" s="215"/>
      <c r="C329" s="281"/>
      <c r="D329" s="282"/>
      <c r="E329" s="283"/>
      <c r="F329" s="277"/>
      <c r="H329" s="277"/>
      <c r="I329" s="277"/>
      <c r="J329" s="69"/>
      <c r="K329" s="277"/>
      <c r="L329" s="277"/>
      <c r="M329" s="277"/>
      <c r="N329" s="277"/>
      <c r="O329" s="277"/>
      <c r="P329" s="277"/>
      <c r="Q329" s="277"/>
      <c r="R329" s="277"/>
      <c r="T329" s="277"/>
      <c r="U329" s="277"/>
      <c r="W329" s="277"/>
      <c r="Y329" s="228" t="n">
        <f aca="false">DAY(EOMONTH(A329,0))</f>
        <v>30</v>
      </c>
      <c r="Z329" s="268" t="n">
        <v>45624</v>
      </c>
      <c r="AA329" s="230" t="e">
        <f aca="false">IF(AND(A329&gt;=Front!$E$11,A329&lt;=Front!$E$12),A329,"")</f>
        <v>#VALUE!</v>
      </c>
      <c r="AB329" s="231" t="e">
        <f aca="false">IF(AA329="","",VLOOKUP(MONTH(A328),Front!$W$6:$X$17,2)*IF(Front!D$9=0,Swap!Y329,1))</f>
        <v>#VALUE!</v>
      </c>
      <c r="AC329" s="274" t="e">
        <f aca="false">IF(AA329="","",AB329*AH329)</f>
        <v>#VALUE!</v>
      </c>
      <c r="AD329" s="233"/>
      <c r="AE329" s="231" t="e">
        <f aca="false">IF(AA329="","",AD329*AH329)</f>
        <v>#VALUE!</v>
      </c>
      <c r="AF329" s="243" t="e">
        <f aca="false">AF328</f>
        <v>#N/A</v>
      </c>
      <c r="AG329" s="243" t="e">
        <f aca="false">AF329+$AG$9</f>
        <v>#N/A</v>
      </c>
      <c r="AH329" s="195" t="e">
        <f aca="false">1/((1+AG329/2)^(2*((A329-Front!$C$2)/365.25)))</f>
        <v>#N/A</v>
      </c>
      <c r="AI329" s="236" t="e">
        <f aca="false">IF($AA329="","",E329*AC329)</f>
        <v>#VALUE!</v>
      </c>
      <c r="AJ329" s="236" t="e">
        <f aca="false">IF($AA329="","",E329*AE329)</f>
        <v>#VALUE!</v>
      </c>
      <c r="AK329" s="295"/>
      <c r="AL329" s="107"/>
      <c r="AM329" s="304"/>
      <c r="AN329" s="304"/>
      <c r="AO329" s="304"/>
      <c r="AP329" s="304"/>
      <c r="AQ329" s="304"/>
      <c r="AR329" s="304"/>
      <c r="AS329" s="304"/>
      <c r="AT329" s="304"/>
      <c r="AU329" s="304"/>
      <c r="AV329" s="304"/>
      <c r="AW329" s="304"/>
      <c r="AX329" s="304"/>
      <c r="AY329" s="304"/>
      <c r="AZ329" s="304"/>
      <c r="BA329" s="304"/>
      <c r="BB329" s="107"/>
      <c r="BC329" s="107"/>
      <c r="BD329" s="107"/>
      <c r="BE329" s="107"/>
      <c r="BF329" s="107"/>
      <c r="BG329" s="107"/>
      <c r="BH329" s="107"/>
      <c r="BI329" s="107"/>
      <c r="BJ329" s="107"/>
      <c r="BK329" s="107"/>
      <c r="BL329" s="107"/>
      <c r="BM329" s="107"/>
      <c r="BN329" s="107"/>
      <c r="BO329" s="107"/>
      <c r="BP329" s="107"/>
      <c r="BQ329" s="107"/>
      <c r="BR329" s="107"/>
      <c r="BS329" s="81" t="n">
        <v>0.0641575678429644</v>
      </c>
    </row>
    <row r="330" customFormat="false" ht="15" hidden="false" customHeight="false" outlineLevel="0" collapsed="false">
      <c r="A330" s="156" t="n">
        <f aca="false">EOMONTH(A329,0)+1</f>
        <v>46874</v>
      </c>
      <c r="B330" s="215"/>
      <c r="C330" s="281"/>
      <c r="D330" s="282"/>
      <c r="E330" s="283"/>
      <c r="F330" s="277"/>
      <c r="H330" s="277"/>
      <c r="I330" s="277"/>
      <c r="J330" s="69"/>
      <c r="K330" s="277"/>
      <c r="L330" s="277"/>
      <c r="M330" s="277"/>
      <c r="N330" s="277"/>
      <c r="O330" s="277"/>
      <c r="P330" s="277"/>
      <c r="Q330" s="277"/>
      <c r="R330" s="277"/>
      <c r="T330" s="277"/>
      <c r="U330" s="277"/>
      <c r="W330" s="277"/>
      <c r="Y330" s="228" t="n">
        <f aca="false">DAY(EOMONTH(A330,0))</f>
        <v>31</v>
      </c>
      <c r="Z330" s="268" t="n">
        <v>45655</v>
      </c>
      <c r="AA330" s="230" t="e">
        <f aca="false">IF(AND(A330&gt;=Front!$E$11,A330&lt;=Front!$E$12),A330,"")</f>
        <v>#VALUE!</v>
      </c>
      <c r="AB330" s="231" t="e">
        <f aca="false">IF(AA330="","",VLOOKUP(MONTH(A329),Front!$W$6:$X$17,2)*IF(Front!D$9=0,Swap!Y330,1))</f>
        <v>#VALUE!</v>
      </c>
      <c r="AC330" s="274" t="e">
        <f aca="false">IF(AA330="","",AB330*AH330)</f>
        <v>#VALUE!</v>
      </c>
      <c r="AD330" s="233"/>
      <c r="AE330" s="231" t="e">
        <f aca="false">IF(AA330="","",AD330*AH330)</f>
        <v>#VALUE!</v>
      </c>
      <c r="AF330" s="243" t="e">
        <f aca="false">AF329</f>
        <v>#N/A</v>
      </c>
      <c r="AG330" s="243" t="e">
        <f aca="false">AF330+$AG$9</f>
        <v>#N/A</v>
      </c>
      <c r="AH330" s="195" t="e">
        <f aca="false">1/((1+AG330/2)^(2*((A330-Front!$C$2)/365.25)))</f>
        <v>#N/A</v>
      </c>
      <c r="AI330" s="236" t="e">
        <f aca="false">IF($AA330="","",E330*AC330)</f>
        <v>#VALUE!</v>
      </c>
      <c r="AJ330" s="236" t="e">
        <f aca="false">IF($AA330="","",E330*AE330)</f>
        <v>#VALUE!</v>
      </c>
      <c r="AK330" s="295"/>
      <c r="AL330" s="107"/>
      <c r="AM330" s="304"/>
      <c r="AN330" s="304"/>
      <c r="AO330" s="304"/>
      <c r="AP330" s="304"/>
      <c r="AQ330" s="304"/>
      <c r="AR330" s="304"/>
      <c r="AS330" s="304"/>
      <c r="AT330" s="304"/>
      <c r="AU330" s="304"/>
      <c r="AV330" s="304"/>
      <c r="AW330" s="304"/>
      <c r="AX330" s="304"/>
      <c r="AY330" s="304"/>
      <c r="AZ330" s="304"/>
      <c r="BA330" s="304"/>
      <c r="BB330" s="107"/>
      <c r="BC330" s="107"/>
      <c r="BD330" s="107"/>
      <c r="BE330" s="107"/>
      <c r="BF330" s="107"/>
      <c r="BG330" s="107"/>
      <c r="BH330" s="107"/>
      <c r="BI330" s="107"/>
      <c r="BJ330" s="107"/>
      <c r="BK330" s="107"/>
      <c r="BL330" s="107"/>
      <c r="BM330" s="107"/>
      <c r="BN330" s="107"/>
      <c r="BO330" s="107"/>
      <c r="BP330" s="107"/>
      <c r="BQ330" s="107"/>
      <c r="BR330" s="107"/>
      <c r="BS330" s="81" t="n">
        <v>0.0641625378754971</v>
      </c>
    </row>
    <row r="331" customFormat="false" ht="15" hidden="false" customHeight="false" outlineLevel="0" collapsed="false">
      <c r="A331" s="156" t="n">
        <f aca="false">EOMONTH(A330,0)+1</f>
        <v>46905</v>
      </c>
      <c r="B331" s="215"/>
      <c r="C331" s="281"/>
      <c r="D331" s="282"/>
      <c r="E331" s="283"/>
      <c r="F331" s="277"/>
      <c r="H331" s="277"/>
      <c r="I331" s="277"/>
      <c r="J331" s="69"/>
      <c r="K331" s="277"/>
      <c r="L331" s="277"/>
      <c r="M331" s="277"/>
      <c r="N331" s="277"/>
      <c r="O331" s="277"/>
      <c r="P331" s="277"/>
      <c r="Q331" s="277"/>
      <c r="R331" s="277"/>
      <c r="T331" s="277"/>
      <c r="U331" s="277"/>
      <c r="W331" s="277"/>
      <c r="Y331" s="228" t="n">
        <f aca="false">DAY(EOMONTH(A331,0))</f>
        <v>30</v>
      </c>
      <c r="Z331" s="268" t="n">
        <v>45594</v>
      </c>
      <c r="AA331" s="230" t="e">
        <f aca="false">IF(AND(A331&gt;=Front!$E$11,A331&lt;=Front!$E$12),A331,"")</f>
        <v>#VALUE!</v>
      </c>
      <c r="AB331" s="231" t="e">
        <f aca="false">IF(AA331="","",VLOOKUP(MONTH(A330),Front!$W$6:$X$17,2)*IF(Front!D$9=0,Swap!Y331,1))</f>
        <v>#VALUE!</v>
      </c>
      <c r="AC331" s="274" t="e">
        <f aca="false">IF(AA331="","",AB331*AH331)</f>
        <v>#VALUE!</v>
      </c>
      <c r="AD331" s="233"/>
      <c r="AE331" s="231" t="e">
        <f aca="false">IF(AA331="","",AD331*AH331)</f>
        <v>#VALUE!</v>
      </c>
      <c r="AF331" s="243" t="e">
        <f aca="false">AF330</f>
        <v>#N/A</v>
      </c>
      <c r="AG331" s="243" t="e">
        <f aca="false">AF331+$AG$9</f>
        <v>#N/A</v>
      </c>
      <c r="AH331" s="195" t="e">
        <f aca="false">1/((1+AG331/2)^(2*((A331-Front!$C$2)/365.25)))</f>
        <v>#N/A</v>
      </c>
      <c r="AI331" s="236" t="e">
        <f aca="false">IF($AA331="","",E331*AC331)</f>
        <v>#VALUE!</v>
      </c>
      <c r="AJ331" s="236" t="e">
        <f aca="false">IF($AA331="","",E331*AE331)</f>
        <v>#VALUE!</v>
      </c>
      <c r="AK331" s="295"/>
      <c r="AL331" s="107"/>
      <c r="AM331" s="304"/>
      <c r="AN331" s="304"/>
      <c r="AO331" s="304"/>
      <c r="AP331" s="304"/>
      <c r="AQ331" s="304"/>
      <c r="AR331" s="304"/>
      <c r="AS331" s="304"/>
      <c r="AT331" s="304"/>
      <c r="AU331" s="304"/>
      <c r="AV331" s="304"/>
      <c r="AW331" s="304"/>
      <c r="AX331" s="304"/>
      <c r="AY331" s="304"/>
      <c r="AZ331" s="304"/>
      <c r="BA331" s="304"/>
      <c r="BB331" s="107"/>
      <c r="BC331" s="107"/>
      <c r="BD331" s="107"/>
      <c r="BE331" s="107"/>
      <c r="BF331" s="107"/>
      <c r="BG331" s="107"/>
      <c r="BH331" s="107"/>
      <c r="BI331" s="107"/>
      <c r="BJ331" s="107"/>
      <c r="BK331" s="107"/>
      <c r="BL331" s="107"/>
      <c r="BM331" s="107"/>
      <c r="BN331" s="107"/>
      <c r="BO331" s="107"/>
      <c r="BP331" s="107"/>
      <c r="BQ331" s="107"/>
      <c r="BR331" s="107"/>
      <c r="BS331" s="81" t="n">
        <v>0.0641676735757892</v>
      </c>
    </row>
    <row r="332" customFormat="false" ht="15" hidden="false" customHeight="false" outlineLevel="0" collapsed="false">
      <c r="A332" s="156" t="n">
        <f aca="false">EOMONTH(A331,0)+1</f>
        <v>46935</v>
      </c>
      <c r="B332" s="215"/>
      <c r="C332" s="281"/>
      <c r="D332" s="282"/>
      <c r="E332" s="283"/>
      <c r="F332" s="277"/>
      <c r="H332" s="277"/>
      <c r="I332" s="277"/>
      <c r="J332" s="69"/>
      <c r="K332" s="277"/>
      <c r="L332" s="277"/>
      <c r="M332" s="277"/>
      <c r="N332" s="277"/>
      <c r="O332" s="277"/>
      <c r="P332" s="277"/>
      <c r="Q332" s="277"/>
      <c r="R332" s="277"/>
      <c r="T332" s="277"/>
      <c r="U332" s="277"/>
      <c r="W332" s="277"/>
      <c r="Y332" s="228" t="n">
        <f aca="false">DAY(EOMONTH(A332,0))</f>
        <v>31</v>
      </c>
      <c r="Z332" s="268" t="n">
        <v>45624</v>
      </c>
      <c r="AA332" s="230" t="e">
        <f aca="false">IF(AND(A332&gt;=Front!$E$11,A332&lt;=Front!$E$12),A332,"")</f>
        <v>#VALUE!</v>
      </c>
      <c r="AB332" s="231" t="e">
        <f aca="false">IF(AA332="","",VLOOKUP(MONTH(A331),Front!$W$6:$X$17,2)*IF(Front!D$9=0,Swap!Y332,1))</f>
        <v>#VALUE!</v>
      </c>
      <c r="AC332" s="274" t="e">
        <f aca="false">IF(AA332="","",AB332*AH332)</f>
        <v>#VALUE!</v>
      </c>
      <c r="AD332" s="233"/>
      <c r="AE332" s="231" t="e">
        <f aca="false">IF(AA332="","",AD332*AH332)</f>
        <v>#VALUE!</v>
      </c>
      <c r="AF332" s="243" t="e">
        <f aca="false">AF331</f>
        <v>#N/A</v>
      </c>
      <c r="AG332" s="243" t="e">
        <f aca="false">AF332+$AG$9</f>
        <v>#N/A</v>
      </c>
      <c r="AH332" s="195" t="e">
        <f aca="false">1/((1+AG332/2)^(2*((A332-Front!$C$2)/365.25)))</f>
        <v>#N/A</v>
      </c>
      <c r="AI332" s="236" t="e">
        <f aca="false">IF($AA332="","",E332*AC332)</f>
        <v>#VALUE!</v>
      </c>
      <c r="AJ332" s="236" t="e">
        <f aca="false">IF($AA332="","",E332*AE332)</f>
        <v>#VALUE!</v>
      </c>
      <c r="AK332" s="295"/>
      <c r="AL332" s="107"/>
      <c r="AM332" s="304"/>
      <c r="AN332" s="304"/>
      <c r="AO332" s="304"/>
      <c r="AP332" s="304"/>
      <c r="AQ332" s="304"/>
      <c r="AR332" s="304"/>
      <c r="AS332" s="304"/>
      <c r="AT332" s="304"/>
      <c r="AU332" s="304"/>
      <c r="AV332" s="304"/>
      <c r="AW332" s="304"/>
      <c r="AX332" s="304"/>
      <c r="AY332" s="304"/>
      <c r="AZ332" s="304"/>
      <c r="BA332" s="304"/>
      <c r="BB332" s="107"/>
      <c r="BC332" s="107"/>
      <c r="BD332" s="107"/>
      <c r="BE332" s="107"/>
      <c r="BF332" s="107"/>
      <c r="BG332" s="107"/>
      <c r="BH332" s="107"/>
      <c r="BI332" s="107"/>
      <c r="BJ332" s="107"/>
      <c r="BK332" s="107"/>
      <c r="BL332" s="107"/>
      <c r="BM332" s="107"/>
      <c r="BN332" s="107"/>
      <c r="BO332" s="107"/>
      <c r="BP332" s="107"/>
      <c r="BQ332" s="107"/>
      <c r="BR332" s="107"/>
      <c r="BS332" s="81" t="n">
        <v>0.0641726436083378</v>
      </c>
    </row>
    <row r="333" customFormat="false" ht="15" hidden="false" customHeight="false" outlineLevel="0" collapsed="false">
      <c r="A333" s="156" t="n">
        <f aca="false">EOMONTH(A332,0)+1</f>
        <v>46966</v>
      </c>
      <c r="B333" s="215"/>
      <c r="C333" s="281"/>
      <c r="D333" s="282"/>
      <c r="E333" s="283"/>
      <c r="F333" s="277"/>
      <c r="H333" s="277"/>
      <c r="I333" s="277"/>
      <c r="J333" s="69"/>
      <c r="K333" s="277"/>
      <c r="L333" s="277"/>
      <c r="M333" s="277"/>
      <c r="N333" s="277"/>
      <c r="O333" s="277"/>
      <c r="P333" s="277"/>
      <c r="Q333" s="277"/>
      <c r="R333" s="277"/>
      <c r="T333" s="277"/>
      <c r="U333" s="277"/>
      <c r="W333" s="277"/>
      <c r="Y333" s="228" t="n">
        <f aca="false">DAY(EOMONTH(A333,0))</f>
        <v>31</v>
      </c>
      <c r="Z333" s="268" t="n">
        <v>45655</v>
      </c>
      <c r="AA333" s="230" t="e">
        <f aca="false">IF(AND(A333&gt;=Front!$E$11,A333&lt;=Front!$E$12),A333,"")</f>
        <v>#VALUE!</v>
      </c>
      <c r="AB333" s="231" t="e">
        <f aca="false">IF(AA333="","",VLOOKUP(MONTH(A332),Front!$W$6:$X$17,2)*IF(Front!D$9=0,Swap!Y333,1))</f>
        <v>#VALUE!</v>
      </c>
      <c r="AC333" s="274" t="e">
        <f aca="false">IF(AA333="","",AB333*AH333)</f>
        <v>#VALUE!</v>
      </c>
      <c r="AD333" s="233"/>
      <c r="AE333" s="231" t="e">
        <f aca="false">IF(AA333="","",AD333*AH333)</f>
        <v>#VALUE!</v>
      </c>
      <c r="AF333" s="243" t="e">
        <f aca="false">AF332</f>
        <v>#N/A</v>
      </c>
      <c r="AG333" s="243" t="e">
        <f aca="false">AF333+$AG$9</f>
        <v>#N/A</v>
      </c>
      <c r="AH333" s="195" t="e">
        <f aca="false">1/((1+AG333/2)^(2*((A333-Front!$C$2)/365.25)))</f>
        <v>#N/A</v>
      </c>
      <c r="AI333" s="236" t="e">
        <f aca="false">IF($AA333="","",E333*AC333)</f>
        <v>#VALUE!</v>
      </c>
      <c r="AJ333" s="236" t="e">
        <f aca="false">IF($AA333="","",E333*AE333)</f>
        <v>#VALUE!</v>
      </c>
      <c r="AK333" s="295"/>
      <c r="AL333" s="107"/>
      <c r="AM333" s="304"/>
      <c r="AN333" s="304"/>
      <c r="AO333" s="304"/>
      <c r="AP333" s="304"/>
      <c r="AQ333" s="304"/>
      <c r="AR333" s="304"/>
      <c r="AS333" s="304"/>
      <c r="AT333" s="304"/>
      <c r="AU333" s="304"/>
      <c r="AV333" s="304"/>
      <c r="AW333" s="304"/>
      <c r="AX333" s="304"/>
      <c r="AY333" s="304"/>
      <c r="AZ333" s="304"/>
      <c r="BA333" s="304"/>
      <c r="BB333" s="107"/>
      <c r="BC333" s="107"/>
      <c r="BD333" s="107"/>
      <c r="BE333" s="107"/>
      <c r="BF333" s="107"/>
      <c r="BG333" s="107"/>
      <c r="BH333" s="107"/>
      <c r="BI333" s="107"/>
      <c r="BJ333" s="107"/>
      <c r="BK333" s="107"/>
      <c r="BL333" s="107"/>
      <c r="BM333" s="107"/>
      <c r="BN333" s="107"/>
      <c r="BO333" s="107"/>
      <c r="BP333" s="107"/>
      <c r="BQ333" s="107"/>
      <c r="BR333" s="107"/>
      <c r="BS333" s="81" t="n">
        <v>0.0641777793086473</v>
      </c>
    </row>
    <row r="334" customFormat="false" ht="15" hidden="false" customHeight="false" outlineLevel="0" collapsed="false">
      <c r="A334" s="156" t="n">
        <f aca="false">EOMONTH(A333,0)+1</f>
        <v>46997</v>
      </c>
      <c r="B334" s="215"/>
      <c r="C334" s="281"/>
      <c r="D334" s="282"/>
      <c r="E334" s="283"/>
      <c r="F334" s="277"/>
      <c r="H334" s="277"/>
      <c r="I334" s="277"/>
      <c r="J334" s="69"/>
      <c r="K334" s="277"/>
      <c r="L334" s="277"/>
      <c r="M334" s="277"/>
      <c r="N334" s="277"/>
      <c r="O334" s="277"/>
      <c r="P334" s="277"/>
      <c r="Q334" s="277"/>
      <c r="R334" s="277"/>
      <c r="T334" s="277"/>
      <c r="U334" s="277"/>
      <c r="W334" s="277"/>
      <c r="Y334" s="228" t="n">
        <f aca="false">DAY(EOMONTH(A334,0))</f>
        <v>30</v>
      </c>
      <c r="Z334" s="268" t="n">
        <v>45594</v>
      </c>
      <c r="AA334" s="230" t="e">
        <f aca="false">IF(AND(A334&gt;=Front!$E$11,A334&lt;=Front!$E$12),A334,"")</f>
        <v>#VALUE!</v>
      </c>
      <c r="AB334" s="231" t="e">
        <f aca="false">IF(AA334="","",VLOOKUP(MONTH(A333),Front!$W$6:$X$17,2)*IF(Front!D$9=0,Swap!Y334,1))</f>
        <v>#VALUE!</v>
      </c>
      <c r="AC334" s="274" t="e">
        <f aca="false">IF(AA334="","",AB334*AH334)</f>
        <v>#VALUE!</v>
      </c>
      <c r="AD334" s="233"/>
      <c r="AE334" s="231" t="e">
        <f aca="false">IF(AA334="","",AD334*AH334)</f>
        <v>#VALUE!</v>
      </c>
      <c r="AF334" s="243" t="e">
        <f aca="false">AF333</f>
        <v>#N/A</v>
      </c>
      <c r="AG334" s="243" t="e">
        <f aca="false">AF334+$AG$9</f>
        <v>#N/A</v>
      </c>
      <c r="AH334" s="195" t="e">
        <f aca="false">1/((1+AG334/2)^(2*((A334-Front!$C$2)/365.25)))</f>
        <v>#N/A</v>
      </c>
      <c r="AI334" s="236" t="e">
        <f aca="false">IF($AA334="","",E334*AC334)</f>
        <v>#VALUE!</v>
      </c>
      <c r="AJ334" s="236" t="e">
        <f aca="false">IF($AA334="","",E334*AE334)</f>
        <v>#VALUE!</v>
      </c>
      <c r="AK334" s="295"/>
      <c r="AL334" s="107"/>
      <c r="AM334" s="304"/>
      <c r="AN334" s="304"/>
      <c r="AO334" s="304"/>
      <c r="AP334" s="304"/>
      <c r="AQ334" s="304"/>
      <c r="AR334" s="304"/>
      <c r="AS334" s="304"/>
      <c r="AT334" s="304"/>
      <c r="AU334" s="304"/>
      <c r="AV334" s="304"/>
      <c r="AW334" s="304"/>
      <c r="AX334" s="304"/>
      <c r="AY334" s="304"/>
      <c r="AZ334" s="304"/>
      <c r="BA334" s="304"/>
      <c r="BB334" s="107"/>
      <c r="BC334" s="107"/>
      <c r="BD334" s="107"/>
      <c r="BE334" s="107"/>
      <c r="BF334" s="107"/>
      <c r="BG334" s="107"/>
      <c r="BH334" s="107"/>
      <c r="BI334" s="107"/>
      <c r="BJ334" s="107"/>
      <c r="BK334" s="107"/>
      <c r="BL334" s="107"/>
      <c r="BM334" s="107"/>
      <c r="BN334" s="107"/>
      <c r="BO334" s="107"/>
      <c r="BP334" s="107"/>
      <c r="BQ334" s="107"/>
      <c r="BR334" s="107"/>
      <c r="BS334" s="81" t="n">
        <v>0.0641829150089652</v>
      </c>
    </row>
    <row r="335" customFormat="false" ht="15" hidden="false" customHeight="false" outlineLevel="0" collapsed="false">
      <c r="A335" s="156" t="n">
        <f aca="false">EOMONTH(A334,0)+1</f>
        <v>47027</v>
      </c>
      <c r="B335" s="215"/>
      <c r="C335" s="281"/>
      <c r="D335" s="282"/>
      <c r="E335" s="283"/>
      <c r="F335" s="277"/>
      <c r="H335" s="277"/>
      <c r="I335" s="277"/>
      <c r="J335" s="69"/>
      <c r="K335" s="277"/>
      <c r="L335" s="277"/>
      <c r="M335" s="277"/>
      <c r="N335" s="277"/>
      <c r="O335" s="277"/>
      <c r="P335" s="277"/>
      <c r="Q335" s="277"/>
      <c r="R335" s="277"/>
      <c r="T335" s="277"/>
      <c r="U335" s="277"/>
      <c r="W335" s="277"/>
      <c r="Y335" s="228" t="n">
        <f aca="false">DAY(EOMONTH(A335,0))</f>
        <v>31</v>
      </c>
      <c r="Z335" s="268" t="n">
        <v>45624</v>
      </c>
      <c r="AA335" s="230" t="e">
        <f aca="false">IF(AND(A335&gt;=Front!$E$11,A335&lt;=Front!$E$12),A335,"")</f>
        <v>#VALUE!</v>
      </c>
      <c r="AB335" s="231" t="e">
        <f aca="false">IF(AA335="","",VLOOKUP(MONTH(A334),Front!$W$6:$X$17,2)*IF(Front!D$9=0,Swap!Y335,1))</f>
        <v>#VALUE!</v>
      </c>
      <c r="AC335" s="274" t="e">
        <f aca="false">IF(AA335="","",AB335*AH335)</f>
        <v>#VALUE!</v>
      </c>
      <c r="AD335" s="233"/>
      <c r="AE335" s="231" t="e">
        <f aca="false">IF(AA335="","",AD335*AH335)</f>
        <v>#VALUE!</v>
      </c>
      <c r="AF335" s="243" t="e">
        <f aca="false">AF334</f>
        <v>#N/A</v>
      </c>
      <c r="AG335" s="243" t="e">
        <f aca="false">AF335+$AG$9</f>
        <v>#N/A</v>
      </c>
      <c r="AH335" s="195" t="e">
        <f aca="false">1/((1+AG335/2)^(2*((A335-Front!$C$2)/365.25)))</f>
        <v>#N/A</v>
      </c>
      <c r="AI335" s="236" t="e">
        <f aca="false">IF($AA335="","",E335*AC335)</f>
        <v>#VALUE!</v>
      </c>
      <c r="AJ335" s="236" t="e">
        <f aca="false">IF($AA335="","",E335*AE335)</f>
        <v>#VALUE!</v>
      </c>
      <c r="AK335" s="295"/>
      <c r="AL335" s="107"/>
      <c r="AM335" s="304"/>
      <c r="AN335" s="304"/>
      <c r="AO335" s="304"/>
      <c r="AP335" s="304"/>
      <c r="AQ335" s="304"/>
      <c r="AR335" s="304"/>
      <c r="AS335" s="304"/>
      <c r="AT335" s="304"/>
      <c r="AU335" s="304"/>
      <c r="AV335" s="304"/>
      <c r="AW335" s="304"/>
      <c r="AX335" s="304"/>
      <c r="AY335" s="304"/>
      <c r="AZ335" s="304"/>
      <c r="BA335" s="304"/>
      <c r="BB335" s="107"/>
      <c r="BC335" s="107"/>
      <c r="BD335" s="107"/>
      <c r="BE335" s="107"/>
      <c r="BF335" s="107"/>
      <c r="BG335" s="107"/>
      <c r="BH335" s="107"/>
      <c r="BI335" s="107"/>
      <c r="BJ335" s="107"/>
      <c r="BK335" s="107"/>
      <c r="BL335" s="107"/>
      <c r="BM335" s="107"/>
      <c r="BN335" s="107"/>
      <c r="BO335" s="107"/>
      <c r="BP335" s="107"/>
      <c r="BQ335" s="107"/>
      <c r="BR335" s="107"/>
      <c r="BS335" s="81" t="n">
        <v>0.0641878850415396</v>
      </c>
    </row>
    <row r="336" customFormat="false" ht="15" hidden="false" customHeight="false" outlineLevel="0" collapsed="false">
      <c r="A336" s="156" t="n">
        <f aca="false">EOMONTH(A335,0)+1</f>
        <v>47058</v>
      </c>
      <c r="B336" s="215"/>
      <c r="C336" s="281"/>
      <c r="D336" s="282"/>
      <c r="E336" s="283"/>
      <c r="F336" s="277"/>
      <c r="H336" s="277"/>
      <c r="I336" s="277"/>
      <c r="J336" s="69"/>
      <c r="K336" s="277"/>
      <c r="L336" s="277"/>
      <c r="M336" s="277"/>
      <c r="N336" s="277"/>
      <c r="O336" s="277"/>
      <c r="P336" s="277"/>
      <c r="Q336" s="277"/>
      <c r="R336" s="277"/>
      <c r="T336" s="277"/>
      <c r="U336" s="277"/>
      <c r="W336" s="277"/>
      <c r="Y336" s="228" t="n">
        <f aca="false">DAY(EOMONTH(A336,0))</f>
        <v>30</v>
      </c>
      <c r="Z336" s="268" t="n">
        <v>45655</v>
      </c>
      <c r="AA336" s="230" t="e">
        <f aca="false">IF(AND(A336&gt;=Front!$E$11,A336&lt;=Front!$E$12),A336,"")</f>
        <v>#VALUE!</v>
      </c>
      <c r="AB336" s="231" t="e">
        <f aca="false">IF(AA336="","",VLOOKUP(MONTH(A335),Front!$W$6:$X$17,2)*IF(Front!D$9=0,Swap!Y336,1))</f>
        <v>#VALUE!</v>
      </c>
      <c r="AC336" s="274" t="e">
        <f aca="false">IF(AA336="","",AB336*AH336)</f>
        <v>#VALUE!</v>
      </c>
      <c r="AD336" s="233"/>
      <c r="AE336" s="231" t="e">
        <f aca="false">IF(AA336="","",AD336*AH336)</f>
        <v>#VALUE!</v>
      </c>
      <c r="AF336" s="243" t="e">
        <f aca="false">AF335</f>
        <v>#N/A</v>
      </c>
      <c r="AG336" s="243" t="e">
        <f aca="false">AF336+$AG$9</f>
        <v>#N/A</v>
      </c>
      <c r="AH336" s="195" t="e">
        <f aca="false">1/((1+AG336/2)^(2*((A336-Front!$C$2)/365.25)))</f>
        <v>#N/A</v>
      </c>
      <c r="AI336" s="236" t="e">
        <f aca="false">IF($AA336="","",E336*AC336)</f>
        <v>#VALUE!</v>
      </c>
      <c r="AJ336" s="236" t="e">
        <f aca="false">IF($AA336="","",E336*AE336)</f>
        <v>#VALUE!</v>
      </c>
      <c r="AK336" s="295"/>
      <c r="AL336" s="107"/>
      <c r="AM336" s="304"/>
      <c r="AN336" s="304"/>
      <c r="AO336" s="304"/>
      <c r="AP336" s="304"/>
      <c r="AQ336" s="304"/>
      <c r="AR336" s="304"/>
      <c r="AS336" s="304"/>
      <c r="AT336" s="304"/>
      <c r="AU336" s="304"/>
      <c r="AV336" s="304"/>
      <c r="AW336" s="304"/>
      <c r="AX336" s="304"/>
      <c r="AY336" s="304"/>
      <c r="AZ336" s="304"/>
      <c r="BA336" s="304"/>
      <c r="BB336" s="107"/>
      <c r="BC336" s="107"/>
      <c r="BD336" s="107"/>
      <c r="BE336" s="107"/>
      <c r="BF336" s="107"/>
      <c r="BG336" s="107"/>
      <c r="BH336" s="107"/>
      <c r="BI336" s="107"/>
      <c r="BJ336" s="107"/>
      <c r="BK336" s="107"/>
      <c r="BL336" s="107"/>
      <c r="BM336" s="107"/>
      <c r="BN336" s="107"/>
      <c r="BO336" s="107"/>
      <c r="BP336" s="107"/>
      <c r="BQ336" s="107"/>
      <c r="BR336" s="107"/>
      <c r="BS336" s="81" t="n">
        <v>0.0641930207418748</v>
      </c>
    </row>
    <row r="337" customFormat="false" ht="15" hidden="false" customHeight="false" outlineLevel="0" collapsed="false">
      <c r="A337" s="156" t="n">
        <f aca="false">EOMONTH(A336,0)+1</f>
        <v>47088</v>
      </c>
      <c r="B337" s="215"/>
      <c r="C337" s="281"/>
      <c r="D337" s="282"/>
      <c r="E337" s="283"/>
      <c r="F337" s="277"/>
      <c r="H337" s="277"/>
      <c r="I337" s="277"/>
      <c r="J337" s="69"/>
      <c r="K337" s="277"/>
      <c r="L337" s="277"/>
      <c r="M337" s="277"/>
      <c r="N337" s="277"/>
      <c r="O337" s="277"/>
      <c r="P337" s="277"/>
      <c r="Q337" s="277"/>
      <c r="R337" s="277"/>
      <c r="T337" s="277"/>
      <c r="U337" s="277"/>
      <c r="W337" s="277"/>
      <c r="Y337" s="228" t="n">
        <f aca="false">DAY(EOMONTH(A337,0))</f>
        <v>31</v>
      </c>
      <c r="Z337" s="268" t="n">
        <v>45594</v>
      </c>
      <c r="AA337" s="230" t="e">
        <f aca="false">IF(AND(A337&gt;=Front!$E$11,A337&lt;=Front!$E$12),A337,"")</f>
        <v>#VALUE!</v>
      </c>
      <c r="AB337" s="231" t="e">
        <f aca="false">IF(AA337="","",VLOOKUP(MONTH(A336),Front!$W$6:$X$17,2)*IF(Front!D$9=0,Swap!Y337,1))</f>
        <v>#VALUE!</v>
      </c>
      <c r="AC337" s="274" t="e">
        <f aca="false">IF(AA337="","",AB337*AH337)</f>
        <v>#VALUE!</v>
      </c>
      <c r="AD337" s="233"/>
      <c r="AE337" s="231" t="e">
        <f aca="false">IF(AA337="","",AD337*AH337)</f>
        <v>#VALUE!</v>
      </c>
      <c r="AF337" s="243" t="e">
        <f aca="false">AF336</f>
        <v>#N/A</v>
      </c>
      <c r="AG337" s="243" t="e">
        <f aca="false">AF337+$AG$9</f>
        <v>#N/A</v>
      </c>
      <c r="AH337" s="195" t="e">
        <f aca="false">1/((1+AG337/2)^(2*((A337-Front!$C$2)/365.25)))</f>
        <v>#N/A</v>
      </c>
      <c r="AI337" s="236" t="e">
        <f aca="false">IF($AA337="","",E337*AC337)</f>
        <v>#VALUE!</v>
      </c>
      <c r="AJ337" s="236" t="e">
        <f aca="false">IF($AA337="","",E337*AE337)</f>
        <v>#VALUE!</v>
      </c>
      <c r="AK337" s="295"/>
      <c r="AL337" s="107"/>
      <c r="AM337" s="304"/>
      <c r="AN337" s="304"/>
      <c r="AO337" s="304"/>
      <c r="AP337" s="304"/>
      <c r="AQ337" s="304"/>
      <c r="AR337" s="304"/>
      <c r="AS337" s="304"/>
      <c r="AT337" s="304"/>
      <c r="AU337" s="304"/>
      <c r="AV337" s="304"/>
      <c r="AW337" s="304"/>
      <c r="AX337" s="304"/>
      <c r="AY337" s="304"/>
      <c r="AZ337" s="304"/>
      <c r="BA337" s="304"/>
      <c r="BB337" s="107"/>
      <c r="BC337" s="107"/>
      <c r="BD337" s="107"/>
      <c r="BE337" s="107"/>
      <c r="BF337" s="107"/>
      <c r="BG337" s="107"/>
      <c r="BH337" s="107"/>
      <c r="BI337" s="107"/>
      <c r="BJ337" s="107"/>
      <c r="BK337" s="107"/>
      <c r="BL337" s="107"/>
      <c r="BM337" s="107"/>
      <c r="BN337" s="107"/>
      <c r="BO337" s="107"/>
      <c r="BP337" s="107"/>
      <c r="BQ337" s="107"/>
      <c r="BR337" s="107"/>
      <c r="BS337" s="81" t="n">
        <v>0.0641979907744652</v>
      </c>
    </row>
    <row r="338" customFormat="false" ht="15" hidden="false" customHeight="false" outlineLevel="0" collapsed="false">
      <c r="A338" s="156" t="n">
        <f aca="false">EOMONTH(A337,0)+1</f>
        <v>47119</v>
      </c>
      <c r="B338" s="215"/>
      <c r="C338" s="281"/>
      <c r="D338" s="282"/>
      <c r="E338" s="283"/>
      <c r="F338" s="277"/>
      <c r="H338" s="277"/>
      <c r="I338" s="277"/>
      <c r="J338" s="69"/>
      <c r="K338" s="277"/>
      <c r="L338" s="277"/>
      <c r="M338" s="277"/>
      <c r="N338" s="277"/>
      <c r="O338" s="277"/>
      <c r="P338" s="277"/>
      <c r="Q338" s="277"/>
      <c r="R338" s="277"/>
      <c r="T338" s="277"/>
      <c r="U338" s="277"/>
      <c r="W338" s="277"/>
      <c r="Y338" s="228" t="n">
        <f aca="false">DAY(EOMONTH(A338,0))</f>
        <v>31</v>
      </c>
      <c r="Z338" s="268" t="n">
        <v>45624</v>
      </c>
      <c r="AA338" s="230" t="e">
        <f aca="false">IF(AND(A338&gt;=Front!$E$11,A338&lt;=Front!$E$12),A338,"")</f>
        <v>#VALUE!</v>
      </c>
      <c r="AB338" s="231" t="e">
        <f aca="false">IF(AA338="","",VLOOKUP(MONTH(A337),Front!$W$6:$X$17,2)*IF(Front!D$9=0,Swap!Y338,1))</f>
        <v>#VALUE!</v>
      </c>
      <c r="AC338" s="274" t="e">
        <f aca="false">IF(AA338="","",AB338*AH338)</f>
        <v>#VALUE!</v>
      </c>
      <c r="AD338" s="233"/>
      <c r="AE338" s="231" t="e">
        <f aca="false">IF(AA338="","",AD338*AH338)</f>
        <v>#VALUE!</v>
      </c>
      <c r="AF338" s="243" t="e">
        <f aca="false">AF337</f>
        <v>#N/A</v>
      </c>
      <c r="AG338" s="243" t="e">
        <f aca="false">AF338+$AG$9</f>
        <v>#N/A</v>
      </c>
      <c r="AH338" s="195" t="e">
        <f aca="false">1/((1+AG338/2)^(2*((A338-Front!$C$2)/365.25)))</f>
        <v>#N/A</v>
      </c>
      <c r="AI338" s="236" t="e">
        <f aca="false">IF($AA338="","",E338*AC338)</f>
        <v>#VALUE!</v>
      </c>
      <c r="AJ338" s="236" t="e">
        <f aca="false">IF($AA338="","",E338*AE338)</f>
        <v>#VALUE!</v>
      </c>
      <c r="AK338" s="295"/>
      <c r="AL338" s="107"/>
      <c r="AM338" s="304"/>
      <c r="AN338" s="304"/>
      <c r="AO338" s="304"/>
      <c r="AP338" s="304"/>
      <c r="AQ338" s="304"/>
      <c r="AR338" s="304"/>
      <c r="AS338" s="304"/>
      <c r="AT338" s="304"/>
      <c r="AU338" s="304"/>
      <c r="AV338" s="304"/>
      <c r="AW338" s="304"/>
      <c r="AX338" s="304"/>
      <c r="AY338" s="304"/>
      <c r="AZ338" s="304"/>
      <c r="BA338" s="304"/>
      <c r="BB338" s="107"/>
      <c r="BC338" s="107"/>
      <c r="BD338" s="107"/>
      <c r="BE338" s="107"/>
      <c r="BF338" s="107"/>
      <c r="BG338" s="107"/>
      <c r="BH338" s="107"/>
      <c r="BI338" s="107"/>
      <c r="BJ338" s="107"/>
      <c r="BK338" s="107"/>
      <c r="BL338" s="107"/>
      <c r="BM338" s="107"/>
      <c r="BN338" s="107"/>
      <c r="BO338" s="107"/>
      <c r="BP338" s="107"/>
      <c r="BQ338" s="107"/>
      <c r="BR338" s="107"/>
      <c r="BS338" s="81" t="n">
        <v>0.0642031264748177</v>
      </c>
    </row>
    <row r="339" customFormat="false" ht="15" hidden="false" customHeight="false" outlineLevel="0" collapsed="false">
      <c r="A339" s="156" t="n">
        <f aca="false">EOMONTH(A338,0)+1</f>
        <v>47150</v>
      </c>
      <c r="B339" s="215"/>
      <c r="C339" s="281"/>
      <c r="D339" s="282"/>
      <c r="E339" s="283"/>
      <c r="F339" s="277"/>
      <c r="H339" s="277"/>
      <c r="I339" s="277"/>
      <c r="J339" s="69"/>
      <c r="K339" s="277"/>
      <c r="L339" s="277"/>
      <c r="M339" s="277"/>
      <c r="N339" s="277"/>
      <c r="O339" s="277"/>
      <c r="P339" s="277"/>
      <c r="Q339" s="277"/>
      <c r="R339" s="277"/>
      <c r="T339" s="277"/>
      <c r="U339" s="277"/>
      <c r="W339" s="277"/>
      <c r="Y339" s="228" t="n">
        <f aca="false">DAY(EOMONTH(A339,0))</f>
        <v>28</v>
      </c>
      <c r="Z339" s="268" t="n">
        <v>45655</v>
      </c>
      <c r="AA339" s="230" t="e">
        <f aca="false">IF(AND(A339&gt;=Front!$E$11,A339&lt;=Front!$E$12),A339,"")</f>
        <v>#VALUE!</v>
      </c>
      <c r="AB339" s="231" t="e">
        <f aca="false">IF(AA339="","",VLOOKUP(MONTH(A338),Front!$W$6:$X$17,2)*IF(Front!D$9=0,Swap!Y339,1))</f>
        <v>#VALUE!</v>
      </c>
      <c r="AC339" s="274" t="e">
        <f aca="false">IF(AA339="","",AB339*AH339)</f>
        <v>#VALUE!</v>
      </c>
      <c r="AD339" s="233"/>
      <c r="AE339" s="231" t="e">
        <f aca="false">IF(AA339="","",AD339*AH339)</f>
        <v>#VALUE!</v>
      </c>
      <c r="AF339" s="243" t="e">
        <f aca="false">AF338</f>
        <v>#N/A</v>
      </c>
      <c r="AG339" s="243" t="e">
        <f aca="false">AF339+$AG$9</f>
        <v>#N/A</v>
      </c>
      <c r="AH339" s="195" t="e">
        <f aca="false">1/((1+AG339/2)^(2*((A339-Front!$C$2)/365.25)))</f>
        <v>#N/A</v>
      </c>
      <c r="AI339" s="236" t="e">
        <f aca="false">IF($AA339="","",E339*AC339)</f>
        <v>#VALUE!</v>
      </c>
      <c r="AJ339" s="236" t="e">
        <f aca="false">IF($AA339="","",E339*AE339)</f>
        <v>#VALUE!</v>
      </c>
      <c r="AK339" s="295"/>
      <c r="AL339" s="107"/>
      <c r="AM339" s="304"/>
      <c r="AN339" s="304"/>
      <c r="AO339" s="304"/>
      <c r="AP339" s="304"/>
      <c r="AQ339" s="304"/>
      <c r="AR339" s="304"/>
      <c r="AS339" s="304"/>
      <c r="AT339" s="304"/>
      <c r="AU339" s="304"/>
      <c r="AV339" s="304"/>
      <c r="AW339" s="304"/>
      <c r="AX339" s="304"/>
      <c r="AY339" s="304"/>
      <c r="AZ339" s="304"/>
      <c r="BA339" s="304"/>
      <c r="BB339" s="107"/>
      <c r="BC339" s="107"/>
      <c r="BD339" s="107"/>
      <c r="BE339" s="107"/>
      <c r="BF339" s="107"/>
      <c r="BG339" s="107"/>
      <c r="BH339" s="107"/>
      <c r="BI339" s="107"/>
      <c r="BJ339" s="107"/>
      <c r="BK339" s="107"/>
      <c r="BL339" s="107"/>
      <c r="BM339" s="107"/>
      <c r="BN339" s="107"/>
      <c r="BO339" s="107"/>
      <c r="BP339" s="107"/>
      <c r="BQ339" s="107"/>
      <c r="BR339" s="107"/>
      <c r="BS339" s="81" t="n">
        <v>0.0642082621751792</v>
      </c>
    </row>
    <row r="340" customFormat="false" ht="15" hidden="false" customHeight="false" outlineLevel="0" collapsed="false">
      <c r="A340" s="156" t="n">
        <f aca="false">EOMONTH(A339,0)+1</f>
        <v>47178</v>
      </c>
      <c r="B340" s="215"/>
      <c r="C340" s="281"/>
      <c r="D340" s="282"/>
      <c r="E340" s="283"/>
      <c r="F340" s="277"/>
      <c r="H340" s="277"/>
      <c r="I340" s="277"/>
      <c r="J340" s="69"/>
      <c r="K340" s="277"/>
      <c r="L340" s="277"/>
      <c r="M340" s="277"/>
      <c r="N340" s="277"/>
      <c r="O340" s="277"/>
      <c r="P340" s="277"/>
      <c r="Q340" s="277"/>
      <c r="R340" s="277"/>
      <c r="T340" s="277"/>
      <c r="U340" s="277"/>
      <c r="W340" s="277"/>
      <c r="Y340" s="228" t="n">
        <f aca="false">DAY(EOMONTH(A340,0))</f>
        <v>31</v>
      </c>
      <c r="Z340" s="268" t="n">
        <v>45594</v>
      </c>
      <c r="AA340" s="230" t="e">
        <f aca="false">IF(AND(A340&gt;=Front!$E$11,A340&lt;=Front!$E$12),A340,"")</f>
        <v>#VALUE!</v>
      </c>
      <c r="AB340" s="231" t="e">
        <f aca="false">IF(AA340="","",VLOOKUP(MONTH(A339),Front!$W$6:$X$17,2)*IF(Front!D$9=0,Swap!Y340,1))</f>
        <v>#VALUE!</v>
      </c>
      <c r="AC340" s="274" t="e">
        <f aca="false">IF(AA340="","",AB340*AH340)</f>
        <v>#VALUE!</v>
      </c>
      <c r="AD340" s="233"/>
      <c r="AE340" s="231" t="e">
        <f aca="false">IF(AA340="","",AD340*AH340)</f>
        <v>#VALUE!</v>
      </c>
      <c r="AF340" s="243" t="e">
        <f aca="false">AF339</f>
        <v>#N/A</v>
      </c>
      <c r="AG340" s="243" t="e">
        <f aca="false">AF340+$AG$9</f>
        <v>#N/A</v>
      </c>
      <c r="AH340" s="195" t="e">
        <f aca="false">1/((1+AG340/2)^(2*((A340-Front!$C$2)/365.25)))</f>
        <v>#N/A</v>
      </c>
      <c r="AI340" s="236" t="e">
        <f aca="false">IF($AA340="","",E340*AC340)</f>
        <v>#VALUE!</v>
      </c>
      <c r="AJ340" s="236" t="e">
        <f aca="false">IF($AA340="","",E340*AE340)</f>
        <v>#VALUE!</v>
      </c>
      <c r="AK340" s="295"/>
      <c r="AL340" s="107"/>
      <c r="AM340" s="304"/>
      <c r="AN340" s="304"/>
      <c r="AO340" s="304"/>
      <c r="AP340" s="304"/>
      <c r="AQ340" s="304"/>
      <c r="AR340" s="304"/>
      <c r="AS340" s="304"/>
      <c r="AT340" s="304"/>
      <c r="AU340" s="304"/>
      <c r="AV340" s="304"/>
      <c r="AW340" s="304"/>
      <c r="AX340" s="304"/>
      <c r="AY340" s="304"/>
      <c r="AZ340" s="304"/>
      <c r="BA340" s="304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81" t="n">
        <v>0.0642129008722869</v>
      </c>
    </row>
    <row r="341" customFormat="false" ht="15" hidden="false" customHeight="false" outlineLevel="0" collapsed="false">
      <c r="A341" s="156" t="n">
        <f aca="false">EOMONTH(A340,0)+1</f>
        <v>47209</v>
      </c>
      <c r="B341" s="215"/>
      <c r="C341" s="281"/>
      <c r="D341" s="282"/>
      <c r="E341" s="283"/>
      <c r="F341" s="277"/>
      <c r="H341" s="277"/>
      <c r="I341" s="277"/>
      <c r="J341" s="69"/>
      <c r="K341" s="277"/>
      <c r="L341" s="277"/>
      <c r="M341" s="277"/>
      <c r="N341" s="277"/>
      <c r="O341" s="277"/>
      <c r="P341" s="277"/>
      <c r="Q341" s="277"/>
      <c r="R341" s="277"/>
      <c r="T341" s="277"/>
      <c r="U341" s="277"/>
      <c r="W341" s="277"/>
      <c r="Y341" s="228" t="n">
        <f aca="false">DAY(EOMONTH(A341,0))</f>
        <v>30</v>
      </c>
      <c r="Z341" s="268" t="n">
        <v>45624</v>
      </c>
      <c r="AA341" s="230" t="e">
        <f aca="false">IF(AND(A341&gt;=Front!$E$11,A341&lt;=Front!$E$12),A341,"")</f>
        <v>#VALUE!</v>
      </c>
      <c r="AB341" s="231" t="e">
        <f aca="false">IF(AA341="","",VLOOKUP(MONTH(A340),Front!$W$6:$X$17,2)*IF(Front!D$9=0,Swap!Y341,1))</f>
        <v>#VALUE!</v>
      </c>
      <c r="AC341" s="274" t="e">
        <f aca="false">IF(AA341="","",AB341*AH341)</f>
        <v>#VALUE!</v>
      </c>
      <c r="AD341" s="233"/>
      <c r="AE341" s="231" t="e">
        <f aca="false">IF(AA341="","",AD341*AH341)</f>
        <v>#VALUE!</v>
      </c>
      <c r="AF341" s="243" t="e">
        <f aca="false">AF340</f>
        <v>#N/A</v>
      </c>
      <c r="AG341" s="243" t="e">
        <f aca="false">AF341+$AG$9</f>
        <v>#N/A</v>
      </c>
      <c r="AH341" s="195" t="e">
        <f aca="false">1/((1+AG341/2)^(2*((A341-Front!$C$2)/365.25)))</f>
        <v>#N/A</v>
      </c>
      <c r="AI341" s="236" t="e">
        <f aca="false">IF($AA341="","",E341*AC341)</f>
        <v>#VALUE!</v>
      </c>
      <c r="AJ341" s="236" t="e">
        <f aca="false">IF($AA341="","",E341*AE341)</f>
        <v>#VALUE!</v>
      </c>
      <c r="AK341" s="295"/>
      <c r="AL341" s="107"/>
      <c r="AM341" s="304"/>
      <c r="AN341" s="304"/>
      <c r="AO341" s="304"/>
      <c r="AP341" s="304"/>
      <c r="AQ341" s="304"/>
      <c r="AR341" s="304"/>
      <c r="AS341" s="304"/>
      <c r="AT341" s="304"/>
      <c r="AU341" s="304"/>
      <c r="AV341" s="304"/>
      <c r="AW341" s="304"/>
      <c r="AX341" s="304"/>
      <c r="AY341" s="304"/>
      <c r="AZ341" s="304"/>
      <c r="BA341" s="304"/>
      <c r="BB341" s="107"/>
      <c r="BC341" s="107"/>
      <c r="BD341" s="107"/>
      <c r="BE341" s="107"/>
      <c r="BF341" s="107"/>
      <c r="BG341" s="107"/>
      <c r="BH341" s="107"/>
      <c r="BI341" s="107"/>
      <c r="BJ341" s="107"/>
      <c r="BK341" s="107"/>
      <c r="BL341" s="107"/>
      <c r="BM341" s="107"/>
      <c r="BN341" s="107"/>
      <c r="BO341" s="107"/>
      <c r="BP341" s="107"/>
      <c r="BQ341" s="107"/>
      <c r="BR341" s="107"/>
      <c r="BS341" s="81" t="n">
        <v>0.0642180365726648</v>
      </c>
    </row>
    <row r="342" customFormat="false" ht="15" hidden="false" customHeight="false" outlineLevel="0" collapsed="false">
      <c r="A342" s="156" t="n">
        <f aca="false">EOMONTH(A341,0)+1</f>
        <v>47239</v>
      </c>
      <c r="B342" s="215"/>
      <c r="C342" s="281"/>
      <c r="D342" s="282"/>
      <c r="E342" s="283"/>
      <c r="F342" s="277"/>
      <c r="H342" s="277"/>
      <c r="I342" s="277"/>
      <c r="J342" s="69"/>
      <c r="K342" s="277"/>
      <c r="L342" s="277"/>
      <c r="M342" s="277"/>
      <c r="N342" s="277"/>
      <c r="O342" s="277"/>
      <c r="P342" s="277"/>
      <c r="Q342" s="277"/>
      <c r="R342" s="277"/>
      <c r="T342" s="277"/>
      <c r="U342" s="277"/>
      <c r="W342" s="277"/>
      <c r="Y342" s="228" t="n">
        <f aca="false">DAY(EOMONTH(A342,0))</f>
        <v>31</v>
      </c>
      <c r="Z342" s="268" t="n">
        <v>45655</v>
      </c>
      <c r="AA342" s="230" t="e">
        <f aca="false">IF(AND(A342&gt;=Front!$E$11,A342&lt;=Front!$E$12),A342,"")</f>
        <v>#VALUE!</v>
      </c>
      <c r="AB342" s="231" t="e">
        <f aca="false">IF(AA342="","",VLOOKUP(MONTH(A341),Front!$W$6:$X$17,2)*IF(Front!D$9=0,Swap!Y342,1))</f>
        <v>#VALUE!</v>
      </c>
      <c r="AC342" s="274" t="e">
        <f aca="false">IF(AA342="","",AB342*AH342)</f>
        <v>#VALUE!</v>
      </c>
      <c r="AD342" s="233"/>
      <c r="AE342" s="231" t="e">
        <f aca="false">IF(AA342="","",AD342*AH342)</f>
        <v>#VALUE!</v>
      </c>
      <c r="AF342" s="243" t="e">
        <f aca="false">AF341</f>
        <v>#N/A</v>
      </c>
      <c r="AG342" s="243" t="e">
        <f aca="false">AF342+$AG$9</f>
        <v>#N/A</v>
      </c>
      <c r="AH342" s="195" t="e">
        <f aca="false">1/((1+AG342/2)^(2*((A342-Front!$C$2)/365.25)))</f>
        <v>#N/A</v>
      </c>
      <c r="AI342" s="236" t="e">
        <f aca="false">IF($AA342="","",E342*AC342)</f>
        <v>#VALUE!</v>
      </c>
      <c r="AJ342" s="236" t="e">
        <f aca="false">IF($AA342="","",E342*AE342)</f>
        <v>#VALUE!</v>
      </c>
      <c r="AK342" s="295"/>
      <c r="AL342" s="107"/>
      <c r="AM342" s="304"/>
      <c r="AN342" s="304"/>
      <c r="AO342" s="304"/>
      <c r="AP342" s="304"/>
      <c r="AQ342" s="304"/>
      <c r="AR342" s="304"/>
      <c r="AS342" s="304"/>
      <c r="AT342" s="304"/>
      <c r="AU342" s="304"/>
      <c r="AV342" s="304"/>
      <c r="AW342" s="304"/>
      <c r="AX342" s="304"/>
      <c r="AY342" s="304"/>
      <c r="AZ342" s="304"/>
      <c r="BA342" s="304"/>
      <c r="BB342" s="107"/>
      <c r="BC342" s="107"/>
      <c r="BD342" s="107"/>
      <c r="BE342" s="107"/>
      <c r="BF342" s="107"/>
      <c r="BG342" s="107"/>
      <c r="BH342" s="107"/>
      <c r="BI342" s="107"/>
      <c r="BJ342" s="107"/>
      <c r="BK342" s="107"/>
      <c r="BL342" s="107"/>
      <c r="BM342" s="107"/>
      <c r="BN342" s="107"/>
      <c r="BO342" s="107"/>
      <c r="BP342" s="107"/>
      <c r="BQ342" s="107"/>
      <c r="BR342" s="107"/>
      <c r="BS342" s="81" t="n">
        <v>0.0642230066052969</v>
      </c>
    </row>
    <row r="343" customFormat="false" ht="15" hidden="false" customHeight="false" outlineLevel="0" collapsed="false">
      <c r="A343" s="156" t="n">
        <f aca="false">EOMONTH(A342,0)+1</f>
        <v>47270</v>
      </c>
      <c r="B343" s="215"/>
      <c r="C343" s="281"/>
      <c r="D343" s="282"/>
      <c r="E343" s="283"/>
      <c r="F343" s="277"/>
      <c r="H343" s="277"/>
      <c r="I343" s="277"/>
      <c r="J343" s="69"/>
      <c r="K343" s="277"/>
      <c r="L343" s="277"/>
      <c r="M343" s="277"/>
      <c r="N343" s="277"/>
      <c r="O343" s="277"/>
      <c r="P343" s="277"/>
      <c r="Q343" s="277"/>
      <c r="R343" s="277"/>
      <c r="T343" s="277"/>
      <c r="U343" s="277"/>
      <c r="W343" s="277"/>
      <c r="Y343" s="228" t="n">
        <f aca="false">DAY(EOMONTH(A343,0))</f>
        <v>30</v>
      </c>
      <c r="Z343" s="268" t="n">
        <v>45594</v>
      </c>
      <c r="AA343" s="230" t="e">
        <f aca="false">IF(AND(A343&gt;=Front!$E$11,A343&lt;=Front!$E$12),A343,"")</f>
        <v>#VALUE!</v>
      </c>
      <c r="AB343" s="231" t="e">
        <f aca="false">IF(AA343="","",VLOOKUP(MONTH(A342),Front!$W$6:$X$17,2)*IF(Front!D$9=0,Swap!Y343,1))</f>
        <v>#VALUE!</v>
      </c>
      <c r="AC343" s="274" t="e">
        <f aca="false">IF(AA343="","",AB343*AH343)</f>
        <v>#VALUE!</v>
      </c>
      <c r="AD343" s="233"/>
      <c r="AE343" s="231" t="e">
        <f aca="false">IF(AA343="","",AD343*AH343)</f>
        <v>#VALUE!</v>
      </c>
      <c r="AF343" s="243" t="e">
        <f aca="false">AF342</f>
        <v>#N/A</v>
      </c>
      <c r="AG343" s="243" t="e">
        <f aca="false">AF343+$AG$9</f>
        <v>#N/A</v>
      </c>
      <c r="AH343" s="195" t="e">
        <f aca="false">1/((1+AG343/2)^(2*((A343-Front!$C$2)/365.25)))</f>
        <v>#N/A</v>
      </c>
      <c r="AI343" s="236" t="e">
        <f aca="false">IF($AA343="","",E343*AC343)</f>
        <v>#VALUE!</v>
      </c>
      <c r="AJ343" s="236" t="e">
        <f aca="false">IF($AA343="","",E343*AE343)</f>
        <v>#VALUE!</v>
      </c>
      <c r="AK343" s="295"/>
      <c r="AL343" s="107"/>
      <c r="AM343" s="304"/>
      <c r="AN343" s="304"/>
      <c r="AO343" s="304"/>
      <c r="AP343" s="304"/>
      <c r="AQ343" s="304"/>
      <c r="AR343" s="304"/>
      <c r="AS343" s="304"/>
      <c r="AT343" s="304"/>
      <c r="AU343" s="304"/>
      <c r="AV343" s="304"/>
      <c r="AW343" s="304"/>
      <c r="AX343" s="304"/>
      <c r="AY343" s="304"/>
      <c r="AZ343" s="304"/>
      <c r="BA343" s="304"/>
      <c r="BB343" s="107"/>
      <c r="BC343" s="107"/>
      <c r="BD343" s="107"/>
      <c r="BE343" s="107"/>
      <c r="BF343" s="107"/>
      <c r="BG343" s="107"/>
      <c r="BH343" s="107"/>
      <c r="BI343" s="107"/>
      <c r="BJ343" s="107"/>
      <c r="BK343" s="107"/>
      <c r="BL343" s="107"/>
      <c r="BM343" s="107"/>
      <c r="BN343" s="107"/>
      <c r="BO343" s="107"/>
      <c r="BP343" s="107"/>
      <c r="BQ343" s="107"/>
      <c r="BR343" s="107"/>
      <c r="BS343" s="81" t="n">
        <v>0.0642281423056916</v>
      </c>
    </row>
    <row r="344" customFormat="false" ht="15" hidden="false" customHeight="false" outlineLevel="0" collapsed="false">
      <c r="A344" s="156" t="n">
        <f aca="false">EOMONTH(A343,0)+1</f>
        <v>47300</v>
      </c>
      <c r="B344" s="215"/>
      <c r="C344" s="281"/>
      <c r="D344" s="282"/>
      <c r="E344" s="283"/>
      <c r="F344" s="277"/>
      <c r="H344" s="277"/>
      <c r="I344" s="277"/>
      <c r="J344" s="69"/>
      <c r="K344" s="277"/>
      <c r="L344" s="277"/>
      <c r="M344" s="277"/>
      <c r="N344" s="277"/>
      <c r="O344" s="277"/>
      <c r="P344" s="277"/>
      <c r="Q344" s="277"/>
      <c r="R344" s="277"/>
      <c r="T344" s="277"/>
      <c r="U344" s="277"/>
      <c r="W344" s="277"/>
      <c r="Y344" s="228" t="n">
        <f aca="false">DAY(EOMONTH(A344,0))</f>
        <v>31</v>
      </c>
      <c r="Z344" s="268" t="n">
        <v>45624</v>
      </c>
      <c r="AA344" s="230" t="e">
        <f aca="false">IF(AND(A344&gt;=Front!$E$11,A344&lt;=Front!$E$12),A344,"")</f>
        <v>#VALUE!</v>
      </c>
      <c r="AB344" s="231" t="e">
        <f aca="false">IF(AA344="","",VLOOKUP(MONTH(A343),Front!$W$6:$X$17,2)*IF(Front!D$9=0,Swap!Y344,1))</f>
        <v>#VALUE!</v>
      </c>
      <c r="AC344" s="274" t="e">
        <f aca="false">IF(AA344="","",AB344*AH344)</f>
        <v>#VALUE!</v>
      </c>
      <c r="AD344" s="233"/>
      <c r="AE344" s="231" t="e">
        <f aca="false">IF(AA344="","",AD344*AH344)</f>
        <v>#VALUE!</v>
      </c>
      <c r="AF344" s="243" t="e">
        <f aca="false">AF343</f>
        <v>#N/A</v>
      </c>
      <c r="AG344" s="243" t="e">
        <f aca="false">AF344+$AG$9</f>
        <v>#N/A</v>
      </c>
      <c r="AH344" s="195" t="e">
        <f aca="false">1/((1+AG344/2)^(2*((A344-Front!$C$2)/365.25)))</f>
        <v>#N/A</v>
      </c>
      <c r="AI344" s="236" t="e">
        <f aca="false">IF($AA344="","",E344*AC344)</f>
        <v>#VALUE!</v>
      </c>
      <c r="AJ344" s="236" t="e">
        <f aca="false">IF($AA344="","",E344*AE344)</f>
        <v>#VALUE!</v>
      </c>
      <c r="AK344" s="295"/>
      <c r="AL344" s="107"/>
      <c r="AM344" s="304"/>
      <c r="AN344" s="304"/>
      <c r="AO344" s="304"/>
      <c r="AP344" s="304"/>
      <c r="AQ344" s="304"/>
      <c r="AR344" s="304"/>
      <c r="AS344" s="304"/>
      <c r="AT344" s="304"/>
      <c r="AU344" s="304"/>
      <c r="AV344" s="304"/>
      <c r="AW344" s="304"/>
      <c r="AX344" s="304"/>
      <c r="AY344" s="304"/>
      <c r="AZ344" s="304"/>
      <c r="BA344" s="304"/>
      <c r="BB344" s="107"/>
      <c r="BC344" s="107"/>
      <c r="BD344" s="107"/>
      <c r="BE344" s="107"/>
      <c r="BF344" s="107"/>
      <c r="BG344" s="107"/>
      <c r="BH344" s="107"/>
      <c r="BI344" s="107"/>
      <c r="BJ344" s="107"/>
      <c r="BK344" s="107"/>
      <c r="BL344" s="107"/>
      <c r="BM344" s="107"/>
      <c r="BN344" s="107"/>
      <c r="BO344" s="107"/>
      <c r="BP344" s="107"/>
      <c r="BQ344" s="107"/>
      <c r="BR344" s="107"/>
      <c r="BS344" s="81" t="n">
        <v>0.0642331123383402</v>
      </c>
    </row>
    <row r="345" customFormat="false" ht="15" hidden="false" customHeight="false" outlineLevel="0" collapsed="false">
      <c r="A345" s="156" t="n">
        <f aca="false">EOMONTH(A344,0)+1</f>
        <v>47331</v>
      </c>
      <c r="B345" s="215"/>
      <c r="C345" s="281"/>
      <c r="D345" s="282"/>
      <c r="E345" s="283"/>
      <c r="F345" s="277"/>
      <c r="H345" s="277"/>
      <c r="I345" s="277"/>
      <c r="J345" s="69"/>
      <c r="K345" s="277"/>
      <c r="L345" s="277"/>
      <c r="M345" s="277"/>
      <c r="N345" s="277"/>
      <c r="O345" s="277"/>
      <c r="P345" s="277"/>
      <c r="Q345" s="277"/>
      <c r="R345" s="277"/>
      <c r="T345" s="277"/>
      <c r="U345" s="277"/>
      <c r="W345" s="277"/>
      <c r="Y345" s="228" t="n">
        <f aca="false">DAY(EOMONTH(A345,0))</f>
        <v>31</v>
      </c>
      <c r="Z345" s="268" t="n">
        <v>45655</v>
      </c>
      <c r="AA345" s="230" t="e">
        <f aca="false">IF(AND(A345&gt;=Front!$E$11,A345&lt;=Front!$E$12),A345,"")</f>
        <v>#VALUE!</v>
      </c>
      <c r="AB345" s="231" t="e">
        <f aca="false">IF(AA345="","",VLOOKUP(MONTH(A344),Front!$W$6:$X$17,2)*IF(Front!D$9=0,Swap!Y345,1))</f>
        <v>#VALUE!</v>
      </c>
      <c r="AC345" s="274" t="e">
        <f aca="false">IF(AA345="","",AB345*AH345)</f>
        <v>#VALUE!</v>
      </c>
      <c r="AD345" s="233"/>
      <c r="AE345" s="231" t="e">
        <f aca="false">IF(AA345="","",AD345*AH345)</f>
        <v>#VALUE!</v>
      </c>
      <c r="AF345" s="243" t="e">
        <f aca="false">AF344</f>
        <v>#N/A</v>
      </c>
      <c r="AG345" s="243" t="e">
        <f aca="false">AF345+$AG$9</f>
        <v>#N/A</v>
      </c>
      <c r="AH345" s="195" t="e">
        <f aca="false">1/((1+AG345/2)^(2*((A345-Front!$C$2)/365.25)))</f>
        <v>#N/A</v>
      </c>
      <c r="AI345" s="236" t="e">
        <f aca="false">IF($AA345="","",E345*AC345)</f>
        <v>#VALUE!</v>
      </c>
      <c r="AJ345" s="236" t="e">
        <f aca="false">IF($AA345="","",E345*AE345)</f>
        <v>#VALUE!</v>
      </c>
      <c r="AK345" s="295"/>
      <c r="AL345" s="107"/>
      <c r="AM345" s="304"/>
      <c r="AN345" s="304"/>
      <c r="AO345" s="304"/>
      <c r="AP345" s="304"/>
      <c r="AQ345" s="304"/>
      <c r="AR345" s="304"/>
      <c r="AS345" s="304"/>
      <c r="AT345" s="304"/>
      <c r="AU345" s="304"/>
      <c r="AV345" s="304"/>
      <c r="AW345" s="304"/>
      <c r="AX345" s="304"/>
      <c r="AY345" s="304"/>
      <c r="AZ345" s="304"/>
      <c r="BA345" s="304"/>
      <c r="BB345" s="107"/>
      <c r="BC345" s="107"/>
      <c r="BD345" s="107"/>
      <c r="BE345" s="107"/>
      <c r="BF345" s="107"/>
      <c r="BG345" s="107"/>
      <c r="BH345" s="107"/>
      <c r="BI345" s="107"/>
      <c r="BJ345" s="107"/>
      <c r="BK345" s="107"/>
      <c r="BL345" s="107"/>
      <c r="BM345" s="107"/>
      <c r="BN345" s="107"/>
      <c r="BO345" s="107"/>
      <c r="BP345" s="107"/>
      <c r="BQ345" s="107"/>
      <c r="BR345" s="107"/>
      <c r="BS345" s="81" t="n">
        <v>0.0642382480387531</v>
      </c>
    </row>
    <row r="346" customFormat="false" ht="15" hidden="false" customHeight="false" outlineLevel="0" collapsed="false">
      <c r="A346" s="156" t="n">
        <f aca="false">EOMONTH(A345,0)+1</f>
        <v>47362</v>
      </c>
      <c r="B346" s="215"/>
      <c r="C346" s="281"/>
      <c r="D346" s="282"/>
      <c r="E346" s="283"/>
      <c r="F346" s="277"/>
      <c r="H346" s="277"/>
      <c r="I346" s="277"/>
      <c r="J346" s="69"/>
      <c r="K346" s="277"/>
      <c r="L346" s="277"/>
      <c r="M346" s="277"/>
      <c r="N346" s="277"/>
      <c r="O346" s="277"/>
      <c r="P346" s="277"/>
      <c r="Q346" s="277"/>
      <c r="R346" s="277"/>
      <c r="T346" s="277"/>
      <c r="U346" s="277"/>
      <c r="W346" s="277"/>
      <c r="Y346" s="228" t="n">
        <f aca="false">DAY(EOMONTH(A346,0))</f>
        <v>30</v>
      </c>
      <c r="Z346" s="268" t="n">
        <v>45594</v>
      </c>
      <c r="AA346" s="230" t="e">
        <f aca="false">IF(AND(A346&gt;=Front!$E$11,A346&lt;=Front!$E$12),A346,"")</f>
        <v>#VALUE!</v>
      </c>
      <c r="AB346" s="231" t="e">
        <f aca="false">IF(AA346="","",VLOOKUP(MONTH(A345),Front!$W$6:$X$17,2)*IF(Front!D$9=0,Swap!Y346,1))</f>
        <v>#VALUE!</v>
      </c>
      <c r="AC346" s="274" t="e">
        <f aca="false">IF(AA346="","",AB346*AH346)</f>
        <v>#VALUE!</v>
      </c>
      <c r="AD346" s="233"/>
      <c r="AE346" s="231" t="e">
        <f aca="false">IF(AA346="","",AD346*AH346)</f>
        <v>#VALUE!</v>
      </c>
      <c r="AF346" s="243" t="e">
        <f aca="false">AF345</f>
        <v>#N/A</v>
      </c>
      <c r="AG346" s="243" t="e">
        <f aca="false">AF346+$AG$9</f>
        <v>#N/A</v>
      </c>
      <c r="AH346" s="195" t="e">
        <f aca="false">1/((1+AG346/2)^(2*((A346-Front!$C$2)/365.25)))</f>
        <v>#N/A</v>
      </c>
      <c r="AI346" s="236" t="e">
        <f aca="false">IF($AA346="","",E346*AC346)</f>
        <v>#VALUE!</v>
      </c>
      <c r="AJ346" s="236" t="e">
        <f aca="false">IF($AA346="","",E346*AE346)</f>
        <v>#VALUE!</v>
      </c>
      <c r="AK346" s="295"/>
      <c r="AL346" s="107"/>
      <c r="AM346" s="304"/>
      <c r="AN346" s="304"/>
      <c r="AO346" s="304"/>
      <c r="AP346" s="304"/>
      <c r="AQ346" s="304"/>
      <c r="AR346" s="304"/>
      <c r="AS346" s="304"/>
      <c r="AT346" s="304"/>
      <c r="AU346" s="304"/>
      <c r="AV346" s="304"/>
      <c r="AW346" s="304"/>
      <c r="AX346" s="304"/>
      <c r="AY346" s="304"/>
      <c r="AZ346" s="304"/>
      <c r="BA346" s="304"/>
      <c r="BB346" s="107"/>
      <c r="BC346" s="107"/>
      <c r="BD346" s="107"/>
      <c r="BE346" s="107"/>
      <c r="BF346" s="107"/>
      <c r="BG346" s="107"/>
      <c r="BH346" s="107"/>
      <c r="BI346" s="107"/>
      <c r="BJ346" s="107"/>
      <c r="BK346" s="107"/>
      <c r="BL346" s="107"/>
      <c r="BM346" s="107"/>
      <c r="BN346" s="107"/>
      <c r="BO346" s="107"/>
      <c r="BP346" s="107"/>
      <c r="BQ346" s="107"/>
      <c r="BR346" s="107"/>
      <c r="BS346" s="81" t="n">
        <v>0.0642433837391736</v>
      </c>
    </row>
    <row r="347" customFormat="false" ht="15" hidden="false" customHeight="false" outlineLevel="0" collapsed="false">
      <c r="A347" s="156" t="n">
        <f aca="false">EOMONTH(A346,0)+1</f>
        <v>47392</v>
      </c>
      <c r="B347" s="215"/>
      <c r="C347" s="281"/>
      <c r="D347" s="282"/>
      <c r="E347" s="283"/>
      <c r="F347" s="277"/>
      <c r="H347" s="277"/>
      <c r="I347" s="277"/>
      <c r="J347" s="69"/>
      <c r="K347" s="277"/>
      <c r="L347" s="277"/>
      <c r="M347" s="277"/>
      <c r="N347" s="277"/>
      <c r="O347" s="277"/>
      <c r="P347" s="277"/>
      <c r="Q347" s="277"/>
      <c r="R347" s="277"/>
      <c r="T347" s="277"/>
      <c r="U347" s="277"/>
      <c r="W347" s="277"/>
      <c r="Y347" s="228" t="n">
        <f aca="false">DAY(EOMONTH(A347,0))</f>
        <v>31</v>
      </c>
      <c r="Z347" s="268" t="n">
        <v>45624</v>
      </c>
      <c r="AA347" s="230" t="e">
        <f aca="false">IF(AND(A347&gt;=Front!$E$11,A347&lt;=Front!$E$12),A347,"")</f>
        <v>#VALUE!</v>
      </c>
      <c r="AB347" s="231" t="e">
        <f aca="false">IF(AA347="","",VLOOKUP(MONTH(A346),Front!$W$6:$X$17,2)*IF(Front!D$9=0,Swap!Y347,1))</f>
        <v>#VALUE!</v>
      </c>
      <c r="AC347" s="274" t="e">
        <f aca="false">IF(AA347="","",AB347*AH347)</f>
        <v>#VALUE!</v>
      </c>
      <c r="AD347" s="233"/>
      <c r="AE347" s="231" t="e">
        <f aca="false">IF(AA347="","",AD347*AH347)</f>
        <v>#VALUE!</v>
      </c>
      <c r="AF347" s="243" t="e">
        <f aca="false">AF346</f>
        <v>#N/A</v>
      </c>
      <c r="AG347" s="243" t="e">
        <f aca="false">AF347+$AG$9</f>
        <v>#N/A</v>
      </c>
      <c r="AH347" s="195" t="e">
        <f aca="false">1/((1+AG347/2)^(2*((A347-Front!$C$2)/365.25)))</f>
        <v>#N/A</v>
      </c>
      <c r="AI347" s="236" t="e">
        <f aca="false">IF($AA347="","",E347*AC347)</f>
        <v>#VALUE!</v>
      </c>
      <c r="AJ347" s="236" t="e">
        <f aca="false">IF($AA347="","",E347*AE347)</f>
        <v>#VALUE!</v>
      </c>
      <c r="AK347" s="295"/>
      <c r="AL347" s="107"/>
      <c r="AM347" s="304"/>
      <c r="AN347" s="304"/>
      <c r="AO347" s="304"/>
      <c r="AP347" s="304"/>
      <c r="AQ347" s="304"/>
      <c r="AR347" s="304"/>
      <c r="AS347" s="304"/>
      <c r="AT347" s="304"/>
      <c r="AU347" s="304"/>
      <c r="AV347" s="304"/>
      <c r="AW347" s="304"/>
      <c r="AX347" s="304"/>
      <c r="AY347" s="304"/>
      <c r="AZ347" s="304"/>
      <c r="BA347" s="304"/>
      <c r="BB347" s="107"/>
      <c r="BC347" s="107"/>
      <c r="BD347" s="107"/>
      <c r="BE347" s="107"/>
      <c r="BF347" s="107"/>
      <c r="BG347" s="107"/>
      <c r="BH347" s="107"/>
      <c r="BI347" s="107"/>
      <c r="BJ347" s="107"/>
      <c r="BK347" s="107"/>
      <c r="BL347" s="107"/>
      <c r="BM347" s="107"/>
      <c r="BN347" s="107"/>
      <c r="BO347" s="107"/>
      <c r="BP347" s="107"/>
      <c r="BQ347" s="107"/>
      <c r="BR347" s="107"/>
      <c r="BS347" s="81" t="n">
        <v>0.0642483537718475</v>
      </c>
    </row>
    <row r="348" customFormat="false" ht="15" hidden="false" customHeight="false" outlineLevel="0" collapsed="false">
      <c r="A348" s="156" t="n">
        <f aca="false">EOMONTH(A347,0)+1</f>
        <v>47423</v>
      </c>
      <c r="B348" s="215"/>
      <c r="C348" s="281"/>
      <c r="D348" s="282"/>
      <c r="E348" s="283"/>
      <c r="F348" s="277"/>
      <c r="H348" s="277"/>
      <c r="I348" s="277"/>
      <c r="J348" s="69"/>
      <c r="K348" s="277"/>
      <c r="L348" s="277"/>
      <c r="M348" s="277"/>
      <c r="N348" s="277"/>
      <c r="O348" s="277"/>
      <c r="P348" s="277"/>
      <c r="Q348" s="277"/>
      <c r="R348" s="277"/>
      <c r="T348" s="277"/>
      <c r="U348" s="277"/>
      <c r="W348" s="277"/>
      <c r="Y348" s="228" t="n">
        <f aca="false">DAY(EOMONTH(A348,0))</f>
        <v>30</v>
      </c>
      <c r="Z348" s="268" t="n">
        <v>45655</v>
      </c>
      <c r="AA348" s="230" t="e">
        <f aca="false">IF(AND(A348&gt;=Front!$E$11,A348&lt;=Front!$E$12),A348,"")</f>
        <v>#VALUE!</v>
      </c>
      <c r="AB348" s="231" t="e">
        <f aca="false">IF(AA348="","",VLOOKUP(MONTH(A347),Front!$W$6:$X$17,2)*IF(Front!D$9=0,Swap!Y348,1))</f>
        <v>#VALUE!</v>
      </c>
      <c r="AC348" s="274" t="e">
        <f aca="false">IF(AA348="","",AB348*AH348)</f>
        <v>#VALUE!</v>
      </c>
      <c r="AD348" s="233"/>
      <c r="AE348" s="231" t="e">
        <f aca="false">IF(AA348="","",AD348*AH348)</f>
        <v>#VALUE!</v>
      </c>
      <c r="AF348" s="243" t="e">
        <f aca="false">AF347</f>
        <v>#N/A</v>
      </c>
      <c r="AG348" s="243" t="e">
        <f aca="false">AF348+$AG$9</f>
        <v>#N/A</v>
      </c>
      <c r="AH348" s="195" t="e">
        <f aca="false">1/((1+AG348/2)^(2*((A348-Front!$C$2)/365.25)))</f>
        <v>#N/A</v>
      </c>
      <c r="AI348" s="236" t="e">
        <f aca="false">IF($AA348="","",E348*AC348)</f>
        <v>#VALUE!</v>
      </c>
      <c r="AJ348" s="236" t="e">
        <f aca="false">IF($AA348="","",E348*AE348)</f>
        <v>#VALUE!</v>
      </c>
      <c r="AK348" s="295"/>
      <c r="AL348" s="107"/>
      <c r="AM348" s="304"/>
      <c r="AN348" s="304"/>
      <c r="AO348" s="304"/>
      <c r="AP348" s="304"/>
      <c r="AQ348" s="304"/>
      <c r="AR348" s="304"/>
      <c r="AS348" s="304"/>
      <c r="AT348" s="304"/>
      <c r="AU348" s="304"/>
      <c r="AV348" s="304"/>
      <c r="AW348" s="304"/>
      <c r="AX348" s="304"/>
      <c r="AY348" s="304"/>
      <c r="AZ348" s="304"/>
      <c r="BA348" s="304"/>
      <c r="BB348" s="107"/>
      <c r="BC348" s="107"/>
      <c r="BD348" s="107"/>
      <c r="BE348" s="107"/>
      <c r="BF348" s="107"/>
      <c r="BG348" s="107"/>
      <c r="BH348" s="107"/>
      <c r="BI348" s="107"/>
      <c r="BJ348" s="107"/>
      <c r="BK348" s="107"/>
      <c r="BL348" s="107"/>
      <c r="BM348" s="107"/>
      <c r="BN348" s="107"/>
      <c r="BO348" s="107"/>
      <c r="BP348" s="107"/>
      <c r="BQ348" s="107"/>
      <c r="BR348" s="107"/>
      <c r="BS348" s="81" t="n">
        <v>0.0642534894722857</v>
      </c>
    </row>
    <row r="349" customFormat="false" ht="15" hidden="false" customHeight="false" outlineLevel="0" collapsed="false">
      <c r="A349" s="156" t="n">
        <f aca="false">EOMONTH(A348,0)+1</f>
        <v>47453</v>
      </c>
      <c r="B349" s="215"/>
      <c r="C349" s="281"/>
      <c r="D349" s="282"/>
      <c r="E349" s="283"/>
      <c r="F349" s="277"/>
      <c r="H349" s="277"/>
      <c r="I349" s="277"/>
      <c r="J349" s="69"/>
      <c r="K349" s="277"/>
      <c r="L349" s="277"/>
      <c r="M349" s="277"/>
      <c r="N349" s="277"/>
      <c r="O349" s="277"/>
      <c r="P349" s="277"/>
      <c r="Q349" s="277"/>
      <c r="R349" s="277"/>
      <c r="T349" s="277"/>
      <c r="U349" s="277"/>
      <c r="W349" s="277"/>
      <c r="Y349" s="228" t="n">
        <f aca="false">DAY(EOMONTH(A349,0))</f>
        <v>31</v>
      </c>
      <c r="Z349" s="268" t="n">
        <v>45594</v>
      </c>
      <c r="AA349" s="230" t="e">
        <f aca="false">IF(AND(A349&gt;=Front!$E$11,A349&lt;=Front!$E$12),A349,"")</f>
        <v>#VALUE!</v>
      </c>
      <c r="AB349" s="231" t="e">
        <f aca="false">IF(AA349="","",VLOOKUP(MONTH(A348),Front!$W$6:$X$17,2)*IF(Front!D$9=0,Swap!Y349,1))</f>
        <v>#VALUE!</v>
      </c>
      <c r="AC349" s="274" t="e">
        <f aca="false">IF(AA349="","",AB349*AH349)</f>
        <v>#VALUE!</v>
      </c>
      <c r="AD349" s="233"/>
      <c r="AE349" s="231" t="e">
        <f aca="false">IF(AA349="","",AD349*AH349)</f>
        <v>#VALUE!</v>
      </c>
      <c r="AF349" s="243" t="e">
        <f aca="false">AF348</f>
        <v>#N/A</v>
      </c>
      <c r="AG349" s="243" t="e">
        <f aca="false">AF349+$AG$9</f>
        <v>#N/A</v>
      </c>
      <c r="AH349" s="195" t="e">
        <f aca="false">1/((1+AG349/2)^(2*((A349-Front!$C$2)/365.25)))</f>
        <v>#N/A</v>
      </c>
      <c r="AI349" s="236" t="e">
        <f aca="false">IF($AA349="","",E349*AC349)</f>
        <v>#VALUE!</v>
      </c>
      <c r="AJ349" s="236" t="e">
        <f aca="false">IF($AA349="","",E349*AE349)</f>
        <v>#VALUE!</v>
      </c>
      <c r="AK349" s="295"/>
      <c r="AL349" s="107"/>
      <c r="AM349" s="304"/>
      <c r="AN349" s="304"/>
      <c r="AO349" s="304"/>
      <c r="AP349" s="304"/>
      <c r="AQ349" s="304"/>
      <c r="AR349" s="304"/>
      <c r="AS349" s="304"/>
      <c r="AT349" s="304"/>
      <c r="AU349" s="304"/>
      <c r="AV349" s="304"/>
      <c r="AW349" s="304"/>
      <c r="AX349" s="304"/>
      <c r="AY349" s="304"/>
      <c r="AZ349" s="304"/>
      <c r="BA349" s="304"/>
      <c r="BB349" s="107"/>
      <c r="BC349" s="107"/>
      <c r="BD349" s="107"/>
      <c r="BE349" s="107"/>
      <c r="BF349" s="107"/>
      <c r="BG349" s="107"/>
      <c r="BH349" s="107"/>
      <c r="BI349" s="107"/>
      <c r="BJ349" s="107"/>
      <c r="BK349" s="107"/>
      <c r="BL349" s="107"/>
      <c r="BM349" s="107"/>
      <c r="BN349" s="107"/>
      <c r="BO349" s="107"/>
      <c r="BP349" s="107"/>
      <c r="BQ349" s="107"/>
      <c r="BR349" s="107"/>
      <c r="BS349" s="81" t="n">
        <v>0.0642584595049764</v>
      </c>
    </row>
    <row r="350" customFormat="false" ht="15" hidden="false" customHeight="false" outlineLevel="0" collapsed="false">
      <c r="A350" s="156" t="n">
        <f aca="false">EOMONTH(A349,0)+1</f>
        <v>47484</v>
      </c>
      <c r="B350" s="215"/>
      <c r="C350" s="281"/>
      <c r="D350" s="282"/>
      <c r="E350" s="283"/>
      <c r="F350" s="277"/>
      <c r="H350" s="277"/>
      <c r="I350" s="277"/>
      <c r="J350" s="69"/>
      <c r="K350" s="277"/>
      <c r="L350" s="277"/>
      <c r="M350" s="277"/>
      <c r="N350" s="277"/>
      <c r="O350" s="277"/>
      <c r="P350" s="277"/>
      <c r="Q350" s="277"/>
      <c r="R350" s="277"/>
      <c r="T350" s="277"/>
      <c r="U350" s="277"/>
      <c r="W350" s="277"/>
      <c r="Y350" s="228" t="n">
        <f aca="false">DAY(EOMONTH(A350,0))</f>
        <v>31</v>
      </c>
      <c r="Z350" s="268" t="n">
        <v>45624</v>
      </c>
      <c r="AA350" s="230" t="e">
        <f aca="false">IF(AND(A350&gt;=Front!$E$11,A350&lt;=Front!$E$12),A350,"")</f>
        <v>#VALUE!</v>
      </c>
      <c r="AB350" s="231" t="e">
        <f aca="false">IF(AA350="","",VLOOKUP(MONTH(A349),Front!$W$6:$X$17,2)*IF(Front!D$9=0,Swap!Y350,1))</f>
        <v>#VALUE!</v>
      </c>
      <c r="AC350" s="274" t="e">
        <f aca="false">IF(AA350="","",AB350*AH350)</f>
        <v>#VALUE!</v>
      </c>
      <c r="AD350" s="233"/>
      <c r="AE350" s="231" t="e">
        <f aca="false">IF(AA350="","",AD350*AH350)</f>
        <v>#VALUE!</v>
      </c>
      <c r="AF350" s="243" t="e">
        <f aca="false">AF349</f>
        <v>#N/A</v>
      </c>
      <c r="AG350" s="243" t="e">
        <f aca="false">AF350+$AG$9</f>
        <v>#N/A</v>
      </c>
      <c r="AH350" s="195" t="e">
        <f aca="false">1/((1+AG350/2)^(2*((A350-Front!$C$2)/365.25)))</f>
        <v>#N/A</v>
      </c>
      <c r="AI350" s="236" t="e">
        <f aca="false">IF($AA350="","",E350*AC350)</f>
        <v>#VALUE!</v>
      </c>
      <c r="AJ350" s="236" t="e">
        <f aca="false">IF($AA350="","",E350*AE350)</f>
        <v>#VALUE!</v>
      </c>
      <c r="AK350" s="295"/>
      <c r="AL350" s="107"/>
      <c r="AM350" s="304"/>
      <c r="AN350" s="304"/>
      <c r="AO350" s="304"/>
      <c r="AP350" s="304"/>
      <c r="AQ350" s="304"/>
      <c r="AR350" s="304"/>
      <c r="AS350" s="304"/>
      <c r="AT350" s="304"/>
      <c r="AU350" s="304"/>
      <c r="AV350" s="304"/>
      <c r="AW350" s="304"/>
      <c r="AX350" s="304"/>
      <c r="AY350" s="304"/>
      <c r="AZ350" s="304"/>
      <c r="BA350" s="304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7"/>
      <c r="BM350" s="107"/>
      <c r="BN350" s="107"/>
      <c r="BO350" s="107"/>
      <c r="BP350" s="107"/>
      <c r="BQ350" s="107"/>
      <c r="BR350" s="107"/>
      <c r="BS350" s="81" t="n">
        <v>0.0642635952054316</v>
      </c>
    </row>
    <row r="351" customFormat="false" ht="15" hidden="false" customHeight="false" outlineLevel="0" collapsed="false">
      <c r="A351" s="156" t="n">
        <f aca="false">EOMONTH(A350,0)+1</f>
        <v>47515</v>
      </c>
      <c r="B351" s="215"/>
      <c r="C351" s="281"/>
      <c r="D351" s="282"/>
      <c r="E351" s="283"/>
      <c r="F351" s="277"/>
      <c r="H351" s="277"/>
      <c r="I351" s="277"/>
      <c r="J351" s="69"/>
      <c r="K351" s="277"/>
      <c r="L351" s="277"/>
      <c r="M351" s="277"/>
      <c r="N351" s="277"/>
      <c r="O351" s="277"/>
      <c r="P351" s="277"/>
      <c r="Q351" s="277"/>
      <c r="R351" s="277"/>
      <c r="T351" s="277"/>
      <c r="U351" s="277"/>
      <c r="W351" s="277"/>
      <c r="Y351" s="228" t="n">
        <f aca="false">DAY(EOMONTH(A351,0))</f>
        <v>28</v>
      </c>
      <c r="Z351" s="268" t="n">
        <v>45655</v>
      </c>
      <c r="AA351" s="230" t="e">
        <f aca="false">IF(AND(A351&gt;=Front!$E$11,A351&lt;=Front!$E$12),A351,"")</f>
        <v>#VALUE!</v>
      </c>
      <c r="AB351" s="231" t="e">
        <f aca="false">IF(AA351="","",VLOOKUP(MONTH(A350),Front!$W$6:$X$17,2)*IF(Front!D$9=0,Swap!Y351,1))</f>
        <v>#VALUE!</v>
      </c>
      <c r="AC351" s="274" t="e">
        <f aca="false">IF(AA351="","",AB351*AH351)</f>
        <v>#VALUE!</v>
      </c>
      <c r="AD351" s="233"/>
      <c r="AE351" s="231" t="e">
        <f aca="false">IF(AA351="","",AD351*AH351)</f>
        <v>#VALUE!</v>
      </c>
      <c r="AF351" s="243" t="e">
        <f aca="false">AF350</f>
        <v>#N/A</v>
      </c>
      <c r="AG351" s="243" t="e">
        <f aca="false">AF351+$AG$9</f>
        <v>#N/A</v>
      </c>
      <c r="AH351" s="195" t="e">
        <f aca="false">1/((1+AG351/2)^(2*((A351-Front!$C$2)/365.25)))</f>
        <v>#N/A</v>
      </c>
      <c r="AI351" s="236" t="e">
        <f aca="false">IF($AA351="","",E351*AC351)</f>
        <v>#VALUE!</v>
      </c>
      <c r="AJ351" s="236" t="e">
        <f aca="false">IF($AA351="","",E351*AE351)</f>
        <v>#VALUE!</v>
      </c>
      <c r="AK351" s="295"/>
      <c r="AL351" s="107"/>
      <c r="AM351" s="304"/>
      <c r="AN351" s="304"/>
      <c r="AO351" s="304"/>
      <c r="AP351" s="304"/>
      <c r="AQ351" s="304"/>
      <c r="AR351" s="304"/>
      <c r="AS351" s="304"/>
      <c r="AT351" s="304"/>
      <c r="AU351" s="304"/>
      <c r="AV351" s="304"/>
      <c r="AW351" s="304"/>
      <c r="AX351" s="304"/>
      <c r="AY351" s="304"/>
      <c r="AZ351" s="304"/>
      <c r="BA351" s="304"/>
      <c r="BB351" s="107"/>
      <c r="BC351" s="107"/>
      <c r="BD351" s="107"/>
      <c r="BE351" s="107"/>
      <c r="BF351" s="107"/>
      <c r="BG351" s="107"/>
      <c r="BH351" s="107"/>
      <c r="BI351" s="107"/>
      <c r="BJ351" s="107"/>
      <c r="BK351" s="107"/>
      <c r="BL351" s="107"/>
      <c r="BM351" s="107"/>
      <c r="BN351" s="107"/>
      <c r="BO351" s="107"/>
      <c r="BP351" s="107"/>
      <c r="BQ351" s="107"/>
      <c r="BR351" s="107"/>
      <c r="BS351" s="81" t="n">
        <v>0.0642687309058956</v>
      </c>
    </row>
    <row r="352" customFormat="false" ht="15" hidden="false" customHeight="false" outlineLevel="0" collapsed="false">
      <c r="A352" s="156" t="n">
        <f aca="false">EOMONTH(A351,0)+1</f>
        <v>47543</v>
      </c>
      <c r="B352" s="215"/>
      <c r="C352" s="281"/>
      <c r="D352" s="282"/>
      <c r="E352" s="283"/>
      <c r="F352" s="277"/>
      <c r="H352" s="277"/>
      <c r="I352" s="277"/>
      <c r="J352" s="69"/>
      <c r="K352" s="277"/>
      <c r="L352" s="277"/>
      <c r="M352" s="277"/>
      <c r="N352" s="277"/>
      <c r="O352" s="277"/>
      <c r="P352" s="277"/>
      <c r="Q352" s="277"/>
      <c r="R352" s="277"/>
      <c r="T352" s="277"/>
      <c r="U352" s="277"/>
      <c r="W352" s="277"/>
      <c r="Y352" s="228" t="n">
        <f aca="false">DAY(EOMONTH(A352,0))</f>
        <v>31</v>
      </c>
      <c r="Z352" s="268" t="n">
        <v>45594</v>
      </c>
      <c r="AA352" s="230" t="e">
        <f aca="false">IF(AND(A352&gt;=Front!$E$11,A352&lt;=Front!$E$12),A352,"")</f>
        <v>#VALUE!</v>
      </c>
      <c r="AB352" s="231" t="e">
        <f aca="false">IF(AA352="","",VLOOKUP(MONTH(A351),Front!$W$6:$X$17,2)*IF(Front!D$9=0,Swap!Y352,1))</f>
        <v>#VALUE!</v>
      </c>
      <c r="AC352" s="274" t="e">
        <f aca="false">IF(AA352="","",AB352*AH352)</f>
        <v>#VALUE!</v>
      </c>
      <c r="AD352" s="233"/>
      <c r="AE352" s="231" t="e">
        <f aca="false">IF(AA352="","",AD352*AH352)</f>
        <v>#VALUE!</v>
      </c>
      <c r="AF352" s="243" t="e">
        <f aca="false">AF351</f>
        <v>#N/A</v>
      </c>
      <c r="AG352" s="243" t="e">
        <f aca="false">AF352+$AG$9</f>
        <v>#N/A</v>
      </c>
      <c r="AH352" s="195" t="e">
        <f aca="false">1/((1+AG352/2)^(2*((A352-Front!$C$2)/365.25)))</f>
        <v>#N/A</v>
      </c>
      <c r="AI352" s="236" t="e">
        <f aca="false">IF($AA352="","",E352*AC352)</f>
        <v>#VALUE!</v>
      </c>
      <c r="AJ352" s="236" t="e">
        <f aca="false">IF($AA352="","",E352*AE352)</f>
        <v>#VALUE!</v>
      </c>
      <c r="AK352" s="295"/>
      <c r="AL352" s="107"/>
      <c r="AM352" s="304"/>
      <c r="AN352" s="304"/>
      <c r="AO352" s="304"/>
      <c r="AP352" s="304"/>
      <c r="AQ352" s="304"/>
      <c r="AR352" s="304"/>
      <c r="AS352" s="304"/>
      <c r="AT352" s="304"/>
      <c r="AU352" s="304"/>
      <c r="AV352" s="304"/>
      <c r="AW352" s="304"/>
      <c r="AX352" s="304"/>
      <c r="AY352" s="304"/>
      <c r="AZ352" s="304"/>
      <c r="BA352" s="304"/>
      <c r="BB352" s="107"/>
      <c r="BC352" s="107"/>
      <c r="BD352" s="107"/>
      <c r="BE352" s="107"/>
      <c r="BF352" s="107"/>
      <c r="BG352" s="107"/>
      <c r="BH352" s="107"/>
      <c r="BI352" s="107"/>
      <c r="BJ352" s="107"/>
      <c r="BK352" s="107"/>
      <c r="BL352" s="107"/>
      <c r="BM352" s="107"/>
      <c r="BN352" s="107"/>
      <c r="BO352" s="107"/>
      <c r="BP352" s="107"/>
      <c r="BQ352" s="107"/>
      <c r="BR352" s="107"/>
      <c r="BS352" s="81" t="n">
        <v>0.0642733696030966</v>
      </c>
    </row>
    <row r="353" customFormat="false" ht="15" hidden="false" customHeight="false" outlineLevel="0" collapsed="false">
      <c r="A353" s="156" t="n">
        <f aca="false">EOMONTH(A352,0)+1</f>
        <v>47574</v>
      </c>
      <c r="B353" s="215"/>
      <c r="C353" s="281"/>
      <c r="D353" s="282"/>
      <c r="E353" s="283"/>
      <c r="F353" s="277"/>
      <c r="H353" s="277"/>
      <c r="I353" s="277"/>
      <c r="J353" s="69"/>
      <c r="K353" s="277"/>
      <c r="L353" s="277"/>
      <c r="M353" s="277"/>
      <c r="N353" s="277"/>
      <c r="O353" s="277"/>
      <c r="P353" s="277"/>
      <c r="Q353" s="277"/>
      <c r="R353" s="277"/>
      <c r="T353" s="277"/>
      <c r="U353" s="277"/>
      <c r="W353" s="277"/>
      <c r="Y353" s="228" t="n">
        <f aca="false">DAY(EOMONTH(A353,0))</f>
        <v>30</v>
      </c>
      <c r="Z353" s="268" t="n">
        <v>45624</v>
      </c>
      <c r="AA353" s="230" t="e">
        <f aca="false">IF(AND(A353&gt;=Front!$E$11,A353&lt;=Front!$E$12),A353,"")</f>
        <v>#VALUE!</v>
      </c>
      <c r="AB353" s="231" t="e">
        <f aca="false">IF(AA353="","",VLOOKUP(MONTH(A352),Front!$W$6:$X$17,2)*IF(Front!D$9=0,Swap!Y353,1))</f>
        <v>#VALUE!</v>
      </c>
      <c r="AC353" s="274" t="e">
        <f aca="false">IF(AA353="","",AB353*AH353)</f>
        <v>#VALUE!</v>
      </c>
      <c r="AD353" s="233"/>
      <c r="AE353" s="231" t="e">
        <f aca="false">IF(AA353="","",AD353*AH353)</f>
        <v>#VALUE!</v>
      </c>
      <c r="AF353" s="243" t="e">
        <f aca="false">AF352</f>
        <v>#N/A</v>
      </c>
      <c r="AG353" s="243" t="e">
        <f aca="false">AF353+$AG$9</f>
        <v>#N/A</v>
      </c>
      <c r="AH353" s="195" t="e">
        <f aca="false">1/((1+AG353/2)^(2*((A353-Front!$C$2)/365.25)))</f>
        <v>#N/A</v>
      </c>
      <c r="AI353" s="236" t="e">
        <f aca="false">IF($AA353="","",E353*AC353)</f>
        <v>#VALUE!</v>
      </c>
      <c r="AJ353" s="236" t="e">
        <f aca="false">IF($AA353="","",E353*AE353)</f>
        <v>#VALUE!</v>
      </c>
      <c r="AK353" s="295"/>
      <c r="AL353" s="107"/>
      <c r="AM353" s="304"/>
      <c r="AN353" s="304"/>
      <c r="AO353" s="304"/>
      <c r="AP353" s="304"/>
      <c r="AQ353" s="304"/>
      <c r="AR353" s="304"/>
      <c r="AS353" s="304"/>
      <c r="AT353" s="304"/>
      <c r="AU353" s="304"/>
      <c r="AV353" s="304"/>
      <c r="AW353" s="304"/>
      <c r="AX353" s="304"/>
      <c r="AY353" s="304"/>
      <c r="AZ353" s="304"/>
      <c r="BA353" s="304"/>
      <c r="BB353" s="107"/>
      <c r="BC353" s="107"/>
      <c r="BD353" s="107"/>
      <c r="BE353" s="107"/>
      <c r="BF353" s="107"/>
      <c r="BG353" s="107"/>
      <c r="BH353" s="107"/>
      <c r="BI353" s="107"/>
      <c r="BJ353" s="107"/>
      <c r="BK353" s="107"/>
      <c r="BL353" s="107"/>
      <c r="BM353" s="107"/>
      <c r="BN353" s="107"/>
      <c r="BO353" s="107"/>
      <c r="BP353" s="107"/>
      <c r="BQ353" s="107"/>
      <c r="BR353" s="107"/>
      <c r="BS353" s="81" t="n">
        <v>0.0642785053035775</v>
      </c>
    </row>
    <row r="354" customFormat="false" ht="15" hidden="false" customHeight="false" outlineLevel="0" collapsed="false">
      <c r="A354" s="156" t="n">
        <f aca="false">EOMONTH(A353,0)+1</f>
        <v>47604</v>
      </c>
      <c r="B354" s="215"/>
      <c r="C354" s="281"/>
      <c r="D354" s="282"/>
      <c r="E354" s="283"/>
      <c r="F354" s="277"/>
      <c r="H354" s="277"/>
      <c r="I354" s="277"/>
      <c r="J354" s="69"/>
      <c r="K354" s="277"/>
      <c r="L354" s="277"/>
      <c r="M354" s="277"/>
      <c r="N354" s="277"/>
      <c r="O354" s="277"/>
      <c r="P354" s="277"/>
      <c r="Q354" s="277"/>
      <c r="R354" s="277"/>
      <c r="T354" s="277"/>
      <c r="U354" s="277"/>
      <c r="W354" s="277"/>
      <c r="Y354" s="228" t="n">
        <f aca="false">DAY(EOMONTH(A354,0))</f>
        <v>31</v>
      </c>
      <c r="Z354" s="268" t="n">
        <v>45655</v>
      </c>
      <c r="AA354" s="230" t="e">
        <f aca="false">IF(AND(A354&gt;=Front!$E$11,A354&lt;=Front!$E$12),A354,"")</f>
        <v>#VALUE!</v>
      </c>
      <c r="AB354" s="231" t="e">
        <f aca="false">IF(AA354="","",VLOOKUP(MONTH(A353),Front!$W$6:$X$17,2)*IF(Front!D$9=0,Swap!Y354,1))</f>
        <v>#VALUE!</v>
      </c>
      <c r="AC354" s="274" t="e">
        <f aca="false">IF(AA354="","",AB354*AH354)</f>
        <v>#VALUE!</v>
      </c>
      <c r="AD354" s="233"/>
      <c r="AE354" s="231" t="e">
        <f aca="false">IF(AA354="","",AD354*AH354)</f>
        <v>#VALUE!</v>
      </c>
      <c r="AF354" s="243" t="e">
        <f aca="false">AF353</f>
        <v>#N/A</v>
      </c>
      <c r="AG354" s="243" t="e">
        <f aca="false">AF354+$AG$9</f>
        <v>#N/A</v>
      </c>
      <c r="AH354" s="195" t="e">
        <f aca="false">1/((1+AG354/2)^(2*((A354-Front!$C$2)/365.25)))</f>
        <v>#N/A</v>
      </c>
      <c r="AI354" s="236" t="e">
        <f aca="false">IF($AA354="","",E354*AC354)</f>
        <v>#VALUE!</v>
      </c>
      <c r="AJ354" s="236" t="e">
        <f aca="false">IF($AA354="","",E354*AE354)</f>
        <v>#VALUE!</v>
      </c>
      <c r="AK354" s="295"/>
      <c r="AL354" s="107"/>
      <c r="AM354" s="304"/>
      <c r="AN354" s="304"/>
      <c r="AO354" s="304"/>
      <c r="AP354" s="304"/>
      <c r="AQ354" s="304"/>
      <c r="AR354" s="304"/>
      <c r="AS354" s="304"/>
      <c r="AT354" s="304"/>
      <c r="AU354" s="304"/>
      <c r="AV354" s="304"/>
      <c r="AW354" s="304"/>
      <c r="AX354" s="304"/>
      <c r="AY354" s="304"/>
      <c r="AZ354" s="304"/>
      <c r="BA354" s="304"/>
      <c r="BB354" s="107"/>
      <c r="BC354" s="107"/>
      <c r="BD354" s="107"/>
      <c r="BE354" s="107"/>
      <c r="BF354" s="107"/>
      <c r="BG354" s="107"/>
      <c r="BH354" s="107"/>
      <c r="BI354" s="107"/>
      <c r="BJ354" s="107"/>
      <c r="BK354" s="107"/>
      <c r="BL354" s="107"/>
      <c r="BM354" s="107"/>
      <c r="BN354" s="107"/>
      <c r="BO354" s="107"/>
      <c r="BP354" s="107"/>
      <c r="BQ354" s="107"/>
      <c r="BR354" s="107"/>
      <c r="BS354" s="81" t="n">
        <v>0.0642834753363091</v>
      </c>
    </row>
    <row r="355" customFormat="false" ht="15" hidden="false" customHeight="false" outlineLevel="0" collapsed="false">
      <c r="A355" s="156" t="n">
        <f aca="false">EOMONTH(A354,0)+1</f>
        <v>47635</v>
      </c>
      <c r="B355" s="215"/>
      <c r="C355" s="281"/>
      <c r="D355" s="282"/>
      <c r="E355" s="283"/>
      <c r="F355" s="277"/>
      <c r="H355" s="277"/>
      <c r="I355" s="277"/>
      <c r="J355" s="69"/>
      <c r="K355" s="277"/>
      <c r="L355" s="277"/>
      <c r="M355" s="277"/>
      <c r="N355" s="277"/>
      <c r="O355" s="277"/>
      <c r="P355" s="277"/>
      <c r="Q355" s="277"/>
      <c r="R355" s="277"/>
      <c r="T355" s="277"/>
      <c r="U355" s="277"/>
      <c r="W355" s="277"/>
      <c r="Y355" s="228" t="n">
        <f aca="false">DAY(EOMONTH(A355,0))</f>
        <v>30</v>
      </c>
      <c r="Z355" s="268" t="n">
        <v>45594</v>
      </c>
      <c r="AA355" s="230" t="e">
        <f aca="false">IF(AND(A355&gt;=Front!$E$11,A355&lt;=Front!$E$12),A355,"")</f>
        <v>#VALUE!</v>
      </c>
      <c r="AB355" s="231" t="e">
        <f aca="false">IF(AA355="","",VLOOKUP(MONTH(A354),Front!$W$6:$X$17,2)*IF(Front!D$9=0,Swap!Y355,1))</f>
        <v>#VALUE!</v>
      </c>
      <c r="AC355" s="274" t="e">
        <f aca="false">IF(AA355="","",AB355*AH355)</f>
        <v>#VALUE!</v>
      </c>
      <c r="AD355" s="233"/>
      <c r="AE355" s="231" t="e">
        <f aca="false">IF(AA355="","",AD355*AH355)</f>
        <v>#VALUE!</v>
      </c>
      <c r="AF355" s="243" t="e">
        <f aca="false">AF354</f>
        <v>#N/A</v>
      </c>
      <c r="AG355" s="243" t="e">
        <f aca="false">AF355+$AG$9</f>
        <v>#N/A</v>
      </c>
      <c r="AH355" s="195" t="e">
        <f aca="false">1/((1+AG355/2)^(2*((A355-Front!$C$2)/365.25)))</f>
        <v>#N/A</v>
      </c>
      <c r="AI355" s="236" t="e">
        <f aca="false">IF($AA355="","",E355*AC355)</f>
        <v>#VALUE!</v>
      </c>
      <c r="AJ355" s="236" t="e">
        <f aca="false">IF($AA355="","",E355*AE355)</f>
        <v>#VALUE!</v>
      </c>
      <c r="AK355" s="295"/>
      <c r="AL355" s="107"/>
      <c r="AM355" s="304"/>
      <c r="AN355" s="304"/>
      <c r="AO355" s="304"/>
      <c r="AP355" s="304"/>
      <c r="AQ355" s="304"/>
      <c r="AR355" s="304"/>
      <c r="AS355" s="304"/>
      <c r="AT355" s="304"/>
      <c r="AU355" s="304"/>
      <c r="AV355" s="304"/>
      <c r="AW355" s="304"/>
      <c r="AX355" s="304"/>
      <c r="AY355" s="304"/>
      <c r="AZ355" s="304"/>
      <c r="BA355" s="304"/>
      <c r="BB355" s="107"/>
      <c r="BC355" s="107"/>
      <c r="BD355" s="107"/>
      <c r="BE355" s="107"/>
      <c r="BF355" s="107"/>
      <c r="BG355" s="107"/>
      <c r="BH355" s="107"/>
      <c r="BI355" s="107"/>
      <c r="BJ355" s="107"/>
      <c r="BK355" s="107"/>
      <c r="BL355" s="107"/>
      <c r="BM355" s="107"/>
      <c r="BN355" s="107"/>
      <c r="BO355" s="107"/>
      <c r="BP355" s="107"/>
      <c r="BQ355" s="107"/>
      <c r="BR355" s="107"/>
      <c r="BS355" s="81" t="n">
        <v>0.0642886110368068</v>
      </c>
    </row>
    <row r="356" customFormat="false" ht="15" hidden="false" customHeight="false" outlineLevel="0" collapsed="false">
      <c r="A356" s="156" t="n">
        <f aca="false">EOMONTH(A355,0)+1</f>
        <v>47665</v>
      </c>
      <c r="B356" s="215"/>
      <c r="C356" s="281"/>
      <c r="D356" s="282"/>
      <c r="E356" s="283"/>
      <c r="F356" s="277"/>
      <c r="H356" s="277"/>
      <c r="I356" s="277"/>
      <c r="J356" s="69"/>
      <c r="K356" s="277"/>
      <c r="L356" s="277"/>
      <c r="M356" s="277"/>
      <c r="N356" s="277"/>
      <c r="O356" s="277"/>
      <c r="P356" s="277"/>
      <c r="Q356" s="277"/>
      <c r="R356" s="277"/>
      <c r="T356" s="277"/>
      <c r="U356" s="277"/>
      <c r="W356" s="277"/>
      <c r="Y356" s="228" t="n">
        <f aca="false">DAY(EOMONTH(A356,0))</f>
        <v>31</v>
      </c>
      <c r="Z356" s="268" t="n">
        <v>45624</v>
      </c>
      <c r="AA356" s="230" t="e">
        <f aca="false">IF(AND(A356&gt;=Front!$E$11,A356&lt;=Front!$E$12),A356,"")</f>
        <v>#VALUE!</v>
      </c>
      <c r="AB356" s="231" t="e">
        <f aca="false">IF(AA356="","",VLOOKUP(MONTH(A355),Front!$W$6:$X$17,2)*IF(Front!D$9=0,Swap!Y356,1))</f>
        <v>#VALUE!</v>
      </c>
      <c r="AC356" s="274" t="e">
        <f aca="false">IF(AA356="","",AB356*AH356)</f>
        <v>#VALUE!</v>
      </c>
      <c r="AD356" s="233"/>
      <c r="AE356" s="231" t="e">
        <f aca="false">IF(AA356="","",AD356*AH356)</f>
        <v>#VALUE!</v>
      </c>
      <c r="AF356" s="243" t="e">
        <f aca="false">AF355</f>
        <v>#N/A</v>
      </c>
      <c r="AG356" s="243" t="e">
        <f aca="false">AF356+$AG$9</f>
        <v>#N/A</v>
      </c>
      <c r="AH356" s="195" t="e">
        <f aca="false">1/((1+AG356/2)^(2*((A356-Front!$C$2)/365.25)))</f>
        <v>#N/A</v>
      </c>
      <c r="AI356" s="236" t="e">
        <f aca="false">IF($AA356="","",E356*AC356)</f>
        <v>#VALUE!</v>
      </c>
      <c r="AJ356" s="236" t="e">
        <f aca="false">IF($AA356="","",E356*AE356)</f>
        <v>#VALUE!</v>
      </c>
      <c r="AK356" s="295"/>
      <c r="AL356" s="107"/>
      <c r="AM356" s="304"/>
      <c r="AN356" s="304"/>
      <c r="AO356" s="304"/>
      <c r="AP356" s="304"/>
      <c r="AQ356" s="304"/>
      <c r="AR356" s="304"/>
      <c r="AS356" s="304"/>
      <c r="AT356" s="304"/>
      <c r="AU356" s="304"/>
      <c r="AV356" s="304"/>
      <c r="AW356" s="304"/>
      <c r="AX356" s="304"/>
      <c r="AY356" s="304"/>
      <c r="AZ356" s="304"/>
      <c r="BA356" s="304"/>
      <c r="BB356" s="107"/>
      <c r="BC356" s="107"/>
      <c r="BD356" s="107"/>
      <c r="BE356" s="107"/>
      <c r="BF356" s="107"/>
      <c r="BG356" s="107"/>
      <c r="BH356" s="107"/>
      <c r="BI356" s="107"/>
      <c r="BJ356" s="107"/>
      <c r="BK356" s="107"/>
      <c r="BL356" s="107"/>
      <c r="BM356" s="107"/>
      <c r="BN356" s="107"/>
      <c r="BO356" s="107"/>
      <c r="BP356" s="107"/>
      <c r="BQ356" s="107"/>
      <c r="BR356" s="107"/>
      <c r="BS356" s="81" t="n">
        <v>0.0642935810695553</v>
      </c>
    </row>
    <row r="357" customFormat="false" ht="15" hidden="false" customHeight="false" outlineLevel="0" collapsed="false">
      <c r="A357" s="156" t="n">
        <f aca="false">EOMONTH(A356,0)+1</f>
        <v>47696</v>
      </c>
      <c r="B357" s="215"/>
      <c r="C357" s="281"/>
      <c r="D357" s="282"/>
      <c r="E357" s="283"/>
      <c r="F357" s="277"/>
      <c r="H357" s="277"/>
      <c r="I357" s="277"/>
      <c r="J357" s="69"/>
      <c r="K357" s="277"/>
      <c r="L357" s="277"/>
      <c r="M357" s="277"/>
      <c r="N357" s="277"/>
      <c r="O357" s="277"/>
      <c r="P357" s="277"/>
      <c r="Q357" s="277"/>
      <c r="R357" s="277"/>
      <c r="T357" s="277"/>
      <c r="U357" s="277"/>
      <c r="W357" s="277"/>
      <c r="Y357" s="228" t="n">
        <f aca="false">DAY(EOMONTH(A357,0))</f>
        <v>31</v>
      </c>
      <c r="Z357" s="268" t="n">
        <v>45655</v>
      </c>
      <c r="AA357" s="230" t="e">
        <f aca="false">IF(AND(A357&gt;=Front!$E$11,A357&lt;=Front!$E$12),A357,"")</f>
        <v>#VALUE!</v>
      </c>
      <c r="AB357" s="231" t="e">
        <f aca="false">IF(AA357="","",VLOOKUP(MONTH(A356),Front!$W$6:$X$17,2)*IF(Front!D$9=0,Swap!Y357,1))</f>
        <v>#VALUE!</v>
      </c>
      <c r="AC357" s="274" t="e">
        <f aca="false">IF(AA357="","",AB357*AH357)</f>
        <v>#VALUE!</v>
      </c>
      <c r="AD357" s="233"/>
      <c r="AE357" s="231" t="e">
        <f aca="false">IF(AA357="","",AD357*AH357)</f>
        <v>#VALUE!</v>
      </c>
      <c r="AF357" s="243" t="e">
        <f aca="false">AF356</f>
        <v>#N/A</v>
      </c>
      <c r="AG357" s="243" t="e">
        <f aca="false">AF357+$AG$9</f>
        <v>#N/A</v>
      </c>
      <c r="AH357" s="195" t="e">
        <f aca="false">1/((1+AG357/2)^(2*((A357-Front!$C$2)/365.25)))</f>
        <v>#N/A</v>
      </c>
      <c r="AI357" s="236" t="e">
        <f aca="false">IF($AA357="","",E357*AC357)</f>
        <v>#VALUE!</v>
      </c>
      <c r="AJ357" s="236" t="e">
        <f aca="false">IF($AA357="","",E357*AE357)</f>
        <v>#VALUE!</v>
      </c>
      <c r="AK357" s="295"/>
      <c r="AL357" s="107"/>
      <c r="AM357" s="304"/>
      <c r="AN357" s="304"/>
      <c r="AO357" s="304"/>
      <c r="AP357" s="304"/>
      <c r="AQ357" s="304"/>
      <c r="AR357" s="304"/>
      <c r="AS357" s="304"/>
      <c r="AT357" s="304"/>
      <c r="AU357" s="304"/>
      <c r="AV357" s="304"/>
      <c r="AW357" s="304"/>
      <c r="AX357" s="304"/>
      <c r="AY357" s="304"/>
      <c r="AZ357" s="304"/>
      <c r="BA357" s="304"/>
      <c r="BB357" s="107"/>
      <c r="BC357" s="107"/>
      <c r="BD357" s="107"/>
      <c r="BE357" s="107"/>
      <c r="BF357" s="107"/>
      <c r="BG357" s="107"/>
      <c r="BH357" s="107"/>
      <c r="BI357" s="107"/>
      <c r="BJ357" s="107"/>
      <c r="BK357" s="107"/>
      <c r="BL357" s="107"/>
      <c r="BM357" s="107"/>
      <c r="BN357" s="107"/>
      <c r="BO357" s="107"/>
      <c r="BP357" s="107"/>
      <c r="BQ357" s="107"/>
      <c r="BR357" s="107"/>
      <c r="BS357" s="81" t="n">
        <v>0.0642987167700704</v>
      </c>
    </row>
    <row r="358" customFormat="false" ht="15" hidden="false" customHeight="false" outlineLevel="0" collapsed="false">
      <c r="A358" s="156" t="n">
        <f aca="false">EOMONTH(A357,0)+1</f>
        <v>47727</v>
      </c>
      <c r="B358" s="215"/>
      <c r="C358" s="281"/>
      <c r="D358" s="282"/>
      <c r="E358" s="283"/>
      <c r="F358" s="277"/>
      <c r="H358" s="277"/>
      <c r="I358" s="277"/>
      <c r="J358" s="69"/>
      <c r="K358" s="277"/>
      <c r="L358" s="277"/>
      <c r="M358" s="277"/>
      <c r="N358" s="277"/>
      <c r="O358" s="277"/>
      <c r="P358" s="277"/>
      <c r="Q358" s="277"/>
      <c r="R358" s="277"/>
      <c r="T358" s="277"/>
      <c r="U358" s="277"/>
      <c r="W358" s="277"/>
      <c r="Y358" s="228" t="n">
        <f aca="false">DAY(EOMONTH(A358,0))</f>
        <v>30</v>
      </c>
      <c r="Z358" s="268" t="n">
        <v>45594</v>
      </c>
      <c r="AA358" s="230" t="e">
        <f aca="false">IF(AND(A358&gt;=Front!$E$11,A358&lt;=Front!$E$12),A358,"")</f>
        <v>#VALUE!</v>
      </c>
      <c r="AB358" s="231" t="e">
        <f aca="false">IF(AA358="","",VLOOKUP(MONTH(A357),Front!$W$6:$X$17,2)*IF(Front!D$9=0,Swap!Y358,1))</f>
        <v>#VALUE!</v>
      </c>
      <c r="AC358" s="274" t="e">
        <f aca="false">IF(AA358="","",AB358*AH358)</f>
        <v>#VALUE!</v>
      </c>
      <c r="AD358" s="233"/>
      <c r="AE358" s="231" t="e">
        <f aca="false">IF(AA358="","",AD358*AH358)</f>
        <v>#VALUE!</v>
      </c>
      <c r="AF358" s="243" t="e">
        <f aca="false">AF357</f>
        <v>#N/A</v>
      </c>
      <c r="AG358" s="243" t="e">
        <f aca="false">AF358+$AG$9</f>
        <v>#N/A</v>
      </c>
      <c r="AH358" s="195" t="e">
        <f aca="false">1/((1+AG358/2)^(2*((A358-Front!$C$2)/365.25)))</f>
        <v>#N/A</v>
      </c>
      <c r="AI358" s="236" t="e">
        <f aca="false">IF($AA358="","",E358*AC358)</f>
        <v>#VALUE!</v>
      </c>
      <c r="AJ358" s="236" t="e">
        <f aca="false">IF($AA358="","",E358*AE358)</f>
        <v>#VALUE!</v>
      </c>
      <c r="AK358" s="295"/>
      <c r="AL358" s="107"/>
      <c r="AM358" s="304"/>
      <c r="AN358" s="304"/>
      <c r="AO358" s="304"/>
      <c r="AP358" s="304"/>
      <c r="AQ358" s="304"/>
      <c r="AR358" s="304"/>
      <c r="AS358" s="304"/>
      <c r="AT358" s="304"/>
      <c r="AU358" s="304"/>
      <c r="AV358" s="304"/>
      <c r="AW358" s="304"/>
      <c r="AX358" s="304"/>
      <c r="AY358" s="304"/>
      <c r="AZ358" s="304"/>
      <c r="BA358" s="304"/>
      <c r="BB358" s="107"/>
      <c r="BC358" s="107"/>
      <c r="BD358" s="107"/>
      <c r="BE358" s="107"/>
      <c r="BF358" s="107"/>
      <c r="BG358" s="107"/>
      <c r="BH358" s="107"/>
      <c r="BI358" s="107"/>
      <c r="BJ358" s="107"/>
      <c r="BK358" s="107"/>
      <c r="BL358" s="107"/>
      <c r="BM358" s="107"/>
      <c r="BN358" s="107"/>
      <c r="BO358" s="107"/>
      <c r="BP358" s="107"/>
      <c r="BQ358" s="107"/>
      <c r="BR358" s="107"/>
      <c r="BS358" s="81" t="n">
        <v>0.0643038524705943</v>
      </c>
    </row>
    <row r="359" customFormat="false" ht="15" hidden="false" customHeight="false" outlineLevel="0" collapsed="false">
      <c r="A359" s="156" t="n">
        <f aca="false">EOMONTH(A358,0)+1</f>
        <v>47757</v>
      </c>
      <c r="B359" s="215"/>
      <c r="C359" s="281"/>
      <c r="D359" s="282"/>
      <c r="E359" s="283"/>
      <c r="F359" s="277"/>
      <c r="H359" s="277"/>
      <c r="I359" s="277"/>
      <c r="J359" s="69"/>
      <c r="K359" s="277"/>
      <c r="L359" s="277"/>
      <c r="M359" s="277"/>
      <c r="N359" s="277"/>
      <c r="O359" s="277"/>
      <c r="P359" s="277"/>
      <c r="Q359" s="277"/>
      <c r="R359" s="277"/>
      <c r="T359" s="277"/>
      <c r="U359" s="277"/>
      <c r="W359" s="277"/>
      <c r="Y359" s="228" t="n">
        <f aca="false">DAY(EOMONTH(A359,0))</f>
        <v>31</v>
      </c>
      <c r="Z359" s="268" t="n">
        <v>45624</v>
      </c>
      <c r="AA359" s="230" t="e">
        <f aca="false">IF(AND(A359&gt;=Front!$E$11,A359&lt;=Front!$E$12),A359,"")</f>
        <v>#VALUE!</v>
      </c>
      <c r="AB359" s="231" t="e">
        <f aca="false">IF(AA359="","",VLOOKUP(MONTH(A358),Front!$W$6:$X$17,2)*IF(Front!D$9=0,Swap!Y359,1))</f>
        <v>#VALUE!</v>
      </c>
      <c r="AC359" s="274" t="e">
        <f aca="false">IF(AA359="","",AB359*AH359)</f>
        <v>#VALUE!</v>
      </c>
      <c r="AD359" s="233"/>
      <c r="AE359" s="231" t="e">
        <f aca="false">IF(AA359="","",AD359*AH359)</f>
        <v>#VALUE!</v>
      </c>
      <c r="AF359" s="243" t="e">
        <f aca="false">AF358</f>
        <v>#N/A</v>
      </c>
      <c r="AG359" s="243" t="e">
        <f aca="false">AF359+$AG$9</f>
        <v>#N/A</v>
      </c>
      <c r="AH359" s="195" t="e">
        <f aca="false">1/((1+AG359/2)^(2*((A359-Front!$C$2)/365.25)))</f>
        <v>#N/A</v>
      </c>
      <c r="AI359" s="236" t="e">
        <f aca="false">IF($AA359="","",E359*AC359)</f>
        <v>#VALUE!</v>
      </c>
      <c r="AJ359" s="236" t="e">
        <f aca="false">IF($AA359="","",E359*AE359)</f>
        <v>#VALUE!</v>
      </c>
      <c r="AK359" s="295"/>
      <c r="AL359" s="107"/>
      <c r="AM359" s="304"/>
      <c r="AN359" s="304"/>
      <c r="AO359" s="304"/>
      <c r="AP359" s="304"/>
      <c r="AQ359" s="304"/>
      <c r="AR359" s="304"/>
      <c r="AS359" s="304"/>
      <c r="AT359" s="304"/>
      <c r="AU359" s="304"/>
      <c r="AV359" s="304"/>
      <c r="AW359" s="304"/>
      <c r="AX359" s="304"/>
      <c r="AY359" s="304"/>
      <c r="AZ359" s="304"/>
      <c r="BA359" s="304"/>
      <c r="BB359" s="107"/>
      <c r="BC359" s="107"/>
      <c r="BD359" s="107"/>
      <c r="BE359" s="107"/>
      <c r="BF359" s="107"/>
      <c r="BG359" s="107"/>
      <c r="BH359" s="107"/>
      <c r="BI359" s="107"/>
      <c r="BJ359" s="107"/>
      <c r="BK359" s="107"/>
      <c r="BL359" s="107"/>
      <c r="BM359" s="107"/>
      <c r="BN359" s="107"/>
      <c r="BO359" s="107"/>
      <c r="BP359" s="107"/>
      <c r="BQ359" s="107"/>
      <c r="BR359" s="107"/>
      <c r="BS359" s="81" t="n">
        <v>0.0643088225033677</v>
      </c>
    </row>
    <row r="360" customFormat="false" ht="15" hidden="false" customHeight="false" outlineLevel="0" collapsed="false">
      <c r="A360" s="156" t="n">
        <f aca="false">EOMONTH(A359,0)+1</f>
        <v>47788</v>
      </c>
      <c r="B360" s="215"/>
      <c r="C360" s="281"/>
      <c r="D360" s="282"/>
      <c r="E360" s="283"/>
      <c r="F360" s="277"/>
      <c r="H360" s="277"/>
      <c r="I360" s="277"/>
      <c r="J360" s="69"/>
      <c r="K360" s="277"/>
      <c r="L360" s="277"/>
      <c r="M360" s="277"/>
      <c r="N360" s="277"/>
      <c r="O360" s="277"/>
      <c r="P360" s="277"/>
      <c r="Q360" s="277"/>
      <c r="R360" s="277"/>
      <c r="T360" s="277"/>
      <c r="U360" s="277"/>
      <c r="W360" s="277"/>
      <c r="Y360" s="228" t="n">
        <f aca="false">DAY(EOMONTH(A360,0))</f>
        <v>30</v>
      </c>
      <c r="Z360" s="268" t="n">
        <v>45655</v>
      </c>
      <c r="AA360" s="230" t="e">
        <f aca="false">IF(AND(A360&gt;=Front!$E$11,A360&lt;=Front!$E$12),A360,"")</f>
        <v>#VALUE!</v>
      </c>
      <c r="AB360" s="231" t="e">
        <f aca="false">IF(AA360="","",VLOOKUP(MONTH(A359),Front!$W$6:$X$17,2)*IF(Front!D$9=0,Swap!Y360,1))</f>
        <v>#VALUE!</v>
      </c>
      <c r="AC360" s="274" t="e">
        <f aca="false">IF(AA360="","",AB360*AH360)</f>
        <v>#VALUE!</v>
      </c>
      <c r="AD360" s="233"/>
      <c r="AE360" s="231" t="e">
        <f aca="false">IF(AA360="","",AD360*AH360)</f>
        <v>#VALUE!</v>
      </c>
      <c r="AF360" s="243" t="e">
        <f aca="false">AF359</f>
        <v>#N/A</v>
      </c>
      <c r="AG360" s="243" t="e">
        <f aca="false">AF360+$AG$9</f>
        <v>#N/A</v>
      </c>
      <c r="AH360" s="195" t="e">
        <f aca="false">1/((1+AG360/2)^(2*((A360-Front!$C$2)/365.25)))</f>
        <v>#N/A</v>
      </c>
      <c r="AI360" s="236" t="e">
        <f aca="false">IF($AA360="","",E360*AC360)</f>
        <v>#VALUE!</v>
      </c>
      <c r="AJ360" s="236" t="e">
        <f aca="false">IF($AA360="","",E360*AE360)</f>
        <v>#VALUE!</v>
      </c>
      <c r="AK360" s="295"/>
      <c r="AL360" s="107"/>
      <c r="AM360" s="304"/>
      <c r="AN360" s="304"/>
      <c r="AO360" s="304"/>
      <c r="AP360" s="304"/>
      <c r="AQ360" s="304"/>
      <c r="AR360" s="304"/>
      <c r="AS360" s="304"/>
      <c r="AT360" s="304"/>
      <c r="AU360" s="304"/>
      <c r="AV360" s="304"/>
      <c r="AW360" s="304"/>
      <c r="AX360" s="304"/>
      <c r="AY360" s="304"/>
      <c r="AZ360" s="304"/>
      <c r="BA360" s="304"/>
      <c r="BB360" s="107"/>
      <c r="BC360" s="107"/>
      <c r="BD360" s="107"/>
      <c r="BE360" s="107"/>
      <c r="BF360" s="107"/>
      <c r="BG360" s="107"/>
      <c r="BH360" s="107"/>
      <c r="BI360" s="107"/>
      <c r="BJ360" s="107"/>
      <c r="BK360" s="107"/>
      <c r="BL360" s="107"/>
      <c r="BM360" s="107"/>
      <c r="BN360" s="107"/>
      <c r="BO360" s="107"/>
      <c r="BP360" s="107"/>
      <c r="BQ360" s="107"/>
      <c r="BR360" s="107"/>
      <c r="BS360" s="81" t="n">
        <v>0.0643139582039094</v>
      </c>
    </row>
    <row r="361" customFormat="false" ht="15" hidden="false" customHeight="false" outlineLevel="0" collapsed="false">
      <c r="A361" s="156" t="n">
        <f aca="false">EOMONTH(A360,0)+1</f>
        <v>47818</v>
      </c>
      <c r="B361" s="215"/>
      <c r="C361" s="281"/>
      <c r="D361" s="282"/>
      <c r="E361" s="283"/>
      <c r="F361" s="277"/>
      <c r="H361" s="277"/>
      <c r="I361" s="277"/>
      <c r="J361" s="69"/>
      <c r="K361" s="277"/>
      <c r="L361" s="277"/>
      <c r="M361" s="277"/>
      <c r="N361" s="277"/>
      <c r="O361" s="277"/>
      <c r="P361" s="277"/>
      <c r="Q361" s="277"/>
      <c r="R361" s="277"/>
      <c r="T361" s="277"/>
      <c r="U361" s="277"/>
      <c r="W361" s="277"/>
      <c r="Y361" s="228" t="n">
        <f aca="false">DAY(EOMONTH(A361,0))</f>
        <v>31</v>
      </c>
      <c r="Z361" s="268" t="n">
        <v>45594</v>
      </c>
      <c r="AA361" s="230" t="e">
        <f aca="false">IF(AND(A361&gt;=Front!$E$11,A361&lt;=Front!$E$12),A361,"")</f>
        <v>#VALUE!</v>
      </c>
      <c r="AB361" s="231" t="e">
        <f aca="false">IF(AA361="","",VLOOKUP(MONTH(A360),Front!$W$6:$X$17,2)*IF(Front!D$9=0,Swap!Y361,1))</f>
        <v>#VALUE!</v>
      </c>
      <c r="AC361" s="274" t="e">
        <f aca="false">IF(AA361="","",AB361*AH361)</f>
        <v>#VALUE!</v>
      </c>
      <c r="AD361" s="233"/>
      <c r="AE361" s="231" t="e">
        <f aca="false">IF(AA361="","",AD361*AH361)</f>
        <v>#VALUE!</v>
      </c>
      <c r="AF361" s="243" t="e">
        <f aca="false">AF360</f>
        <v>#N/A</v>
      </c>
      <c r="AG361" s="243" t="e">
        <f aca="false">AF361+$AG$9</f>
        <v>#N/A</v>
      </c>
      <c r="AH361" s="195" t="e">
        <f aca="false">1/((1+AG361/2)^(2*((A361-Front!$C$2)/365.25)))</f>
        <v>#N/A</v>
      </c>
      <c r="AI361" s="236" t="e">
        <f aca="false">IF($AA361="","",E361*AC361)</f>
        <v>#VALUE!</v>
      </c>
      <c r="AJ361" s="236" t="e">
        <f aca="false">IF($AA361="","",E361*AE361)</f>
        <v>#VALUE!</v>
      </c>
      <c r="AK361" s="295"/>
      <c r="AL361" s="107"/>
      <c r="AM361" s="304"/>
      <c r="AN361" s="304"/>
      <c r="AO361" s="304"/>
      <c r="AP361" s="304"/>
      <c r="AQ361" s="304"/>
      <c r="AR361" s="304"/>
      <c r="AS361" s="304"/>
      <c r="AT361" s="304"/>
      <c r="AU361" s="304"/>
      <c r="AV361" s="304"/>
      <c r="AW361" s="304"/>
      <c r="AX361" s="304"/>
      <c r="AY361" s="304"/>
      <c r="AZ361" s="304"/>
      <c r="BA361" s="304"/>
      <c r="BB361" s="107"/>
      <c r="BC361" s="107"/>
      <c r="BD361" s="107"/>
      <c r="BE361" s="107"/>
      <c r="BF361" s="107"/>
      <c r="BG361" s="107"/>
      <c r="BH361" s="107"/>
      <c r="BI361" s="107"/>
      <c r="BJ361" s="107"/>
      <c r="BK361" s="107"/>
      <c r="BL361" s="107"/>
      <c r="BM361" s="107"/>
      <c r="BN361" s="107"/>
      <c r="BO361" s="107"/>
      <c r="BP361" s="107"/>
      <c r="BQ361" s="107"/>
      <c r="BR361" s="107"/>
      <c r="BS361" s="81" t="n">
        <v>0.0643189282366992</v>
      </c>
    </row>
    <row r="362" customFormat="false" ht="15" hidden="false" customHeight="false" outlineLevel="0" collapsed="false">
      <c r="A362" s="156" t="n">
        <f aca="false">EOMONTH(A361,0)+1</f>
        <v>47849</v>
      </c>
      <c r="B362" s="215"/>
      <c r="C362" s="281"/>
      <c r="D362" s="282"/>
      <c r="E362" s="283"/>
      <c r="F362" s="277"/>
      <c r="H362" s="277"/>
      <c r="I362" s="277"/>
      <c r="J362" s="69"/>
      <c r="K362" s="277"/>
      <c r="L362" s="277"/>
      <c r="M362" s="277"/>
      <c r="N362" s="277"/>
      <c r="O362" s="277"/>
      <c r="P362" s="277"/>
      <c r="Q362" s="277"/>
      <c r="R362" s="277"/>
      <c r="T362" s="277"/>
      <c r="U362" s="277"/>
      <c r="W362" s="277"/>
      <c r="Y362" s="228" t="n">
        <f aca="false">DAY(EOMONTH(A362,0))</f>
        <v>31</v>
      </c>
      <c r="Z362" s="268" t="n">
        <v>45624</v>
      </c>
      <c r="AA362" s="230" t="e">
        <f aca="false">IF(AND(A362&gt;=Front!$E$11,A362&lt;=Front!$E$12),A362,"")</f>
        <v>#VALUE!</v>
      </c>
      <c r="AB362" s="231" t="e">
        <f aca="false">IF(AA362="","",VLOOKUP(MONTH(A361),Front!$W$6:$X$17,2)*IF(Front!D$9=0,Swap!Y362,1))</f>
        <v>#VALUE!</v>
      </c>
      <c r="AC362" s="274" t="e">
        <f aca="false">IF(AA362="","",AB362*AH362)</f>
        <v>#VALUE!</v>
      </c>
      <c r="AD362" s="233"/>
      <c r="AE362" s="231" t="e">
        <f aca="false">IF(AA362="","",AD362*AH362)</f>
        <v>#VALUE!</v>
      </c>
      <c r="AF362" s="243" t="e">
        <f aca="false">AF361</f>
        <v>#N/A</v>
      </c>
      <c r="AG362" s="243" t="e">
        <f aca="false">AF362+$AG$9</f>
        <v>#N/A</v>
      </c>
      <c r="AH362" s="195" t="e">
        <f aca="false">1/((1+AG362/2)^(2*((A362-Front!$C$2)/365.25)))</f>
        <v>#N/A</v>
      </c>
      <c r="AI362" s="236" t="e">
        <f aca="false">IF($AA362="","",E362*AC362)</f>
        <v>#VALUE!</v>
      </c>
      <c r="AJ362" s="236" t="e">
        <f aca="false">IF($AA362="","",E362*AE362)</f>
        <v>#VALUE!</v>
      </c>
      <c r="AK362" s="295"/>
      <c r="AL362" s="107"/>
      <c r="AM362" s="304"/>
      <c r="AN362" s="304"/>
      <c r="AO362" s="304"/>
      <c r="AP362" s="304"/>
      <c r="AQ362" s="304"/>
      <c r="AR362" s="304"/>
      <c r="AS362" s="304"/>
      <c r="AT362" s="304"/>
      <c r="AU362" s="304"/>
      <c r="AV362" s="304"/>
      <c r="AW362" s="304"/>
      <c r="AX362" s="304"/>
      <c r="AY362" s="304"/>
      <c r="AZ362" s="304"/>
      <c r="BA362" s="304"/>
      <c r="BB362" s="107"/>
      <c r="BC362" s="107"/>
      <c r="BD362" s="107"/>
      <c r="BE362" s="107"/>
      <c r="BF362" s="107"/>
      <c r="BG362" s="107"/>
      <c r="BH362" s="107"/>
      <c r="BI362" s="107"/>
      <c r="BJ362" s="107"/>
      <c r="BK362" s="107"/>
      <c r="BL362" s="107"/>
      <c r="BM362" s="107"/>
      <c r="BN362" s="107"/>
      <c r="BO362" s="107"/>
      <c r="BP362" s="107"/>
      <c r="BQ362" s="107"/>
      <c r="BR362" s="107"/>
      <c r="BS362" s="81" t="n">
        <v>0.0643240639372573</v>
      </c>
    </row>
    <row r="363" customFormat="false" ht="15" hidden="false" customHeight="false" outlineLevel="0" collapsed="false">
      <c r="A363" s="156" t="n">
        <f aca="false">EOMONTH(A362,0)+1</f>
        <v>47880</v>
      </c>
      <c r="B363" s="215"/>
      <c r="C363" s="281"/>
      <c r="D363" s="282"/>
      <c r="E363" s="283"/>
      <c r="F363" s="277"/>
      <c r="H363" s="277"/>
      <c r="I363" s="277"/>
      <c r="J363" s="69"/>
      <c r="K363" s="277"/>
      <c r="L363" s="277"/>
      <c r="M363" s="277"/>
      <c r="N363" s="277"/>
      <c r="O363" s="277"/>
      <c r="P363" s="277"/>
      <c r="Q363" s="277"/>
      <c r="R363" s="277"/>
      <c r="T363" s="277"/>
      <c r="U363" s="277"/>
      <c r="W363" s="277"/>
      <c r="Y363" s="228" t="n">
        <f aca="false">DAY(EOMONTH(A363,0))</f>
        <v>28</v>
      </c>
      <c r="Z363" s="268" t="n">
        <v>45655</v>
      </c>
      <c r="AA363" s="230" t="e">
        <f aca="false">IF(AND(A363&gt;=Front!$E$11,A363&lt;=Front!$E$12),A363,"")</f>
        <v>#VALUE!</v>
      </c>
      <c r="AB363" s="231" t="e">
        <f aca="false">IF(AA363="","",VLOOKUP(MONTH(A362),Front!$W$6:$X$17,2)*IF(Front!D$9=0,Swap!Y363,1))</f>
        <v>#VALUE!</v>
      </c>
      <c r="AC363" s="274" t="e">
        <f aca="false">IF(AA363="","",AB363*AH363)</f>
        <v>#VALUE!</v>
      </c>
      <c r="AD363" s="233"/>
      <c r="AE363" s="231" t="e">
        <f aca="false">IF(AA363="","",AD363*AH363)</f>
        <v>#VALUE!</v>
      </c>
      <c r="AF363" s="243" t="e">
        <f aca="false">AF362</f>
        <v>#N/A</v>
      </c>
      <c r="AG363" s="243" t="e">
        <f aca="false">AF363+$AG$9</f>
        <v>#N/A</v>
      </c>
      <c r="AH363" s="195" t="e">
        <f aca="false">1/((1+AG363/2)^(2*((A363-Front!$C$2)/365.25)))</f>
        <v>#N/A</v>
      </c>
      <c r="AI363" s="236" t="e">
        <f aca="false">IF($AA363="","",E363*AC363)</f>
        <v>#VALUE!</v>
      </c>
      <c r="AJ363" s="236" t="e">
        <f aca="false">IF($AA363="","",E363*AE363)</f>
        <v>#VALUE!</v>
      </c>
      <c r="AK363" s="295"/>
      <c r="AL363" s="107"/>
      <c r="AM363" s="304"/>
      <c r="AN363" s="304"/>
      <c r="AO363" s="304"/>
      <c r="AP363" s="304"/>
      <c r="AQ363" s="304"/>
      <c r="AR363" s="304"/>
      <c r="AS363" s="304"/>
      <c r="AT363" s="304"/>
      <c r="AU363" s="304"/>
      <c r="AV363" s="304"/>
      <c r="AW363" s="304"/>
      <c r="AX363" s="304"/>
      <c r="AY363" s="304"/>
      <c r="AZ363" s="304"/>
      <c r="BA363" s="304"/>
      <c r="BB363" s="107"/>
      <c r="BC363" s="107"/>
      <c r="BD363" s="107"/>
      <c r="BE363" s="107"/>
      <c r="BF363" s="107"/>
      <c r="BG363" s="107"/>
      <c r="BH363" s="107"/>
      <c r="BI363" s="107"/>
      <c r="BJ363" s="107"/>
      <c r="BK363" s="107"/>
      <c r="BL363" s="107"/>
      <c r="BM363" s="107"/>
      <c r="BN363" s="107"/>
      <c r="BO363" s="107"/>
      <c r="BP363" s="107"/>
      <c r="BQ363" s="107"/>
      <c r="BR363" s="107"/>
      <c r="BS363" s="81" t="n">
        <v>0.0643291996378244</v>
      </c>
    </row>
    <row r="364" customFormat="false" ht="12.75" hidden="false" customHeight="false" outlineLevel="0" collapsed="false">
      <c r="A364" s="277"/>
      <c r="B364" s="277"/>
      <c r="C364" s="277"/>
      <c r="D364" s="277"/>
      <c r="E364" s="277"/>
      <c r="F364" s="277"/>
      <c r="H364" s="277"/>
      <c r="I364" s="277"/>
      <c r="J364" s="69"/>
      <c r="K364" s="277"/>
      <c r="L364" s="277"/>
      <c r="M364" s="277"/>
      <c r="N364" s="277"/>
      <c r="O364" s="277"/>
      <c r="P364" s="277"/>
      <c r="Q364" s="277"/>
      <c r="R364" s="277"/>
      <c r="T364" s="277"/>
      <c r="U364" s="277"/>
      <c r="W364" s="277"/>
      <c r="Y364" s="107"/>
      <c r="Z364" s="107"/>
      <c r="AA364" s="107"/>
      <c r="AB364" s="107"/>
      <c r="AC364" s="107"/>
      <c r="AD364" s="233"/>
      <c r="AE364" s="107"/>
      <c r="AF364" s="107"/>
      <c r="AG364" s="107"/>
      <c r="AH364" s="107"/>
      <c r="AI364" s="107"/>
      <c r="AJ364" s="107"/>
      <c r="AK364" s="107"/>
      <c r="AL364" s="107"/>
      <c r="AM364" s="304"/>
      <c r="AN364" s="304"/>
      <c r="AO364" s="304"/>
      <c r="AP364" s="304"/>
      <c r="AQ364" s="304"/>
      <c r="AR364" s="304"/>
      <c r="AS364" s="304"/>
      <c r="AT364" s="304"/>
      <c r="AU364" s="304"/>
      <c r="AV364" s="304"/>
      <c r="AW364" s="304"/>
      <c r="AX364" s="304"/>
      <c r="AY364" s="304"/>
      <c r="AZ364" s="304"/>
      <c r="BA364" s="304"/>
      <c r="BB364" s="107"/>
      <c r="BC364" s="107"/>
      <c r="BD364" s="107"/>
      <c r="BE364" s="107"/>
      <c r="BF364" s="107"/>
      <c r="BG364" s="107"/>
      <c r="BH364" s="107"/>
      <c r="BI364" s="107"/>
      <c r="BJ364" s="107"/>
      <c r="BK364" s="107"/>
      <c r="BL364" s="107"/>
      <c r="BM364" s="107"/>
      <c r="BN364" s="107"/>
      <c r="BO364" s="107"/>
      <c r="BP364" s="107"/>
      <c r="BQ364" s="107"/>
      <c r="BR364" s="107"/>
      <c r="BS364" s="81" t="n">
        <v>0.0643338383351186</v>
      </c>
    </row>
    <row r="365" customFormat="false" ht="12.75" hidden="false" customHeight="false" outlineLevel="0" collapsed="false">
      <c r="A365" s="277"/>
      <c r="B365" s="277"/>
      <c r="C365" s="277"/>
      <c r="D365" s="277"/>
      <c r="E365" s="277"/>
      <c r="F365" s="277"/>
      <c r="H365" s="277"/>
      <c r="I365" s="277"/>
      <c r="J365" s="69"/>
      <c r="K365" s="277"/>
      <c r="L365" s="277"/>
      <c r="M365" s="277"/>
      <c r="N365" s="277"/>
      <c r="O365" s="277"/>
      <c r="P365" s="277"/>
      <c r="Q365" s="277"/>
      <c r="R365" s="277"/>
      <c r="T365" s="277"/>
      <c r="U365" s="277"/>
      <c r="W365" s="277"/>
      <c r="Y365" s="107"/>
      <c r="Z365" s="107"/>
      <c r="AA365" s="107"/>
      <c r="AB365" s="107"/>
      <c r="AC365" s="107"/>
      <c r="AD365" s="233"/>
      <c r="AE365" s="107"/>
      <c r="AF365" s="107"/>
      <c r="AG365" s="107"/>
      <c r="AH365" s="107"/>
      <c r="AI365" s="107"/>
      <c r="AJ365" s="107"/>
      <c r="AK365" s="107"/>
      <c r="AL365" s="107"/>
      <c r="AM365" s="304"/>
      <c r="AN365" s="304"/>
      <c r="AO365" s="304"/>
      <c r="AP365" s="304"/>
      <c r="AQ365" s="304"/>
      <c r="AR365" s="304"/>
      <c r="AS365" s="304"/>
      <c r="AT365" s="304"/>
      <c r="AU365" s="304"/>
      <c r="AV365" s="304"/>
      <c r="AW365" s="304"/>
      <c r="AX365" s="304"/>
      <c r="AY365" s="304"/>
      <c r="AZ365" s="304"/>
      <c r="BA365" s="304"/>
      <c r="BB365" s="107"/>
      <c r="BC365" s="107"/>
      <c r="BD365" s="107"/>
      <c r="BE365" s="107"/>
      <c r="BF365" s="107"/>
      <c r="BG365" s="107"/>
      <c r="BH365" s="107"/>
      <c r="BI365" s="107"/>
      <c r="BJ365" s="107"/>
      <c r="BK365" s="107"/>
      <c r="BL365" s="107"/>
      <c r="BM365" s="107"/>
      <c r="BN365" s="107"/>
      <c r="BO365" s="107"/>
      <c r="BP365" s="107"/>
      <c r="BQ365" s="107"/>
      <c r="BR365" s="107"/>
      <c r="BS365" s="81" t="n">
        <v>0.0643389740357021</v>
      </c>
    </row>
    <row r="366" customFormat="false" ht="12.75" hidden="false" customHeight="false" outlineLevel="0" collapsed="false">
      <c r="A366" s="277"/>
      <c r="B366" s="277"/>
      <c r="C366" s="277"/>
      <c r="D366" s="277"/>
      <c r="E366" s="277"/>
      <c r="F366" s="277"/>
      <c r="H366" s="277"/>
      <c r="I366" s="277"/>
      <c r="J366" s="69"/>
      <c r="K366" s="277"/>
      <c r="L366" s="277"/>
      <c r="M366" s="277"/>
      <c r="N366" s="277"/>
      <c r="O366" s="277"/>
      <c r="P366" s="277"/>
      <c r="Q366" s="277"/>
      <c r="R366" s="277"/>
      <c r="T366" s="277"/>
      <c r="U366" s="277"/>
      <c r="W366" s="277"/>
      <c r="Y366" s="107"/>
      <c r="Z366" s="107"/>
      <c r="AA366" s="107"/>
      <c r="AB366" s="107"/>
      <c r="AC366" s="107"/>
      <c r="AD366" s="233"/>
      <c r="AE366" s="107"/>
      <c r="AF366" s="107"/>
      <c r="AG366" s="107"/>
      <c r="AH366" s="107"/>
      <c r="AI366" s="107"/>
      <c r="AJ366" s="107"/>
      <c r="AK366" s="107"/>
      <c r="AL366" s="107"/>
      <c r="AM366" s="304"/>
      <c r="AN366" s="304"/>
      <c r="AO366" s="304"/>
      <c r="AP366" s="304"/>
      <c r="AQ366" s="304"/>
      <c r="AR366" s="304"/>
      <c r="AS366" s="304"/>
      <c r="AT366" s="304"/>
      <c r="AU366" s="304"/>
      <c r="AV366" s="304"/>
      <c r="AW366" s="304"/>
      <c r="AX366" s="304"/>
      <c r="AY366" s="304"/>
      <c r="AZ366" s="304"/>
      <c r="BA366" s="304"/>
      <c r="BB366" s="107"/>
      <c r="BC366" s="107"/>
      <c r="BD366" s="107"/>
      <c r="BE366" s="107"/>
      <c r="BF366" s="107"/>
      <c r="BG366" s="107"/>
      <c r="BH366" s="107"/>
      <c r="BI366" s="107"/>
      <c r="BJ366" s="107"/>
      <c r="BK366" s="107"/>
      <c r="BL366" s="107"/>
      <c r="BM366" s="107"/>
      <c r="BN366" s="107"/>
      <c r="BO366" s="107"/>
      <c r="BP366" s="107"/>
      <c r="BQ366" s="107"/>
      <c r="BR366" s="107"/>
      <c r="BS366" s="81" t="n">
        <v>0.0643439440685336</v>
      </c>
    </row>
    <row r="367" customFormat="false" ht="12.75" hidden="false" customHeight="false" outlineLevel="0" collapsed="false">
      <c r="A367" s="277"/>
      <c r="B367" s="277"/>
      <c r="C367" s="277"/>
      <c r="D367" s="277"/>
      <c r="E367" s="277"/>
      <c r="F367" s="277"/>
      <c r="H367" s="277"/>
      <c r="I367" s="277"/>
      <c r="J367" s="69"/>
      <c r="K367" s="277"/>
      <c r="L367" s="277"/>
      <c r="M367" s="277"/>
      <c r="N367" s="277"/>
      <c r="O367" s="277"/>
      <c r="P367" s="277"/>
      <c r="Q367" s="277"/>
      <c r="R367" s="277"/>
      <c r="T367" s="277"/>
      <c r="U367" s="277"/>
      <c r="W367" s="277"/>
      <c r="Y367" s="107"/>
      <c r="Z367" s="107"/>
      <c r="AA367" s="107"/>
      <c r="AB367" s="107"/>
      <c r="AC367" s="107"/>
      <c r="AD367" s="233"/>
      <c r="AE367" s="107"/>
      <c r="AF367" s="107"/>
      <c r="AG367" s="107"/>
      <c r="AH367" s="107"/>
      <c r="AI367" s="107"/>
      <c r="AJ367" s="107"/>
      <c r="AK367" s="107"/>
      <c r="AL367" s="107"/>
      <c r="AM367" s="304"/>
      <c r="AN367" s="304"/>
      <c r="AO367" s="304"/>
      <c r="AP367" s="304"/>
      <c r="AQ367" s="304"/>
      <c r="AR367" s="304"/>
      <c r="AS367" s="304"/>
      <c r="AT367" s="304"/>
      <c r="AU367" s="304"/>
      <c r="AV367" s="304"/>
      <c r="AW367" s="304"/>
      <c r="AX367" s="304"/>
      <c r="AY367" s="304"/>
      <c r="AZ367" s="304"/>
      <c r="BA367" s="304"/>
      <c r="BB367" s="107"/>
      <c r="BC367" s="107"/>
      <c r="BD367" s="107"/>
      <c r="BE367" s="107"/>
      <c r="BF367" s="107"/>
      <c r="BG367" s="107"/>
      <c r="BH367" s="107"/>
      <c r="BI367" s="107"/>
      <c r="BJ367" s="107"/>
      <c r="BK367" s="107"/>
      <c r="BL367" s="107"/>
      <c r="BM367" s="107"/>
      <c r="BN367" s="107"/>
      <c r="BO367" s="107"/>
      <c r="BP367" s="107"/>
      <c r="BQ367" s="107"/>
      <c r="BR367" s="107"/>
      <c r="BS367" s="81" t="n">
        <v>0.0643490797691344</v>
      </c>
    </row>
    <row r="368" customFormat="false" ht="12.75" hidden="false" customHeight="false" outlineLevel="0" collapsed="false">
      <c r="A368" s="277"/>
      <c r="B368" s="277"/>
      <c r="C368" s="277"/>
      <c r="D368" s="277"/>
      <c r="E368" s="277"/>
      <c r="F368" s="277"/>
      <c r="H368" s="277"/>
      <c r="I368" s="277"/>
      <c r="J368" s="69"/>
      <c r="K368" s="277"/>
      <c r="L368" s="277"/>
      <c r="M368" s="277"/>
      <c r="N368" s="277"/>
      <c r="O368" s="277"/>
      <c r="P368" s="277"/>
      <c r="Q368" s="277"/>
      <c r="R368" s="277"/>
      <c r="T368" s="277"/>
      <c r="U368" s="277"/>
      <c r="W368" s="277"/>
      <c r="Y368" s="107"/>
      <c r="Z368" s="107"/>
      <c r="AA368" s="107"/>
      <c r="AB368" s="107"/>
      <c r="AC368" s="107"/>
      <c r="AD368" s="233"/>
      <c r="AE368" s="107"/>
      <c r="AF368" s="107"/>
      <c r="AG368" s="107"/>
      <c r="AH368" s="107"/>
      <c r="AI368" s="107"/>
      <c r="AJ368" s="107"/>
      <c r="AK368" s="107"/>
      <c r="AL368" s="107"/>
      <c r="AM368" s="304"/>
      <c r="AN368" s="304"/>
      <c r="AO368" s="304"/>
      <c r="AP368" s="304"/>
      <c r="AQ368" s="304"/>
      <c r="AR368" s="304"/>
      <c r="AS368" s="304"/>
      <c r="AT368" s="304"/>
      <c r="AU368" s="304"/>
      <c r="AV368" s="304"/>
      <c r="AW368" s="304"/>
      <c r="AX368" s="304"/>
      <c r="AY368" s="304"/>
      <c r="AZ368" s="304"/>
      <c r="BA368" s="304"/>
      <c r="BB368" s="107"/>
      <c r="BC368" s="107"/>
      <c r="BD368" s="107"/>
      <c r="BE368" s="107"/>
      <c r="BF368" s="107"/>
      <c r="BG368" s="107"/>
      <c r="BH368" s="107"/>
      <c r="BI368" s="107"/>
      <c r="BJ368" s="107"/>
      <c r="BK368" s="107"/>
      <c r="BL368" s="107"/>
      <c r="BM368" s="107"/>
      <c r="BN368" s="107"/>
      <c r="BO368" s="107"/>
      <c r="BP368" s="107"/>
      <c r="BQ368" s="107"/>
      <c r="BR368" s="107"/>
      <c r="BS368" s="81" t="n">
        <v>0.0643540498019823</v>
      </c>
    </row>
    <row r="369" customFormat="false" ht="12.75" hidden="false" customHeight="false" outlineLevel="0" collapsed="false">
      <c r="A369" s="277"/>
      <c r="B369" s="277"/>
      <c r="C369" s="277"/>
      <c r="D369" s="277"/>
      <c r="E369" s="277"/>
      <c r="F369" s="277"/>
      <c r="H369" s="277"/>
      <c r="I369" s="277"/>
      <c r="J369" s="69"/>
      <c r="K369" s="277"/>
      <c r="L369" s="277"/>
      <c r="M369" s="277"/>
      <c r="N369" s="277"/>
      <c r="O369" s="277"/>
      <c r="P369" s="277"/>
      <c r="Q369" s="277"/>
      <c r="R369" s="277"/>
      <c r="T369" s="277"/>
      <c r="U369" s="277"/>
      <c r="W369" s="277"/>
      <c r="Y369" s="107"/>
      <c r="Z369" s="107"/>
      <c r="AA369" s="107"/>
      <c r="AB369" s="107"/>
      <c r="AC369" s="107"/>
      <c r="AD369" s="233"/>
      <c r="AE369" s="107"/>
      <c r="AF369" s="107"/>
      <c r="AG369" s="107"/>
      <c r="AH369" s="107"/>
      <c r="AI369" s="107"/>
      <c r="AJ369" s="107"/>
      <c r="AK369" s="107"/>
      <c r="AL369" s="107"/>
      <c r="AM369" s="304"/>
      <c r="AN369" s="304"/>
      <c r="AO369" s="304"/>
      <c r="AP369" s="304"/>
      <c r="AQ369" s="304"/>
      <c r="AR369" s="304"/>
      <c r="AS369" s="304"/>
      <c r="AT369" s="304"/>
      <c r="AU369" s="304"/>
      <c r="AV369" s="304"/>
      <c r="AW369" s="304"/>
      <c r="AX369" s="304"/>
      <c r="AY369" s="304"/>
      <c r="AZ369" s="304"/>
      <c r="BA369" s="304"/>
      <c r="BB369" s="107"/>
      <c r="BC369" s="107"/>
      <c r="BD369" s="107"/>
      <c r="BE369" s="107"/>
      <c r="BF369" s="107"/>
      <c r="BG369" s="107"/>
      <c r="BH369" s="107"/>
      <c r="BI369" s="107"/>
      <c r="BJ369" s="107"/>
      <c r="BK369" s="107"/>
      <c r="BL369" s="107"/>
      <c r="BM369" s="107"/>
      <c r="BN369" s="107"/>
      <c r="BO369" s="107"/>
      <c r="BP369" s="107"/>
      <c r="BQ369" s="107"/>
      <c r="BR369" s="107"/>
      <c r="BS369" s="81" t="n">
        <v>0.0643591855026004</v>
      </c>
    </row>
    <row r="370" customFormat="false" ht="12.75" hidden="false" customHeight="false" outlineLevel="0" collapsed="false">
      <c r="A370" s="277"/>
      <c r="B370" s="277"/>
      <c r="C370" s="277"/>
      <c r="D370" s="277"/>
      <c r="E370" s="277"/>
      <c r="F370" s="277"/>
      <c r="H370" s="277"/>
      <c r="I370" s="277"/>
      <c r="J370" s="69"/>
      <c r="K370" s="277"/>
      <c r="L370" s="277"/>
      <c r="M370" s="277"/>
      <c r="N370" s="277"/>
      <c r="O370" s="277"/>
      <c r="P370" s="277"/>
      <c r="Q370" s="277"/>
      <c r="R370" s="277"/>
      <c r="T370" s="277"/>
      <c r="U370" s="277"/>
      <c r="W370" s="277"/>
      <c r="Y370" s="107"/>
      <c r="Z370" s="107"/>
      <c r="AA370" s="107"/>
      <c r="AB370" s="107"/>
      <c r="AC370" s="107"/>
      <c r="AD370" s="233"/>
      <c r="AE370" s="107"/>
      <c r="AF370" s="107"/>
      <c r="AG370" s="107"/>
      <c r="AH370" s="107"/>
      <c r="AI370" s="107"/>
      <c r="AJ370" s="107"/>
      <c r="AK370" s="107"/>
      <c r="AL370" s="107"/>
      <c r="AM370" s="304"/>
      <c r="AN370" s="304"/>
      <c r="AO370" s="304"/>
      <c r="AP370" s="304"/>
      <c r="AQ370" s="304"/>
      <c r="AR370" s="304"/>
      <c r="AS370" s="304"/>
      <c r="AT370" s="304"/>
      <c r="AU370" s="304"/>
      <c r="AV370" s="304"/>
      <c r="AW370" s="304"/>
      <c r="AX370" s="304"/>
      <c r="AY370" s="304"/>
      <c r="AZ370" s="304"/>
      <c r="BA370" s="304"/>
      <c r="BB370" s="107"/>
      <c r="BC370" s="107"/>
      <c r="BD370" s="107"/>
      <c r="BE370" s="107"/>
      <c r="BF370" s="107"/>
      <c r="BG370" s="107"/>
      <c r="BH370" s="107"/>
      <c r="BI370" s="107"/>
      <c r="BJ370" s="107"/>
      <c r="BK370" s="107"/>
      <c r="BL370" s="107"/>
      <c r="BM370" s="107"/>
      <c r="BN370" s="107"/>
      <c r="BO370" s="107"/>
      <c r="BP370" s="107"/>
      <c r="BQ370" s="107"/>
      <c r="BR370" s="107"/>
      <c r="BS370" s="81" t="n">
        <v>0.0643643212032274</v>
      </c>
    </row>
    <row r="371" customFormat="false" ht="12.75" hidden="false" customHeight="false" outlineLevel="0" collapsed="false">
      <c r="A371" s="277"/>
      <c r="B371" s="277"/>
      <c r="C371" s="277"/>
      <c r="D371" s="277"/>
      <c r="E371" s="277"/>
      <c r="F371" s="277"/>
      <c r="H371" s="277"/>
      <c r="I371" s="277"/>
      <c r="J371" s="69"/>
      <c r="K371" s="277"/>
      <c r="L371" s="277"/>
      <c r="M371" s="277"/>
      <c r="N371" s="277"/>
      <c r="O371" s="277"/>
      <c r="P371" s="277"/>
      <c r="Q371" s="277"/>
      <c r="R371" s="277"/>
      <c r="T371" s="277"/>
      <c r="U371" s="277"/>
      <c r="W371" s="277"/>
      <c r="Y371" s="107"/>
      <c r="Z371" s="107"/>
      <c r="AA371" s="107"/>
      <c r="AB371" s="107"/>
      <c r="AC371" s="107"/>
      <c r="AD371" s="233"/>
      <c r="AE371" s="107"/>
      <c r="AF371" s="107"/>
      <c r="AG371" s="107"/>
      <c r="AH371" s="107"/>
      <c r="AI371" s="107"/>
      <c r="AJ371" s="107"/>
      <c r="AK371" s="107"/>
      <c r="AL371" s="107"/>
      <c r="AM371" s="304"/>
      <c r="AN371" s="304"/>
      <c r="AO371" s="304"/>
      <c r="AP371" s="304"/>
      <c r="AQ371" s="304"/>
      <c r="AR371" s="304"/>
      <c r="AS371" s="304"/>
      <c r="AT371" s="304"/>
      <c r="AU371" s="304"/>
      <c r="AV371" s="304"/>
      <c r="AW371" s="304"/>
      <c r="AX371" s="304"/>
      <c r="AY371" s="304"/>
      <c r="AZ371" s="304"/>
      <c r="BA371" s="304"/>
      <c r="BB371" s="107"/>
      <c r="BC371" s="107"/>
      <c r="BD371" s="107"/>
      <c r="BE371" s="107"/>
      <c r="BF371" s="107"/>
      <c r="BG371" s="107"/>
      <c r="BH371" s="107"/>
      <c r="BI371" s="107"/>
      <c r="BJ371" s="107"/>
      <c r="BK371" s="107"/>
      <c r="BL371" s="107"/>
      <c r="BM371" s="107"/>
      <c r="BN371" s="107"/>
      <c r="BO371" s="107"/>
      <c r="BP371" s="107"/>
      <c r="BQ371" s="107"/>
      <c r="BR371" s="107"/>
    </row>
    <row r="372" customFormat="false" ht="12.75" hidden="false" customHeight="false" outlineLevel="0" collapsed="false">
      <c r="A372" s="277"/>
      <c r="B372" s="277"/>
      <c r="C372" s="277"/>
      <c r="D372" s="277"/>
      <c r="E372" s="277"/>
      <c r="F372" s="277"/>
      <c r="H372" s="277"/>
      <c r="I372" s="277"/>
      <c r="J372" s="69"/>
      <c r="K372" s="277"/>
      <c r="L372" s="277"/>
      <c r="M372" s="277"/>
      <c r="N372" s="277"/>
      <c r="O372" s="277"/>
      <c r="P372" s="277"/>
      <c r="Q372" s="277"/>
      <c r="R372" s="277"/>
      <c r="T372" s="277"/>
      <c r="U372" s="277"/>
      <c r="W372" s="277"/>
      <c r="Y372" s="107"/>
      <c r="Z372" s="107"/>
      <c r="AA372" s="107"/>
      <c r="AB372" s="107"/>
      <c r="AC372" s="107"/>
      <c r="AD372" s="233"/>
      <c r="AE372" s="107"/>
      <c r="AF372" s="107"/>
      <c r="AG372" s="107"/>
      <c r="AH372" s="107"/>
      <c r="AI372" s="107"/>
      <c r="AJ372" s="107"/>
      <c r="AK372" s="107"/>
      <c r="AL372" s="107"/>
      <c r="AM372" s="304"/>
      <c r="AN372" s="304"/>
      <c r="AO372" s="304"/>
      <c r="AP372" s="304"/>
      <c r="AQ372" s="304"/>
      <c r="AR372" s="304"/>
      <c r="AS372" s="304"/>
      <c r="AT372" s="304"/>
      <c r="AU372" s="304"/>
      <c r="AV372" s="304"/>
      <c r="AW372" s="304"/>
      <c r="AX372" s="304"/>
      <c r="AY372" s="304"/>
      <c r="AZ372" s="304"/>
      <c r="BA372" s="304"/>
      <c r="BB372" s="107"/>
      <c r="BC372" s="107"/>
      <c r="BD372" s="107"/>
      <c r="BE372" s="107"/>
      <c r="BF372" s="107"/>
      <c r="BG372" s="107"/>
      <c r="BH372" s="107"/>
      <c r="BI372" s="107"/>
      <c r="BJ372" s="107"/>
      <c r="BK372" s="107"/>
      <c r="BL372" s="107"/>
      <c r="BM372" s="107"/>
      <c r="BN372" s="107"/>
      <c r="BO372" s="107"/>
      <c r="BP372" s="107"/>
      <c r="BQ372" s="107"/>
      <c r="BR372" s="107"/>
    </row>
    <row r="373" customFormat="false" ht="12.75" hidden="false" customHeight="false" outlineLevel="0" collapsed="false">
      <c r="A373" s="277"/>
      <c r="B373" s="277"/>
      <c r="C373" s="277"/>
      <c r="D373" s="277"/>
      <c r="E373" s="277"/>
      <c r="F373" s="277"/>
      <c r="H373" s="277"/>
      <c r="I373" s="277"/>
      <c r="J373" s="69"/>
      <c r="K373" s="277"/>
      <c r="L373" s="277"/>
      <c r="M373" s="277"/>
      <c r="N373" s="277"/>
      <c r="O373" s="277"/>
      <c r="P373" s="277"/>
      <c r="Q373" s="277"/>
      <c r="R373" s="277"/>
      <c r="T373" s="277"/>
      <c r="U373" s="277"/>
      <c r="W373" s="277"/>
      <c r="Y373" s="107"/>
      <c r="Z373" s="107"/>
      <c r="AA373" s="107"/>
      <c r="AB373" s="107"/>
      <c r="AC373" s="107"/>
      <c r="AD373" s="233"/>
      <c r="AE373" s="107"/>
      <c r="AF373" s="107"/>
      <c r="AG373" s="107"/>
      <c r="AH373" s="107"/>
      <c r="AI373" s="107"/>
      <c r="AJ373" s="107"/>
      <c r="AK373" s="107"/>
      <c r="AL373" s="107"/>
      <c r="AM373" s="304"/>
      <c r="AN373" s="304"/>
      <c r="AO373" s="304"/>
      <c r="AP373" s="304"/>
      <c r="AQ373" s="304"/>
      <c r="AR373" s="304"/>
      <c r="AS373" s="304"/>
      <c r="AT373" s="304"/>
      <c r="AU373" s="304"/>
      <c r="AV373" s="304"/>
      <c r="AW373" s="304"/>
      <c r="AX373" s="304"/>
      <c r="AY373" s="304"/>
      <c r="AZ373" s="304"/>
      <c r="BA373" s="304"/>
      <c r="BB373" s="107"/>
      <c r="BC373" s="107"/>
      <c r="BD373" s="107"/>
      <c r="BE373" s="107"/>
      <c r="BF373" s="107"/>
      <c r="BG373" s="107"/>
      <c r="BH373" s="107"/>
      <c r="BI373" s="107"/>
      <c r="BJ373" s="107"/>
      <c r="BK373" s="107"/>
      <c r="BL373" s="107"/>
      <c r="BM373" s="107"/>
      <c r="BN373" s="107"/>
      <c r="BO373" s="107"/>
      <c r="BP373" s="107"/>
      <c r="BQ373" s="107"/>
      <c r="BR373" s="107"/>
    </row>
    <row r="374" customFormat="false" ht="12.75" hidden="false" customHeight="false" outlineLevel="0" collapsed="false">
      <c r="A374" s="277"/>
      <c r="B374" s="277"/>
      <c r="C374" s="277"/>
      <c r="D374" s="277"/>
      <c r="E374" s="277"/>
      <c r="F374" s="277"/>
      <c r="H374" s="277"/>
      <c r="I374" s="277"/>
      <c r="J374" s="69"/>
      <c r="K374" s="277"/>
      <c r="L374" s="277"/>
      <c r="M374" s="277"/>
      <c r="N374" s="277"/>
      <c r="O374" s="277"/>
      <c r="P374" s="277"/>
      <c r="Q374" s="277"/>
      <c r="R374" s="277"/>
      <c r="T374" s="277"/>
      <c r="U374" s="277"/>
      <c r="W374" s="277"/>
      <c r="Y374" s="107"/>
      <c r="Z374" s="107"/>
      <c r="AA374" s="107"/>
      <c r="AB374" s="107"/>
      <c r="AC374" s="107"/>
      <c r="AD374" s="233"/>
      <c r="AE374" s="107"/>
      <c r="AF374" s="107"/>
      <c r="AG374" s="107"/>
      <c r="AH374" s="107"/>
      <c r="AI374" s="107"/>
      <c r="AJ374" s="107"/>
      <c r="AK374" s="107"/>
      <c r="AL374" s="107"/>
      <c r="AM374" s="304"/>
      <c r="AN374" s="304"/>
      <c r="AO374" s="304"/>
      <c r="AP374" s="304"/>
      <c r="AQ374" s="304"/>
      <c r="AR374" s="304"/>
      <c r="AS374" s="304"/>
      <c r="AT374" s="304"/>
      <c r="AU374" s="304"/>
      <c r="AV374" s="304"/>
      <c r="AW374" s="304"/>
      <c r="AX374" s="304"/>
      <c r="AY374" s="304"/>
      <c r="AZ374" s="304"/>
      <c r="BA374" s="304"/>
      <c r="BB374" s="107"/>
      <c r="BC374" s="107"/>
      <c r="BD374" s="107"/>
      <c r="BE374" s="107"/>
      <c r="BF374" s="107"/>
      <c r="BG374" s="107"/>
      <c r="BH374" s="107"/>
      <c r="BI374" s="107"/>
      <c r="BJ374" s="107"/>
      <c r="BK374" s="107"/>
      <c r="BL374" s="107"/>
      <c r="BM374" s="107"/>
      <c r="BN374" s="107"/>
      <c r="BO374" s="107"/>
      <c r="BP374" s="107"/>
      <c r="BQ374" s="107"/>
      <c r="BR374" s="107"/>
    </row>
    <row r="375" customFormat="false" ht="12.75" hidden="false" customHeight="false" outlineLevel="0" collapsed="false">
      <c r="A375" s="277"/>
      <c r="B375" s="277"/>
      <c r="C375" s="277"/>
      <c r="D375" s="277"/>
      <c r="E375" s="277"/>
      <c r="F375" s="277"/>
      <c r="H375" s="277"/>
      <c r="I375" s="277"/>
      <c r="J375" s="69"/>
      <c r="K375" s="277"/>
      <c r="L375" s="277"/>
      <c r="M375" s="277"/>
      <c r="N375" s="277"/>
      <c r="O375" s="277"/>
      <c r="P375" s="277"/>
      <c r="Q375" s="277"/>
      <c r="R375" s="277"/>
      <c r="T375" s="277"/>
      <c r="U375" s="277"/>
      <c r="W375" s="277"/>
      <c r="Y375" s="107"/>
      <c r="Z375" s="107"/>
      <c r="AA375" s="107"/>
      <c r="AB375" s="107"/>
      <c r="AC375" s="107"/>
      <c r="AD375" s="233"/>
      <c r="AE375" s="107"/>
      <c r="AF375" s="107"/>
      <c r="AG375" s="107"/>
      <c r="AH375" s="107"/>
      <c r="AI375" s="107"/>
      <c r="AJ375" s="107"/>
      <c r="AK375" s="107"/>
      <c r="AL375" s="107"/>
      <c r="AM375" s="304"/>
      <c r="AN375" s="304"/>
      <c r="AO375" s="304"/>
      <c r="AP375" s="304"/>
      <c r="AQ375" s="304"/>
      <c r="AR375" s="304"/>
      <c r="AS375" s="304"/>
      <c r="AT375" s="304"/>
      <c r="AU375" s="304"/>
      <c r="AV375" s="304"/>
      <c r="AW375" s="304"/>
      <c r="AX375" s="304"/>
      <c r="AY375" s="304"/>
      <c r="AZ375" s="304"/>
      <c r="BA375" s="304"/>
      <c r="BB375" s="107"/>
      <c r="BC375" s="107"/>
      <c r="BD375" s="107"/>
      <c r="BE375" s="107"/>
      <c r="BF375" s="107"/>
      <c r="BG375" s="107"/>
      <c r="BH375" s="107"/>
      <c r="BI375" s="107"/>
      <c r="BJ375" s="107"/>
      <c r="BK375" s="107"/>
      <c r="BL375" s="107"/>
      <c r="BM375" s="107"/>
      <c r="BN375" s="107"/>
      <c r="BO375" s="107"/>
      <c r="BP375" s="107"/>
      <c r="BQ375" s="107"/>
      <c r="BR375" s="107"/>
    </row>
    <row r="376" customFormat="false" ht="12.75" hidden="false" customHeight="false" outlineLevel="0" collapsed="false">
      <c r="A376" s="277"/>
      <c r="B376" s="277"/>
      <c r="C376" s="277"/>
      <c r="D376" s="277"/>
      <c r="E376" s="277"/>
      <c r="F376" s="277"/>
      <c r="H376" s="277"/>
      <c r="I376" s="277"/>
      <c r="J376" s="69"/>
      <c r="K376" s="277"/>
      <c r="L376" s="277"/>
      <c r="M376" s="277"/>
      <c r="N376" s="277"/>
      <c r="O376" s="277"/>
      <c r="P376" s="277"/>
      <c r="Q376" s="277"/>
      <c r="R376" s="277"/>
      <c r="T376" s="277"/>
      <c r="U376" s="277"/>
      <c r="W376" s="277"/>
      <c r="Y376" s="107"/>
      <c r="Z376" s="107"/>
      <c r="AA376" s="107"/>
      <c r="AB376" s="107"/>
      <c r="AC376" s="107"/>
      <c r="AD376" s="233"/>
      <c r="AE376" s="107"/>
      <c r="AF376" s="107"/>
      <c r="AG376" s="107"/>
      <c r="AH376" s="107"/>
      <c r="AI376" s="107"/>
      <c r="AJ376" s="107"/>
      <c r="AK376" s="107"/>
      <c r="AL376" s="107"/>
      <c r="AM376" s="304"/>
      <c r="AN376" s="304"/>
      <c r="AO376" s="304"/>
      <c r="AP376" s="304"/>
      <c r="AQ376" s="304"/>
      <c r="AR376" s="304"/>
      <c r="AS376" s="304"/>
      <c r="AT376" s="304"/>
      <c r="AU376" s="304"/>
      <c r="AV376" s="304"/>
      <c r="AW376" s="304"/>
      <c r="AX376" s="304"/>
      <c r="AY376" s="304"/>
      <c r="AZ376" s="304"/>
      <c r="BA376" s="304"/>
      <c r="BB376" s="107"/>
      <c r="BC376" s="107"/>
      <c r="BD376" s="107"/>
      <c r="BE376" s="107"/>
      <c r="BF376" s="107"/>
      <c r="BG376" s="107"/>
      <c r="BH376" s="107"/>
      <c r="BI376" s="107"/>
      <c r="BJ376" s="107"/>
      <c r="BK376" s="107"/>
      <c r="BL376" s="107"/>
      <c r="BM376" s="107"/>
      <c r="BN376" s="107"/>
      <c r="BO376" s="107"/>
      <c r="BP376" s="107"/>
      <c r="BQ376" s="107"/>
      <c r="BR376" s="107"/>
    </row>
    <row r="377" customFormat="false" ht="12.75" hidden="false" customHeight="false" outlineLevel="0" collapsed="false">
      <c r="A377" s="277"/>
      <c r="B377" s="277"/>
      <c r="C377" s="277"/>
      <c r="D377" s="277"/>
      <c r="E377" s="277"/>
      <c r="F377" s="277"/>
      <c r="H377" s="277"/>
      <c r="I377" s="277"/>
      <c r="J377" s="69"/>
      <c r="K377" s="277"/>
      <c r="L377" s="277"/>
      <c r="M377" s="277"/>
      <c r="N377" s="277"/>
      <c r="O377" s="277"/>
      <c r="P377" s="277"/>
      <c r="Q377" s="277"/>
      <c r="R377" s="277"/>
      <c r="T377" s="277"/>
      <c r="U377" s="277"/>
      <c r="W377" s="277"/>
      <c r="Y377" s="107"/>
      <c r="Z377" s="107"/>
      <c r="AA377" s="107"/>
      <c r="AB377" s="107"/>
      <c r="AC377" s="107"/>
      <c r="AD377" s="233"/>
      <c r="AE377" s="107"/>
      <c r="AF377" s="107"/>
      <c r="AG377" s="107"/>
      <c r="AH377" s="107"/>
      <c r="AI377" s="107"/>
      <c r="AJ377" s="107"/>
      <c r="AK377" s="107"/>
      <c r="AL377" s="107"/>
      <c r="AM377" s="304"/>
      <c r="AN377" s="304"/>
      <c r="AO377" s="304"/>
      <c r="AP377" s="304"/>
      <c r="AQ377" s="304"/>
      <c r="AR377" s="304"/>
      <c r="AS377" s="304"/>
      <c r="AT377" s="304"/>
      <c r="AU377" s="304"/>
      <c r="AV377" s="304"/>
      <c r="AW377" s="304"/>
      <c r="AX377" s="304"/>
      <c r="AY377" s="304"/>
      <c r="AZ377" s="304"/>
      <c r="BA377" s="304"/>
      <c r="BB377" s="107"/>
      <c r="BC377" s="107"/>
      <c r="BD377" s="107"/>
      <c r="BE377" s="107"/>
      <c r="BF377" s="107"/>
      <c r="BG377" s="107"/>
      <c r="BH377" s="107"/>
      <c r="BI377" s="107"/>
      <c r="BJ377" s="107"/>
      <c r="BK377" s="107"/>
      <c r="BL377" s="107"/>
      <c r="BM377" s="107"/>
      <c r="BN377" s="107"/>
      <c r="BO377" s="107"/>
      <c r="BP377" s="107"/>
      <c r="BQ377" s="107"/>
      <c r="BR377" s="107"/>
    </row>
    <row r="378" customFormat="false" ht="12.75" hidden="false" customHeight="false" outlineLevel="0" collapsed="false">
      <c r="A378" s="277"/>
      <c r="B378" s="277"/>
      <c r="C378" s="277"/>
      <c r="D378" s="277"/>
      <c r="E378" s="277"/>
      <c r="F378" s="277"/>
      <c r="H378" s="277"/>
      <c r="I378" s="277"/>
      <c r="J378" s="69"/>
      <c r="K378" s="277"/>
      <c r="L378" s="277"/>
      <c r="M378" s="277"/>
      <c r="N378" s="277"/>
      <c r="O378" s="277"/>
      <c r="P378" s="277"/>
      <c r="Q378" s="277"/>
      <c r="R378" s="277"/>
      <c r="T378" s="277"/>
      <c r="U378" s="277"/>
      <c r="W378" s="277"/>
      <c r="Y378" s="107"/>
      <c r="Z378" s="107"/>
      <c r="AA378" s="107"/>
      <c r="AB378" s="107"/>
      <c r="AC378" s="107"/>
      <c r="AD378" s="233"/>
      <c r="AE378" s="107"/>
      <c r="AF378" s="107"/>
      <c r="AG378" s="107"/>
      <c r="AH378" s="107"/>
      <c r="AI378" s="107"/>
      <c r="AJ378" s="107"/>
      <c r="AK378" s="107"/>
      <c r="AL378" s="107"/>
      <c r="AM378" s="304"/>
      <c r="AN378" s="304"/>
      <c r="AO378" s="304"/>
      <c r="AP378" s="304"/>
      <c r="AQ378" s="304"/>
      <c r="AR378" s="304"/>
      <c r="AS378" s="304"/>
      <c r="AT378" s="304"/>
      <c r="AU378" s="304"/>
      <c r="AV378" s="304"/>
      <c r="AW378" s="304"/>
      <c r="AX378" s="304"/>
      <c r="AY378" s="304"/>
      <c r="AZ378" s="304"/>
      <c r="BA378" s="304"/>
      <c r="BB378" s="107"/>
      <c r="BC378" s="107"/>
      <c r="BD378" s="107"/>
      <c r="BE378" s="107"/>
      <c r="BF378" s="107"/>
      <c r="BG378" s="107"/>
      <c r="BH378" s="107"/>
      <c r="BI378" s="107"/>
      <c r="BJ378" s="107"/>
      <c r="BK378" s="107"/>
      <c r="BL378" s="107"/>
      <c r="BM378" s="107"/>
      <c r="BN378" s="107"/>
      <c r="BO378" s="107"/>
      <c r="BP378" s="107"/>
      <c r="BQ378" s="107"/>
      <c r="BR378" s="107"/>
    </row>
    <row r="379" customFormat="false" ht="12.75" hidden="false" customHeight="false" outlineLevel="0" collapsed="false">
      <c r="A379" s="277"/>
      <c r="B379" s="277"/>
      <c r="C379" s="277"/>
      <c r="D379" s="277"/>
      <c r="E379" s="277"/>
      <c r="F379" s="277"/>
      <c r="H379" s="277"/>
      <c r="I379" s="277"/>
      <c r="J379" s="69"/>
      <c r="K379" s="277"/>
      <c r="L379" s="277"/>
      <c r="M379" s="277"/>
      <c r="N379" s="277"/>
      <c r="O379" s="277"/>
      <c r="P379" s="277"/>
      <c r="Q379" s="277"/>
      <c r="R379" s="277"/>
      <c r="T379" s="277"/>
      <c r="U379" s="277"/>
      <c r="W379" s="277"/>
      <c r="Y379" s="107"/>
      <c r="Z379" s="107"/>
      <c r="AA379" s="107"/>
      <c r="AB379" s="107"/>
      <c r="AC379" s="107"/>
      <c r="AD379" s="233"/>
      <c r="AE379" s="107"/>
      <c r="AF379" s="107"/>
      <c r="AG379" s="107"/>
      <c r="AH379" s="107"/>
      <c r="AI379" s="107"/>
      <c r="AJ379" s="107"/>
      <c r="AK379" s="107"/>
      <c r="AL379" s="107"/>
      <c r="AM379" s="304"/>
      <c r="AN379" s="304"/>
      <c r="AO379" s="304"/>
      <c r="AP379" s="304"/>
      <c r="AQ379" s="304"/>
      <c r="AR379" s="304"/>
      <c r="AS379" s="304"/>
      <c r="AT379" s="304"/>
      <c r="AU379" s="304"/>
      <c r="AV379" s="304"/>
      <c r="AW379" s="304"/>
      <c r="AX379" s="304"/>
      <c r="AY379" s="304"/>
      <c r="AZ379" s="304"/>
      <c r="BA379" s="304"/>
      <c r="BB379" s="107"/>
      <c r="BC379" s="107"/>
      <c r="BD379" s="107"/>
      <c r="BE379" s="107"/>
      <c r="BF379" s="107"/>
      <c r="BG379" s="107"/>
      <c r="BH379" s="107"/>
      <c r="BI379" s="107"/>
      <c r="BJ379" s="107"/>
      <c r="BK379" s="107"/>
      <c r="BL379" s="107"/>
      <c r="BM379" s="107"/>
      <c r="BN379" s="107"/>
      <c r="BO379" s="107"/>
      <c r="BP379" s="107"/>
      <c r="BQ379" s="107"/>
      <c r="BR379" s="107"/>
    </row>
    <row r="380" customFormat="false" ht="12.75" hidden="false" customHeight="false" outlineLevel="0" collapsed="false">
      <c r="A380" s="277"/>
      <c r="B380" s="277"/>
      <c r="C380" s="277"/>
      <c r="D380" s="277"/>
      <c r="E380" s="277"/>
      <c r="F380" s="277"/>
      <c r="H380" s="277"/>
      <c r="I380" s="277"/>
      <c r="J380" s="69"/>
      <c r="K380" s="277"/>
      <c r="L380" s="277"/>
      <c r="M380" s="277"/>
      <c r="N380" s="277"/>
      <c r="O380" s="277"/>
      <c r="P380" s="277"/>
      <c r="Q380" s="277"/>
      <c r="R380" s="277"/>
      <c r="T380" s="277"/>
      <c r="U380" s="277"/>
      <c r="W380" s="277"/>
      <c r="Y380" s="107"/>
      <c r="Z380" s="107"/>
      <c r="AA380" s="107"/>
      <c r="AB380" s="107"/>
      <c r="AC380" s="107"/>
      <c r="AD380" s="233"/>
      <c r="AE380" s="107"/>
      <c r="AF380" s="107"/>
      <c r="AG380" s="107"/>
      <c r="AH380" s="107"/>
      <c r="AI380" s="107"/>
      <c r="AJ380" s="107"/>
      <c r="AK380" s="107"/>
      <c r="AL380" s="107"/>
      <c r="AM380" s="304"/>
      <c r="AN380" s="304"/>
      <c r="AO380" s="304"/>
      <c r="AP380" s="304"/>
      <c r="AQ380" s="304"/>
      <c r="AR380" s="304"/>
      <c r="AS380" s="304"/>
      <c r="AT380" s="304"/>
      <c r="AU380" s="304"/>
      <c r="AV380" s="304"/>
      <c r="AW380" s="304"/>
      <c r="AX380" s="304"/>
      <c r="AY380" s="304"/>
      <c r="AZ380" s="304"/>
      <c r="BA380" s="304"/>
      <c r="BB380" s="107"/>
      <c r="BC380" s="107"/>
      <c r="BD380" s="107"/>
      <c r="BE380" s="107"/>
      <c r="BF380" s="107"/>
      <c r="BG380" s="107"/>
      <c r="BH380" s="107"/>
      <c r="BI380" s="107"/>
      <c r="BJ380" s="107"/>
      <c r="BK380" s="107"/>
      <c r="BL380" s="107"/>
      <c r="BM380" s="107"/>
      <c r="BN380" s="107"/>
      <c r="BO380" s="107"/>
      <c r="BP380" s="107"/>
      <c r="BQ380" s="107"/>
      <c r="BR380" s="107"/>
    </row>
    <row r="381" customFormat="false" ht="12.75" hidden="false" customHeight="false" outlineLevel="0" collapsed="false">
      <c r="A381" s="277"/>
      <c r="B381" s="277"/>
      <c r="C381" s="277"/>
      <c r="D381" s="277"/>
      <c r="E381" s="277"/>
      <c r="F381" s="277"/>
      <c r="H381" s="277"/>
      <c r="I381" s="277"/>
      <c r="J381" s="69"/>
      <c r="K381" s="277"/>
      <c r="L381" s="277"/>
      <c r="M381" s="277"/>
      <c r="N381" s="277"/>
      <c r="O381" s="277"/>
      <c r="P381" s="277"/>
      <c r="Q381" s="277"/>
      <c r="R381" s="277"/>
      <c r="T381" s="277"/>
      <c r="U381" s="277"/>
      <c r="W381" s="277"/>
      <c r="Y381" s="107"/>
      <c r="Z381" s="107"/>
      <c r="AA381" s="107"/>
      <c r="AB381" s="107"/>
      <c r="AC381" s="107"/>
      <c r="AD381" s="233"/>
      <c r="AE381" s="107"/>
      <c r="AF381" s="107"/>
      <c r="AG381" s="107"/>
      <c r="AH381" s="107"/>
      <c r="AI381" s="107"/>
      <c r="AJ381" s="107"/>
      <c r="AK381" s="107"/>
      <c r="AL381" s="107"/>
      <c r="AM381" s="304"/>
      <c r="AN381" s="304"/>
      <c r="AO381" s="304"/>
      <c r="AP381" s="304"/>
      <c r="AQ381" s="304"/>
      <c r="AR381" s="304"/>
      <c r="AS381" s="304"/>
      <c r="AT381" s="304"/>
      <c r="AU381" s="304"/>
      <c r="AV381" s="304"/>
      <c r="AW381" s="304"/>
      <c r="AX381" s="304"/>
      <c r="AY381" s="304"/>
      <c r="AZ381" s="304"/>
      <c r="BA381" s="304"/>
      <c r="BB381" s="107"/>
      <c r="BC381" s="107"/>
      <c r="BD381" s="107"/>
      <c r="BE381" s="107"/>
      <c r="BF381" s="107"/>
      <c r="BG381" s="107"/>
      <c r="BH381" s="107"/>
      <c r="BI381" s="107"/>
      <c r="BJ381" s="107"/>
      <c r="BK381" s="107"/>
      <c r="BL381" s="107"/>
      <c r="BM381" s="107"/>
      <c r="BN381" s="107"/>
      <c r="BO381" s="107"/>
      <c r="BP381" s="107"/>
      <c r="BQ381" s="107"/>
      <c r="BR381" s="107"/>
    </row>
    <row r="382" customFormat="false" ht="12.75" hidden="false" customHeight="false" outlineLevel="0" collapsed="false">
      <c r="A382" s="277"/>
      <c r="B382" s="277"/>
      <c r="C382" s="277"/>
      <c r="D382" s="277"/>
      <c r="E382" s="277"/>
      <c r="F382" s="277"/>
      <c r="H382" s="277"/>
      <c r="I382" s="277"/>
      <c r="J382" s="69"/>
      <c r="K382" s="277"/>
      <c r="L382" s="277"/>
      <c r="M382" s="277"/>
      <c r="N382" s="277"/>
      <c r="O382" s="277"/>
      <c r="P382" s="277"/>
      <c r="Q382" s="277"/>
      <c r="R382" s="277"/>
      <c r="T382" s="277"/>
      <c r="U382" s="277"/>
      <c r="W382" s="277"/>
      <c r="Y382" s="107"/>
      <c r="Z382" s="107"/>
      <c r="AA382" s="107"/>
      <c r="AB382" s="107"/>
      <c r="AC382" s="107"/>
      <c r="AD382" s="233"/>
      <c r="AE382" s="107"/>
      <c r="AF382" s="107"/>
      <c r="AG382" s="107"/>
      <c r="AH382" s="107"/>
      <c r="AI382" s="107"/>
      <c r="AJ382" s="107"/>
      <c r="AK382" s="107"/>
      <c r="AL382" s="107"/>
      <c r="AM382" s="304"/>
      <c r="AN382" s="304"/>
      <c r="AO382" s="304"/>
      <c r="AP382" s="304"/>
      <c r="AQ382" s="304"/>
      <c r="AR382" s="304"/>
      <c r="AS382" s="304"/>
      <c r="AT382" s="304"/>
      <c r="AU382" s="304"/>
      <c r="AV382" s="304"/>
      <c r="AW382" s="304"/>
      <c r="AX382" s="304"/>
      <c r="AY382" s="304"/>
      <c r="AZ382" s="304"/>
      <c r="BA382" s="304"/>
      <c r="BB382" s="107"/>
      <c r="BC382" s="107"/>
      <c r="BD382" s="107"/>
      <c r="BE382" s="107"/>
      <c r="BF382" s="107"/>
      <c r="BG382" s="107"/>
      <c r="BH382" s="107"/>
      <c r="BI382" s="107"/>
      <c r="BJ382" s="107"/>
      <c r="BK382" s="107"/>
      <c r="BL382" s="107"/>
      <c r="BM382" s="107"/>
      <c r="BN382" s="107"/>
      <c r="BO382" s="107"/>
      <c r="BP382" s="107"/>
      <c r="BQ382" s="107"/>
      <c r="BR382" s="107"/>
    </row>
    <row r="383" customFormat="false" ht="12.75" hidden="false" customHeight="false" outlineLevel="0" collapsed="false">
      <c r="A383" s="277"/>
      <c r="B383" s="277"/>
      <c r="C383" s="277"/>
      <c r="D383" s="277"/>
      <c r="E383" s="277"/>
      <c r="F383" s="277"/>
      <c r="H383" s="277"/>
      <c r="I383" s="277"/>
      <c r="J383" s="69"/>
      <c r="K383" s="277"/>
      <c r="L383" s="277"/>
      <c r="M383" s="277"/>
      <c r="N383" s="277"/>
      <c r="O383" s="277"/>
      <c r="P383" s="277"/>
      <c r="Q383" s="277"/>
      <c r="R383" s="277"/>
      <c r="T383" s="277"/>
      <c r="U383" s="277"/>
      <c r="W383" s="277"/>
      <c r="Y383" s="107"/>
      <c r="Z383" s="107"/>
      <c r="AA383" s="107"/>
      <c r="AB383" s="107"/>
      <c r="AC383" s="107"/>
      <c r="AD383" s="233"/>
      <c r="AE383" s="107"/>
      <c r="AF383" s="107"/>
      <c r="AG383" s="107"/>
      <c r="AH383" s="107"/>
      <c r="AI383" s="107"/>
      <c r="AJ383" s="107"/>
      <c r="AK383" s="107"/>
      <c r="AL383" s="107"/>
      <c r="AM383" s="304"/>
      <c r="AN383" s="304"/>
      <c r="AO383" s="304"/>
      <c r="AP383" s="304"/>
      <c r="AQ383" s="304"/>
      <c r="AR383" s="304"/>
      <c r="AS383" s="304"/>
      <c r="AT383" s="304"/>
      <c r="AU383" s="304"/>
      <c r="AV383" s="304"/>
      <c r="AW383" s="304"/>
      <c r="AX383" s="304"/>
      <c r="AY383" s="304"/>
      <c r="AZ383" s="304"/>
      <c r="BA383" s="304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</row>
    <row r="384" customFormat="false" ht="12.75" hidden="false" customHeight="false" outlineLevel="0" collapsed="false">
      <c r="A384" s="277"/>
      <c r="B384" s="277"/>
      <c r="C384" s="277"/>
      <c r="D384" s="277"/>
      <c r="E384" s="277"/>
      <c r="F384" s="277"/>
      <c r="H384" s="277"/>
      <c r="I384" s="277"/>
      <c r="J384" s="69"/>
      <c r="K384" s="277"/>
      <c r="L384" s="277"/>
      <c r="M384" s="277"/>
      <c r="N384" s="277"/>
      <c r="O384" s="277"/>
      <c r="P384" s="277"/>
      <c r="Q384" s="277"/>
      <c r="R384" s="277"/>
      <c r="T384" s="277"/>
      <c r="U384" s="277"/>
      <c r="W384" s="277"/>
      <c r="Y384" s="107"/>
      <c r="Z384" s="107"/>
      <c r="AA384" s="107"/>
      <c r="AB384" s="107"/>
      <c r="AC384" s="107"/>
      <c r="AD384" s="233"/>
      <c r="AE384" s="107"/>
      <c r="AF384" s="107"/>
      <c r="AG384" s="107"/>
      <c r="AH384" s="107"/>
      <c r="AI384" s="107"/>
      <c r="AJ384" s="107"/>
      <c r="AK384" s="107"/>
      <c r="AL384" s="107"/>
      <c r="AM384" s="304"/>
      <c r="AN384" s="304"/>
      <c r="AO384" s="304"/>
      <c r="AP384" s="304"/>
      <c r="AQ384" s="304"/>
      <c r="AR384" s="304"/>
      <c r="AS384" s="304"/>
      <c r="AT384" s="304"/>
      <c r="AU384" s="304"/>
      <c r="AV384" s="304"/>
      <c r="AW384" s="304"/>
      <c r="AX384" s="304"/>
      <c r="AY384" s="304"/>
      <c r="AZ384" s="304"/>
      <c r="BA384" s="304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</row>
    <row r="385" customFormat="false" ht="12.75" hidden="false" customHeight="false" outlineLevel="0" collapsed="false">
      <c r="A385" s="277"/>
      <c r="B385" s="277"/>
      <c r="C385" s="277"/>
      <c r="D385" s="277"/>
      <c r="E385" s="277"/>
      <c r="F385" s="277"/>
      <c r="H385" s="277"/>
      <c r="I385" s="277"/>
      <c r="J385" s="69"/>
      <c r="K385" s="277"/>
      <c r="L385" s="277"/>
      <c r="M385" s="277"/>
      <c r="N385" s="277"/>
      <c r="O385" s="277"/>
      <c r="P385" s="277"/>
      <c r="Q385" s="277"/>
      <c r="R385" s="277"/>
      <c r="T385" s="277"/>
      <c r="U385" s="277"/>
      <c r="W385" s="277"/>
      <c r="Y385" s="107"/>
      <c r="Z385" s="107"/>
      <c r="AA385" s="107"/>
      <c r="AB385" s="107"/>
      <c r="AC385" s="107"/>
      <c r="AD385" s="233"/>
      <c r="AE385" s="107"/>
      <c r="AF385" s="107"/>
      <c r="AG385" s="107"/>
      <c r="AH385" s="107"/>
      <c r="AI385" s="107"/>
      <c r="AJ385" s="107"/>
      <c r="AK385" s="107"/>
      <c r="AL385" s="107"/>
      <c r="AM385" s="304"/>
      <c r="AN385" s="304"/>
      <c r="AO385" s="304"/>
      <c r="AP385" s="304"/>
      <c r="AQ385" s="304"/>
      <c r="AR385" s="304"/>
      <c r="AS385" s="304"/>
      <c r="AT385" s="304"/>
      <c r="AU385" s="304"/>
      <c r="AV385" s="304"/>
      <c r="AW385" s="304"/>
      <c r="AX385" s="304"/>
      <c r="AY385" s="304"/>
      <c r="AZ385" s="304"/>
      <c r="BA385" s="304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</row>
    <row r="386" customFormat="false" ht="12.75" hidden="false" customHeight="false" outlineLevel="0" collapsed="false">
      <c r="A386" s="277"/>
      <c r="B386" s="277"/>
      <c r="C386" s="277"/>
      <c r="D386" s="277"/>
      <c r="E386" s="277"/>
      <c r="F386" s="277"/>
      <c r="H386" s="277"/>
      <c r="I386" s="277"/>
      <c r="J386" s="69"/>
      <c r="K386" s="277"/>
      <c r="L386" s="277"/>
      <c r="M386" s="277"/>
      <c r="N386" s="277"/>
      <c r="O386" s="277"/>
      <c r="P386" s="277"/>
      <c r="Q386" s="277"/>
      <c r="R386" s="277"/>
      <c r="T386" s="277"/>
      <c r="U386" s="277"/>
      <c r="W386" s="277"/>
      <c r="Y386" s="107"/>
      <c r="Z386" s="107"/>
      <c r="AA386" s="107"/>
      <c r="AB386" s="107"/>
      <c r="AC386" s="107"/>
      <c r="AD386" s="233"/>
      <c r="AE386" s="107"/>
      <c r="AF386" s="107"/>
      <c r="AG386" s="107"/>
      <c r="AH386" s="107"/>
      <c r="AI386" s="107"/>
      <c r="AJ386" s="107"/>
      <c r="AK386" s="107"/>
      <c r="AL386" s="107"/>
      <c r="AM386" s="304"/>
      <c r="AN386" s="304"/>
      <c r="AO386" s="304"/>
      <c r="AP386" s="304"/>
      <c r="AQ386" s="304"/>
      <c r="AR386" s="304"/>
      <c r="AS386" s="304"/>
      <c r="AT386" s="304"/>
      <c r="AU386" s="304"/>
      <c r="AV386" s="304"/>
      <c r="AW386" s="304"/>
      <c r="AX386" s="304"/>
      <c r="AY386" s="304"/>
      <c r="AZ386" s="304"/>
      <c r="BA386" s="304"/>
      <c r="BB386" s="107"/>
      <c r="BC386" s="107"/>
      <c r="BD386" s="107"/>
      <c r="BE386" s="107"/>
      <c r="BF386" s="107"/>
      <c r="BG386" s="107"/>
      <c r="BH386" s="107"/>
      <c r="BI386" s="107"/>
      <c r="BJ386" s="107"/>
      <c r="BK386" s="107"/>
      <c r="BL386" s="107"/>
      <c r="BM386" s="107"/>
      <c r="BN386" s="107"/>
      <c r="BO386" s="107"/>
      <c r="BP386" s="107"/>
      <c r="BQ386" s="107"/>
      <c r="BR386" s="107"/>
    </row>
    <row r="387" customFormat="false" ht="12.75" hidden="false" customHeight="false" outlineLevel="0" collapsed="false">
      <c r="A387" s="277"/>
      <c r="B387" s="277"/>
      <c r="C387" s="277"/>
      <c r="D387" s="277"/>
      <c r="E387" s="277"/>
      <c r="F387" s="277"/>
      <c r="H387" s="277"/>
      <c r="I387" s="277"/>
      <c r="J387" s="69"/>
      <c r="K387" s="277"/>
      <c r="L387" s="277"/>
      <c r="M387" s="277"/>
      <c r="N387" s="277"/>
      <c r="O387" s="277"/>
      <c r="P387" s="277"/>
      <c r="Q387" s="277"/>
      <c r="R387" s="277"/>
      <c r="T387" s="277"/>
      <c r="U387" s="277"/>
      <c r="W387" s="277"/>
      <c r="Y387" s="107"/>
      <c r="Z387" s="107"/>
      <c r="AA387" s="107"/>
      <c r="AB387" s="107"/>
      <c r="AC387" s="107"/>
      <c r="AD387" s="233"/>
      <c r="AE387" s="107"/>
      <c r="AF387" s="107"/>
      <c r="AG387" s="107"/>
      <c r="AH387" s="107"/>
      <c r="AI387" s="107"/>
      <c r="AJ387" s="107"/>
      <c r="AK387" s="107"/>
      <c r="AL387" s="107"/>
      <c r="AM387" s="304"/>
      <c r="AN387" s="304"/>
      <c r="AO387" s="304"/>
      <c r="AP387" s="304"/>
      <c r="AQ387" s="304"/>
      <c r="AR387" s="304"/>
      <c r="AS387" s="304"/>
      <c r="AT387" s="304"/>
      <c r="AU387" s="304"/>
      <c r="AV387" s="304"/>
      <c r="AW387" s="304"/>
      <c r="AX387" s="304"/>
      <c r="AY387" s="304"/>
      <c r="AZ387" s="304"/>
      <c r="BA387" s="304"/>
      <c r="BB387" s="107"/>
      <c r="BC387" s="107"/>
      <c r="BD387" s="107"/>
      <c r="BE387" s="107"/>
      <c r="BF387" s="107"/>
      <c r="BG387" s="107"/>
      <c r="BH387" s="107"/>
      <c r="BI387" s="107"/>
      <c r="BJ387" s="107"/>
      <c r="BK387" s="107"/>
      <c r="BL387" s="107"/>
      <c r="BM387" s="107"/>
      <c r="BN387" s="107"/>
      <c r="BO387" s="107"/>
      <c r="BP387" s="107"/>
      <c r="BQ387" s="107"/>
      <c r="BR387" s="107"/>
    </row>
    <row r="388" customFormat="false" ht="12.75" hidden="false" customHeight="false" outlineLevel="0" collapsed="false">
      <c r="A388" s="277"/>
      <c r="B388" s="277"/>
      <c r="C388" s="277"/>
      <c r="D388" s="277"/>
      <c r="E388" s="277"/>
      <c r="F388" s="277"/>
      <c r="H388" s="277"/>
      <c r="I388" s="277"/>
      <c r="J388" s="69"/>
      <c r="K388" s="277"/>
      <c r="L388" s="277"/>
      <c r="M388" s="277"/>
      <c r="N388" s="277"/>
      <c r="O388" s="277"/>
      <c r="P388" s="277"/>
      <c r="Q388" s="277"/>
      <c r="R388" s="277"/>
      <c r="T388" s="277"/>
      <c r="U388" s="277"/>
      <c r="W388" s="277"/>
      <c r="Y388" s="107"/>
      <c r="Z388" s="107"/>
      <c r="AA388" s="107"/>
      <c r="AB388" s="107"/>
      <c r="AC388" s="107"/>
      <c r="AD388" s="233"/>
      <c r="AE388" s="107"/>
      <c r="AF388" s="107"/>
      <c r="AG388" s="107"/>
      <c r="AH388" s="107"/>
      <c r="AI388" s="107"/>
      <c r="AJ388" s="107"/>
      <c r="AK388" s="107"/>
      <c r="AL388" s="107"/>
      <c r="AM388" s="304"/>
      <c r="AN388" s="304"/>
      <c r="AO388" s="304"/>
      <c r="AP388" s="304"/>
      <c r="AQ388" s="304"/>
      <c r="AR388" s="304"/>
      <c r="AS388" s="304"/>
      <c r="AT388" s="304"/>
      <c r="AU388" s="304"/>
      <c r="AV388" s="304"/>
      <c r="AW388" s="304"/>
      <c r="AX388" s="304"/>
      <c r="AY388" s="304"/>
      <c r="AZ388" s="304"/>
      <c r="BA388" s="304"/>
      <c r="BB388" s="107"/>
      <c r="BC388" s="107"/>
      <c r="BD388" s="107"/>
      <c r="BE388" s="107"/>
      <c r="BF388" s="107"/>
      <c r="BG388" s="107"/>
      <c r="BH388" s="107"/>
      <c r="BI388" s="107"/>
      <c r="BJ388" s="107"/>
      <c r="BK388" s="107"/>
      <c r="BL388" s="107"/>
      <c r="BM388" s="107"/>
      <c r="BN388" s="107"/>
      <c r="BO388" s="107"/>
      <c r="BP388" s="107"/>
      <c r="BQ388" s="107"/>
      <c r="BR388" s="107"/>
    </row>
    <row r="389" customFormat="false" ht="12.75" hidden="false" customHeight="false" outlineLevel="0" collapsed="false">
      <c r="A389" s="277"/>
      <c r="B389" s="277"/>
      <c r="C389" s="277"/>
      <c r="D389" s="277"/>
      <c r="E389" s="277"/>
      <c r="F389" s="277"/>
      <c r="H389" s="277"/>
      <c r="I389" s="277"/>
      <c r="J389" s="69"/>
      <c r="K389" s="277"/>
      <c r="L389" s="277"/>
      <c r="M389" s="277"/>
      <c r="N389" s="277"/>
      <c r="O389" s="277"/>
      <c r="P389" s="277"/>
      <c r="Q389" s="277"/>
      <c r="R389" s="277"/>
      <c r="T389" s="277"/>
      <c r="U389" s="277"/>
      <c r="W389" s="277"/>
      <c r="Y389" s="107"/>
      <c r="Z389" s="107"/>
      <c r="AA389" s="107"/>
      <c r="AB389" s="107"/>
      <c r="AC389" s="107"/>
      <c r="AD389" s="233"/>
      <c r="AE389" s="107"/>
      <c r="AF389" s="107"/>
      <c r="AG389" s="107"/>
      <c r="AH389" s="107"/>
      <c r="AI389" s="107"/>
      <c r="AJ389" s="107"/>
      <c r="AK389" s="107"/>
      <c r="AL389" s="107"/>
      <c r="AM389" s="304"/>
      <c r="AN389" s="304"/>
      <c r="AO389" s="304"/>
      <c r="AP389" s="304"/>
      <c r="AQ389" s="304"/>
      <c r="AR389" s="304"/>
      <c r="AS389" s="304"/>
      <c r="AT389" s="304"/>
      <c r="AU389" s="304"/>
      <c r="AV389" s="304"/>
      <c r="AW389" s="304"/>
      <c r="AX389" s="304"/>
      <c r="AY389" s="304"/>
      <c r="AZ389" s="304"/>
      <c r="BA389" s="304"/>
      <c r="BB389" s="107"/>
      <c r="BC389" s="107"/>
      <c r="BD389" s="107"/>
      <c r="BE389" s="107"/>
      <c r="BF389" s="107"/>
      <c r="BG389" s="107"/>
      <c r="BH389" s="107"/>
      <c r="BI389" s="107"/>
      <c r="BJ389" s="107"/>
      <c r="BK389" s="107"/>
      <c r="BL389" s="107"/>
      <c r="BM389" s="107"/>
      <c r="BN389" s="107"/>
      <c r="BO389" s="107"/>
      <c r="BP389" s="107"/>
      <c r="BQ389" s="107"/>
      <c r="BR389" s="107"/>
    </row>
    <row r="390" customFormat="false" ht="12.75" hidden="false" customHeight="false" outlineLevel="0" collapsed="false">
      <c r="A390" s="277"/>
      <c r="B390" s="277"/>
      <c r="C390" s="277"/>
      <c r="D390" s="277"/>
      <c r="E390" s="277"/>
      <c r="F390" s="277"/>
      <c r="H390" s="277"/>
      <c r="I390" s="277"/>
      <c r="J390" s="69"/>
      <c r="K390" s="277"/>
      <c r="L390" s="277"/>
      <c r="M390" s="277"/>
      <c r="N390" s="277"/>
      <c r="O390" s="277"/>
      <c r="P390" s="277"/>
      <c r="Q390" s="277"/>
      <c r="R390" s="277"/>
      <c r="T390" s="277"/>
      <c r="U390" s="277"/>
      <c r="W390" s="277"/>
      <c r="Y390" s="107"/>
      <c r="Z390" s="107"/>
      <c r="AA390" s="107"/>
      <c r="AB390" s="107"/>
      <c r="AC390" s="107"/>
      <c r="AD390" s="233"/>
      <c r="AE390" s="107"/>
      <c r="AF390" s="107"/>
      <c r="AG390" s="107"/>
      <c r="AH390" s="107"/>
      <c r="AI390" s="107"/>
      <c r="AJ390" s="107"/>
      <c r="AK390" s="107"/>
      <c r="AL390" s="107"/>
      <c r="AM390" s="304"/>
      <c r="AN390" s="304"/>
      <c r="AO390" s="304"/>
      <c r="AP390" s="304"/>
      <c r="AQ390" s="304"/>
      <c r="AR390" s="304"/>
      <c r="AS390" s="304"/>
      <c r="AT390" s="304"/>
      <c r="AU390" s="304"/>
      <c r="AV390" s="304"/>
      <c r="AW390" s="304"/>
      <c r="AX390" s="304"/>
      <c r="AY390" s="304"/>
      <c r="AZ390" s="304"/>
      <c r="BA390" s="304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</row>
    <row r="391" customFormat="false" ht="12.75" hidden="false" customHeight="false" outlineLevel="0" collapsed="false">
      <c r="A391" s="277"/>
      <c r="B391" s="277"/>
      <c r="C391" s="277"/>
      <c r="D391" s="277"/>
      <c r="E391" s="277"/>
      <c r="F391" s="277"/>
      <c r="H391" s="277"/>
      <c r="I391" s="277"/>
      <c r="J391" s="69"/>
      <c r="K391" s="277"/>
      <c r="L391" s="277"/>
      <c r="M391" s="277"/>
      <c r="N391" s="277"/>
      <c r="O391" s="277"/>
      <c r="P391" s="277"/>
      <c r="Q391" s="277"/>
      <c r="R391" s="277"/>
      <c r="T391" s="277"/>
      <c r="U391" s="277"/>
      <c r="W391" s="277"/>
      <c r="Y391" s="107"/>
      <c r="Z391" s="107"/>
      <c r="AA391" s="107"/>
      <c r="AB391" s="107"/>
      <c r="AC391" s="107"/>
      <c r="AD391" s="233"/>
      <c r="AE391" s="107"/>
      <c r="AF391" s="107"/>
      <c r="AG391" s="107"/>
      <c r="AH391" s="107"/>
      <c r="AI391" s="107"/>
      <c r="AJ391" s="107"/>
      <c r="AK391" s="107"/>
      <c r="AL391" s="107"/>
      <c r="AM391" s="304"/>
      <c r="AN391" s="304"/>
      <c r="AO391" s="304"/>
      <c r="AP391" s="304"/>
      <c r="AQ391" s="304"/>
      <c r="AR391" s="304"/>
      <c r="AS391" s="304"/>
      <c r="AT391" s="304"/>
      <c r="AU391" s="304"/>
      <c r="AV391" s="304"/>
      <c r="AW391" s="304"/>
      <c r="AX391" s="304"/>
      <c r="AY391" s="304"/>
      <c r="AZ391" s="304"/>
      <c r="BA391" s="304"/>
      <c r="BB391" s="107"/>
      <c r="BC391" s="107"/>
      <c r="BD391" s="107"/>
      <c r="BE391" s="107"/>
      <c r="BF391" s="107"/>
      <c r="BG391" s="107"/>
      <c r="BH391" s="107"/>
      <c r="BI391" s="107"/>
      <c r="BJ391" s="107"/>
      <c r="BK391" s="107"/>
      <c r="BL391" s="107"/>
      <c r="BM391" s="107"/>
      <c r="BN391" s="107"/>
      <c r="BO391" s="107"/>
      <c r="BP391" s="107"/>
      <c r="BQ391" s="107"/>
      <c r="BR391" s="107"/>
    </row>
    <row r="392" customFormat="false" ht="12.75" hidden="false" customHeight="false" outlineLevel="0" collapsed="false">
      <c r="A392" s="277"/>
      <c r="B392" s="277"/>
      <c r="C392" s="277"/>
      <c r="D392" s="277"/>
      <c r="E392" s="277"/>
      <c r="F392" s="277"/>
      <c r="H392" s="277"/>
      <c r="I392" s="277"/>
      <c r="J392" s="69"/>
      <c r="K392" s="277"/>
      <c r="L392" s="277"/>
      <c r="M392" s="277"/>
      <c r="N392" s="277"/>
      <c r="O392" s="277"/>
      <c r="P392" s="277"/>
      <c r="Q392" s="277"/>
      <c r="R392" s="277"/>
      <c r="T392" s="277"/>
      <c r="U392" s="277"/>
      <c r="W392" s="277"/>
      <c r="Y392" s="107"/>
      <c r="Z392" s="107"/>
      <c r="AA392" s="107"/>
      <c r="AB392" s="107"/>
      <c r="AC392" s="107"/>
      <c r="AD392" s="233"/>
      <c r="AE392" s="107"/>
      <c r="AF392" s="107"/>
      <c r="AG392" s="107"/>
      <c r="AH392" s="107"/>
      <c r="AI392" s="107"/>
      <c r="AJ392" s="107"/>
      <c r="AK392" s="107"/>
      <c r="AL392" s="107"/>
      <c r="AM392" s="304"/>
      <c r="AN392" s="304"/>
      <c r="AO392" s="304"/>
      <c r="AP392" s="304"/>
      <c r="AQ392" s="304"/>
      <c r="AR392" s="304"/>
      <c r="AS392" s="304"/>
      <c r="AT392" s="304"/>
      <c r="AU392" s="304"/>
      <c r="AV392" s="304"/>
      <c r="AW392" s="304"/>
      <c r="AX392" s="304"/>
      <c r="AY392" s="304"/>
      <c r="AZ392" s="304"/>
      <c r="BA392" s="304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</row>
    <row r="393" customFormat="false" ht="12.75" hidden="false" customHeight="false" outlineLevel="0" collapsed="false">
      <c r="A393" s="277"/>
      <c r="B393" s="277"/>
      <c r="C393" s="277"/>
      <c r="D393" s="277"/>
      <c r="E393" s="277"/>
      <c r="F393" s="277"/>
      <c r="H393" s="277"/>
      <c r="I393" s="277"/>
      <c r="J393" s="69"/>
      <c r="K393" s="277"/>
      <c r="L393" s="277"/>
      <c r="M393" s="277"/>
      <c r="N393" s="277"/>
      <c r="O393" s="277"/>
      <c r="P393" s="277"/>
      <c r="Q393" s="277"/>
      <c r="R393" s="277"/>
      <c r="T393" s="277"/>
      <c r="U393" s="277"/>
      <c r="W393" s="277"/>
      <c r="Y393" s="107"/>
      <c r="Z393" s="107"/>
      <c r="AA393" s="107"/>
      <c r="AB393" s="107"/>
      <c r="AC393" s="107"/>
      <c r="AD393" s="233"/>
      <c r="AE393" s="107"/>
      <c r="AF393" s="107"/>
      <c r="AG393" s="107"/>
      <c r="AH393" s="107"/>
      <c r="AI393" s="107"/>
      <c r="AJ393" s="107"/>
      <c r="AK393" s="107"/>
      <c r="AL393" s="107"/>
      <c r="AM393" s="304"/>
      <c r="AN393" s="304"/>
      <c r="AO393" s="304"/>
      <c r="AP393" s="304"/>
      <c r="AQ393" s="304"/>
      <c r="AR393" s="304"/>
      <c r="AS393" s="304"/>
      <c r="AT393" s="304"/>
      <c r="AU393" s="304"/>
      <c r="AV393" s="304"/>
      <c r="AW393" s="304"/>
      <c r="AX393" s="304"/>
      <c r="AY393" s="304"/>
      <c r="AZ393" s="304"/>
      <c r="BA393" s="304"/>
      <c r="BB393" s="107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</row>
    <row r="394" customFormat="false" ht="12.75" hidden="false" customHeight="false" outlineLevel="0" collapsed="false">
      <c r="A394" s="277"/>
      <c r="B394" s="277"/>
      <c r="C394" s="277"/>
      <c r="D394" s="277"/>
      <c r="E394" s="277"/>
      <c r="F394" s="277"/>
      <c r="H394" s="277"/>
      <c r="I394" s="277"/>
      <c r="J394" s="69"/>
      <c r="K394" s="277"/>
      <c r="L394" s="277"/>
      <c r="M394" s="277"/>
      <c r="N394" s="277"/>
      <c r="O394" s="277"/>
      <c r="P394" s="277"/>
      <c r="Q394" s="277"/>
      <c r="R394" s="277"/>
      <c r="T394" s="277"/>
      <c r="U394" s="277"/>
      <c r="W394" s="277"/>
      <c r="Y394" s="107"/>
      <c r="Z394" s="107"/>
      <c r="AA394" s="107"/>
      <c r="AB394" s="107"/>
      <c r="AC394" s="107"/>
      <c r="AD394" s="233"/>
      <c r="AE394" s="107"/>
      <c r="AF394" s="107"/>
      <c r="AG394" s="107"/>
      <c r="AH394" s="107"/>
      <c r="AI394" s="107"/>
      <c r="AJ394" s="107"/>
      <c r="AK394" s="107"/>
      <c r="AL394" s="107"/>
      <c r="AM394" s="304"/>
      <c r="AN394" s="304"/>
      <c r="AO394" s="304"/>
      <c r="AP394" s="304"/>
      <c r="AQ394" s="304"/>
      <c r="AR394" s="304"/>
      <c r="AS394" s="304"/>
      <c r="AT394" s="304"/>
      <c r="AU394" s="304"/>
      <c r="AV394" s="304"/>
      <c r="AW394" s="304"/>
      <c r="AX394" s="304"/>
      <c r="AY394" s="304"/>
      <c r="AZ394" s="304"/>
      <c r="BA394" s="304"/>
      <c r="BB394" s="107"/>
      <c r="BC394" s="107"/>
      <c r="BD394" s="107"/>
      <c r="BE394" s="107"/>
      <c r="BF394" s="107"/>
      <c r="BG394" s="107"/>
      <c r="BH394" s="107"/>
      <c r="BI394" s="107"/>
      <c r="BJ394" s="107"/>
      <c r="BK394" s="107"/>
      <c r="BL394" s="107"/>
      <c r="BM394" s="107"/>
      <c r="BN394" s="107"/>
      <c r="BO394" s="107"/>
      <c r="BP394" s="107"/>
      <c r="BQ394" s="107"/>
      <c r="BR394" s="107"/>
    </row>
    <row r="395" customFormat="false" ht="12.75" hidden="false" customHeight="false" outlineLevel="0" collapsed="false">
      <c r="A395" s="277"/>
      <c r="B395" s="277"/>
      <c r="C395" s="277"/>
      <c r="D395" s="277"/>
      <c r="E395" s="277"/>
      <c r="F395" s="277"/>
      <c r="H395" s="277"/>
      <c r="I395" s="277"/>
      <c r="J395" s="69"/>
      <c r="K395" s="277"/>
      <c r="L395" s="277"/>
      <c r="M395" s="277"/>
      <c r="N395" s="277"/>
      <c r="O395" s="277"/>
      <c r="P395" s="277"/>
      <c r="Q395" s="277"/>
      <c r="R395" s="277"/>
      <c r="T395" s="277"/>
      <c r="U395" s="277"/>
      <c r="W395" s="277"/>
      <c r="Y395" s="107"/>
      <c r="Z395" s="107"/>
      <c r="AA395" s="107"/>
      <c r="AB395" s="107"/>
      <c r="AC395" s="107"/>
      <c r="AD395" s="233"/>
      <c r="AE395" s="107"/>
      <c r="AF395" s="107"/>
      <c r="AG395" s="107"/>
      <c r="AH395" s="107"/>
      <c r="AI395" s="107"/>
      <c r="AJ395" s="107"/>
      <c r="AK395" s="107"/>
      <c r="AL395" s="107"/>
      <c r="AM395" s="304"/>
      <c r="AN395" s="304"/>
      <c r="AO395" s="304"/>
      <c r="AP395" s="304"/>
      <c r="AQ395" s="304"/>
      <c r="AR395" s="304"/>
      <c r="AS395" s="304"/>
      <c r="AT395" s="304"/>
      <c r="AU395" s="304"/>
      <c r="AV395" s="304"/>
      <c r="AW395" s="304"/>
      <c r="AX395" s="304"/>
      <c r="AY395" s="304"/>
      <c r="AZ395" s="304"/>
      <c r="BA395" s="304"/>
      <c r="BB395" s="107"/>
      <c r="BC395" s="107"/>
      <c r="BD395" s="107"/>
      <c r="BE395" s="107"/>
      <c r="BF395" s="107"/>
      <c r="BG395" s="107"/>
      <c r="BH395" s="107"/>
      <c r="BI395" s="107"/>
      <c r="BJ395" s="107"/>
      <c r="BK395" s="107"/>
      <c r="BL395" s="107"/>
      <c r="BM395" s="107"/>
      <c r="BN395" s="107"/>
      <c r="BO395" s="107"/>
      <c r="BP395" s="107"/>
      <c r="BQ395" s="107"/>
      <c r="BR395" s="107"/>
    </row>
    <row r="396" customFormat="false" ht="12.75" hidden="false" customHeight="false" outlineLevel="0" collapsed="false">
      <c r="A396" s="277"/>
      <c r="B396" s="277"/>
      <c r="C396" s="277"/>
      <c r="D396" s="277"/>
      <c r="E396" s="277"/>
      <c r="F396" s="277"/>
      <c r="H396" s="277"/>
      <c r="I396" s="277"/>
      <c r="J396" s="69"/>
      <c r="K396" s="277"/>
      <c r="L396" s="277"/>
      <c r="M396" s="277"/>
      <c r="N396" s="277"/>
      <c r="O396" s="277"/>
      <c r="P396" s="277"/>
      <c r="Q396" s="277"/>
      <c r="R396" s="277"/>
      <c r="T396" s="277"/>
      <c r="U396" s="277"/>
      <c r="W396" s="277"/>
      <c r="Y396" s="107"/>
      <c r="Z396" s="107"/>
      <c r="AA396" s="107"/>
      <c r="AB396" s="107"/>
      <c r="AC396" s="107"/>
      <c r="AD396" s="233"/>
      <c r="AE396" s="107"/>
      <c r="AF396" s="107"/>
      <c r="AG396" s="107"/>
      <c r="AH396" s="107"/>
      <c r="AI396" s="107"/>
      <c r="AJ396" s="107"/>
      <c r="AK396" s="107"/>
      <c r="AL396" s="107"/>
      <c r="AM396" s="304"/>
      <c r="AN396" s="304"/>
      <c r="AO396" s="304"/>
      <c r="AP396" s="304"/>
      <c r="AQ396" s="304"/>
      <c r="AR396" s="304"/>
      <c r="AS396" s="304"/>
      <c r="AT396" s="304"/>
      <c r="AU396" s="304"/>
      <c r="AV396" s="304"/>
      <c r="AW396" s="304"/>
      <c r="AX396" s="304"/>
      <c r="AY396" s="304"/>
      <c r="AZ396" s="304"/>
      <c r="BA396" s="304"/>
      <c r="BB396" s="107"/>
      <c r="BC396" s="107"/>
      <c r="BD396" s="107"/>
      <c r="BE396" s="107"/>
      <c r="BF396" s="107"/>
      <c r="BG396" s="107"/>
      <c r="BH396" s="107"/>
      <c r="BI396" s="107"/>
      <c r="BJ396" s="107"/>
      <c r="BK396" s="107"/>
      <c r="BL396" s="107"/>
      <c r="BM396" s="107"/>
      <c r="BN396" s="107"/>
      <c r="BO396" s="107"/>
      <c r="BP396" s="107"/>
      <c r="BQ396" s="107"/>
      <c r="BR396" s="107"/>
    </row>
    <row r="397" customFormat="false" ht="12.75" hidden="false" customHeight="false" outlineLevel="0" collapsed="false">
      <c r="A397" s="277"/>
      <c r="B397" s="277"/>
      <c r="C397" s="277"/>
      <c r="D397" s="277"/>
      <c r="E397" s="277"/>
      <c r="F397" s="277"/>
      <c r="H397" s="277"/>
      <c r="I397" s="277"/>
      <c r="J397" s="69"/>
      <c r="K397" s="277"/>
      <c r="L397" s="277"/>
      <c r="M397" s="277"/>
      <c r="N397" s="277"/>
      <c r="O397" s="277"/>
      <c r="P397" s="277"/>
      <c r="Q397" s="277"/>
      <c r="R397" s="277"/>
      <c r="T397" s="277"/>
      <c r="U397" s="277"/>
      <c r="W397" s="277"/>
      <c r="Y397" s="107"/>
      <c r="Z397" s="107"/>
      <c r="AA397" s="107"/>
      <c r="AB397" s="107"/>
      <c r="AC397" s="107"/>
      <c r="AD397" s="233"/>
      <c r="AE397" s="107"/>
      <c r="AF397" s="107"/>
      <c r="AG397" s="107"/>
      <c r="AH397" s="107"/>
      <c r="AI397" s="107"/>
      <c r="AJ397" s="107"/>
      <c r="AK397" s="107"/>
      <c r="AL397" s="107"/>
      <c r="AM397" s="304"/>
      <c r="AN397" s="304"/>
      <c r="AO397" s="304"/>
      <c r="AP397" s="304"/>
      <c r="AQ397" s="304"/>
      <c r="AR397" s="304"/>
      <c r="AS397" s="304"/>
      <c r="AT397" s="304"/>
      <c r="AU397" s="304"/>
      <c r="AV397" s="304"/>
      <c r="AW397" s="304"/>
      <c r="AX397" s="304"/>
      <c r="AY397" s="304"/>
      <c r="AZ397" s="304"/>
      <c r="BA397" s="304"/>
      <c r="BB397" s="107"/>
      <c r="BC397" s="107"/>
      <c r="BD397" s="107"/>
      <c r="BE397" s="107"/>
      <c r="BF397" s="107"/>
      <c r="BG397" s="107"/>
      <c r="BH397" s="107"/>
      <c r="BI397" s="107"/>
      <c r="BJ397" s="107"/>
      <c r="BK397" s="107"/>
      <c r="BL397" s="107"/>
      <c r="BM397" s="107"/>
      <c r="BN397" s="107"/>
      <c r="BO397" s="107"/>
      <c r="BP397" s="107"/>
      <c r="BQ397" s="107"/>
      <c r="BR397" s="107"/>
    </row>
    <row r="398" customFormat="false" ht="12.75" hidden="false" customHeight="false" outlineLevel="0" collapsed="false">
      <c r="A398" s="277"/>
      <c r="B398" s="277"/>
      <c r="C398" s="277"/>
      <c r="D398" s="277"/>
      <c r="E398" s="277"/>
      <c r="F398" s="277"/>
      <c r="H398" s="277"/>
      <c r="I398" s="277"/>
      <c r="J398" s="69"/>
      <c r="K398" s="277"/>
      <c r="L398" s="277"/>
      <c r="M398" s="277"/>
      <c r="N398" s="277"/>
      <c r="O398" s="277"/>
      <c r="P398" s="277"/>
      <c r="Q398" s="277"/>
      <c r="R398" s="277"/>
      <c r="T398" s="277"/>
      <c r="U398" s="277"/>
      <c r="W398" s="277"/>
      <c r="Y398" s="107"/>
      <c r="Z398" s="107"/>
      <c r="AA398" s="107"/>
      <c r="AB398" s="107"/>
      <c r="AC398" s="107"/>
      <c r="AD398" s="233"/>
      <c r="AE398" s="107"/>
      <c r="AF398" s="107"/>
      <c r="AG398" s="107"/>
      <c r="AH398" s="107"/>
      <c r="AI398" s="107"/>
      <c r="AJ398" s="107"/>
      <c r="AK398" s="107"/>
      <c r="AL398" s="107"/>
      <c r="AM398" s="304"/>
      <c r="AN398" s="304"/>
      <c r="AO398" s="304"/>
      <c r="AP398" s="304"/>
      <c r="AQ398" s="304"/>
      <c r="AR398" s="304"/>
      <c r="AS398" s="304"/>
      <c r="AT398" s="304"/>
      <c r="AU398" s="304"/>
      <c r="AV398" s="304"/>
      <c r="AW398" s="304"/>
      <c r="AX398" s="304"/>
      <c r="AY398" s="304"/>
      <c r="AZ398" s="304"/>
      <c r="BA398" s="304"/>
      <c r="BB398" s="107"/>
      <c r="BC398" s="107"/>
      <c r="BD398" s="107"/>
      <c r="BE398" s="107"/>
      <c r="BF398" s="107"/>
      <c r="BG398" s="107"/>
      <c r="BH398" s="107"/>
      <c r="BI398" s="107"/>
      <c r="BJ398" s="107"/>
      <c r="BK398" s="107"/>
      <c r="BL398" s="107"/>
      <c r="BM398" s="107"/>
      <c r="BN398" s="107"/>
      <c r="BO398" s="107"/>
      <c r="BP398" s="107"/>
      <c r="BQ398" s="107"/>
      <c r="BR398" s="107"/>
    </row>
    <row r="399" customFormat="false" ht="12.75" hidden="false" customHeight="false" outlineLevel="0" collapsed="false">
      <c r="A399" s="277"/>
      <c r="B399" s="277"/>
      <c r="C399" s="277"/>
      <c r="D399" s="277"/>
      <c r="E399" s="277"/>
      <c r="F399" s="277"/>
      <c r="H399" s="277"/>
      <c r="I399" s="277"/>
      <c r="J399" s="69"/>
      <c r="K399" s="277"/>
      <c r="L399" s="277"/>
      <c r="M399" s="277"/>
      <c r="N399" s="277"/>
      <c r="O399" s="277"/>
      <c r="P399" s="277"/>
      <c r="Q399" s="277"/>
      <c r="R399" s="277"/>
      <c r="T399" s="277"/>
      <c r="U399" s="277"/>
      <c r="W399" s="277"/>
      <c r="Y399" s="107"/>
      <c r="Z399" s="107"/>
      <c r="AA399" s="107"/>
      <c r="AB399" s="107"/>
      <c r="AC399" s="107"/>
      <c r="AD399" s="233"/>
      <c r="AE399" s="107"/>
      <c r="AF399" s="107"/>
      <c r="AG399" s="107"/>
      <c r="AH399" s="107"/>
      <c r="AI399" s="107"/>
      <c r="AJ399" s="107"/>
      <c r="AK399" s="107"/>
      <c r="AL399" s="107"/>
      <c r="AM399" s="304"/>
      <c r="AN399" s="304"/>
      <c r="AO399" s="304"/>
      <c r="AP399" s="304"/>
      <c r="AQ399" s="304"/>
      <c r="AR399" s="304"/>
      <c r="AS399" s="304"/>
      <c r="AT399" s="304"/>
      <c r="AU399" s="304"/>
      <c r="AV399" s="304"/>
      <c r="AW399" s="304"/>
      <c r="AX399" s="304"/>
      <c r="AY399" s="304"/>
      <c r="AZ399" s="304"/>
      <c r="BA399" s="304"/>
      <c r="BB399" s="107"/>
      <c r="BC399" s="107"/>
      <c r="BD399" s="107"/>
      <c r="BE399" s="107"/>
      <c r="BF399" s="107"/>
      <c r="BG399" s="107"/>
      <c r="BH399" s="107"/>
      <c r="BI399" s="107"/>
      <c r="BJ399" s="107"/>
      <c r="BK399" s="107"/>
      <c r="BL399" s="107"/>
      <c r="BM399" s="107"/>
      <c r="BN399" s="107"/>
      <c r="BO399" s="107"/>
      <c r="BP399" s="107"/>
      <c r="BQ399" s="107"/>
      <c r="BR399" s="107"/>
    </row>
    <row r="400" customFormat="false" ht="12.75" hidden="false" customHeight="false" outlineLevel="0" collapsed="false">
      <c r="A400" s="277"/>
      <c r="B400" s="277"/>
      <c r="C400" s="277"/>
      <c r="D400" s="277"/>
      <c r="E400" s="277"/>
      <c r="F400" s="277"/>
      <c r="H400" s="277"/>
      <c r="I400" s="277"/>
      <c r="J400" s="69"/>
      <c r="K400" s="277"/>
      <c r="L400" s="277"/>
      <c r="M400" s="277"/>
      <c r="N400" s="277"/>
      <c r="O400" s="277"/>
      <c r="P400" s="277"/>
      <c r="Q400" s="277"/>
      <c r="R400" s="277"/>
      <c r="T400" s="277"/>
      <c r="U400" s="277"/>
      <c r="W400" s="277"/>
      <c r="Y400" s="107"/>
      <c r="Z400" s="107"/>
      <c r="AA400" s="107"/>
      <c r="AB400" s="107"/>
      <c r="AC400" s="107"/>
      <c r="AD400" s="233"/>
      <c r="AE400" s="107"/>
      <c r="AF400" s="107"/>
      <c r="AG400" s="107"/>
      <c r="AH400" s="107"/>
      <c r="AI400" s="107"/>
      <c r="AJ400" s="107"/>
      <c r="AK400" s="107"/>
      <c r="AL400" s="107"/>
      <c r="AM400" s="304"/>
      <c r="AN400" s="304"/>
      <c r="AO400" s="304"/>
      <c r="AP400" s="304"/>
      <c r="AQ400" s="304"/>
      <c r="AR400" s="304"/>
      <c r="AS400" s="304"/>
      <c r="AT400" s="304"/>
      <c r="AU400" s="304"/>
      <c r="AV400" s="304"/>
      <c r="AW400" s="304"/>
      <c r="AX400" s="304"/>
      <c r="AY400" s="304"/>
      <c r="AZ400" s="304"/>
      <c r="BA400" s="304"/>
      <c r="BB400" s="107"/>
      <c r="BC400" s="107"/>
      <c r="BD400" s="107"/>
      <c r="BE400" s="107"/>
      <c r="BF400" s="107"/>
      <c r="BG400" s="107"/>
      <c r="BH400" s="107"/>
      <c r="BI400" s="107"/>
      <c r="BJ400" s="107"/>
      <c r="BK400" s="107"/>
      <c r="BL400" s="107"/>
      <c r="BM400" s="107"/>
      <c r="BN400" s="107"/>
      <c r="BO400" s="107"/>
      <c r="BP400" s="107"/>
      <c r="BQ400" s="107"/>
      <c r="BR400" s="107"/>
    </row>
    <row r="401" customFormat="false" ht="12.75" hidden="false" customHeight="false" outlineLevel="0" collapsed="false">
      <c r="A401" s="277"/>
      <c r="B401" s="277"/>
      <c r="C401" s="277"/>
      <c r="D401" s="277"/>
      <c r="E401" s="277"/>
      <c r="F401" s="277"/>
      <c r="H401" s="277"/>
      <c r="I401" s="277"/>
      <c r="J401" s="69"/>
      <c r="K401" s="277"/>
      <c r="L401" s="277"/>
      <c r="M401" s="277"/>
      <c r="N401" s="277"/>
      <c r="O401" s="277"/>
      <c r="P401" s="277"/>
      <c r="Q401" s="277"/>
      <c r="R401" s="277"/>
      <c r="T401" s="277"/>
      <c r="U401" s="277"/>
      <c r="W401" s="277"/>
      <c r="Y401" s="107"/>
      <c r="Z401" s="107"/>
      <c r="AA401" s="107"/>
      <c r="AB401" s="107"/>
      <c r="AC401" s="107"/>
      <c r="AD401" s="233"/>
      <c r="AE401" s="107"/>
      <c r="AF401" s="107"/>
      <c r="AG401" s="107"/>
      <c r="AH401" s="107"/>
      <c r="AI401" s="107"/>
      <c r="AJ401" s="107"/>
      <c r="AK401" s="107"/>
      <c r="AL401" s="107"/>
      <c r="AM401" s="304"/>
      <c r="AN401" s="304"/>
      <c r="AO401" s="304"/>
      <c r="AP401" s="304"/>
      <c r="AQ401" s="304"/>
      <c r="AR401" s="304"/>
      <c r="AS401" s="304"/>
      <c r="AT401" s="304"/>
      <c r="AU401" s="304"/>
      <c r="AV401" s="304"/>
      <c r="AW401" s="304"/>
      <c r="AX401" s="304"/>
      <c r="AY401" s="304"/>
      <c r="AZ401" s="304"/>
      <c r="BA401" s="304"/>
      <c r="BB401" s="107"/>
      <c r="BC401" s="107"/>
      <c r="BD401" s="107"/>
      <c r="BE401" s="107"/>
      <c r="BF401" s="107"/>
      <c r="BG401" s="107"/>
      <c r="BH401" s="107"/>
      <c r="BI401" s="107"/>
      <c r="BJ401" s="107"/>
      <c r="BK401" s="107"/>
      <c r="BL401" s="107"/>
      <c r="BM401" s="107"/>
      <c r="BN401" s="107"/>
      <c r="BO401" s="107"/>
      <c r="BP401" s="107"/>
      <c r="BQ401" s="107"/>
      <c r="BR401" s="107"/>
    </row>
    <row r="402" customFormat="false" ht="12.75" hidden="false" customHeight="false" outlineLevel="0" collapsed="false">
      <c r="A402" s="100"/>
      <c r="B402" s="100"/>
      <c r="C402" s="100"/>
      <c r="D402" s="100"/>
      <c r="E402" s="100"/>
      <c r="F402" s="277"/>
      <c r="H402" s="277"/>
      <c r="I402" s="277"/>
      <c r="J402" s="69"/>
      <c r="K402" s="277"/>
      <c r="L402" s="277"/>
      <c r="M402" s="277"/>
      <c r="N402" s="277"/>
      <c r="O402" s="277"/>
      <c r="P402" s="277"/>
      <c r="Q402" s="277"/>
      <c r="R402" s="277"/>
      <c r="T402" s="277"/>
      <c r="U402" s="277"/>
      <c r="W402" s="277"/>
      <c r="Y402" s="107"/>
      <c r="Z402" s="107"/>
      <c r="AA402" s="107"/>
      <c r="AB402" s="107"/>
      <c r="AC402" s="107"/>
      <c r="AD402" s="233"/>
      <c r="AE402" s="107"/>
      <c r="AF402" s="107"/>
      <c r="AG402" s="107"/>
      <c r="AH402" s="107"/>
      <c r="AI402" s="107"/>
      <c r="AJ402" s="107"/>
      <c r="AK402" s="107"/>
      <c r="AL402" s="107"/>
      <c r="AM402" s="304"/>
      <c r="AN402" s="304"/>
      <c r="AO402" s="304"/>
      <c r="AP402" s="304"/>
      <c r="AQ402" s="304"/>
      <c r="AR402" s="304"/>
      <c r="AS402" s="304"/>
      <c r="AT402" s="304"/>
      <c r="AU402" s="304"/>
      <c r="AV402" s="304"/>
      <c r="AW402" s="304"/>
      <c r="AX402" s="304"/>
      <c r="AY402" s="304"/>
      <c r="AZ402" s="304"/>
      <c r="BA402" s="304"/>
      <c r="BB402" s="107"/>
      <c r="BC402" s="107"/>
      <c r="BD402" s="107"/>
      <c r="BE402" s="107"/>
      <c r="BF402" s="107"/>
      <c r="BG402" s="107"/>
      <c r="BH402" s="107"/>
      <c r="BI402" s="107"/>
      <c r="BJ402" s="107"/>
      <c r="BK402" s="107"/>
      <c r="BL402" s="107"/>
      <c r="BM402" s="107"/>
      <c r="BN402" s="107"/>
      <c r="BO402" s="107"/>
      <c r="BP402" s="107"/>
      <c r="BQ402" s="107"/>
      <c r="BR402" s="107"/>
    </row>
    <row r="403" customFormat="false" ht="12.75" hidden="false" customHeight="false" outlineLevel="0" collapsed="false">
      <c r="A403" s="100"/>
      <c r="B403" s="100"/>
      <c r="C403" s="100"/>
      <c r="D403" s="100"/>
      <c r="E403" s="100"/>
      <c r="F403" s="277"/>
      <c r="H403" s="277"/>
      <c r="I403" s="277"/>
      <c r="J403" s="69"/>
      <c r="K403" s="277"/>
      <c r="L403" s="277"/>
      <c r="M403" s="277"/>
      <c r="N403" s="277"/>
      <c r="O403" s="277"/>
      <c r="P403" s="277"/>
      <c r="Q403" s="277"/>
      <c r="R403" s="277"/>
      <c r="T403" s="277"/>
      <c r="U403" s="277"/>
      <c r="W403" s="277"/>
      <c r="Y403" s="107"/>
      <c r="Z403" s="107"/>
      <c r="AA403" s="107"/>
      <c r="AB403" s="107"/>
      <c r="AC403" s="107"/>
      <c r="AD403" s="233"/>
      <c r="AE403" s="107"/>
      <c r="AF403" s="107"/>
      <c r="AG403" s="107"/>
      <c r="AH403" s="107"/>
      <c r="AI403" s="107"/>
      <c r="AJ403" s="107"/>
      <c r="AK403" s="107"/>
      <c r="AL403" s="107"/>
      <c r="AM403" s="304"/>
      <c r="AN403" s="304"/>
      <c r="AO403" s="304"/>
      <c r="AP403" s="304"/>
      <c r="AQ403" s="304"/>
      <c r="AR403" s="304"/>
      <c r="AS403" s="304"/>
      <c r="AT403" s="304"/>
      <c r="AU403" s="304"/>
      <c r="AV403" s="304"/>
      <c r="AW403" s="304"/>
      <c r="AX403" s="304"/>
      <c r="AY403" s="304"/>
      <c r="AZ403" s="304"/>
      <c r="BA403" s="304"/>
      <c r="BB403" s="107"/>
      <c r="BC403" s="107"/>
      <c r="BD403" s="107"/>
      <c r="BE403" s="107"/>
      <c r="BF403" s="107"/>
      <c r="BG403" s="107"/>
      <c r="BH403" s="107"/>
      <c r="BI403" s="107"/>
      <c r="BJ403" s="107"/>
      <c r="BK403" s="107"/>
      <c r="BL403" s="107"/>
      <c r="BM403" s="107"/>
      <c r="BN403" s="107"/>
      <c r="BO403" s="107"/>
      <c r="BP403" s="107"/>
      <c r="BQ403" s="107"/>
      <c r="BR403" s="107"/>
    </row>
    <row r="404" customFormat="false" ht="12.75" hidden="false" customHeight="false" outlineLevel="0" collapsed="false">
      <c r="A404" s="100"/>
      <c r="B404" s="100"/>
      <c r="C404" s="100"/>
      <c r="D404" s="100"/>
      <c r="E404" s="100"/>
      <c r="F404" s="277"/>
      <c r="H404" s="277"/>
      <c r="I404" s="277"/>
      <c r="J404" s="69"/>
      <c r="K404" s="277"/>
      <c r="L404" s="277"/>
      <c r="M404" s="277"/>
      <c r="N404" s="277"/>
      <c r="O404" s="277"/>
      <c r="P404" s="277"/>
      <c r="Q404" s="277"/>
      <c r="R404" s="277"/>
      <c r="T404" s="277"/>
      <c r="U404" s="277"/>
      <c r="W404" s="277"/>
      <c r="Y404" s="107"/>
      <c r="Z404" s="107"/>
      <c r="AA404" s="107"/>
      <c r="AB404" s="107"/>
      <c r="AC404" s="107"/>
      <c r="AD404" s="233"/>
      <c r="AE404" s="107"/>
      <c r="AF404" s="107"/>
      <c r="AG404" s="107"/>
      <c r="AH404" s="107"/>
      <c r="AI404" s="107"/>
      <c r="AJ404" s="107"/>
      <c r="AK404" s="107"/>
      <c r="AL404" s="107"/>
      <c r="AM404" s="304"/>
      <c r="AN404" s="304"/>
      <c r="AO404" s="304"/>
      <c r="AP404" s="304"/>
      <c r="AQ404" s="304"/>
      <c r="AR404" s="304"/>
      <c r="AS404" s="304"/>
      <c r="AT404" s="304"/>
      <c r="AU404" s="304"/>
      <c r="AV404" s="304"/>
      <c r="AW404" s="304"/>
      <c r="AX404" s="304"/>
      <c r="AY404" s="304"/>
      <c r="AZ404" s="304"/>
      <c r="BA404" s="304"/>
      <c r="BB404" s="107"/>
      <c r="BC404" s="107"/>
      <c r="BD404" s="107"/>
      <c r="BE404" s="107"/>
      <c r="BF404" s="107"/>
      <c r="BG404" s="107"/>
      <c r="BH404" s="107"/>
      <c r="BI404" s="107"/>
      <c r="BJ404" s="107"/>
      <c r="BK404" s="107"/>
      <c r="BL404" s="107"/>
      <c r="BM404" s="107"/>
      <c r="BN404" s="107"/>
      <c r="BO404" s="107"/>
      <c r="BP404" s="107"/>
      <c r="BQ404" s="107"/>
      <c r="BR404" s="107"/>
    </row>
    <row r="405" customFormat="false" ht="12.75" hidden="false" customHeight="false" outlineLevel="0" collapsed="false">
      <c r="A405" s="100"/>
      <c r="B405" s="100"/>
      <c r="C405" s="100"/>
      <c r="D405" s="100"/>
      <c r="E405" s="100"/>
      <c r="F405" s="277"/>
      <c r="H405" s="277"/>
      <c r="I405" s="277"/>
      <c r="J405" s="69"/>
      <c r="K405" s="277"/>
      <c r="L405" s="277"/>
      <c r="M405" s="277"/>
      <c r="N405" s="277"/>
      <c r="O405" s="277"/>
      <c r="P405" s="277"/>
      <c r="Q405" s="277"/>
      <c r="R405" s="277"/>
      <c r="T405" s="277"/>
      <c r="U405" s="277"/>
      <c r="W405" s="277"/>
      <c r="Y405" s="107"/>
      <c r="Z405" s="107"/>
      <c r="AA405" s="107"/>
      <c r="AB405" s="107"/>
      <c r="AC405" s="107"/>
      <c r="AD405" s="233"/>
      <c r="AE405" s="107"/>
      <c r="AF405" s="107"/>
      <c r="AG405" s="107"/>
      <c r="AH405" s="107"/>
      <c r="AI405" s="107"/>
      <c r="AJ405" s="107"/>
      <c r="AK405" s="107"/>
      <c r="AL405" s="107"/>
      <c r="AM405" s="304"/>
      <c r="AN405" s="304"/>
      <c r="AO405" s="304"/>
      <c r="AP405" s="304"/>
      <c r="AQ405" s="304"/>
      <c r="AR405" s="304"/>
      <c r="AS405" s="304"/>
      <c r="AT405" s="304"/>
      <c r="AU405" s="304"/>
      <c r="AV405" s="304"/>
      <c r="AW405" s="304"/>
      <c r="AX405" s="304"/>
      <c r="AY405" s="304"/>
      <c r="AZ405" s="304"/>
      <c r="BA405" s="304"/>
      <c r="BB405" s="107"/>
      <c r="BC405" s="107"/>
      <c r="BD405" s="107"/>
      <c r="BE405" s="107"/>
      <c r="BF405" s="107"/>
      <c r="BG405" s="107"/>
      <c r="BH405" s="107"/>
      <c r="BI405" s="107"/>
      <c r="BJ405" s="107"/>
      <c r="BK405" s="107"/>
      <c r="BL405" s="107"/>
      <c r="BM405" s="107"/>
      <c r="BN405" s="107"/>
      <c r="BO405" s="107"/>
      <c r="BP405" s="107"/>
      <c r="BQ405" s="107"/>
      <c r="BR405" s="107"/>
    </row>
    <row r="406" customFormat="false" ht="12.75" hidden="false" customHeight="false" outlineLevel="0" collapsed="false">
      <c r="A406" s="100"/>
      <c r="B406" s="100"/>
      <c r="C406" s="100"/>
      <c r="D406" s="100"/>
      <c r="E406" s="100"/>
      <c r="F406" s="277"/>
      <c r="H406" s="277"/>
      <c r="I406" s="277"/>
      <c r="J406" s="69"/>
      <c r="K406" s="277"/>
      <c r="L406" s="277"/>
      <c r="M406" s="277"/>
      <c r="N406" s="277"/>
      <c r="O406" s="277"/>
      <c r="P406" s="277"/>
      <c r="Q406" s="277"/>
      <c r="R406" s="277"/>
      <c r="T406" s="277"/>
      <c r="U406" s="277"/>
      <c r="W406" s="277"/>
      <c r="Y406" s="107"/>
      <c r="Z406" s="107"/>
      <c r="AA406" s="107"/>
      <c r="AB406" s="107"/>
      <c r="AC406" s="107"/>
      <c r="AD406" s="233"/>
      <c r="AE406" s="107"/>
      <c r="AF406" s="107"/>
      <c r="AG406" s="107"/>
      <c r="AH406" s="107"/>
      <c r="AI406" s="107"/>
      <c r="AJ406" s="107"/>
      <c r="AK406" s="107"/>
      <c r="AL406" s="107"/>
      <c r="AM406" s="304"/>
      <c r="AN406" s="304"/>
      <c r="AO406" s="304"/>
      <c r="AP406" s="304"/>
      <c r="AQ406" s="304"/>
      <c r="AR406" s="304"/>
      <c r="AS406" s="304"/>
      <c r="AT406" s="304"/>
      <c r="AU406" s="304"/>
      <c r="AV406" s="304"/>
      <c r="AW406" s="304"/>
      <c r="AX406" s="304"/>
      <c r="AY406" s="304"/>
      <c r="AZ406" s="304"/>
      <c r="BA406" s="304"/>
      <c r="BB406" s="107"/>
      <c r="BC406" s="107"/>
      <c r="BD406" s="107"/>
      <c r="BE406" s="107"/>
      <c r="BF406" s="107"/>
      <c r="BG406" s="107"/>
      <c r="BH406" s="107"/>
      <c r="BI406" s="107"/>
      <c r="BJ406" s="107"/>
      <c r="BK406" s="107"/>
      <c r="BL406" s="107"/>
      <c r="BM406" s="107"/>
      <c r="BN406" s="107"/>
      <c r="BO406" s="107"/>
      <c r="BP406" s="107"/>
      <c r="BQ406" s="107"/>
      <c r="BR406" s="107"/>
    </row>
    <row r="407" customFormat="false" ht="12.75" hidden="false" customHeight="false" outlineLevel="0" collapsed="false">
      <c r="A407" s="100"/>
      <c r="B407" s="100"/>
      <c r="C407" s="100"/>
      <c r="D407" s="100"/>
      <c r="E407" s="100"/>
      <c r="F407" s="277"/>
      <c r="H407" s="277"/>
      <c r="I407" s="277"/>
      <c r="J407" s="69"/>
      <c r="K407" s="277"/>
      <c r="L407" s="277"/>
      <c r="M407" s="277"/>
      <c r="N407" s="277"/>
      <c r="O407" s="277"/>
      <c r="P407" s="277"/>
      <c r="Q407" s="277"/>
      <c r="R407" s="277"/>
      <c r="T407" s="277"/>
      <c r="U407" s="277"/>
      <c r="W407" s="277"/>
      <c r="Y407" s="107"/>
      <c r="Z407" s="107"/>
      <c r="AA407" s="107"/>
      <c r="AB407" s="107"/>
      <c r="AC407" s="107"/>
      <c r="AD407" s="233"/>
      <c r="AE407" s="107"/>
      <c r="AF407" s="107"/>
      <c r="AG407" s="107"/>
      <c r="AH407" s="107"/>
      <c r="AI407" s="107"/>
      <c r="AJ407" s="107"/>
      <c r="AK407" s="107"/>
      <c r="AL407" s="107"/>
      <c r="AM407" s="304"/>
      <c r="AN407" s="304"/>
      <c r="AO407" s="304"/>
      <c r="AP407" s="304"/>
      <c r="AQ407" s="304"/>
      <c r="AR407" s="304"/>
      <c r="AS407" s="304"/>
      <c r="AT407" s="304"/>
      <c r="AU407" s="304"/>
      <c r="AV407" s="304"/>
      <c r="AW407" s="304"/>
      <c r="AX407" s="304"/>
      <c r="AY407" s="304"/>
      <c r="AZ407" s="304"/>
      <c r="BA407" s="304"/>
      <c r="BB407" s="107"/>
      <c r="BC407" s="107"/>
      <c r="BD407" s="107"/>
      <c r="BE407" s="107"/>
      <c r="BF407" s="107"/>
      <c r="BG407" s="107"/>
      <c r="BH407" s="107"/>
      <c r="BI407" s="107"/>
      <c r="BJ407" s="107"/>
      <c r="BK407" s="107"/>
      <c r="BL407" s="107"/>
      <c r="BM407" s="107"/>
      <c r="BN407" s="107"/>
      <c r="BO407" s="107"/>
      <c r="BP407" s="107"/>
      <c r="BQ407" s="107"/>
      <c r="BR407" s="107"/>
    </row>
    <row r="408" customFormat="false" ht="12.75" hidden="false" customHeight="false" outlineLevel="0" collapsed="false">
      <c r="A408" s="100"/>
      <c r="B408" s="100"/>
      <c r="C408" s="100"/>
      <c r="D408" s="100"/>
      <c r="E408" s="100"/>
      <c r="F408" s="277"/>
      <c r="H408" s="277"/>
      <c r="I408" s="277"/>
      <c r="J408" s="69"/>
      <c r="K408" s="277"/>
      <c r="L408" s="277"/>
      <c r="M408" s="277"/>
      <c r="N408" s="277"/>
      <c r="O408" s="277"/>
      <c r="P408" s="277"/>
      <c r="Q408" s="277"/>
      <c r="R408" s="277"/>
      <c r="T408" s="277"/>
      <c r="U408" s="277"/>
      <c r="W408" s="277"/>
      <c r="Y408" s="107"/>
      <c r="Z408" s="107"/>
      <c r="AA408" s="107"/>
      <c r="AB408" s="107"/>
      <c r="AC408" s="107"/>
      <c r="AD408" s="233"/>
      <c r="AE408" s="107"/>
      <c r="AF408" s="107"/>
      <c r="AG408" s="107"/>
      <c r="AH408" s="107"/>
      <c r="AI408" s="107"/>
      <c r="AJ408" s="107"/>
      <c r="AK408" s="107"/>
      <c r="AL408" s="107"/>
      <c r="AM408" s="304"/>
      <c r="AN408" s="304"/>
      <c r="AO408" s="304"/>
      <c r="AP408" s="304"/>
      <c r="AQ408" s="304"/>
      <c r="AR408" s="304"/>
      <c r="AS408" s="304"/>
      <c r="AT408" s="304"/>
      <c r="AU408" s="304"/>
      <c r="AV408" s="304"/>
      <c r="AW408" s="304"/>
      <c r="AX408" s="304"/>
      <c r="AY408" s="304"/>
      <c r="AZ408" s="304"/>
      <c r="BA408" s="304"/>
      <c r="BB408" s="107"/>
      <c r="BC408" s="107"/>
      <c r="BD408" s="107"/>
      <c r="BE408" s="107"/>
      <c r="BF408" s="107"/>
      <c r="BG408" s="107"/>
      <c r="BH408" s="107"/>
      <c r="BI408" s="107"/>
      <c r="BJ408" s="107"/>
      <c r="BK408" s="107"/>
      <c r="BL408" s="107"/>
      <c r="BM408" s="107"/>
      <c r="BN408" s="107"/>
      <c r="BO408" s="107"/>
      <c r="BP408" s="107"/>
      <c r="BQ408" s="107"/>
      <c r="BR408" s="107"/>
    </row>
    <row r="409" customFormat="false" ht="12.75" hidden="false" customHeight="false" outlineLevel="0" collapsed="false">
      <c r="A409" s="100"/>
      <c r="B409" s="100"/>
      <c r="C409" s="100"/>
      <c r="D409" s="100"/>
      <c r="E409" s="100"/>
      <c r="F409" s="277"/>
      <c r="H409" s="277"/>
      <c r="I409" s="277"/>
      <c r="J409" s="69"/>
      <c r="K409" s="277"/>
      <c r="L409" s="277"/>
      <c r="M409" s="277"/>
      <c r="N409" s="277"/>
      <c r="O409" s="277"/>
      <c r="P409" s="277"/>
      <c r="Q409" s="277"/>
      <c r="R409" s="277"/>
      <c r="T409" s="277"/>
      <c r="U409" s="277"/>
      <c r="W409" s="277"/>
      <c r="Y409" s="107"/>
      <c r="Z409" s="107"/>
      <c r="AA409" s="107"/>
      <c r="AB409" s="107"/>
      <c r="AC409" s="107"/>
      <c r="AD409" s="233"/>
      <c r="AE409" s="107"/>
      <c r="AF409" s="107"/>
      <c r="AG409" s="107"/>
      <c r="AH409" s="107"/>
      <c r="AI409" s="107"/>
      <c r="AJ409" s="107"/>
      <c r="AK409" s="107"/>
      <c r="AL409" s="107"/>
      <c r="AM409" s="304"/>
      <c r="AN409" s="304"/>
      <c r="AO409" s="304"/>
      <c r="AP409" s="304"/>
      <c r="AQ409" s="304"/>
      <c r="AR409" s="304"/>
      <c r="AS409" s="304"/>
      <c r="AT409" s="304"/>
      <c r="AU409" s="304"/>
      <c r="AV409" s="304"/>
      <c r="AW409" s="304"/>
      <c r="AX409" s="304"/>
      <c r="AY409" s="304"/>
      <c r="AZ409" s="304"/>
      <c r="BA409" s="304"/>
      <c r="BB409" s="107"/>
      <c r="BC409" s="107"/>
      <c r="BD409" s="107"/>
      <c r="BE409" s="107"/>
      <c r="BF409" s="107"/>
      <c r="BG409" s="107"/>
      <c r="BH409" s="107"/>
      <c r="BI409" s="107"/>
      <c r="BJ409" s="107"/>
      <c r="BK409" s="107"/>
      <c r="BL409" s="107"/>
      <c r="BM409" s="107"/>
      <c r="BN409" s="107"/>
      <c r="BO409" s="107"/>
      <c r="BP409" s="107"/>
      <c r="BQ409" s="107"/>
      <c r="BR409" s="107"/>
    </row>
    <row r="410" customFormat="false" ht="12.75" hidden="false" customHeight="false" outlineLevel="0" collapsed="false">
      <c r="A410" s="100"/>
      <c r="B410" s="100"/>
      <c r="C410" s="100"/>
      <c r="D410" s="100"/>
      <c r="E410" s="100"/>
      <c r="F410" s="277"/>
      <c r="H410" s="277"/>
      <c r="I410" s="277"/>
      <c r="J410" s="69"/>
      <c r="K410" s="277"/>
      <c r="L410" s="277"/>
      <c r="M410" s="277"/>
      <c r="N410" s="277"/>
      <c r="O410" s="277"/>
      <c r="P410" s="277"/>
      <c r="Q410" s="277"/>
      <c r="R410" s="277"/>
      <c r="T410" s="277"/>
      <c r="U410" s="277"/>
      <c r="W410" s="277"/>
      <c r="Y410" s="107"/>
      <c r="Z410" s="107"/>
      <c r="AA410" s="107"/>
      <c r="AB410" s="107"/>
      <c r="AC410" s="107"/>
      <c r="AD410" s="233"/>
      <c r="AE410" s="107"/>
      <c r="AF410" s="107"/>
      <c r="AG410" s="107"/>
      <c r="AH410" s="107"/>
      <c r="AI410" s="107"/>
      <c r="AJ410" s="107"/>
      <c r="AK410" s="107"/>
      <c r="AL410" s="107"/>
      <c r="AM410" s="304"/>
      <c r="AN410" s="304"/>
      <c r="AO410" s="304"/>
      <c r="AP410" s="304"/>
      <c r="AQ410" s="304"/>
      <c r="AR410" s="304"/>
      <c r="AS410" s="304"/>
      <c r="AT410" s="304"/>
      <c r="AU410" s="304"/>
      <c r="AV410" s="304"/>
      <c r="AW410" s="304"/>
      <c r="AX410" s="304"/>
      <c r="AY410" s="304"/>
      <c r="AZ410" s="304"/>
      <c r="BA410" s="304"/>
      <c r="BB410" s="107"/>
      <c r="BC410" s="107"/>
      <c r="BD410" s="107"/>
      <c r="BE410" s="107"/>
      <c r="BF410" s="107"/>
      <c r="BG410" s="107"/>
      <c r="BH410" s="107"/>
      <c r="BI410" s="107"/>
      <c r="BJ410" s="107"/>
      <c r="BK410" s="107"/>
      <c r="BL410" s="107"/>
      <c r="BM410" s="107"/>
      <c r="BN410" s="107"/>
      <c r="BO410" s="107"/>
      <c r="BP410" s="107"/>
      <c r="BQ410" s="107"/>
      <c r="BR410" s="107"/>
    </row>
    <row r="411" customFormat="false" ht="12.75" hidden="false" customHeight="false" outlineLevel="0" collapsed="false">
      <c r="A411" s="100"/>
      <c r="B411" s="100"/>
      <c r="C411" s="100"/>
      <c r="D411" s="100"/>
      <c r="E411" s="100"/>
      <c r="F411" s="277"/>
      <c r="H411" s="277"/>
      <c r="I411" s="277"/>
      <c r="J411" s="69"/>
      <c r="K411" s="277"/>
      <c r="L411" s="277"/>
      <c r="M411" s="277"/>
      <c r="N411" s="277"/>
      <c r="O411" s="277"/>
      <c r="P411" s="277"/>
      <c r="Q411" s="277"/>
      <c r="R411" s="277"/>
      <c r="T411" s="277"/>
      <c r="U411" s="277"/>
      <c r="W411" s="277"/>
      <c r="Y411" s="107"/>
      <c r="Z411" s="107"/>
      <c r="AA411" s="107"/>
      <c r="AB411" s="107"/>
      <c r="AC411" s="107"/>
      <c r="AD411" s="233"/>
      <c r="AE411" s="107"/>
      <c r="AF411" s="107"/>
      <c r="AG411" s="107"/>
      <c r="AH411" s="107"/>
      <c r="AI411" s="107"/>
      <c r="AJ411" s="107"/>
      <c r="AK411" s="107"/>
      <c r="AL411" s="107"/>
      <c r="AM411" s="304"/>
      <c r="AN411" s="304"/>
      <c r="AO411" s="304"/>
      <c r="AP411" s="304"/>
      <c r="AQ411" s="304"/>
      <c r="AR411" s="304"/>
      <c r="AS411" s="304"/>
      <c r="AT411" s="304"/>
      <c r="AU411" s="304"/>
      <c r="AV411" s="304"/>
      <c r="AW411" s="304"/>
      <c r="AX411" s="304"/>
      <c r="AY411" s="304"/>
      <c r="AZ411" s="304"/>
      <c r="BA411" s="304"/>
      <c r="BB411" s="107"/>
      <c r="BC411" s="107"/>
      <c r="BD411" s="107"/>
      <c r="BE411" s="107"/>
      <c r="BF411" s="107"/>
      <c r="BG411" s="107"/>
      <c r="BH411" s="107"/>
      <c r="BI411" s="107"/>
      <c r="BJ411" s="107"/>
      <c r="BK411" s="107"/>
      <c r="BL411" s="107"/>
      <c r="BM411" s="107"/>
      <c r="BN411" s="107"/>
      <c r="BO411" s="107"/>
      <c r="BP411" s="107"/>
      <c r="BQ411" s="107"/>
      <c r="BR411" s="107"/>
    </row>
    <row r="412" customFormat="false" ht="12.75" hidden="false" customHeight="false" outlineLevel="0" collapsed="false">
      <c r="A412" s="100"/>
      <c r="B412" s="100"/>
      <c r="C412" s="100"/>
      <c r="D412" s="100"/>
      <c r="E412" s="100"/>
      <c r="F412" s="277"/>
      <c r="H412" s="277"/>
      <c r="I412" s="277"/>
      <c r="J412" s="69"/>
      <c r="K412" s="277"/>
      <c r="L412" s="277"/>
      <c r="M412" s="277"/>
      <c r="N412" s="277"/>
      <c r="O412" s="277"/>
      <c r="P412" s="277"/>
      <c r="Q412" s="277"/>
      <c r="R412" s="277"/>
      <c r="T412" s="277"/>
      <c r="U412" s="277"/>
      <c r="W412" s="277"/>
      <c r="Y412" s="107"/>
      <c r="Z412" s="107"/>
      <c r="AA412" s="107"/>
      <c r="AB412" s="107"/>
      <c r="AC412" s="107"/>
      <c r="AD412" s="233"/>
      <c r="AE412" s="107"/>
      <c r="AF412" s="107"/>
      <c r="AG412" s="107"/>
      <c r="AH412" s="107"/>
      <c r="AI412" s="107"/>
      <c r="AJ412" s="107"/>
      <c r="AK412" s="107"/>
      <c r="AL412" s="107"/>
      <c r="AM412" s="304"/>
      <c r="AN412" s="304"/>
      <c r="AO412" s="304"/>
      <c r="AP412" s="304"/>
      <c r="AQ412" s="304"/>
      <c r="AR412" s="304"/>
      <c r="AS412" s="304"/>
      <c r="AT412" s="304"/>
      <c r="AU412" s="304"/>
      <c r="AV412" s="304"/>
      <c r="AW412" s="304"/>
      <c r="AX412" s="304"/>
      <c r="AY412" s="304"/>
      <c r="AZ412" s="304"/>
      <c r="BA412" s="304"/>
      <c r="BB412" s="107"/>
      <c r="BC412" s="107"/>
      <c r="BD412" s="107"/>
      <c r="BE412" s="107"/>
      <c r="BF412" s="107"/>
      <c r="BG412" s="107"/>
      <c r="BH412" s="107"/>
      <c r="BI412" s="107"/>
      <c r="BJ412" s="107"/>
      <c r="BK412" s="107"/>
      <c r="BL412" s="107"/>
      <c r="BM412" s="107"/>
      <c r="BN412" s="107"/>
      <c r="BO412" s="107"/>
      <c r="BP412" s="107"/>
      <c r="BQ412" s="107"/>
      <c r="BR412" s="107"/>
    </row>
    <row r="413" customFormat="false" ht="12.75" hidden="false" customHeight="false" outlineLevel="0" collapsed="false">
      <c r="A413" s="100"/>
      <c r="B413" s="100"/>
      <c r="C413" s="100"/>
      <c r="D413" s="100"/>
      <c r="E413" s="100"/>
      <c r="F413" s="277"/>
      <c r="H413" s="277"/>
      <c r="I413" s="277"/>
      <c r="J413" s="69"/>
      <c r="K413" s="277"/>
      <c r="L413" s="277"/>
      <c r="M413" s="277"/>
      <c r="N413" s="277"/>
      <c r="O413" s="277"/>
      <c r="P413" s="277"/>
      <c r="Q413" s="277"/>
      <c r="R413" s="277"/>
      <c r="T413" s="277"/>
      <c r="U413" s="277"/>
      <c r="W413" s="277"/>
      <c r="Y413" s="107"/>
      <c r="Z413" s="107"/>
      <c r="AA413" s="107"/>
      <c r="AB413" s="107"/>
      <c r="AC413" s="107"/>
      <c r="AD413" s="233"/>
      <c r="AE413" s="107"/>
      <c r="AF413" s="107"/>
      <c r="AG413" s="107"/>
      <c r="AH413" s="107"/>
      <c r="AI413" s="107"/>
      <c r="AJ413" s="107"/>
      <c r="AK413" s="107"/>
      <c r="AL413" s="107"/>
      <c r="AM413" s="304"/>
      <c r="AN413" s="304"/>
      <c r="AO413" s="304"/>
      <c r="AP413" s="304"/>
      <c r="AQ413" s="304"/>
      <c r="AR413" s="304"/>
      <c r="AS413" s="304"/>
      <c r="AT413" s="304"/>
      <c r="AU413" s="304"/>
      <c r="AV413" s="304"/>
      <c r="AW413" s="304"/>
      <c r="AX413" s="304"/>
      <c r="AY413" s="304"/>
      <c r="AZ413" s="304"/>
      <c r="BA413" s="304"/>
      <c r="BB413" s="107"/>
      <c r="BC413" s="107"/>
      <c r="BD413" s="107"/>
      <c r="BE413" s="107"/>
      <c r="BF413" s="107"/>
      <c r="BG413" s="107"/>
      <c r="BH413" s="107"/>
      <c r="BI413" s="107"/>
      <c r="BJ413" s="107"/>
      <c r="BK413" s="107"/>
      <c r="BL413" s="107"/>
      <c r="BM413" s="107"/>
      <c r="BN413" s="107"/>
      <c r="BO413" s="107"/>
      <c r="BP413" s="107"/>
      <c r="BQ413" s="107"/>
      <c r="BR413" s="107"/>
    </row>
    <row r="414" customFormat="false" ht="12.75" hidden="false" customHeight="false" outlineLevel="0" collapsed="false">
      <c r="A414" s="100"/>
      <c r="B414" s="100"/>
      <c r="C414" s="100"/>
      <c r="D414" s="100"/>
      <c r="E414" s="100"/>
      <c r="F414" s="277"/>
      <c r="H414" s="277"/>
      <c r="I414" s="277"/>
      <c r="J414" s="69"/>
      <c r="K414" s="277"/>
      <c r="L414" s="277"/>
      <c r="M414" s="277"/>
      <c r="N414" s="277"/>
      <c r="O414" s="277"/>
      <c r="P414" s="277"/>
      <c r="Q414" s="277"/>
      <c r="R414" s="277"/>
      <c r="T414" s="277"/>
      <c r="U414" s="277"/>
      <c r="W414" s="277"/>
      <c r="Y414" s="107"/>
      <c r="Z414" s="107"/>
      <c r="AA414" s="107"/>
      <c r="AB414" s="107"/>
      <c r="AC414" s="107"/>
      <c r="AD414" s="233"/>
      <c r="AE414" s="107"/>
      <c r="AF414" s="107"/>
      <c r="AG414" s="107"/>
      <c r="AH414" s="107"/>
      <c r="AI414" s="107"/>
      <c r="AJ414" s="107"/>
      <c r="AK414" s="107"/>
      <c r="AL414" s="107"/>
      <c r="AM414" s="304"/>
      <c r="AN414" s="304"/>
      <c r="AO414" s="304"/>
      <c r="AP414" s="304"/>
      <c r="AQ414" s="304"/>
      <c r="AR414" s="304"/>
      <c r="AS414" s="304"/>
      <c r="AT414" s="304"/>
      <c r="AU414" s="304"/>
      <c r="AV414" s="304"/>
      <c r="AW414" s="304"/>
      <c r="AX414" s="304"/>
      <c r="AY414" s="304"/>
      <c r="AZ414" s="304"/>
      <c r="BA414" s="304"/>
      <c r="BB414" s="107"/>
      <c r="BC414" s="107"/>
      <c r="BD414" s="107"/>
      <c r="BE414" s="107"/>
      <c r="BF414" s="107"/>
      <c r="BG414" s="107"/>
      <c r="BH414" s="107"/>
      <c r="BI414" s="107"/>
      <c r="BJ414" s="107"/>
      <c r="BK414" s="107"/>
      <c r="BL414" s="107"/>
      <c r="BM414" s="107"/>
      <c r="BN414" s="107"/>
      <c r="BO414" s="107"/>
      <c r="BP414" s="107"/>
      <c r="BQ414" s="107"/>
      <c r="BR414" s="107"/>
    </row>
    <row r="415" customFormat="false" ht="12.75" hidden="false" customHeight="false" outlineLevel="0" collapsed="false">
      <c r="A415" s="100"/>
      <c r="B415" s="100"/>
      <c r="C415" s="100"/>
      <c r="D415" s="100"/>
      <c r="E415" s="100"/>
      <c r="F415" s="277"/>
      <c r="H415" s="277"/>
      <c r="I415" s="277"/>
      <c r="J415" s="69"/>
      <c r="K415" s="277"/>
      <c r="L415" s="277"/>
      <c r="M415" s="277"/>
      <c r="N415" s="277"/>
      <c r="O415" s="277"/>
      <c r="P415" s="277"/>
      <c r="Q415" s="277"/>
      <c r="R415" s="277"/>
      <c r="T415" s="277"/>
      <c r="U415" s="277"/>
      <c r="W415" s="277"/>
      <c r="Y415" s="107"/>
      <c r="Z415" s="107"/>
      <c r="AA415" s="107"/>
      <c r="AB415" s="107"/>
      <c r="AC415" s="107"/>
      <c r="AD415" s="233"/>
      <c r="AE415" s="107"/>
      <c r="AF415" s="107"/>
      <c r="AG415" s="107"/>
      <c r="AH415" s="107"/>
      <c r="AI415" s="107"/>
      <c r="AJ415" s="107"/>
      <c r="AK415" s="107"/>
      <c r="AL415" s="107"/>
      <c r="AM415" s="304"/>
      <c r="AN415" s="304"/>
      <c r="AO415" s="304"/>
      <c r="AP415" s="304"/>
      <c r="AQ415" s="304"/>
      <c r="AR415" s="304"/>
      <c r="AS415" s="304"/>
      <c r="AT415" s="304"/>
      <c r="AU415" s="304"/>
      <c r="AV415" s="304"/>
      <c r="AW415" s="304"/>
      <c r="AX415" s="304"/>
      <c r="AY415" s="304"/>
      <c r="AZ415" s="304"/>
      <c r="BA415" s="304"/>
      <c r="BB415" s="107"/>
      <c r="BC415" s="107"/>
      <c r="BD415" s="107"/>
      <c r="BE415" s="107"/>
      <c r="BF415" s="107"/>
      <c r="BG415" s="107"/>
      <c r="BH415" s="107"/>
      <c r="BI415" s="107"/>
      <c r="BJ415" s="107"/>
      <c r="BK415" s="107"/>
      <c r="BL415" s="107"/>
      <c r="BM415" s="107"/>
      <c r="BN415" s="107"/>
      <c r="BO415" s="107"/>
      <c r="BP415" s="107"/>
      <c r="BQ415" s="107"/>
      <c r="BR415" s="107"/>
    </row>
    <row r="416" customFormat="false" ht="12.75" hidden="false" customHeight="false" outlineLevel="0" collapsed="false">
      <c r="A416" s="100"/>
      <c r="B416" s="100"/>
      <c r="C416" s="100"/>
      <c r="D416" s="100"/>
      <c r="E416" s="100"/>
      <c r="F416" s="277"/>
      <c r="H416" s="277"/>
      <c r="I416" s="277"/>
      <c r="J416" s="69"/>
      <c r="K416" s="277"/>
      <c r="L416" s="277"/>
      <c r="M416" s="277"/>
      <c r="N416" s="277"/>
      <c r="O416" s="277"/>
      <c r="P416" s="277"/>
      <c r="Q416" s="277"/>
      <c r="R416" s="277"/>
      <c r="T416" s="277"/>
      <c r="U416" s="277"/>
      <c r="W416" s="277"/>
      <c r="Y416" s="107"/>
      <c r="Z416" s="107"/>
      <c r="AA416" s="107"/>
      <c r="AB416" s="107"/>
      <c r="AC416" s="107"/>
      <c r="AD416" s="233"/>
      <c r="AE416" s="107"/>
      <c r="AF416" s="107"/>
      <c r="AG416" s="107"/>
      <c r="AH416" s="107"/>
      <c r="AI416" s="107"/>
      <c r="AJ416" s="107"/>
      <c r="AK416" s="107"/>
      <c r="AL416" s="107"/>
      <c r="AM416" s="304"/>
      <c r="AN416" s="304"/>
      <c r="AO416" s="304"/>
      <c r="AP416" s="304"/>
      <c r="AQ416" s="304"/>
      <c r="AR416" s="304"/>
      <c r="AS416" s="304"/>
      <c r="AT416" s="304"/>
      <c r="AU416" s="304"/>
      <c r="AV416" s="304"/>
      <c r="AW416" s="304"/>
      <c r="AX416" s="304"/>
      <c r="AY416" s="304"/>
      <c r="AZ416" s="304"/>
      <c r="BA416" s="304"/>
      <c r="BB416" s="107"/>
      <c r="BC416" s="107"/>
      <c r="BD416" s="107"/>
      <c r="BE416" s="107"/>
      <c r="BF416" s="107"/>
      <c r="BG416" s="107"/>
      <c r="BH416" s="107"/>
      <c r="BI416" s="107"/>
      <c r="BJ416" s="107"/>
      <c r="BK416" s="107"/>
      <c r="BL416" s="107"/>
      <c r="BM416" s="107"/>
      <c r="BN416" s="107"/>
      <c r="BO416" s="107"/>
      <c r="BP416" s="107"/>
      <c r="BQ416" s="107"/>
      <c r="BR416" s="107"/>
    </row>
    <row r="417" customFormat="false" ht="12.75" hidden="false" customHeight="false" outlineLevel="0" collapsed="false">
      <c r="A417" s="100"/>
      <c r="B417" s="100"/>
      <c r="C417" s="100"/>
      <c r="D417" s="100"/>
      <c r="E417" s="100"/>
      <c r="F417" s="277"/>
      <c r="H417" s="277"/>
      <c r="I417" s="277"/>
      <c r="J417" s="69"/>
      <c r="K417" s="277"/>
      <c r="L417" s="277"/>
      <c r="M417" s="277"/>
      <c r="N417" s="277"/>
      <c r="O417" s="277"/>
      <c r="P417" s="277"/>
      <c r="Q417" s="277"/>
      <c r="R417" s="277"/>
      <c r="T417" s="277"/>
      <c r="U417" s="277"/>
      <c r="W417" s="277"/>
      <c r="Y417" s="107"/>
      <c r="Z417" s="107"/>
      <c r="AA417" s="107"/>
      <c r="AB417" s="107"/>
      <c r="AC417" s="107"/>
      <c r="AD417" s="233"/>
      <c r="AE417" s="107"/>
      <c r="AF417" s="107"/>
      <c r="AG417" s="107"/>
      <c r="AH417" s="107"/>
      <c r="AI417" s="107"/>
      <c r="AJ417" s="107"/>
      <c r="AK417" s="107"/>
      <c r="AL417" s="107"/>
      <c r="AM417" s="304"/>
      <c r="AN417" s="304"/>
      <c r="AO417" s="304"/>
      <c r="AP417" s="304"/>
      <c r="AQ417" s="304"/>
      <c r="AR417" s="304"/>
      <c r="AS417" s="304"/>
      <c r="AT417" s="304"/>
      <c r="AU417" s="304"/>
      <c r="AV417" s="304"/>
      <c r="AW417" s="304"/>
      <c r="AX417" s="304"/>
      <c r="AY417" s="304"/>
      <c r="AZ417" s="304"/>
      <c r="BA417" s="304"/>
      <c r="BB417" s="107"/>
      <c r="BC417" s="107"/>
      <c r="BD417" s="107"/>
      <c r="BE417" s="107"/>
      <c r="BF417" s="107"/>
      <c r="BG417" s="107"/>
      <c r="BH417" s="107"/>
      <c r="BI417" s="107"/>
      <c r="BJ417" s="107"/>
      <c r="BK417" s="107"/>
      <c r="BL417" s="107"/>
      <c r="BM417" s="107"/>
      <c r="BN417" s="107"/>
      <c r="BO417" s="107"/>
      <c r="BP417" s="107"/>
      <c r="BQ417" s="107"/>
      <c r="BR417" s="107"/>
    </row>
    <row r="418" customFormat="false" ht="12.75" hidden="false" customHeight="false" outlineLevel="0" collapsed="false">
      <c r="A418" s="100"/>
      <c r="B418" s="100"/>
      <c r="C418" s="100"/>
      <c r="D418" s="100"/>
      <c r="E418" s="100"/>
      <c r="F418" s="277"/>
      <c r="H418" s="277"/>
      <c r="I418" s="277"/>
      <c r="J418" s="69"/>
      <c r="K418" s="277"/>
      <c r="L418" s="277"/>
      <c r="M418" s="277"/>
      <c r="N418" s="277"/>
      <c r="O418" s="277"/>
      <c r="P418" s="277"/>
      <c r="Q418" s="277"/>
      <c r="R418" s="277"/>
      <c r="T418" s="277"/>
      <c r="U418" s="277"/>
      <c r="W418" s="277"/>
      <c r="Y418" s="107"/>
      <c r="Z418" s="107"/>
      <c r="AA418" s="107"/>
      <c r="AB418" s="107"/>
      <c r="AC418" s="107"/>
      <c r="AD418" s="233"/>
      <c r="AE418" s="107"/>
      <c r="AF418" s="107"/>
      <c r="AG418" s="107"/>
      <c r="AH418" s="107"/>
      <c r="AI418" s="107"/>
      <c r="AJ418" s="107"/>
      <c r="AK418" s="107"/>
      <c r="AL418" s="107"/>
      <c r="AM418" s="304"/>
      <c r="AN418" s="304"/>
      <c r="AO418" s="304"/>
      <c r="AP418" s="304"/>
      <c r="AQ418" s="304"/>
      <c r="AR418" s="304"/>
      <c r="AS418" s="304"/>
      <c r="AT418" s="304"/>
      <c r="AU418" s="304"/>
      <c r="AV418" s="304"/>
      <c r="AW418" s="304"/>
      <c r="AX418" s="304"/>
      <c r="AY418" s="304"/>
      <c r="AZ418" s="304"/>
      <c r="BA418" s="304"/>
      <c r="BB418" s="107"/>
      <c r="BC418" s="107"/>
      <c r="BD418" s="107"/>
      <c r="BE418" s="107"/>
      <c r="BF418" s="107"/>
      <c r="BG418" s="107"/>
      <c r="BH418" s="107"/>
      <c r="BI418" s="107"/>
      <c r="BJ418" s="107"/>
      <c r="BK418" s="107"/>
      <c r="BL418" s="107"/>
      <c r="BM418" s="107"/>
      <c r="BN418" s="107"/>
      <c r="BO418" s="107"/>
      <c r="BP418" s="107"/>
      <c r="BQ418" s="107"/>
      <c r="BR418" s="107"/>
    </row>
    <row r="419" customFormat="false" ht="12.75" hidden="false" customHeight="false" outlineLevel="0" collapsed="false">
      <c r="A419" s="100"/>
      <c r="B419" s="100"/>
      <c r="C419" s="100"/>
      <c r="D419" s="100"/>
      <c r="E419" s="100"/>
      <c r="F419" s="277"/>
      <c r="H419" s="277"/>
      <c r="I419" s="277"/>
      <c r="J419" s="69"/>
      <c r="K419" s="277"/>
      <c r="L419" s="277"/>
      <c r="M419" s="277"/>
      <c r="N419" s="277"/>
      <c r="O419" s="277"/>
      <c r="P419" s="277"/>
      <c r="Q419" s="277"/>
      <c r="R419" s="277"/>
      <c r="T419" s="277"/>
      <c r="U419" s="277"/>
      <c r="W419" s="277"/>
      <c r="Y419" s="107"/>
      <c r="Z419" s="107"/>
      <c r="AA419" s="107"/>
      <c r="AB419" s="107"/>
      <c r="AC419" s="107"/>
      <c r="AD419" s="233"/>
      <c r="AE419" s="107"/>
      <c r="AF419" s="107"/>
      <c r="AG419" s="107"/>
      <c r="AH419" s="107"/>
      <c r="AI419" s="107"/>
      <c r="AJ419" s="107"/>
      <c r="AK419" s="107"/>
      <c r="AL419" s="107"/>
      <c r="AM419" s="304"/>
      <c r="AN419" s="304"/>
      <c r="AO419" s="304"/>
      <c r="AP419" s="304"/>
      <c r="AQ419" s="304"/>
      <c r="AR419" s="304"/>
      <c r="AS419" s="304"/>
      <c r="AT419" s="304"/>
      <c r="AU419" s="304"/>
      <c r="AV419" s="304"/>
      <c r="AW419" s="304"/>
      <c r="AX419" s="304"/>
      <c r="AY419" s="304"/>
      <c r="AZ419" s="304"/>
      <c r="BA419" s="304"/>
      <c r="BB419" s="107"/>
      <c r="BC419" s="107"/>
      <c r="BD419" s="107"/>
      <c r="BE419" s="107"/>
      <c r="BF419" s="107"/>
      <c r="BG419" s="107"/>
      <c r="BH419" s="107"/>
      <c r="BI419" s="107"/>
      <c r="BJ419" s="107"/>
      <c r="BK419" s="107"/>
      <c r="BL419" s="107"/>
      <c r="BM419" s="107"/>
      <c r="BN419" s="107"/>
      <c r="BO419" s="107"/>
      <c r="BP419" s="107"/>
      <c r="BQ419" s="107"/>
      <c r="BR419" s="107"/>
    </row>
    <row r="420" customFormat="false" ht="12.75" hidden="false" customHeight="false" outlineLevel="0" collapsed="false">
      <c r="A420" s="100"/>
      <c r="B420" s="100"/>
      <c r="C420" s="100"/>
      <c r="D420" s="100"/>
      <c r="E420" s="100"/>
      <c r="F420" s="277"/>
      <c r="H420" s="277"/>
      <c r="I420" s="277"/>
      <c r="J420" s="69"/>
      <c r="K420" s="277"/>
      <c r="L420" s="277"/>
      <c r="M420" s="277"/>
      <c r="N420" s="277"/>
      <c r="O420" s="277"/>
      <c r="P420" s="277"/>
      <c r="Q420" s="277"/>
      <c r="R420" s="277"/>
      <c r="T420" s="277"/>
      <c r="U420" s="277"/>
      <c r="W420" s="277"/>
      <c r="Y420" s="107"/>
      <c r="Z420" s="107"/>
      <c r="AA420" s="107"/>
      <c r="AB420" s="107"/>
      <c r="AC420" s="107"/>
      <c r="AD420" s="233"/>
      <c r="AE420" s="107"/>
      <c r="AF420" s="107"/>
      <c r="AG420" s="107"/>
      <c r="AH420" s="107"/>
      <c r="AI420" s="107"/>
      <c r="AJ420" s="107"/>
      <c r="AK420" s="107"/>
      <c r="AL420" s="107"/>
      <c r="AM420" s="304"/>
      <c r="AN420" s="304"/>
      <c r="AO420" s="304"/>
      <c r="AP420" s="304"/>
      <c r="AQ420" s="304"/>
      <c r="AR420" s="304"/>
      <c r="AS420" s="304"/>
      <c r="AT420" s="304"/>
      <c r="AU420" s="304"/>
      <c r="AV420" s="304"/>
      <c r="AW420" s="304"/>
      <c r="AX420" s="304"/>
      <c r="AY420" s="304"/>
      <c r="AZ420" s="304"/>
      <c r="BA420" s="304"/>
      <c r="BB420" s="107"/>
      <c r="BC420" s="107"/>
      <c r="BD420" s="107"/>
      <c r="BE420" s="107"/>
      <c r="BF420" s="107"/>
      <c r="BG420" s="107"/>
      <c r="BH420" s="107"/>
      <c r="BI420" s="107"/>
      <c r="BJ420" s="107"/>
      <c r="BK420" s="107"/>
      <c r="BL420" s="107"/>
      <c r="BM420" s="107"/>
      <c r="BN420" s="107"/>
      <c r="BO420" s="107"/>
      <c r="BP420" s="107"/>
      <c r="BQ420" s="107"/>
      <c r="BR420" s="107"/>
    </row>
    <row r="421" customFormat="false" ht="12.75" hidden="false" customHeight="false" outlineLevel="0" collapsed="false">
      <c r="A421" s="100"/>
      <c r="B421" s="100"/>
      <c r="C421" s="100"/>
      <c r="D421" s="100"/>
      <c r="E421" s="100"/>
      <c r="F421" s="277"/>
      <c r="H421" s="277"/>
      <c r="I421" s="277"/>
      <c r="J421" s="69"/>
      <c r="K421" s="277"/>
      <c r="L421" s="277"/>
      <c r="M421" s="277"/>
      <c r="N421" s="277"/>
      <c r="O421" s="277"/>
      <c r="P421" s="277"/>
      <c r="Q421" s="277"/>
      <c r="R421" s="277"/>
      <c r="T421" s="277"/>
      <c r="U421" s="277"/>
      <c r="W421" s="277"/>
      <c r="Y421" s="107"/>
      <c r="Z421" s="107"/>
      <c r="AA421" s="107"/>
      <c r="AB421" s="107"/>
      <c r="AC421" s="107"/>
      <c r="AD421" s="233"/>
      <c r="AE421" s="107"/>
      <c r="AF421" s="107"/>
      <c r="AG421" s="107"/>
      <c r="AH421" s="107"/>
      <c r="AI421" s="107"/>
      <c r="AJ421" s="107"/>
      <c r="AK421" s="107"/>
      <c r="AL421" s="107"/>
      <c r="AM421" s="304"/>
      <c r="AN421" s="304"/>
      <c r="AO421" s="304"/>
      <c r="AP421" s="304"/>
      <c r="AQ421" s="304"/>
      <c r="AR421" s="304"/>
      <c r="AS421" s="304"/>
      <c r="AT421" s="304"/>
      <c r="AU421" s="304"/>
      <c r="AV421" s="304"/>
      <c r="AW421" s="304"/>
      <c r="AX421" s="304"/>
      <c r="AY421" s="304"/>
      <c r="AZ421" s="304"/>
      <c r="BA421" s="304"/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7"/>
      <c r="BR421" s="107"/>
    </row>
    <row r="422" customFormat="false" ht="12.75" hidden="false" customHeight="false" outlineLevel="0" collapsed="false">
      <c r="A422" s="100"/>
      <c r="B422" s="100"/>
      <c r="C422" s="100"/>
      <c r="D422" s="100"/>
      <c r="E422" s="100"/>
      <c r="F422" s="277"/>
      <c r="H422" s="277"/>
      <c r="I422" s="277"/>
      <c r="J422" s="69"/>
      <c r="K422" s="277"/>
      <c r="L422" s="277"/>
      <c r="M422" s="277"/>
      <c r="N422" s="277"/>
      <c r="O422" s="277"/>
      <c r="P422" s="277"/>
      <c r="Q422" s="277"/>
      <c r="R422" s="277"/>
      <c r="T422" s="277"/>
      <c r="U422" s="277"/>
      <c r="W422" s="277"/>
      <c r="Y422" s="107"/>
      <c r="Z422" s="107"/>
      <c r="AA422" s="107"/>
      <c r="AB422" s="107"/>
      <c r="AC422" s="107"/>
      <c r="AD422" s="233"/>
      <c r="AE422" s="107"/>
      <c r="AF422" s="107"/>
      <c r="AG422" s="107"/>
      <c r="AH422" s="107"/>
      <c r="AI422" s="107"/>
      <c r="AJ422" s="107"/>
      <c r="AK422" s="107"/>
      <c r="AL422" s="107"/>
      <c r="AM422" s="304"/>
      <c r="AN422" s="304"/>
      <c r="AO422" s="304"/>
      <c r="AP422" s="304"/>
      <c r="AQ422" s="304"/>
      <c r="AR422" s="304"/>
      <c r="AS422" s="304"/>
      <c r="AT422" s="304"/>
      <c r="AU422" s="304"/>
      <c r="AV422" s="304"/>
      <c r="AW422" s="304"/>
      <c r="AX422" s="304"/>
      <c r="AY422" s="304"/>
      <c r="AZ422" s="304"/>
      <c r="BA422" s="304"/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7"/>
      <c r="BR422" s="107"/>
    </row>
    <row r="423" customFormat="false" ht="12.75" hidden="false" customHeight="false" outlineLevel="0" collapsed="false">
      <c r="A423" s="100"/>
      <c r="B423" s="100"/>
      <c r="C423" s="100"/>
      <c r="D423" s="100"/>
      <c r="E423" s="100"/>
      <c r="F423" s="277"/>
      <c r="H423" s="277"/>
      <c r="I423" s="277"/>
      <c r="J423" s="69"/>
      <c r="K423" s="277"/>
      <c r="L423" s="277"/>
      <c r="M423" s="277"/>
      <c r="N423" s="277"/>
      <c r="O423" s="277"/>
      <c r="P423" s="277"/>
      <c r="Q423" s="277"/>
      <c r="R423" s="277"/>
      <c r="T423" s="277"/>
      <c r="U423" s="277"/>
      <c r="W423" s="277"/>
      <c r="Y423" s="107"/>
      <c r="Z423" s="107"/>
      <c r="AA423" s="107"/>
      <c r="AB423" s="107"/>
      <c r="AC423" s="107"/>
      <c r="AD423" s="233"/>
      <c r="AE423" s="107"/>
      <c r="AF423" s="107"/>
      <c r="AG423" s="107"/>
      <c r="AH423" s="107"/>
      <c r="AI423" s="107"/>
      <c r="AJ423" s="107"/>
      <c r="AK423" s="107"/>
      <c r="AL423" s="107"/>
      <c r="AM423" s="304"/>
      <c r="AN423" s="304"/>
      <c r="AO423" s="304"/>
      <c r="AP423" s="304"/>
      <c r="AQ423" s="304"/>
      <c r="AR423" s="304"/>
      <c r="AS423" s="304"/>
      <c r="AT423" s="304"/>
      <c r="AU423" s="304"/>
      <c r="AV423" s="304"/>
      <c r="AW423" s="304"/>
      <c r="AX423" s="304"/>
      <c r="AY423" s="304"/>
      <c r="AZ423" s="304"/>
      <c r="BA423" s="304"/>
      <c r="BB423" s="107"/>
      <c r="BC423" s="107"/>
      <c r="BD423" s="107"/>
      <c r="BE423" s="107"/>
      <c r="BF423" s="107"/>
      <c r="BG423" s="107"/>
      <c r="BH423" s="107"/>
      <c r="BI423" s="107"/>
      <c r="BJ423" s="107"/>
      <c r="BK423" s="107"/>
      <c r="BL423" s="107"/>
      <c r="BM423" s="107"/>
      <c r="BN423" s="107"/>
      <c r="BO423" s="107"/>
      <c r="BP423" s="107"/>
      <c r="BQ423" s="107"/>
      <c r="BR423" s="107"/>
    </row>
    <row r="424" customFormat="false" ht="12.75" hidden="false" customHeight="false" outlineLevel="0" collapsed="false">
      <c r="A424" s="100"/>
      <c r="B424" s="100"/>
      <c r="C424" s="100"/>
      <c r="D424" s="100"/>
      <c r="E424" s="100"/>
      <c r="F424" s="277"/>
      <c r="H424" s="277"/>
      <c r="I424" s="277"/>
      <c r="J424" s="69"/>
      <c r="K424" s="277"/>
      <c r="L424" s="277"/>
      <c r="M424" s="277"/>
      <c r="N424" s="277"/>
      <c r="O424" s="277"/>
      <c r="P424" s="277"/>
      <c r="Q424" s="277"/>
      <c r="R424" s="277"/>
      <c r="T424" s="277"/>
      <c r="U424" s="277"/>
      <c r="W424" s="277"/>
      <c r="Y424" s="107"/>
      <c r="Z424" s="107"/>
      <c r="AA424" s="107"/>
      <c r="AB424" s="107"/>
      <c r="AC424" s="107"/>
      <c r="AD424" s="233"/>
      <c r="AE424" s="107"/>
      <c r="AF424" s="107"/>
      <c r="AG424" s="107"/>
      <c r="AH424" s="107"/>
      <c r="AI424" s="107"/>
      <c r="AJ424" s="107"/>
      <c r="AK424" s="107"/>
      <c r="AL424" s="107"/>
      <c r="AM424" s="304"/>
      <c r="AN424" s="304"/>
      <c r="AO424" s="304"/>
      <c r="AP424" s="304"/>
      <c r="AQ424" s="304"/>
      <c r="AR424" s="304"/>
      <c r="AS424" s="304"/>
      <c r="AT424" s="304"/>
      <c r="AU424" s="304"/>
      <c r="AV424" s="304"/>
      <c r="AW424" s="304"/>
      <c r="AX424" s="304"/>
      <c r="AY424" s="304"/>
      <c r="AZ424" s="304"/>
      <c r="BA424" s="304"/>
      <c r="BB424" s="107"/>
      <c r="BC424" s="107"/>
      <c r="BD424" s="107"/>
      <c r="BE424" s="107"/>
      <c r="BF424" s="107"/>
      <c r="BG424" s="107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</row>
    <row r="425" customFormat="false" ht="12.75" hidden="false" customHeight="false" outlineLevel="0" collapsed="false">
      <c r="A425" s="100"/>
      <c r="B425" s="100"/>
      <c r="C425" s="100"/>
      <c r="D425" s="100"/>
      <c r="E425" s="100"/>
      <c r="F425" s="277"/>
      <c r="H425" s="277"/>
      <c r="I425" s="277"/>
      <c r="J425" s="69"/>
      <c r="K425" s="277"/>
      <c r="L425" s="277"/>
      <c r="M425" s="277"/>
      <c r="N425" s="277"/>
      <c r="O425" s="277"/>
      <c r="P425" s="277"/>
      <c r="Q425" s="277"/>
      <c r="R425" s="277"/>
      <c r="T425" s="277"/>
      <c r="U425" s="277"/>
      <c r="W425" s="277"/>
      <c r="Y425" s="107"/>
      <c r="Z425" s="107"/>
      <c r="AA425" s="107"/>
      <c r="AB425" s="107"/>
      <c r="AC425" s="107"/>
      <c r="AD425" s="233"/>
      <c r="AE425" s="107"/>
      <c r="AF425" s="107"/>
      <c r="AG425" s="107"/>
      <c r="AH425" s="107"/>
      <c r="AI425" s="107"/>
      <c r="AJ425" s="107"/>
      <c r="AK425" s="107"/>
      <c r="AL425" s="107"/>
      <c r="AM425" s="304"/>
      <c r="AN425" s="304"/>
      <c r="AO425" s="304"/>
      <c r="AP425" s="304"/>
      <c r="AQ425" s="304"/>
      <c r="AR425" s="304"/>
      <c r="AS425" s="304"/>
      <c r="AT425" s="304"/>
      <c r="AU425" s="304"/>
      <c r="AV425" s="304"/>
      <c r="AW425" s="304"/>
      <c r="AX425" s="304"/>
      <c r="AY425" s="304"/>
      <c r="AZ425" s="304"/>
      <c r="BA425" s="304"/>
      <c r="BB425" s="107"/>
      <c r="BC425" s="107"/>
      <c r="BD425" s="107"/>
      <c r="BE425" s="107"/>
      <c r="BF425" s="107"/>
      <c r="BG425" s="107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</row>
    <row r="426" customFormat="false" ht="12.75" hidden="false" customHeight="false" outlineLevel="0" collapsed="false">
      <c r="A426" s="100"/>
      <c r="B426" s="100"/>
      <c r="C426" s="100"/>
      <c r="D426" s="100"/>
      <c r="E426" s="100"/>
      <c r="F426" s="277"/>
      <c r="H426" s="277"/>
      <c r="I426" s="277"/>
      <c r="J426" s="69"/>
      <c r="K426" s="277"/>
      <c r="L426" s="277"/>
      <c r="M426" s="277"/>
      <c r="N426" s="277"/>
      <c r="O426" s="277"/>
      <c r="P426" s="277"/>
      <c r="Q426" s="277"/>
      <c r="R426" s="277"/>
      <c r="T426" s="277"/>
      <c r="U426" s="277"/>
      <c r="W426" s="277"/>
      <c r="Y426" s="107"/>
      <c r="Z426" s="107"/>
      <c r="AA426" s="107"/>
      <c r="AB426" s="107"/>
      <c r="AC426" s="107"/>
      <c r="AD426" s="233"/>
      <c r="AE426" s="107"/>
      <c r="AF426" s="107"/>
      <c r="AG426" s="107"/>
      <c r="AH426" s="107"/>
      <c r="AI426" s="107"/>
      <c r="AJ426" s="107"/>
      <c r="AK426" s="107"/>
      <c r="AL426" s="107"/>
      <c r="AM426" s="304"/>
      <c r="AN426" s="304"/>
      <c r="AO426" s="304"/>
      <c r="AP426" s="304"/>
      <c r="AQ426" s="304"/>
      <c r="AR426" s="304"/>
      <c r="AS426" s="304"/>
      <c r="AT426" s="304"/>
      <c r="AU426" s="304"/>
      <c r="AV426" s="304"/>
      <c r="AW426" s="304"/>
      <c r="AX426" s="304"/>
      <c r="AY426" s="304"/>
      <c r="AZ426" s="304"/>
      <c r="BA426" s="304"/>
      <c r="BB426" s="107"/>
      <c r="BC426" s="107"/>
      <c r="BD426" s="107"/>
      <c r="BE426" s="107"/>
      <c r="BF426" s="107"/>
      <c r="BG426" s="107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</row>
    <row r="427" customFormat="false" ht="12.75" hidden="false" customHeight="false" outlineLevel="0" collapsed="false">
      <c r="A427" s="100"/>
      <c r="B427" s="100"/>
      <c r="C427" s="100"/>
      <c r="D427" s="100"/>
      <c r="E427" s="100"/>
      <c r="F427" s="277"/>
      <c r="H427" s="277"/>
      <c r="I427" s="277"/>
      <c r="J427" s="69"/>
      <c r="K427" s="277"/>
      <c r="L427" s="277"/>
      <c r="M427" s="277"/>
      <c r="N427" s="277"/>
      <c r="O427" s="277"/>
      <c r="P427" s="277"/>
      <c r="Q427" s="277"/>
      <c r="R427" s="277"/>
      <c r="T427" s="277"/>
      <c r="U427" s="277"/>
      <c r="W427" s="277"/>
      <c r="Y427" s="107"/>
      <c r="Z427" s="107"/>
      <c r="AA427" s="107"/>
      <c r="AB427" s="107"/>
      <c r="AC427" s="107"/>
      <c r="AD427" s="233"/>
      <c r="AE427" s="107"/>
      <c r="AF427" s="107"/>
      <c r="AG427" s="107"/>
      <c r="AH427" s="107"/>
      <c r="AI427" s="107"/>
      <c r="AJ427" s="107"/>
      <c r="AK427" s="107"/>
      <c r="AL427" s="107"/>
      <c r="AM427" s="304"/>
      <c r="AN427" s="304"/>
      <c r="AO427" s="304"/>
      <c r="AP427" s="304"/>
      <c r="AQ427" s="304"/>
      <c r="AR427" s="304"/>
      <c r="AS427" s="304"/>
      <c r="AT427" s="304"/>
      <c r="AU427" s="304"/>
      <c r="AV427" s="304"/>
      <c r="AW427" s="304"/>
      <c r="AX427" s="304"/>
      <c r="AY427" s="304"/>
      <c r="AZ427" s="304"/>
      <c r="BA427" s="304"/>
      <c r="BB427" s="107"/>
      <c r="BC427" s="107"/>
      <c r="BD427" s="107"/>
      <c r="BE427" s="107"/>
      <c r="BF427" s="107"/>
      <c r="BG427" s="107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</row>
    <row r="428" customFormat="false" ht="12.75" hidden="false" customHeight="false" outlineLevel="0" collapsed="false">
      <c r="A428" s="100"/>
      <c r="B428" s="100"/>
      <c r="C428" s="100"/>
      <c r="D428" s="100"/>
      <c r="E428" s="100"/>
      <c r="F428" s="277"/>
      <c r="H428" s="277"/>
      <c r="I428" s="277"/>
      <c r="J428" s="69"/>
      <c r="K428" s="277"/>
      <c r="L428" s="277"/>
      <c r="M428" s="277"/>
      <c r="N428" s="277"/>
      <c r="O428" s="277"/>
      <c r="P428" s="277"/>
      <c r="Q428" s="277"/>
      <c r="R428" s="277"/>
      <c r="T428" s="277"/>
      <c r="U428" s="277"/>
      <c r="W428" s="277"/>
      <c r="Y428" s="107"/>
      <c r="Z428" s="107"/>
      <c r="AA428" s="107"/>
      <c r="AB428" s="107"/>
      <c r="AC428" s="107"/>
      <c r="AD428" s="233"/>
      <c r="AE428" s="107"/>
      <c r="AF428" s="107"/>
      <c r="AG428" s="107"/>
      <c r="AH428" s="107"/>
      <c r="AI428" s="107"/>
      <c r="AJ428" s="107"/>
      <c r="AK428" s="107"/>
      <c r="AL428" s="107"/>
      <c r="AM428" s="304"/>
      <c r="AN428" s="304"/>
      <c r="AO428" s="304"/>
      <c r="AP428" s="304"/>
      <c r="AQ428" s="304"/>
      <c r="AR428" s="304"/>
      <c r="AS428" s="304"/>
      <c r="AT428" s="304"/>
      <c r="AU428" s="304"/>
      <c r="AV428" s="304"/>
      <c r="AW428" s="304"/>
      <c r="AX428" s="304"/>
      <c r="AY428" s="304"/>
      <c r="AZ428" s="304"/>
      <c r="BA428" s="304"/>
      <c r="BB428" s="107"/>
      <c r="BC428" s="107"/>
      <c r="BD428" s="107"/>
      <c r="BE428" s="107"/>
      <c r="BF428" s="107"/>
      <c r="BG428" s="107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</row>
    <row r="429" customFormat="false" ht="12.75" hidden="false" customHeight="false" outlineLevel="0" collapsed="false">
      <c r="A429" s="100"/>
      <c r="B429" s="100"/>
      <c r="C429" s="100"/>
      <c r="D429" s="100"/>
      <c r="E429" s="100"/>
      <c r="F429" s="277"/>
      <c r="H429" s="277"/>
      <c r="I429" s="277"/>
      <c r="J429" s="69"/>
      <c r="K429" s="277"/>
      <c r="L429" s="277"/>
      <c r="M429" s="277"/>
      <c r="N429" s="277"/>
      <c r="O429" s="277"/>
      <c r="P429" s="277"/>
      <c r="Q429" s="277"/>
      <c r="R429" s="277"/>
      <c r="T429" s="277"/>
      <c r="U429" s="277"/>
      <c r="W429" s="277"/>
      <c r="Y429" s="107"/>
      <c r="Z429" s="107"/>
      <c r="AA429" s="107"/>
      <c r="AB429" s="107"/>
      <c r="AC429" s="107"/>
      <c r="AD429" s="233"/>
      <c r="AE429" s="107"/>
      <c r="AF429" s="107"/>
      <c r="AG429" s="107"/>
      <c r="AH429" s="107"/>
      <c r="AI429" s="107"/>
      <c r="AJ429" s="107"/>
      <c r="AK429" s="107"/>
      <c r="AL429" s="107"/>
      <c r="AM429" s="304"/>
      <c r="AN429" s="304"/>
      <c r="AO429" s="304"/>
      <c r="AP429" s="304"/>
      <c r="AQ429" s="304"/>
      <c r="AR429" s="304"/>
      <c r="AS429" s="304"/>
      <c r="AT429" s="304"/>
      <c r="AU429" s="304"/>
      <c r="AV429" s="304"/>
      <c r="AW429" s="304"/>
      <c r="AX429" s="304"/>
      <c r="AY429" s="304"/>
      <c r="AZ429" s="304"/>
      <c r="BA429" s="304"/>
      <c r="BB429" s="107"/>
      <c r="BC429" s="107"/>
      <c r="BD429" s="107"/>
      <c r="BE429" s="107"/>
      <c r="BF429" s="107"/>
      <c r="BG429" s="107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</row>
    <row r="430" customFormat="false" ht="12.75" hidden="false" customHeight="false" outlineLevel="0" collapsed="false">
      <c r="A430" s="100"/>
      <c r="B430" s="100"/>
      <c r="C430" s="100"/>
      <c r="D430" s="100"/>
      <c r="E430" s="100"/>
      <c r="F430" s="277"/>
      <c r="H430" s="277"/>
      <c r="I430" s="277"/>
      <c r="J430" s="69"/>
      <c r="K430" s="277"/>
      <c r="L430" s="277"/>
      <c r="M430" s="277"/>
      <c r="N430" s="277"/>
      <c r="O430" s="277"/>
      <c r="P430" s="277"/>
      <c r="Q430" s="277"/>
      <c r="R430" s="277"/>
      <c r="T430" s="277"/>
      <c r="U430" s="277"/>
      <c r="W430" s="277"/>
      <c r="Y430" s="107"/>
      <c r="Z430" s="107"/>
      <c r="AA430" s="107"/>
      <c r="AB430" s="107"/>
      <c r="AC430" s="107"/>
      <c r="AD430" s="233"/>
      <c r="AE430" s="107"/>
      <c r="AF430" s="107"/>
      <c r="AG430" s="107"/>
      <c r="AH430" s="107"/>
      <c r="AI430" s="107"/>
      <c r="AJ430" s="107"/>
      <c r="AK430" s="107"/>
      <c r="AL430" s="107"/>
      <c r="AM430" s="304"/>
      <c r="AN430" s="304"/>
      <c r="AO430" s="304"/>
      <c r="AP430" s="304"/>
      <c r="AQ430" s="304"/>
      <c r="AR430" s="304"/>
      <c r="AS430" s="304"/>
      <c r="AT430" s="304"/>
      <c r="AU430" s="304"/>
      <c r="AV430" s="304"/>
      <c r="AW430" s="304"/>
      <c r="AX430" s="304"/>
      <c r="AY430" s="304"/>
      <c r="AZ430" s="304"/>
      <c r="BA430" s="304"/>
      <c r="BB430" s="107"/>
      <c r="BC430" s="107"/>
      <c r="BD430" s="107"/>
      <c r="BE430" s="107"/>
      <c r="BF430" s="107"/>
      <c r="BG430" s="107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</row>
    <row r="431" customFormat="false" ht="12.75" hidden="false" customHeight="false" outlineLevel="0" collapsed="false">
      <c r="A431" s="100"/>
      <c r="B431" s="100"/>
      <c r="C431" s="100"/>
      <c r="D431" s="100"/>
      <c r="E431" s="100"/>
      <c r="F431" s="277"/>
      <c r="H431" s="277"/>
      <c r="I431" s="277"/>
      <c r="J431" s="69"/>
      <c r="K431" s="277"/>
      <c r="L431" s="277"/>
      <c r="M431" s="277"/>
      <c r="N431" s="277"/>
      <c r="O431" s="277"/>
      <c r="P431" s="277"/>
      <c r="Q431" s="277"/>
      <c r="R431" s="277"/>
      <c r="T431" s="277"/>
      <c r="U431" s="277"/>
      <c r="W431" s="277"/>
      <c r="Y431" s="107"/>
      <c r="Z431" s="107"/>
      <c r="AA431" s="107"/>
      <c r="AB431" s="107"/>
      <c r="AC431" s="107"/>
      <c r="AD431" s="233"/>
      <c r="AE431" s="107"/>
      <c r="AF431" s="107"/>
      <c r="AG431" s="107"/>
      <c r="AH431" s="107"/>
      <c r="AI431" s="107"/>
      <c r="AJ431" s="107"/>
      <c r="AK431" s="107"/>
      <c r="AL431" s="107"/>
      <c r="AM431" s="304"/>
      <c r="AN431" s="304"/>
      <c r="AO431" s="304"/>
      <c r="AP431" s="304"/>
      <c r="AQ431" s="304"/>
      <c r="AR431" s="304"/>
      <c r="AS431" s="304"/>
      <c r="AT431" s="304"/>
      <c r="AU431" s="304"/>
      <c r="AV431" s="304"/>
      <c r="AW431" s="304"/>
      <c r="AX431" s="304"/>
      <c r="AY431" s="304"/>
      <c r="AZ431" s="304"/>
      <c r="BA431" s="304"/>
      <c r="BB431" s="107"/>
      <c r="BC431" s="107"/>
      <c r="BD431" s="107"/>
      <c r="BE431" s="107"/>
      <c r="BF431" s="107"/>
      <c r="BG431" s="107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</row>
    <row r="432" customFormat="false" ht="12.75" hidden="false" customHeight="false" outlineLevel="0" collapsed="false">
      <c r="A432" s="100"/>
      <c r="B432" s="100"/>
      <c r="C432" s="100"/>
      <c r="D432" s="100"/>
      <c r="E432" s="100"/>
      <c r="F432" s="277"/>
      <c r="H432" s="277"/>
      <c r="I432" s="277"/>
      <c r="J432" s="69"/>
      <c r="K432" s="277"/>
      <c r="L432" s="277"/>
      <c r="M432" s="277"/>
      <c r="N432" s="277"/>
      <c r="O432" s="277"/>
      <c r="P432" s="277"/>
      <c r="Q432" s="277"/>
      <c r="R432" s="277"/>
      <c r="T432" s="277"/>
      <c r="U432" s="277"/>
      <c r="W432" s="277"/>
      <c r="Y432" s="107"/>
      <c r="Z432" s="107"/>
      <c r="AA432" s="107"/>
      <c r="AB432" s="107"/>
      <c r="AC432" s="107"/>
      <c r="AD432" s="233"/>
      <c r="AE432" s="107"/>
      <c r="AF432" s="107"/>
      <c r="AG432" s="107"/>
      <c r="AH432" s="107"/>
      <c r="AI432" s="107"/>
      <c r="AJ432" s="107"/>
      <c r="AK432" s="107"/>
      <c r="AL432" s="107"/>
      <c r="AM432" s="304"/>
      <c r="AN432" s="304"/>
      <c r="AO432" s="304"/>
      <c r="AP432" s="304"/>
      <c r="AQ432" s="304"/>
      <c r="AR432" s="304"/>
      <c r="AS432" s="304"/>
      <c r="AT432" s="304"/>
      <c r="AU432" s="304"/>
      <c r="AV432" s="304"/>
      <c r="AW432" s="304"/>
      <c r="AX432" s="304"/>
      <c r="AY432" s="304"/>
      <c r="AZ432" s="304"/>
      <c r="BA432" s="304"/>
      <c r="BB432" s="107"/>
      <c r="BC432" s="107"/>
      <c r="BD432" s="107"/>
      <c r="BE432" s="107"/>
      <c r="BF432" s="107"/>
      <c r="BG432" s="107"/>
      <c r="BH432" s="107"/>
      <c r="BI432" s="107"/>
      <c r="BJ432" s="107"/>
      <c r="BK432" s="107"/>
      <c r="BL432" s="107"/>
      <c r="BM432" s="107"/>
      <c r="BN432" s="107"/>
      <c r="BO432" s="107"/>
      <c r="BP432" s="107"/>
      <c r="BQ432" s="107"/>
      <c r="BR432" s="107"/>
    </row>
    <row r="433" customFormat="false" ht="12.75" hidden="false" customHeight="false" outlineLevel="0" collapsed="false">
      <c r="A433" s="100"/>
      <c r="B433" s="100"/>
      <c r="C433" s="100"/>
      <c r="D433" s="100"/>
      <c r="E433" s="100"/>
      <c r="F433" s="277"/>
      <c r="H433" s="277"/>
      <c r="I433" s="277"/>
      <c r="J433" s="69"/>
      <c r="K433" s="277"/>
      <c r="L433" s="277"/>
      <c r="M433" s="277"/>
      <c r="N433" s="277"/>
      <c r="O433" s="277"/>
      <c r="P433" s="277"/>
      <c r="Q433" s="277"/>
      <c r="R433" s="277"/>
      <c r="T433" s="277"/>
      <c r="U433" s="277"/>
      <c r="W433" s="277"/>
      <c r="Y433" s="107"/>
      <c r="Z433" s="107"/>
      <c r="AA433" s="107"/>
      <c r="AB433" s="107"/>
      <c r="AC433" s="107"/>
      <c r="AD433" s="233"/>
      <c r="AE433" s="107"/>
      <c r="AF433" s="107"/>
      <c r="AG433" s="107"/>
      <c r="AH433" s="107"/>
      <c r="AI433" s="107"/>
      <c r="AJ433" s="107"/>
      <c r="AK433" s="107"/>
      <c r="AL433" s="107"/>
      <c r="AM433" s="304"/>
      <c r="AN433" s="304"/>
      <c r="AO433" s="304"/>
      <c r="AP433" s="304"/>
      <c r="AQ433" s="304"/>
      <c r="AR433" s="304"/>
      <c r="AS433" s="304"/>
      <c r="AT433" s="304"/>
      <c r="AU433" s="304"/>
      <c r="AV433" s="304"/>
      <c r="AW433" s="304"/>
      <c r="AX433" s="304"/>
      <c r="AY433" s="304"/>
      <c r="AZ433" s="304"/>
      <c r="BA433" s="304"/>
      <c r="BB433" s="107"/>
      <c r="BC433" s="107"/>
      <c r="BD433" s="107"/>
      <c r="BE433" s="107"/>
      <c r="BF433" s="107"/>
      <c r="BG433" s="107"/>
      <c r="BH433" s="107"/>
      <c r="BI433" s="107"/>
      <c r="BJ433" s="107"/>
      <c r="BK433" s="107"/>
      <c r="BL433" s="107"/>
      <c r="BM433" s="107"/>
      <c r="BN433" s="107"/>
      <c r="BO433" s="107"/>
      <c r="BP433" s="107"/>
      <c r="BQ433" s="107"/>
      <c r="BR433" s="107"/>
    </row>
    <row r="434" customFormat="false" ht="12.75" hidden="false" customHeight="false" outlineLevel="0" collapsed="false">
      <c r="A434" s="100"/>
      <c r="B434" s="100"/>
      <c r="C434" s="100"/>
      <c r="D434" s="100"/>
      <c r="E434" s="100"/>
      <c r="F434" s="277"/>
      <c r="H434" s="277"/>
      <c r="I434" s="277"/>
      <c r="J434" s="69"/>
      <c r="K434" s="277"/>
      <c r="L434" s="277"/>
      <c r="M434" s="277"/>
      <c r="N434" s="277"/>
      <c r="O434" s="277"/>
      <c r="P434" s="277"/>
      <c r="Q434" s="277"/>
      <c r="R434" s="277"/>
      <c r="T434" s="277"/>
      <c r="U434" s="277"/>
      <c r="W434" s="277"/>
      <c r="Y434" s="107"/>
      <c r="Z434" s="107"/>
      <c r="AA434" s="107"/>
      <c r="AB434" s="107"/>
      <c r="AC434" s="107"/>
      <c r="AD434" s="233"/>
      <c r="AE434" s="107"/>
      <c r="AF434" s="107"/>
      <c r="AG434" s="107"/>
      <c r="AH434" s="107"/>
      <c r="AI434" s="107"/>
      <c r="AJ434" s="107"/>
      <c r="AK434" s="107"/>
      <c r="AL434" s="107"/>
      <c r="AM434" s="304"/>
      <c r="AN434" s="304"/>
      <c r="AO434" s="304"/>
      <c r="AP434" s="304"/>
      <c r="AQ434" s="304"/>
      <c r="AR434" s="304"/>
      <c r="AS434" s="304"/>
      <c r="AT434" s="304"/>
      <c r="AU434" s="304"/>
      <c r="AV434" s="304"/>
      <c r="AW434" s="304"/>
      <c r="AX434" s="304"/>
      <c r="AY434" s="304"/>
      <c r="AZ434" s="304"/>
      <c r="BA434" s="304"/>
      <c r="BB434" s="107"/>
      <c r="BC434" s="107"/>
      <c r="BD434" s="107"/>
      <c r="BE434" s="107"/>
      <c r="BF434" s="107"/>
      <c r="BG434" s="107"/>
      <c r="BH434" s="107"/>
      <c r="BI434" s="107"/>
      <c r="BJ434" s="107"/>
      <c r="BK434" s="107"/>
      <c r="BL434" s="107"/>
      <c r="BM434" s="107"/>
      <c r="BN434" s="107"/>
      <c r="BO434" s="107"/>
      <c r="BP434" s="107"/>
      <c r="BQ434" s="107"/>
      <c r="BR434" s="107"/>
    </row>
    <row r="435" customFormat="false" ht="12.75" hidden="false" customHeight="false" outlineLevel="0" collapsed="false">
      <c r="A435" s="100"/>
      <c r="B435" s="100"/>
      <c r="C435" s="100"/>
      <c r="D435" s="100"/>
      <c r="E435" s="100"/>
      <c r="F435" s="277"/>
      <c r="H435" s="277"/>
      <c r="I435" s="277"/>
      <c r="J435" s="69"/>
      <c r="K435" s="277"/>
      <c r="L435" s="277"/>
      <c r="M435" s="277"/>
      <c r="N435" s="277"/>
      <c r="O435" s="277"/>
      <c r="P435" s="277"/>
      <c r="Q435" s="277"/>
      <c r="R435" s="277"/>
      <c r="T435" s="277"/>
      <c r="U435" s="277"/>
      <c r="W435" s="277"/>
      <c r="Y435" s="107"/>
      <c r="Z435" s="107"/>
      <c r="AA435" s="107"/>
      <c r="AB435" s="107"/>
      <c r="AC435" s="107"/>
      <c r="AD435" s="233"/>
      <c r="AE435" s="107"/>
      <c r="AF435" s="107"/>
      <c r="AG435" s="107"/>
      <c r="AH435" s="107"/>
      <c r="AI435" s="107"/>
      <c r="AJ435" s="107"/>
      <c r="AK435" s="107"/>
      <c r="AL435" s="107"/>
      <c r="AM435" s="304"/>
      <c r="AN435" s="304"/>
      <c r="AO435" s="304"/>
      <c r="AP435" s="304"/>
      <c r="AQ435" s="304"/>
      <c r="AR435" s="304"/>
      <c r="AS435" s="304"/>
      <c r="AT435" s="304"/>
      <c r="AU435" s="304"/>
      <c r="AV435" s="304"/>
      <c r="AW435" s="304"/>
      <c r="AX435" s="304"/>
      <c r="AY435" s="304"/>
      <c r="AZ435" s="304"/>
      <c r="BA435" s="304"/>
      <c r="BB435" s="107"/>
      <c r="BC435" s="107"/>
      <c r="BD435" s="107"/>
      <c r="BE435" s="107"/>
      <c r="BF435" s="107"/>
      <c r="BG435" s="107"/>
      <c r="BH435" s="107"/>
      <c r="BI435" s="107"/>
      <c r="BJ435" s="107"/>
      <c r="BK435" s="107"/>
      <c r="BL435" s="107"/>
      <c r="BM435" s="107"/>
      <c r="BN435" s="107"/>
      <c r="BO435" s="107"/>
      <c r="BP435" s="107"/>
      <c r="BQ435" s="107"/>
      <c r="BR435" s="107"/>
    </row>
    <row r="436" customFormat="false" ht="12.75" hidden="false" customHeight="false" outlineLevel="0" collapsed="false">
      <c r="A436" s="100"/>
      <c r="B436" s="100"/>
      <c r="C436" s="100"/>
      <c r="D436" s="100"/>
      <c r="E436" s="100"/>
      <c r="F436" s="277"/>
      <c r="H436" s="277"/>
      <c r="I436" s="277"/>
      <c r="J436" s="69"/>
      <c r="K436" s="277"/>
      <c r="L436" s="277"/>
      <c r="M436" s="277"/>
      <c r="N436" s="277"/>
      <c r="O436" s="277"/>
      <c r="P436" s="277"/>
      <c r="Q436" s="277"/>
      <c r="R436" s="277"/>
      <c r="T436" s="277"/>
      <c r="U436" s="277"/>
      <c r="W436" s="277"/>
      <c r="Y436" s="107"/>
      <c r="Z436" s="107"/>
      <c r="AA436" s="107"/>
      <c r="AB436" s="107"/>
      <c r="AC436" s="107"/>
      <c r="AD436" s="233"/>
      <c r="AE436" s="107"/>
      <c r="AF436" s="107"/>
      <c r="AG436" s="107"/>
      <c r="AH436" s="107"/>
      <c r="AI436" s="107"/>
      <c r="AJ436" s="107"/>
      <c r="AK436" s="107"/>
      <c r="AL436" s="107"/>
      <c r="AM436" s="304"/>
      <c r="AN436" s="304"/>
      <c r="AO436" s="304"/>
      <c r="AP436" s="304"/>
      <c r="AQ436" s="304"/>
      <c r="AR436" s="304"/>
      <c r="AS436" s="304"/>
      <c r="AT436" s="304"/>
      <c r="AU436" s="304"/>
      <c r="AV436" s="304"/>
      <c r="AW436" s="304"/>
      <c r="AX436" s="304"/>
      <c r="AY436" s="304"/>
      <c r="AZ436" s="304"/>
      <c r="BA436" s="304"/>
      <c r="BB436" s="107"/>
      <c r="BC436" s="107"/>
      <c r="BD436" s="107"/>
      <c r="BE436" s="107"/>
      <c r="BF436" s="107"/>
      <c r="BG436" s="107"/>
      <c r="BH436" s="107"/>
      <c r="BI436" s="107"/>
      <c r="BJ436" s="107"/>
      <c r="BK436" s="107"/>
      <c r="BL436" s="107"/>
      <c r="BM436" s="107"/>
      <c r="BN436" s="107"/>
      <c r="BO436" s="107"/>
      <c r="BP436" s="107"/>
      <c r="BQ436" s="107"/>
      <c r="BR436" s="107"/>
    </row>
    <row r="437" customFormat="false" ht="12.75" hidden="false" customHeight="false" outlineLevel="0" collapsed="false">
      <c r="A437" s="100"/>
      <c r="B437" s="100"/>
      <c r="C437" s="100"/>
      <c r="D437" s="100"/>
      <c r="E437" s="100"/>
      <c r="F437" s="277"/>
      <c r="H437" s="277"/>
      <c r="I437" s="277"/>
      <c r="J437" s="69"/>
      <c r="K437" s="277"/>
      <c r="L437" s="277"/>
      <c r="M437" s="277"/>
      <c r="N437" s="277"/>
      <c r="O437" s="277"/>
      <c r="P437" s="277"/>
      <c r="Q437" s="277"/>
      <c r="R437" s="277"/>
      <c r="T437" s="277"/>
      <c r="U437" s="277"/>
      <c r="W437" s="277"/>
      <c r="Y437" s="107"/>
      <c r="Z437" s="107"/>
      <c r="AA437" s="107"/>
      <c r="AB437" s="107"/>
      <c r="AC437" s="107"/>
      <c r="AD437" s="233"/>
      <c r="AE437" s="107"/>
      <c r="AF437" s="107"/>
      <c r="AG437" s="107"/>
      <c r="AH437" s="107"/>
      <c r="AI437" s="107"/>
      <c r="AJ437" s="107"/>
      <c r="AK437" s="107"/>
      <c r="AL437" s="107"/>
      <c r="AM437" s="304"/>
      <c r="AN437" s="304"/>
      <c r="AO437" s="304"/>
      <c r="AP437" s="304"/>
      <c r="AQ437" s="304"/>
      <c r="AR437" s="304"/>
      <c r="AS437" s="304"/>
      <c r="AT437" s="304"/>
      <c r="AU437" s="304"/>
      <c r="AV437" s="304"/>
      <c r="AW437" s="304"/>
      <c r="AX437" s="304"/>
      <c r="AY437" s="304"/>
      <c r="AZ437" s="304"/>
      <c r="BA437" s="304"/>
      <c r="BB437" s="107"/>
      <c r="BC437" s="107"/>
      <c r="BD437" s="107"/>
      <c r="BE437" s="107"/>
      <c r="BF437" s="107"/>
      <c r="BG437" s="107"/>
      <c r="BH437" s="107"/>
      <c r="BI437" s="107"/>
      <c r="BJ437" s="107"/>
      <c r="BK437" s="107"/>
      <c r="BL437" s="107"/>
      <c r="BM437" s="107"/>
      <c r="BN437" s="107"/>
      <c r="BO437" s="107"/>
      <c r="BP437" s="107"/>
      <c r="BQ437" s="107"/>
      <c r="BR437" s="107"/>
    </row>
    <row r="438" customFormat="false" ht="12.75" hidden="false" customHeight="false" outlineLevel="0" collapsed="false">
      <c r="A438" s="100"/>
      <c r="B438" s="100"/>
      <c r="C438" s="100"/>
      <c r="D438" s="100"/>
      <c r="E438" s="100"/>
      <c r="F438" s="277"/>
      <c r="H438" s="277"/>
      <c r="I438" s="277"/>
      <c r="J438" s="69"/>
      <c r="K438" s="277"/>
      <c r="L438" s="277"/>
      <c r="M438" s="277"/>
      <c r="N438" s="277"/>
      <c r="O438" s="277"/>
      <c r="P438" s="277"/>
      <c r="Q438" s="277"/>
      <c r="R438" s="277"/>
      <c r="T438" s="277"/>
      <c r="U438" s="277"/>
      <c r="W438" s="277"/>
      <c r="Y438" s="107"/>
      <c r="Z438" s="107"/>
      <c r="AA438" s="107"/>
      <c r="AB438" s="107"/>
      <c r="AC438" s="107"/>
      <c r="AD438" s="233"/>
      <c r="AE438" s="107"/>
      <c r="AF438" s="107"/>
      <c r="AG438" s="107"/>
      <c r="AH438" s="107"/>
      <c r="AI438" s="107"/>
      <c r="AJ438" s="107"/>
      <c r="AK438" s="107"/>
      <c r="AL438" s="107"/>
      <c r="AM438" s="304"/>
      <c r="AN438" s="304"/>
      <c r="AO438" s="304"/>
      <c r="AP438" s="304"/>
      <c r="AQ438" s="304"/>
      <c r="AR438" s="304"/>
      <c r="AS438" s="304"/>
      <c r="AT438" s="304"/>
      <c r="AU438" s="304"/>
      <c r="AV438" s="304"/>
      <c r="AW438" s="304"/>
      <c r="AX438" s="304"/>
      <c r="AY438" s="304"/>
      <c r="AZ438" s="304"/>
      <c r="BA438" s="304"/>
      <c r="BB438" s="107"/>
      <c r="BC438" s="107"/>
      <c r="BD438" s="107"/>
      <c r="BE438" s="107"/>
      <c r="BF438" s="107"/>
      <c r="BG438" s="107"/>
      <c r="BH438" s="107"/>
      <c r="BI438" s="107"/>
      <c r="BJ438" s="107"/>
      <c r="BK438" s="107"/>
      <c r="BL438" s="107"/>
      <c r="BM438" s="107"/>
      <c r="BN438" s="107"/>
      <c r="BO438" s="107"/>
      <c r="BP438" s="107"/>
      <c r="BQ438" s="107"/>
      <c r="BR438" s="107"/>
    </row>
    <row r="439" customFormat="false" ht="12.75" hidden="false" customHeight="false" outlineLevel="0" collapsed="false">
      <c r="A439" s="100"/>
      <c r="B439" s="100"/>
      <c r="C439" s="100"/>
      <c r="D439" s="100"/>
      <c r="E439" s="100"/>
      <c r="F439" s="277"/>
      <c r="H439" s="277"/>
      <c r="I439" s="277"/>
      <c r="J439" s="69"/>
      <c r="K439" s="277"/>
      <c r="L439" s="277"/>
      <c r="M439" s="277"/>
      <c r="N439" s="277"/>
      <c r="O439" s="277"/>
      <c r="P439" s="277"/>
      <c r="Q439" s="277"/>
      <c r="R439" s="277"/>
      <c r="T439" s="277"/>
      <c r="U439" s="277"/>
      <c r="W439" s="277"/>
      <c r="Y439" s="107"/>
      <c r="Z439" s="107"/>
      <c r="AA439" s="107"/>
      <c r="AB439" s="107"/>
      <c r="AC439" s="107"/>
      <c r="AD439" s="233"/>
      <c r="AE439" s="107"/>
      <c r="AF439" s="107"/>
      <c r="AG439" s="107"/>
      <c r="AH439" s="107"/>
      <c r="AI439" s="107"/>
      <c r="AJ439" s="107"/>
      <c r="AK439" s="107"/>
      <c r="AL439" s="107"/>
      <c r="AM439" s="304"/>
      <c r="AN439" s="304"/>
      <c r="AO439" s="304"/>
      <c r="AP439" s="304"/>
      <c r="AQ439" s="304"/>
      <c r="AR439" s="304"/>
      <c r="AS439" s="304"/>
      <c r="AT439" s="304"/>
      <c r="AU439" s="304"/>
      <c r="AV439" s="304"/>
      <c r="AW439" s="304"/>
      <c r="AX439" s="304"/>
      <c r="AY439" s="304"/>
      <c r="AZ439" s="304"/>
      <c r="BA439" s="304"/>
      <c r="BB439" s="107"/>
      <c r="BC439" s="107"/>
      <c r="BD439" s="107"/>
      <c r="BE439" s="107"/>
      <c r="BF439" s="107"/>
      <c r="BG439" s="107"/>
      <c r="BH439" s="107"/>
      <c r="BI439" s="107"/>
      <c r="BJ439" s="107"/>
      <c r="BK439" s="107"/>
      <c r="BL439" s="107"/>
      <c r="BM439" s="107"/>
      <c r="BN439" s="107"/>
      <c r="BO439" s="107"/>
      <c r="BP439" s="107"/>
      <c r="BQ439" s="107"/>
      <c r="BR439" s="107"/>
    </row>
    <row r="440" customFormat="false" ht="12.75" hidden="false" customHeight="false" outlineLevel="0" collapsed="false">
      <c r="A440" s="100"/>
      <c r="B440" s="100"/>
      <c r="C440" s="100"/>
      <c r="D440" s="100"/>
      <c r="E440" s="100"/>
      <c r="F440" s="277"/>
      <c r="H440" s="277"/>
      <c r="I440" s="277"/>
      <c r="J440" s="69"/>
      <c r="K440" s="277"/>
      <c r="L440" s="277"/>
      <c r="M440" s="277"/>
      <c r="N440" s="277"/>
      <c r="O440" s="277"/>
      <c r="P440" s="277"/>
      <c r="Q440" s="277"/>
      <c r="R440" s="277"/>
      <c r="T440" s="277"/>
      <c r="U440" s="277"/>
      <c r="W440" s="277"/>
      <c r="Y440" s="107"/>
      <c r="Z440" s="107"/>
      <c r="AA440" s="107"/>
      <c r="AB440" s="107"/>
      <c r="AC440" s="107"/>
      <c r="AD440" s="233"/>
      <c r="AE440" s="107"/>
      <c r="AF440" s="107"/>
      <c r="AG440" s="107"/>
      <c r="AH440" s="107"/>
      <c r="AI440" s="107"/>
      <c r="AJ440" s="107"/>
      <c r="AK440" s="107"/>
      <c r="AL440" s="107"/>
      <c r="AM440" s="304"/>
      <c r="AN440" s="304"/>
      <c r="AO440" s="304"/>
      <c r="AP440" s="304"/>
      <c r="AQ440" s="304"/>
      <c r="AR440" s="304"/>
      <c r="AS440" s="304"/>
      <c r="AT440" s="304"/>
      <c r="AU440" s="304"/>
      <c r="AV440" s="304"/>
      <c r="AW440" s="304"/>
      <c r="AX440" s="304"/>
      <c r="AY440" s="304"/>
      <c r="AZ440" s="304"/>
      <c r="BA440" s="304"/>
      <c r="BB440" s="107"/>
      <c r="BC440" s="107"/>
      <c r="BD440" s="107"/>
      <c r="BE440" s="107"/>
      <c r="BF440" s="107"/>
      <c r="BG440" s="107"/>
      <c r="BH440" s="107"/>
      <c r="BI440" s="107"/>
      <c r="BJ440" s="107"/>
      <c r="BK440" s="107"/>
      <c r="BL440" s="107"/>
      <c r="BM440" s="107"/>
      <c r="BN440" s="107"/>
      <c r="BO440" s="107"/>
      <c r="BP440" s="107"/>
      <c r="BQ440" s="107"/>
      <c r="BR440" s="107"/>
    </row>
    <row r="441" customFormat="false" ht="12.75" hidden="false" customHeight="false" outlineLevel="0" collapsed="false">
      <c r="A441" s="100"/>
      <c r="B441" s="100"/>
      <c r="C441" s="100"/>
      <c r="D441" s="100"/>
      <c r="E441" s="100"/>
      <c r="F441" s="277"/>
      <c r="H441" s="277"/>
      <c r="I441" s="277"/>
      <c r="J441" s="69"/>
      <c r="K441" s="277"/>
      <c r="L441" s="277"/>
      <c r="M441" s="277"/>
      <c r="N441" s="277"/>
      <c r="O441" s="277"/>
      <c r="P441" s="277"/>
      <c r="Q441" s="277"/>
      <c r="R441" s="277"/>
      <c r="T441" s="277"/>
      <c r="U441" s="277"/>
      <c r="W441" s="277"/>
      <c r="Y441" s="107"/>
      <c r="Z441" s="107"/>
      <c r="AA441" s="107"/>
      <c r="AB441" s="107"/>
      <c r="AC441" s="107"/>
      <c r="AD441" s="233"/>
      <c r="AE441" s="107"/>
      <c r="AF441" s="107"/>
      <c r="AG441" s="107"/>
      <c r="AH441" s="107"/>
      <c r="AI441" s="107"/>
      <c r="AJ441" s="107"/>
      <c r="AK441" s="107"/>
      <c r="AL441" s="107"/>
      <c r="AM441" s="304"/>
      <c r="AN441" s="304"/>
      <c r="AO441" s="304"/>
      <c r="AP441" s="304"/>
      <c r="AQ441" s="304"/>
      <c r="AR441" s="304"/>
      <c r="AS441" s="304"/>
      <c r="AT441" s="304"/>
      <c r="AU441" s="304"/>
      <c r="AV441" s="304"/>
      <c r="AW441" s="304"/>
      <c r="AX441" s="304"/>
      <c r="AY441" s="304"/>
      <c r="AZ441" s="304"/>
      <c r="BA441" s="304"/>
      <c r="BB441" s="107"/>
      <c r="BC441" s="107"/>
      <c r="BD441" s="107"/>
      <c r="BE441" s="107"/>
      <c r="BF441" s="107"/>
      <c r="BG441" s="107"/>
      <c r="BH441" s="107"/>
      <c r="BI441" s="107"/>
      <c r="BJ441" s="107"/>
      <c r="BK441" s="107"/>
      <c r="BL441" s="107"/>
      <c r="BM441" s="107"/>
      <c r="BN441" s="107"/>
      <c r="BO441" s="107"/>
      <c r="BP441" s="107"/>
      <c r="BQ441" s="107"/>
      <c r="BR441" s="107"/>
    </row>
    <row r="442" customFormat="false" ht="12.75" hidden="false" customHeight="false" outlineLevel="0" collapsed="false">
      <c r="A442" s="100"/>
      <c r="B442" s="100"/>
      <c r="C442" s="100"/>
      <c r="D442" s="100"/>
      <c r="E442" s="100"/>
      <c r="F442" s="277"/>
      <c r="H442" s="277"/>
      <c r="I442" s="277"/>
      <c r="J442" s="69"/>
      <c r="K442" s="277"/>
      <c r="L442" s="277"/>
      <c r="M442" s="277"/>
      <c r="N442" s="277"/>
      <c r="O442" s="277"/>
      <c r="P442" s="277"/>
      <c r="Q442" s="277"/>
      <c r="R442" s="277"/>
      <c r="T442" s="277"/>
      <c r="U442" s="277"/>
      <c r="W442" s="277"/>
      <c r="Y442" s="107"/>
      <c r="Z442" s="107"/>
      <c r="AA442" s="107"/>
      <c r="AB442" s="107"/>
      <c r="AC442" s="107"/>
      <c r="AD442" s="233"/>
      <c r="AE442" s="107"/>
      <c r="AF442" s="107"/>
      <c r="AG442" s="107"/>
      <c r="AH442" s="107"/>
      <c r="AI442" s="107"/>
      <c r="AJ442" s="107"/>
      <c r="AK442" s="107"/>
      <c r="AL442" s="107"/>
      <c r="AM442" s="304"/>
      <c r="AN442" s="304"/>
      <c r="AO442" s="304"/>
      <c r="AP442" s="304"/>
      <c r="AQ442" s="304"/>
      <c r="AR442" s="304"/>
      <c r="AS442" s="304"/>
      <c r="AT442" s="304"/>
      <c r="AU442" s="304"/>
      <c r="AV442" s="304"/>
      <c r="AW442" s="304"/>
      <c r="AX442" s="304"/>
      <c r="AY442" s="304"/>
      <c r="AZ442" s="304"/>
      <c r="BA442" s="304"/>
      <c r="BB442" s="107"/>
      <c r="BC442" s="107"/>
      <c r="BD442" s="107"/>
      <c r="BE442" s="107"/>
      <c r="BF442" s="107"/>
      <c r="BG442" s="107"/>
      <c r="BH442" s="107"/>
      <c r="BI442" s="107"/>
      <c r="BJ442" s="107"/>
      <c r="BK442" s="107"/>
      <c r="BL442" s="107"/>
      <c r="BM442" s="107"/>
      <c r="BN442" s="107"/>
      <c r="BO442" s="107"/>
      <c r="BP442" s="107"/>
      <c r="BQ442" s="107"/>
      <c r="BR442" s="107"/>
    </row>
    <row r="443" customFormat="false" ht="12.75" hidden="false" customHeight="false" outlineLevel="0" collapsed="false">
      <c r="A443" s="100"/>
      <c r="B443" s="100"/>
      <c r="C443" s="100"/>
      <c r="D443" s="100"/>
      <c r="E443" s="100"/>
      <c r="F443" s="277"/>
      <c r="H443" s="277"/>
      <c r="I443" s="277"/>
      <c r="J443" s="69"/>
      <c r="K443" s="277"/>
      <c r="L443" s="277"/>
      <c r="M443" s="277"/>
      <c r="N443" s="277"/>
      <c r="O443" s="277"/>
      <c r="P443" s="277"/>
      <c r="Q443" s="277"/>
      <c r="R443" s="277"/>
      <c r="T443" s="277"/>
      <c r="U443" s="277"/>
      <c r="W443" s="277"/>
      <c r="Y443" s="107"/>
      <c r="Z443" s="107"/>
      <c r="AA443" s="107"/>
      <c r="AB443" s="107"/>
      <c r="AC443" s="107"/>
      <c r="AD443" s="233"/>
      <c r="AE443" s="107"/>
      <c r="AF443" s="107"/>
      <c r="AG443" s="107"/>
      <c r="AH443" s="107"/>
      <c r="AI443" s="107"/>
      <c r="AJ443" s="107"/>
      <c r="AK443" s="107"/>
      <c r="AL443" s="107"/>
      <c r="AM443" s="304"/>
      <c r="AN443" s="304"/>
      <c r="AO443" s="304"/>
      <c r="AP443" s="304"/>
      <c r="AQ443" s="304"/>
      <c r="AR443" s="304"/>
      <c r="AS443" s="304"/>
      <c r="AT443" s="304"/>
      <c r="AU443" s="304"/>
      <c r="AV443" s="304"/>
      <c r="AW443" s="304"/>
      <c r="AX443" s="304"/>
      <c r="AY443" s="304"/>
      <c r="AZ443" s="304"/>
      <c r="BA443" s="304"/>
      <c r="BB443" s="107"/>
      <c r="BC443" s="107"/>
      <c r="BD443" s="107"/>
      <c r="BE443" s="107"/>
      <c r="BF443" s="107"/>
      <c r="BG443" s="107"/>
      <c r="BH443" s="107"/>
      <c r="BI443" s="107"/>
      <c r="BJ443" s="107"/>
      <c r="BK443" s="107"/>
      <c r="BL443" s="107"/>
      <c r="BM443" s="107"/>
      <c r="BN443" s="107"/>
      <c r="BO443" s="107"/>
      <c r="BP443" s="107"/>
      <c r="BQ443" s="107"/>
      <c r="BR443" s="107"/>
    </row>
    <row r="444" customFormat="false" ht="12.75" hidden="false" customHeight="false" outlineLevel="0" collapsed="false">
      <c r="A444" s="100"/>
      <c r="B444" s="100"/>
      <c r="C444" s="100"/>
      <c r="D444" s="100"/>
      <c r="E444" s="100"/>
      <c r="F444" s="277"/>
      <c r="H444" s="277"/>
      <c r="I444" s="277"/>
      <c r="J444" s="69"/>
      <c r="K444" s="277"/>
      <c r="L444" s="277"/>
      <c r="M444" s="277"/>
      <c r="N444" s="277"/>
      <c r="O444" s="277"/>
      <c r="P444" s="277"/>
      <c r="Q444" s="277"/>
      <c r="R444" s="277"/>
      <c r="T444" s="277"/>
      <c r="U444" s="277"/>
      <c r="W444" s="277"/>
      <c r="Y444" s="107"/>
      <c r="Z444" s="107"/>
      <c r="AA444" s="107"/>
      <c r="AB444" s="107"/>
      <c r="AC444" s="107"/>
      <c r="AD444" s="233"/>
      <c r="AE444" s="107"/>
      <c r="AF444" s="107"/>
      <c r="AG444" s="107"/>
      <c r="AH444" s="107"/>
      <c r="AI444" s="107"/>
      <c r="AJ444" s="107"/>
      <c r="AK444" s="107"/>
      <c r="AL444" s="107"/>
      <c r="AM444" s="304"/>
      <c r="AN444" s="304"/>
      <c r="AO444" s="304"/>
      <c r="AP444" s="304"/>
      <c r="AQ444" s="304"/>
      <c r="AR444" s="304"/>
      <c r="AS444" s="304"/>
      <c r="AT444" s="304"/>
      <c r="AU444" s="304"/>
      <c r="AV444" s="304"/>
      <c r="AW444" s="304"/>
      <c r="AX444" s="304"/>
      <c r="AY444" s="304"/>
      <c r="AZ444" s="304"/>
      <c r="BA444" s="304"/>
      <c r="BB444" s="107"/>
      <c r="BC444" s="107"/>
      <c r="BD444" s="107"/>
      <c r="BE444" s="107"/>
      <c r="BF444" s="107"/>
      <c r="BG444" s="107"/>
      <c r="BH444" s="107"/>
      <c r="BI444" s="107"/>
      <c r="BJ444" s="107"/>
      <c r="BK444" s="107"/>
      <c r="BL444" s="107"/>
      <c r="BM444" s="107"/>
      <c r="BN444" s="107"/>
      <c r="BO444" s="107"/>
      <c r="BP444" s="107"/>
      <c r="BQ444" s="107"/>
      <c r="BR444" s="107"/>
    </row>
    <row r="445" customFormat="false" ht="12.75" hidden="false" customHeight="false" outlineLevel="0" collapsed="false">
      <c r="A445" s="100"/>
      <c r="B445" s="100"/>
      <c r="C445" s="100"/>
      <c r="D445" s="100"/>
      <c r="E445" s="100"/>
      <c r="F445" s="277"/>
      <c r="H445" s="277"/>
      <c r="I445" s="277"/>
      <c r="J445" s="69"/>
      <c r="K445" s="277"/>
      <c r="L445" s="277"/>
      <c r="M445" s="277"/>
      <c r="N445" s="277"/>
      <c r="O445" s="277"/>
      <c r="P445" s="277"/>
      <c r="Q445" s="277"/>
      <c r="R445" s="277"/>
      <c r="T445" s="277"/>
      <c r="U445" s="277"/>
      <c r="W445" s="277"/>
      <c r="Y445" s="107"/>
      <c r="Z445" s="107"/>
      <c r="AA445" s="107"/>
      <c r="AB445" s="107"/>
      <c r="AC445" s="107"/>
      <c r="AD445" s="233"/>
      <c r="AE445" s="107"/>
      <c r="AF445" s="107"/>
      <c r="AG445" s="107"/>
      <c r="AH445" s="107"/>
      <c r="AI445" s="107"/>
      <c r="AJ445" s="107"/>
      <c r="AK445" s="107"/>
      <c r="AL445" s="107"/>
      <c r="AM445" s="304"/>
      <c r="AN445" s="304"/>
      <c r="AO445" s="304"/>
      <c r="AP445" s="304"/>
      <c r="AQ445" s="304"/>
      <c r="AR445" s="304"/>
      <c r="AS445" s="304"/>
      <c r="AT445" s="304"/>
      <c r="AU445" s="304"/>
      <c r="AV445" s="304"/>
      <c r="AW445" s="304"/>
      <c r="AX445" s="304"/>
      <c r="AY445" s="304"/>
      <c r="AZ445" s="304"/>
      <c r="BA445" s="304"/>
      <c r="BB445" s="107"/>
      <c r="BC445" s="107"/>
      <c r="BD445" s="107"/>
      <c r="BE445" s="107"/>
      <c r="BF445" s="107"/>
      <c r="BG445" s="107"/>
      <c r="BH445" s="107"/>
      <c r="BI445" s="107"/>
      <c r="BJ445" s="107"/>
      <c r="BK445" s="107"/>
      <c r="BL445" s="107"/>
      <c r="BM445" s="107"/>
      <c r="BN445" s="107"/>
      <c r="BO445" s="107"/>
      <c r="BP445" s="107"/>
      <c r="BQ445" s="107"/>
      <c r="BR445" s="107"/>
    </row>
    <row r="446" customFormat="false" ht="12.75" hidden="false" customHeight="false" outlineLevel="0" collapsed="false">
      <c r="A446" s="100"/>
      <c r="B446" s="100"/>
      <c r="C446" s="100"/>
      <c r="D446" s="100"/>
      <c r="E446" s="100"/>
      <c r="F446" s="277"/>
      <c r="H446" s="277"/>
      <c r="I446" s="277"/>
      <c r="J446" s="69"/>
      <c r="K446" s="277"/>
      <c r="L446" s="277"/>
      <c r="M446" s="277"/>
      <c r="N446" s="277"/>
      <c r="O446" s="277"/>
      <c r="P446" s="277"/>
      <c r="Q446" s="277"/>
      <c r="R446" s="277"/>
      <c r="T446" s="277"/>
      <c r="U446" s="277"/>
      <c r="W446" s="277"/>
      <c r="Y446" s="107"/>
      <c r="Z446" s="107"/>
      <c r="AA446" s="107"/>
      <c r="AB446" s="107"/>
      <c r="AC446" s="107"/>
      <c r="AD446" s="233"/>
      <c r="AE446" s="107"/>
      <c r="AF446" s="107"/>
      <c r="AG446" s="107"/>
      <c r="AH446" s="107"/>
      <c r="AI446" s="107"/>
      <c r="AJ446" s="107"/>
      <c r="AK446" s="107"/>
      <c r="AL446" s="107"/>
      <c r="AM446" s="304"/>
      <c r="AN446" s="304"/>
      <c r="AO446" s="304"/>
      <c r="AP446" s="304"/>
      <c r="AQ446" s="304"/>
      <c r="AR446" s="304"/>
      <c r="AS446" s="304"/>
      <c r="AT446" s="304"/>
      <c r="AU446" s="304"/>
      <c r="AV446" s="304"/>
      <c r="AW446" s="304"/>
      <c r="AX446" s="304"/>
      <c r="AY446" s="304"/>
      <c r="AZ446" s="304"/>
      <c r="BA446" s="304"/>
      <c r="BB446" s="107"/>
      <c r="BC446" s="107"/>
      <c r="BD446" s="107"/>
      <c r="BE446" s="107"/>
      <c r="BF446" s="107"/>
      <c r="BG446" s="107"/>
      <c r="BH446" s="107"/>
      <c r="BI446" s="107"/>
      <c r="BJ446" s="107"/>
      <c r="BK446" s="107"/>
      <c r="BL446" s="107"/>
      <c r="BM446" s="107"/>
      <c r="BN446" s="107"/>
      <c r="BO446" s="107"/>
      <c r="BP446" s="107"/>
      <c r="BQ446" s="107"/>
      <c r="BR446" s="107"/>
    </row>
    <row r="447" customFormat="false" ht="12.75" hidden="false" customHeight="false" outlineLevel="0" collapsed="false">
      <c r="A447" s="100"/>
      <c r="B447" s="100"/>
      <c r="C447" s="100"/>
      <c r="D447" s="100"/>
      <c r="E447" s="100"/>
      <c r="F447" s="277"/>
      <c r="H447" s="277"/>
      <c r="I447" s="277"/>
      <c r="J447" s="69"/>
      <c r="K447" s="277"/>
      <c r="L447" s="277"/>
      <c r="M447" s="277"/>
      <c r="N447" s="277"/>
      <c r="O447" s="277"/>
      <c r="P447" s="277"/>
      <c r="Q447" s="277"/>
      <c r="R447" s="277"/>
      <c r="T447" s="277"/>
      <c r="U447" s="277"/>
      <c r="W447" s="277"/>
      <c r="Y447" s="107"/>
      <c r="Z447" s="107"/>
      <c r="AA447" s="107"/>
      <c r="AB447" s="107"/>
      <c r="AC447" s="107"/>
      <c r="AD447" s="233"/>
      <c r="AE447" s="107"/>
      <c r="AF447" s="107"/>
      <c r="AG447" s="107"/>
      <c r="AH447" s="107"/>
      <c r="AI447" s="107"/>
      <c r="AJ447" s="107"/>
      <c r="AK447" s="107"/>
      <c r="AL447" s="107"/>
      <c r="AM447" s="304"/>
      <c r="AN447" s="304"/>
      <c r="AO447" s="304"/>
      <c r="AP447" s="304"/>
      <c r="AQ447" s="304"/>
      <c r="AR447" s="304"/>
      <c r="AS447" s="304"/>
      <c r="AT447" s="304"/>
      <c r="AU447" s="304"/>
      <c r="AV447" s="304"/>
      <c r="AW447" s="304"/>
      <c r="AX447" s="304"/>
      <c r="AY447" s="304"/>
      <c r="AZ447" s="304"/>
      <c r="BA447" s="304"/>
      <c r="BB447" s="107"/>
      <c r="BC447" s="107"/>
      <c r="BD447" s="107"/>
      <c r="BE447" s="107"/>
      <c r="BF447" s="107"/>
      <c r="BG447" s="107"/>
      <c r="BH447" s="107"/>
      <c r="BI447" s="107"/>
      <c r="BJ447" s="107"/>
      <c r="BK447" s="107"/>
      <c r="BL447" s="107"/>
      <c r="BM447" s="107"/>
      <c r="BN447" s="107"/>
      <c r="BO447" s="107"/>
      <c r="BP447" s="107"/>
      <c r="BQ447" s="107"/>
      <c r="BR447" s="107"/>
    </row>
    <row r="448" customFormat="false" ht="12.75" hidden="false" customHeight="false" outlineLevel="0" collapsed="false">
      <c r="A448" s="100"/>
      <c r="B448" s="100"/>
      <c r="C448" s="100"/>
      <c r="D448" s="100"/>
      <c r="E448" s="100"/>
      <c r="F448" s="277"/>
      <c r="H448" s="277"/>
      <c r="I448" s="277"/>
      <c r="J448" s="69"/>
      <c r="K448" s="277"/>
      <c r="L448" s="277"/>
      <c r="M448" s="277"/>
      <c r="N448" s="277"/>
      <c r="O448" s="277"/>
      <c r="P448" s="277"/>
      <c r="Q448" s="277"/>
      <c r="R448" s="277"/>
      <c r="T448" s="277"/>
      <c r="U448" s="277"/>
      <c r="W448" s="277"/>
      <c r="Y448" s="107"/>
      <c r="Z448" s="107"/>
      <c r="AA448" s="107"/>
      <c r="AB448" s="107"/>
      <c r="AC448" s="107"/>
      <c r="AD448" s="233"/>
      <c r="AE448" s="107"/>
      <c r="AF448" s="107"/>
      <c r="AG448" s="107"/>
      <c r="AH448" s="107"/>
      <c r="AI448" s="107"/>
      <c r="AJ448" s="107"/>
      <c r="AK448" s="107"/>
      <c r="AL448" s="107"/>
      <c r="AM448" s="304"/>
      <c r="AN448" s="304"/>
      <c r="AO448" s="304"/>
      <c r="AP448" s="304"/>
      <c r="AQ448" s="304"/>
      <c r="AR448" s="304"/>
      <c r="AS448" s="304"/>
      <c r="AT448" s="304"/>
      <c r="AU448" s="304"/>
      <c r="AV448" s="304"/>
      <c r="AW448" s="304"/>
      <c r="AX448" s="304"/>
      <c r="AY448" s="304"/>
      <c r="AZ448" s="304"/>
      <c r="BA448" s="304"/>
      <c r="BB448" s="107"/>
      <c r="BC448" s="107"/>
      <c r="BD448" s="107"/>
      <c r="BE448" s="107"/>
      <c r="BF448" s="107"/>
      <c r="BG448" s="107"/>
      <c r="BH448" s="107"/>
      <c r="BI448" s="107"/>
      <c r="BJ448" s="107"/>
      <c r="BK448" s="107"/>
      <c r="BL448" s="107"/>
      <c r="BM448" s="107"/>
      <c r="BN448" s="107"/>
      <c r="BO448" s="107"/>
      <c r="BP448" s="107"/>
      <c r="BQ448" s="107"/>
      <c r="BR448" s="107"/>
    </row>
    <row r="449" customFormat="false" ht="12.75" hidden="false" customHeight="false" outlineLevel="0" collapsed="false">
      <c r="A449" s="100"/>
      <c r="B449" s="100"/>
      <c r="C449" s="100"/>
      <c r="D449" s="100"/>
      <c r="E449" s="100"/>
      <c r="F449" s="277"/>
      <c r="H449" s="277"/>
      <c r="I449" s="277"/>
      <c r="J449" s="69"/>
      <c r="K449" s="277"/>
      <c r="L449" s="277"/>
      <c r="M449" s="277"/>
      <c r="N449" s="277"/>
      <c r="O449" s="277"/>
      <c r="P449" s="277"/>
      <c r="Q449" s="277"/>
      <c r="R449" s="277"/>
      <c r="T449" s="277"/>
      <c r="U449" s="277"/>
      <c r="W449" s="277"/>
      <c r="Y449" s="107"/>
      <c r="Z449" s="107"/>
      <c r="AA449" s="107"/>
      <c r="AB449" s="107"/>
      <c r="AC449" s="107"/>
      <c r="AD449" s="233"/>
      <c r="AE449" s="107"/>
      <c r="AF449" s="107"/>
      <c r="AG449" s="107"/>
      <c r="AH449" s="107"/>
      <c r="AI449" s="107"/>
      <c r="AJ449" s="107"/>
      <c r="AK449" s="107"/>
      <c r="AL449" s="107"/>
      <c r="AM449" s="304"/>
      <c r="AN449" s="304"/>
      <c r="AO449" s="304"/>
      <c r="AP449" s="304"/>
      <c r="AQ449" s="304"/>
      <c r="AR449" s="304"/>
      <c r="AS449" s="304"/>
      <c r="AT449" s="304"/>
      <c r="AU449" s="304"/>
      <c r="AV449" s="304"/>
      <c r="AW449" s="304"/>
      <c r="AX449" s="304"/>
      <c r="AY449" s="304"/>
      <c r="AZ449" s="304"/>
      <c r="BA449" s="304"/>
      <c r="BB449" s="107"/>
      <c r="BC449" s="107"/>
      <c r="BD449" s="107"/>
      <c r="BE449" s="107"/>
      <c r="BF449" s="107"/>
      <c r="BG449" s="107"/>
      <c r="BH449" s="107"/>
      <c r="BI449" s="107"/>
      <c r="BJ449" s="107"/>
      <c r="BK449" s="107"/>
      <c r="BL449" s="107"/>
      <c r="BM449" s="107"/>
      <c r="BN449" s="107"/>
      <c r="BO449" s="107"/>
      <c r="BP449" s="107"/>
      <c r="BQ449" s="107"/>
      <c r="BR449" s="107"/>
    </row>
    <row r="450" customFormat="false" ht="12.75" hidden="false" customHeight="false" outlineLevel="0" collapsed="false">
      <c r="A450" s="100"/>
      <c r="B450" s="100"/>
      <c r="C450" s="100"/>
      <c r="D450" s="100"/>
      <c r="E450" s="100"/>
      <c r="F450" s="277"/>
      <c r="H450" s="277"/>
      <c r="I450" s="277"/>
      <c r="J450" s="69"/>
      <c r="K450" s="277"/>
      <c r="L450" s="277"/>
      <c r="M450" s="277"/>
      <c r="N450" s="277"/>
      <c r="O450" s="277"/>
      <c r="P450" s="277"/>
      <c r="Q450" s="277"/>
      <c r="R450" s="277"/>
      <c r="T450" s="277"/>
      <c r="U450" s="277"/>
      <c r="W450" s="277"/>
      <c r="Y450" s="107"/>
      <c r="Z450" s="107"/>
      <c r="AA450" s="107"/>
      <c r="AB450" s="107"/>
      <c r="AC450" s="107"/>
      <c r="AD450" s="233"/>
      <c r="AE450" s="107"/>
      <c r="AF450" s="107"/>
      <c r="AG450" s="107"/>
      <c r="AH450" s="107"/>
      <c r="AI450" s="107"/>
      <c r="AJ450" s="107"/>
      <c r="AK450" s="107"/>
      <c r="AL450" s="107"/>
      <c r="AM450" s="304"/>
      <c r="AN450" s="304"/>
      <c r="AO450" s="304"/>
      <c r="AP450" s="304"/>
      <c r="AQ450" s="304"/>
      <c r="AR450" s="304"/>
      <c r="AS450" s="304"/>
      <c r="AT450" s="304"/>
      <c r="AU450" s="304"/>
      <c r="AV450" s="304"/>
      <c r="AW450" s="304"/>
      <c r="AX450" s="304"/>
      <c r="AY450" s="304"/>
      <c r="AZ450" s="304"/>
      <c r="BA450" s="304"/>
      <c r="BB450" s="107"/>
      <c r="BC450" s="107"/>
      <c r="BD450" s="107"/>
      <c r="BE450" s="107"/>
      <c r="BF450" s="107"/>
      <c r="BG450" s="107"/>
      <c r="BH450" s="107"/>
      <c r="BI450" s="107"/>
      <c r="BJ450" s="107"/>
      <c r="BK450" s="107"/>
      <c r="BL450" s="107"/>
      <c r="BM450" s="107"/>
      <c r="BN450" s="107"/>
      <c r="BO450" s="107"/>
      <c r="BP450" s="107"/>
      <c r="BQ450" s="107"/>
      <c r="BR450" s="107"/>
    </row>
    <row r="451" customFormat="false" ht="12.75" hidden="false" customHeight="false" outlineLevel="0" collapsed="false">
      <c r="A451" s="100"/>
      <c r="B451" s="100"/>
      <c r="C451" s="100"/>
      <c r="D451" s="100"/>
      <c r="E451" s="100"/>
      <c r="F451" s="277"/>
      <c r="H451" s="277"/>
      <c r="I451" s="277"/>
      <c r="J451" s="69"/>
      <c r="K451" s="277"/>
      <c r="L451" s="277"/>
      <c r="M451" s="277"/>
      <c r="N451" s="277"/>
      <c r="O451" s="277"/>
      <c r="P451" s="277"/>
      <c r="Q451" s="277"/>
      <c r="R451" s="277"/>
      <c r="T451" s="277"/>
      <c r="U451" s="277"/>
      <c r="W451" s="277"/>
      <c r="Y451" s="107"/>
      <c r="Z451" s="107"/>
      <c r="AA451" s="107"/>
      <c r="AB451" s="107"/>
      <c r="AC451" s="107"/>
      <c r="AD451" s="233"/>
      <c r="AE451" s="107"/>
      <c r="AF451" s="107"/>
      <c r="AG451" s="107"/>
      <c r="AH451" s="107"/>
      <c r="AI451" s="107"/>
      <c r="AJ451" s="107"/>
      <c r="AK451" s="107"/>
      <c r="AL451" s="107"/>
      <c r="AM451" s="304"/>
      <c r="AN451" s="304"/>
      <c r="AO451" s="304"/>
      <c r="AP451" s="304"/>
      <c r="AQ451" s="304"/>
      <c r="AR451" s="304"/>
      <c r="AS451" s="304"/>
      <c r="AT451" s="304"/>
      <c r="AU451" s="304"/>
      <c r="AV451" s="304"/>
      <c r="AW451" s="304"/>
      <c r="AX451" s="304"/>
      <c r="AY451" s="304"/>
      <c r="AZ451" s="304"/>
      <c r="BA451" s="304"/>
      <c r="BB451" s="107"/>
      <c r="BC451" s="107"/>
      <c r="BD451" s="107"/>
      <c r="BE451" s="107"/>
      <c r="BF451" s="107"/>
      <c r="BG451" s="107"/>
      <c r="BH451" s="107"/>
      <c r="BI451" s="107"/>
      <c r="BJ451" s="107"/>
      <c r="BK451" s="107"/>
      <c r="BL451" s="107"/>
      <c r="BM451" s="107"/>
      <c r="BN451" s="107"/>
      <c r="BO451" s="107"/>
      <c r="BP451" s="107"/>
      <c r="BQ451" s="107"/>
      <c r="BR451" s="107"/>
    </row>
    <row r="452" customFormat="false" ht="12.75" hidden="false" customHeight="false" outlineLevel="0" collapsed="false">
      <c r="A452" s="100"/>
      <c r="B452" s="100"/>
      <c r="C452" s="100"/>
      <c r="D452" s="100"/>
      <c r="E452" s="100"/>
      <c r="F452" s="277"/>
      <c r="H452" s="277"/>
      <c r="I452" s="277"/>
      <c r="J452" s="69"/>
      <c r="K452" s="277"/>
      <c r="L452" s="277"/>
      <c r="M452" s="277"/>
      <c r="N452" s="277"/>
      <c r="O452" s="277"/>
      <c r="P452" s="277"/>
      <c r="Q452" s="277"/>
      <c r="R452" s="277"/>
      <c r="T452" s="277"/>
      <c r="U452" s="277"/>
      <c r="W452" s="277"/>
      <c r="Y452" s="107"/>
      <c r="Z452" s="107"/>
      <c r="AA452" s="107"/>
      <c r="AB452" s="107"/>
      <c r="AC452" s="107"/>
      <c r="AD452" s="233"/>
      <c r="AE452" s="107"/>
      <c r="AF452" s="107"/>
      <c r="AG452" s="107"/>
      <c r="AH452" s="107"/>
      <c r="AI452" s="107"/>
      <c r="AJ452" s="107"/>
      <c r="AK452" s="107"/>
      <c r="AL452" s="107"/>
      <c r="AM452" s="304"/>
      <c r="AN452" s="304"/>
      <c r="AO452" s="304"/>
      <c r="AP452" s="304"/>
      <c r="AQ452" s="304"/>
      <c r="AR452" s="304"/>
      <c r="AS452" s="304"/>
      <c r="AT452" s="304"/>
      <c r="AU452" s="304"/>
      <c r="AV452" s="304"/>
      <c r="AW452" s="304"/>
      <c r="AX452" s="304"/>
      <c r="AY452" s="304"/>
      <c r="AZ452" s="304"/>
      <c r="BA452" s="304"/>
      <c r="BB452" s="107"/>
      <c r="BC452" s="107"/>
      <c r="BD452" s="107"/>
      <c r="BE452" s="107"/>
      <c r="BF452" s="107"/>
      <c r="BG452" s="107"/>
      <c r="BH452" s="107"/>
      <c r="BI452" s="107"/>
      <c r="BJ452" s="107"/>
      <c r="BK452" s="107"/>
      <c r="BL452" s="107"/>
      <c r="BM452" s="107"/>
      <c r="BN452" s="107"/>
      <c r="BO452" s="107"/>
      <c r="BP452" s="107"/>
      <c r="BQ452" s="107"/>
      <c r="BR452" s="107"/>
    </row>
    <row r="453" customFormat="false" ht="12.75" hidden="false" customHeight="false" outlineLevel="0" collapsed="false">
      <c r="A453" s="100"/>
      <c r="B453" s="100"/>
      <c r="C453" s="100"/>
      <c r="D453" s="100"/>
      <c r="E453" s="100"/>
      <c r="F453" s="277"/>
      <c r="H453" s="277"/>
      <c r="I453" s="277"/>
      <c r="J453" s="69"/>
      <c r="K453" s="277"/>
      <c r="L453" s="277"/>
      <c r="M453" s="277"/>
      <c r="N453" s="277"/>
      <c r="O453" s="277"/>
      <c r="P453" s="277"/>
      <c r="Q453" s="277"/>
      <c r="R453" s="277"/>
      <c r="T453" s="277"/>
      <c r="U453" s="277"/>
      <c r="W453" s="277"/>
      <c r="Y453" s="107"/>
      <c r="Z453" s="107"/>
      <c r="AA453" s="107"/>
      <c r="AB453" s="107"/>
      <c r="AC453" s="107"/>
      <c r="AD453" s="233"/>
      <c r="AE453" s="107"/>
      <c r="AF453" s="107"/>
      <c r="AG453" s="107"/>
      <c r="AH453" s="107"/>
      <c r="AI453" s="107"/>
      <c r="AJ453" s="107"/>
      <c r="AK453" s="107"/>
      <c r="AL453" s="107"/>
      <c r="AM453" s="304"/>
      <c r="AN453" s="304"/>
      <c r="AO453" s="304"/>
      <c r="AP453" s="304"/>
      <c r="AQ453" s="304"/>
      <c r="AR453" s="304"/>
      <c r="AS453" s="304"/>
      <c r="AT453" s="304"/>
      <c r="AU453" s="304"/>
      <c r="AV453" s="304"/>
      <c r="AW453" s="304"/>
      <c r="AX453" s="304"/>
      <c r="AY453" s="304"/>
      <c r="AZ453" s="304"/>
      <c r="BA453" s="304"/>
      <c r="BB453" s="107"/>
      <c r="BC453" s="107"/>
      <c r="BD453" s="107"/>
      <c r="BE453" s="107"/>
      <c r="BF453" s="107"/>
      <c r="BG453" s="107"/>
      <c r="BH453" s="107"/>
      <c r="BI453" s="107"/>
      <c r="BJ453" s="107"/>
      <c r="BK453" s="107"/>
      <c r="BL453" s="107"/>
      <c r="BM453" s="107"/>
      <c r="BN453" s="107"/>
      <c r="BO453" s="107"/>
      <c r="BP453" s="107"/>
      <c r="BQ453" s="107"/>
      <c r="BR453" s="107"/>
    </row>
    <row r="454" customFormat="false" ht="12.75" hidden="false" customHeight="false" outlineLevel="0" collapsed="false">
      <c r="A454" s="100"/>
      <c r="B454" s="100"/>
      <c r="C454" s="100"/>
      <c r="D454" s="100"/>
      <c r="E454" s="100"/>
      <c r="F454" s="277"/>
      <c r="H454" s="277"/>
      <c r="I454" s="277"/>
      <c r="J454" s="69"/>
      <c r="K454" s="277"/>
      <c r="L454" s="277"/>
      <c r="M454" s="277"/>
      <c r="N454" s="277"/>
      <c r="O454" s="277"/>
      <c r="P454" s="277"/>
      <c r="Q454" s="277"/>
      <c r="R454" s="277"/>
      <c r="T454" s="277"/>
      <c r="U454" s="277"/>
      <c r="W454" s="277"/>
      <c r="Y454" s="107"/>
      <c r="Z454" s="107"/>
      <c r="AA454" s="107"/>
      <c r="AB454" s="107"/>
      <c r="AC454" s="107"/>
      <c r="AD454" s="233"/>
      <c r="AE454" s="107"/>
      <c r="AF454" s="107"/>
      <c r="AG454" s="107"/>
      <c r="AH454" s="107"/>
      <c r="AI454" s="107"/>
      <c r="AJ454" s="107"/>
      <c r="AK454" s="107"/>
      <c r="AL454" s="107"/>
      <c r="AM454" s="304"/>
      <c r="AN454" s="304"/>
      <c r="AO454" s="304"/>
      <c r="AP454" s="304"/>
      <c r="AQ454" s="304"/>
      <c r="AR454" s="304"/>
      <c r="AS454" s="304"/>
      <c r="AT454" s="304"/>
      <c r="AU454" s="304"/>
      <c r="AV454" s="304"/>
      <c r="AW454" s="304"/>
      <c r="AX454" s="304"/>
      <c r="AY454" s="304"/>
      <c r="AZ454" s="304"/>
      <c r="BA454" s="304"/>
      <c r="BB454" s="107"/>
      <c r="BC454" s="107"/>
      <c r="BD454" s="107"/>
      <c r="BE454" s="107"/>
      <c r="BF454" s="107"/>
      <c r="BG454" s="107"/>
      <c r="BH454" s="107"/>
      <c r="BI454" s="107"/>
      <c r="BJ454" s="107"/>
      <c r="BK454" s="107"/>
      <c r="BL454" s="107"/>
      <c r="BM454" s="107"/>
      <c r="BN454" s="107"/>
      <c r="BO454" s="107"/>
      <c r="BP454" s="107"/>
      <c r="BQ454" s="107"/>
      <c r="BR454" s="107"/>
    </row>
    <row r="455" customFormat="false" ht="12.75" hidden="false" customHeight="false" outlineLevel="0" collapsed="false">
      <c r="A455" s="100"/>
      <c r="B455" s="100"/>
      <c r="C455" s="100"/>
      <c r="D455" s="100"/>
      <c r="E455" s="100"/>
      <c r="F455" s="277"/>
      <c r="H455" s="277"/>
      <c r="I455" s="277"/>
      <c r="J455" s="69"/>
      <c r="K455" s="277"/>
      <c r="L455" s="277"/>
      <c r="M455" s="277"/>
      <c r="N455" s="277"/>
      <c r="O455" s="277"/>
      <c r="P455" s="277"/>
      <c r="Q455" s="277"/>
      <c r="R455" s="277"/>
      <c r="T455" s="277"/>
      <c r="U455" s="277"/>
      <c r="W455" s="277"/>
      <c r="Y455" s="107"/>
      <c r="Z455" s="107"/>
      <c r="AA455" s="107"/>
      <c r="AB455" s="107"/>
      <c r="AC455" s="107"/>
      <c r="AD455" s="233"/>
      <c r="AE455" s="107"/>
      <c r="AF455" s="107"/>
      <c r="AG455" s="107"/>
      <c r="AH455" s="107"/>
      <c r="AI455" s="107"/>
      <c r="AJ455" s="107"/>
      <c r="AK455" s="107"/>
      <c r="AL455" s="107"/>
      <c r="AM455" s="304"/>
      <c r="AN455" s="304"/>
      <c r="AO455" s="304"/>
      <c r="AP455" s="304"/>
      <c r="AQ455" s="304"/>
      <c r="AR455" s="304"/>
      <c r="AS455" s="304"/>
      <c r="AT455" s="304"/>
      <c r="AU455" s="304"/>
      <c r="AV455" s="304"/>
      <c r="AW455" s="304"/>
      <c r="AX455" s="304"/>
      <c r="AY455" s="304"/>
      <c r="AZ455" s="304"/>
      <c r="BA455" s="304"/>
      <c r="BB455" s="107"/>
      <c r="BC455" s="107"/>
      <c r="BD455" s="107"/>
      <c r="BE455" s="107"/>
      <c r="BF455" s="107"/>
      <c r="BG455" s="107"/>
      <c r="BH455" s="107"/>
      <c r="BI455" s="107"/>
      <c r="BJ455" s="107"/>
      <c r="BK455" s="107"/>
      <c r="BL455" s="107"/>
      <c r="BM455" s="107"/>
      <c r="BN455" s="107"/>
      <c r="BO455" s="107"/>
      <c r="BP455" s="107"/>
      <c r="BQ455" s="107"/>
      <c r="BR455" s="107"/>
    </row>
    <row r="456" customFormat="false" ht="12.75" hidden="false" customHeight="false" outlineLevel="0" collapsed="false">
      <c r="A456" s="100"/>
      <c r="B456" s="100"/>
      <c r="C456" s="100"/>
      <c r="D456" s="100"/>
      <c r="E456" s="100"/>
      <c r="F456" s="277"/>
      <c r="H456" s="277"/>
      <c r="I456" s="277"/>
      <c r="J456" s="69"/>
      <c r="K456" s="277"/>
      <c r="L456" s="277"/>
      <c r="M456" s="277"/>
      <c r="N456" s="277"/>
      <c r="O456" s="277"/>
      <c r="P456" s="277"/>
      <c r="Q456" s="277"/>
      <c r="R456" s="277"/>
      <c r="T456" s="277"/>
      <c r="U456" s="277"/>
      <c r="W456" s="277"/>
      <c r="Y456" s="107"/>
      <c r="Z456" s="107"/>
      <c r="AA456" s="107"/>
      <c r="AB456" s="107"/>
      <c r="AC456" s="107"/>
      <c r="AD456" s="233"/>
      <c r="AE456" s="107"/>
      <c r="AF456" s="107"/>
      <c r="AG456" s="107"/>
      <c r="AH456" s="107"/>
      <c r="AI456" s="107"/>
      <c r="AJ456" s="107"/>
      <c r="AK456" s="107"/>
      <c r="AL456" s="107"/>
      <c r="AM456" s="304"/>
      <c r="AN456" s="304"/>
      <c r="AO456" s="304"/>
      <c r="AP456" s="304"/>
      <c r="AQ456" s="304"/>
      <c r="AR456" s="304"/>
      <c r="AS456" s="304"/>
      <c r="AT456" s="304"/>
      <c r="AU456" s="304"/>
      <c r="AV456" s="304"/>
      <c r="AW456" s="304"/>
      <c r="AX456" s="304"/>
      <c r="AY456" s="304"/>
      <c r="AZ456" s="304"/>
      <c r="BA456" s="304"/>
      <c r="BB456" s="107"/>
      <c r="BC456" s="107"/>
      <c r="BD456" s="107"/>
      <c r="BE456" s="107"/>
      <c r="BF456" s="107"/>
      <c r="BG456" s="107"/>
      <c r="BH456" s="107"/>
      <c r="BI456" s="107"/>
      <c r="BJ456" s="107"/>
      <c r="BK456" s="107"/>
      <c r="BL456" s="107"/>
      <c r="BM456" s="107"/>
      <c r="BN456" s="107"/>
      <c r="BO456" s="107"/>
      <c r="BP456" s="107"/>
      <c r="BQ456" s="107"/>
      <c r="BR456" s="107"/>
    </row>
    <row r="457" customFormat="false" ht="12.75" hidden="false" customHeight="false" outlineLevel="0" collapsed="false">
      <c r="A457" s="100"/>
      <c r="B457" s="100"/>
      <c r="C457" s="100"/>
      <c r="D457" s="100"/>
      <c r="E457" s="100"/>
      <c r="F457" s="277"/>
      <c r="H457" s="277"/>
      <c r="I457" s="277"/>
      <c r="J457" s="69"/>
      <c r="K457" s="277"/>
      <c r="L457" s="277"/>
      <c r="M457" s="277"/>
      <c r="N457" s="277"/>
      <c r="O457" s="277"/>
      <c r="P457" s="277"/>
      <c r="Q457" s="277"/>
      <c r="R457" s="277"/>
      <c r="T457" s="277"/>
      <c r="U457" s="277"/>
      <c r="W457" s="277"/>
      <c r="Y457" s="107"/>
      <c r="Z457" s="107"/>
      <c r="AA457" s="107"/>
      <c r="AB457" s="107"/>
      <c r="AC457" s="107"/>
      <c r="AD457" s="233"/>
      <c r="AE457" s="107"/>
      <c r="AF457" s="107"/>
      <c r="AG457" s="107"/>
      <c r="AH457" s="107"/>
      <c r="AI457" s="107"/>
      <c r="AJ457" s="107"/>
      <c r="AK457" s="107"/>
      <c r="AL457" s="107"/>
      <c r="AM457" s="304"/>
      <c r="AN457" s="304"/>
      <c r="AO457" s="304"/>
      <c r="AP457" s="304"/>
      <c r="AQ457" s="304"/>
      <c r="AR457" s="304"/>
      <c r="AS457" s="304"/>
      <c r="AT457" s="304"/>
      <c r="AU457" s="304"/>
      <c r="AV457" s="304"/>
      <c r="AW457" s="304"/>
      <c r="AX457" s="304"/>
      <c r="AY457" s="304"/>
      <c r="AZ457" s="304"/>
      <c r="BA457" s="304"/>
      <c r="BB457" s="107"/>
      <c r="BC457" s="107"/>
      <c r="BD457" s="107"/>
      <c r="BE457" s="107"/>
      <c r="BF457" s="107"/>
      <c r="BG457" s="107"/>
      <c r="BH457" s="107"/>
      <c r="BI457" s="107"/>
      <c r="BJ457" s="107"/>
      <c r="BK457" s="107"/>
      <c r="BL457" s="107"/>
      <c r="BM457" s="107"/>
      <c r="BN457" s="107"/>
      <c r="BO457" s="107"/>
      <c r="BP457" s="107"/>
      <c r="BQ457" s="107"/>
      <c r="BR457" s="107"/>
    </row>
    <row r="458" customFormat="false" ht="12.75" hidden="false" customHeight="false" outlineLevel="0" collapsed="false">
      <c r="A458" s="100"/>
      <c r="B458" s="100"/>
      <c r="C458" s="100"/>
      <c r="D458" s="100"/>
      <c r="E458" s="100"/>
      <c r="F458" s="277"/>
      <c r="H458" s="277"/>
      <c r="I458" s="277"/>
      <c r="J458" s="69"/>
      <c r="K458" s="277"/>
      <c r="L458" s="277"/>
      <c r="M458" s="277"/>
      <c r="N458" s="277"/>
      <c r="O458" s="277"/>
      <c r="P458" s="277"/>
      <c r="Q458" s="277"/>
      <c r="R458" s="277"/>
      <c r="T458" s="277"/>
      <c r="U458" s="277"/>
      <c r="W458" s="277"/>
      <c r="Y458" s="107"/>
      <c r="Z458" s="107"/>
      <c r="AA458" s="107"/>
      <c r="AB458" s="107"/>
      <c r="AC458" s="107"/>
      <c r="AD458" s="233"/>
      <c r="AE458" s="107"/>
      <c r="AF458" s="107"/>
      <c r="AG458" s="107"/>
      <c r="AH458" s="107"/>
      <c r="AI458" s="107"/>
      <c r="AJ458" s="107"/>
      <c r="AK458" s="107"/>
      <c r="AL458" s="107"/>
      <c r="AM458" s="304"/>
      <c r="AN458" s="304"/>
      <c r="AO458" s="304"/>
      <c r="AP458" s="304"/>
      <c r="AQ458" s="304"/>
      <c r="AR458" s="304"/>
      <c r="AS458" s="304"/>
      <c r="AT458" s="304"/>
      <c r="AU458" s="304"/>
      <c r="AV458" s="304"/>
      <c r="AW458" s="304"/>
      <c r="AX458" s="304"/>
      <c r="AY458" s="304"/>
      <c r="AZ458" s="304"/>
      <c r="BA458" s="304"/>
      <c r="BB458" s="107"/>
      <c r="BC458" s="107"/>
      <c r="BD458" s="107"/>
      <c r="BE458" s="107"/>
      <c r="BF458" s="107"/>
      <c r="BG458" s="107"/>
      <c r="BH458" s="107"/>
      <c r="BI458" s="107"/>
      <c r="BJ458" s="107"/>
      <c r="BK458" s="107"/>
      <c r="BL458" s="107"/>
      <c r="BM458" s="107"/>
      <c r="BN458" s="107"/>
      <c r="BO458" s="107"/>
      <c r="BP458" s="107"/>
      <c r="BQ458" s="107"/>
      <c r="BR458" s="107"/>
    </row>
    <row r="459" customFormat="false" ht="12.75" hidden="false" customHeight="false" outlineLevel="0" collapsed="false">
      <c r="A459" s="100"/>
      <c r="B459" s="100"/>
      <c r="C459" s="100"/>
      <c r="D459" s="100"/>
      <c r="E459" s="100"/>
      <c r="F459" s="277"/>
      <c r="H459" s="277"/>
      <c r="I459" s="277"/>
      <c r="J459" s="69"/>
      <c r="K459" s="277"/>
      <c r="L459" s="277"/>
      <c r="M459" s="277"/>
      <c r="N459" s="277"/>
      <c r="O459" s="277"/>
      <c r="P459" s="277"/>
      <c r="Q459" s="277"/>
      <c r="R459" s="277"/>
      <c r="T459" s="277"/>
      <c r="U459" s="277"/>
      <c r="W459" s="277"/>
      <c r="Y459" s="107"/>
      <c r="Z459" s="107"/>
      <c r="AA459" s="107"/>
      <c r="AB459" s="107"/>
      <c r="AC459" s="107"/>
      <c r="AD459" s="233"/>
      <c r="AE459" s="107"/>
      <c r="AF459" s="107"/>
      <c r="AG459" s="107"/>
      <c r="AH459" s="107"/>
      <c r="AI459" s="107"/>
      <c r="AJ459" s="107"/>
      <c r="AK459" s="107"/>
      <c r="AL459" s="107"/>
      <c r="AM459" s="304"/>
      <c r="AN459" s="304"/>
      <c r="AO459" s="304"/>
      <c r="AP459" s="304"/>
      <c r="AQ459" s="304"/>
      <c r="AR459" s="304"/>
      <c r="AS459" s="304"/>
      <c r="AT459" s="304"/>
      <c r="AU459" s="304"/>
      <c r="AV459" s="304"/>
      <c r="AW459" s="304"/>
      <c r="AX459" s="304"/>
      <c r="AY459" s="304"/>
      <c r="AZ459" s="304"/>
      <c r="BA459" s="304"/>
      <c r="BB459" s="107"/>
      <c r="BC459" s="107"/>
      <c r="BD459" s="107"/>
      <c r="BE459" s="107"/>
      <c r="BF459" s="107"/>
      <c r="BG459" s="107"/>
      <c r="BH459" s="107"/>
      <c r="BI459" s="107"/>
      <c r="BJ459" s="107"/>
      <c r="BK459" s="107"/>
      <c r="BL459" s="107"/>
      <c r="BM459" s="107"/>
      <c r="BN459" s="107"/>
      <c r="BO459" s="107"/>
      <c r="BP459" s="107"/>
      <c r="BQ459" s="107"/>
      <c r="BR459" s="107"/>
    </row>
    <row r="460" customFormat="false" ht="12.75" hidden="false" customHeight="false" outlineLevel="0" collapsed="false">
      <c r="A460" s="100"/>
      <c r="B460" s="100"/>
      <c r="C460" s="100"/>
      <c r="D460" s="100"/>
      <c r="E460" s="100"/>
      <c r="F460" s="277"/>
      <c r="H460" s="277"/>
      <c r="I460" s="277"/>
      <c r="J460" s="69"/>
      <c r="K460" s="277"/>
      <c r="L460" s="277"/>
      <c r="M460" s="277"/>
      <c r="N460" s="277"/>
      <c r="O460" s="277"/>
      <c r="P460" s="277"/>
      <c r="Q460" s="277"/>
      <c r="R460" s="277"/>
      <c r="T460" s="277"/>
      <c r="U460" s="277"/>
      <c r="W460" s="277"/>
      <c r="Y460" s="107"/>
      <c r="Z460" s="107"/>
      <c r="AA460" s="107"/>
      <c r="AB460" s="107"/>
      <c r="AC460" s="107"/>
      <c r="AD460" s="233"/>
      <c r="AE460" s="107"/>
      <c r="AF460" s="107"/>
      <c r="AG460" s="107"/>
      <c r="AH460" s="107"/>
      <c r="AI460" s="107"/>
      <c r="AJ460" s="107"/>
      <c r="AK460" s="107"/>
      <c r="AL460" s="107"/>
      <c r="AM460" s="304"/>
      <c r="AN460" s="304"/>
      <c r="AO460" s="304"/>
      <c r="AP460" s="304"/>
      <c r="AQ460" s="304"/>
      <c r="AR460" s="304"/>
      <c r="AS460" s="304"/>
      <c r="AT460" s="304"/>
      <c r="AU460" s="304"/>
      <c r="AV460" s="304"/>
      <c r="AW460" s="304"/>
      <c r="AX460" s="304"/>
      <c r="AY460" s="304"/>
      <c r="AZ460" s="304"/>
      <c r="BA460" s="304"/>
      <c r="BB460" s="107"/>
      <c r="BC460" s="107"/>
      <c r="BD460" s="107"/>
      <c r="BE460" s="107"/>
      <c r="BF460" s="107"/>
      <c r="BG460" s="107"/>
      <c r="BH460" s="107"/>
      <c r="BI460" s="107"/>
      <c r="BJ460" s="107"/>
      <c r="BK460" s="107"/>
      <c r="BL460" s="107"/>
      <c r="BM460" s="107"/>
      <c r="BN460" s="107"/>
      <c r="BO460" s="107"/>
      <c r="BP460" s="107"/>
      <c r="BQ460" s="107"/>
      <c r="BR460" s="107"/>
    </row>
    <row r="461" customFormat="false" ht="12.75" hidden="false" customHeight="false" outlineLevel="0" collapsed="false">
      <c r="A461" s="100"/>
      <c r="B461" s="100"/>
      <c r="C461" s="100"/>
      <c r="D461" s="100"/>
      <c r="E461" s="100"/>
      <c r="F461" s="277"/>
      <c r="H461" s="277"/>
      <c r="I461" s="277"/>
      <c r="J461" s="69"/>
      <c r="K461" s="277"/>
      <c r="L461" s="277"/>
      <c r="M461" s="277"/>
      <c r="N461" s="277"/>
      <c r="O461" s="277"/>
      <c r="P461" s="277"/>
      <c r="Q461" s="277"/>
      <c r="R461" s="277"/>
      <c r="T461" s="277"/>
      <c r="U461" s="277"/>
      <c r="W461" s="277"/>
      <c r="Y461" s="107"/>
      <c r="Z461" s="107"/>
      <c r="AA461" s="107"/>
      <c r="AB461" s="107"/>
      <c r="AC461" s="107"/>
      <c r="AD461" s="233"/>
      <c r="AE461" s="107"/>
      <c r="AF461" s="107"/>
      <c r="AG461" s="107"/>
      <c r="AH461" s="107"/>
      <c r="AI461" s="107"/>
      <c r="AJ461" s="107"/>
      <c r="AK461" s="107"/>
      <c r="AL461" s="107"/>
      <c r="AM461" s="304"/>
      <c r="AN461" s="304"/>
      <c r="AO461" s="304"/>
      <c r="AP461" s="304"/>
      <c r="AQ461" s="304"/>
      <c r="AR461" s="304"/>
      <c r="AS461" s="304"/>
      <c r="AT461" s="304"/>
      <c r="AU461" s="304"/>
      <c r="AV461" s="304"/>
      <c r="AW461" s="304"/>
      <c r="AX461" s="304"/>
      <c r="AY461" s="304"/>
      <c r="AZ461" s="304"/>
      <c r="BA461" s="304"/>
      <c r="BB461" s="107"/>
      <c r="BC461" s="107"/>
      <c r="BD461" s="107"/>
      <c r="BE461" s="107"/>
      <c r="BF461" s="107"/>
      <c r="BG461" s="107"/>
      <c r="BH461" s="107"/>
      <c r="BI461" s="107"/>
      <c r="BJ461" s="107"/>
      <c r="BK461" s="107"/>
      <c r="BL461" s="107"/>
      <c r="BM461" s="107"/>
      <c r="BN461" s="107"/>
      <c r="BO461" s="107"/>
      <c r="BP461" s="107"/>
      <c r="BQ461" s="107"/>
      <c r="BR461" s="107"/>
    </row>
    <row r="462" customFormat="false" ht="12.75" hidden="false" customHeight="false" outlineLevel="0" collapsed="false">
      <c r="A462" s="100"/>
      <c r="B462" s="100"/>
      <c r="C462" s="100"/>
      <c r="D462" s="100"/>
      <c r="E462" s="100"/>
      <c r="F462" s="277"/>
      <c r="H462" s="277"/>
      <c r="I462" s="277"/>
      <c r="J462" s="69"/>
      <c r="K462" s="277"/>
      <c r="L462" s="277"/>
      <c r="M462" s="277"/>
      <c r="N462" s="277"/>
      <c r="O462" s="277"/>
      <c r="P462" s="277"/>
      <c r="Q462" s="277"/>
      <c r="R462" s="277"/>
      <c r="T462" s="277"/>
      <c r="U462" s="277"/>
      <c r="W462" s="277"/>
      <c r="Y462" s="107"/>
      <c r="Z462" s="107"/>
      <c r="AA462" s="107"/>
      <c r="AB462" s="107"/>
      <c r="AC462" s="107"/>
      <c r="AD462" s="233"/>
      <c r="AE462" s="107"/>
      <c r="AF462" s="107"/>
      <c r="AG462" s="107"/>
      <c r="AH462" s="107"/>
      <c r="AI462" s="107"/>
      <c r="AJ462" s="107"/>
      <c r="AK462" s="107"/>
      <c r="AL462" s="107"/>
      <c r="AM462" s="304"/>
      <c r="AN462" s="304"/>
      <c r="AO462" s="304"/>
      <c r="AP462" s="304"/>
      <c r="AQ462" s="304"/>
      <c r="AR462" s="304"/>
      <c r="AS462" s="304"/>
      <c r="AT462" s="304"/>
      <c r="AU462" s="304"/>
      <c r="AV462" s="304"/>
      <c r="AW462" s="304"/>
      <c r="AX462" s="304"/>
      <c r="AY462" s="304"/>
      <c r="AZ462" s="304"/>
      <c r="BA462" s="304"/>
      <c r="BB462" s="107"/>
      <c r="BC462" s="107"/>
      <c r="BD462" s="107"/>
      <c r="BE462" s="107"/>
      <c r="BF462" s="107"/>
      <c r="BG462" s="107"/>
      <c r="BH462" s="107"/>
      <c r="BI462" s="107"/>
      <c r="BJ462" s="107"/>
      <c r="BK462" s="107"/>
      <c r="BL462" s="107"/>
      <c r="BM462" s="107"/>
      <c r="BN462" s="107"/>
      <c r="BO462" s="107"/>
      <c r="BP462" s="107"/>
      <c r="BQ462" s="107"/>
      <c r="BR462" s="107"/>
    </row>
    <row r="463" customFormat="false" ht="12.75" hidden="false" customHeight="false" outlineLevel="0" collapsed="false">
      <c r="A463" s="100"/>
      <c r="B463" s="100"/>
      <c r="C463" s="100"/>
      <c r="D463" s="100"/>
      <c r="E463" s="100"/>
      <c r="F463" s="277"/>
      <c r="H463" s="277"/>
      <c r="I463" s="277"/>
      <c r="J463" s="69"/>
      <c r="K463" s="277"/>
      <c r="L463" s="277"/>
      <c r="M463" s="277"/>
      <c r="N463" s="277"/>
      <c r="O463" s="277"/>
      <c r="P463" s="277"/>
      <c r="Q463" s="277"/>
      <c r="R463" s="277"/>
      <c r="T463" s="277"/>
      <c r="U463" s="277"/>
      <c r="W463" s="277"/>
      <c r="Y463" s="107"/>
      <c r="Z463" s="107"/>
      <c r="AA463" s="107"/>
      <c r="AB463" s="107"/>
      <c r="AC463" s="107"/>
      <c r="AD463" s="233"/>
      <c r="AE463" s="107"/>
      <c r="AF463" s="107"/>
      <c r="AG463" s="107"/>
      <c r="AH463" s="107"/>
      <c r="AI463" s="107"/>
      <c r="AJ463" s="107"/>
      <c r="AK463" s="107"/>
      <c r="AL463" s="107"/>
      <c r="AM463" s="304"/>
      <c r="AN463" s="304"/>
      <c r="AO463" s="304"/>
      <c r="AP463" s="304"/>
      <c r="AQ463" s="304"/>
      <c r="AR463" s="304"/>
      <c r="AS463" s="304"/>
      <c r="AT463" s="304"/>
      <c r="AU463" s="304"/>
      <c r="AV463" s="304"/>
      <c r="AW463" s="304"/>
      <c r="AX463" s="304"/>
      <c r="AY463" s="304"/>
      <c r="AZ463" s="304"/>
      <c r="BA463" s="304"/>
      <c r="BB463" s="107"/>
      <c r="BC463" s="107"/>
      <c r="BD463" s="107"/>
      <c r="BE463" s="107"/>
      <c r="BF463" s="107"/>
      <c r="BG463" s="107"/>
      <c r="BH463" s="107"/>
      <c r="BI463" s="107"/>
      <c r="BJ463" s="107"/>
      <c r="BK463" s="107"/>
      <c r="BL463" s="107"/>
      <c r="BM463" s="107"/>
      <c r="BN463" s="107"/>
      <c r="BO463" s="107"/>
      <c r="BP463" s="107"/>
      <c r="BQ463" s="107"/>
      <c r="BR463" s="107"/>
    </row>
    <row r="464" customFormat="false" ht="12.75" hidden="false" customHeight="false" outlineLevel="0" collapsed="false">
      <c r="A464" s="100"/>
      <c r="B464" s="100"/>
      <c r="C464" s="100"/>
      <c r="D464" s="100"/>
      <c r="E464" s="100"/>
      <c r="F464" s="277"/>
      <c r="H464" s="277"/>
      <c r="I464" s="277"/>
      <c r="J464" s="69"/>
      <c r="K464" s="277"/>
      <c r="L464" s="277"/>
      <c r="M464" s="277"/>
      <c r="N464" s="277"/>
      <c r="O464" s="277"/>
      <c r="P464" s="277"/>
      <c r="Q464" s="277"/>
      <c r="R464" s="277"/>
      <c r="T464" s="277"/>
      <c r="U464" s="277"/>
      <c r="W464" s="277"/>
      <c r="Y464" s="107"/>
      <c r="Z464" s="107"/>
      <c r="AA464" s="107"/>
      <c r="AB464" s="107"/>
      <c r="AC464" s="107"/>
      <c r="AD464" s="233"/>
      <c r="AE464" s="107"/>
      <c r="AF464" s="107"/>
      <c r="AG464" s="107"/>
      <c r="AH464" s="107"/>
      <c r="AI464" s="107"/>
      <c r="AJ464" s="107"/>
      <c r="AK464" s="107"/>
      <c r="AL464" s="107"/>
      <c r="AM464" s="304"/>
      <c r="AN464" s="304"/>
      <c r="AO464" s="304"/>
      <c r="AP464" s="304"/>
      <c r="AQ464" s="304"/>
      <c r="AR464" s="304"/>
      <c r="AS464" s="304"/>
      <c r="AT464" s="304"/>
      <c r="AU464" s="304"/>
      <c r="AV464" s="304"/>
      <c r="AW464" s="304"/>
      <c r="AX464" s="304"/>
      <c r="AY464" s="304"/>
      <c r="AZ464" s="304"/>
      <c r="BA464" s="304"/>
      <c r="BB464" s="107"/>
      <c r="BC464" s="107"/>
      <c r="BD464" s="107"/>
      <c r="BE464" s="107"/>
      <c r="BF464" s="107"/>
      <c r="BG464" s="107"/>
      <c r="BH464" s="107"/>
      <c r="BI464" s="107"/>
      <c r="BJ464" s="107"/>
      <c r="BK464" s="107"/>
      <c r="BL464" s="107"/>
      <c r="BM464" s="107"/>
      <c r="BN464" s="107"/>
      <c r="BO464" s="107"/>
      <c r="BP464" s="107"/>
      <c r="BQ464" s="107"/>
      <c r="BR464" s="107"/>
    </row>
    <row r="465" customFormat="false" ht="12.75" hidden="false" customHeight="false" outlineLevel="0" collapsed="false">
      <c r="A465" s="100"/>
      <c r="B465" s="100"/>
      <c r="C465" s="100"/>
      <c r="D465" s="100"/>
      <c r="E465" s="100"/>
      <c r="F465" s="277"/>
      <c r="H465" s="277"/>
      <c r="I465" s="277"/>
      <c r="J465" s="69"/>
      <c r="K465" s="277"/>
      <c r="L465" s="277"/>
      <c r="M465" s="277"/>
      <c r="N465" s="277"/>
      <c r="O465" s="277"/>
      <c r="P465" s="277"/>
      <c r="Q465" s="277"/>
      <c r="R465" s="277"/>
      <c r="T465" s="277"/>
      <c r="U465" s="277"/>
      <c r="W465" s="277"/>
      <c r="Y465" s="107"/>
      <c r="Z465" s="107"/>
      <c r="AA465" s="107"/>
      <c r="AB465" s="107"/>
      <c r="AC465" s="107"/>
      <c r="AD465" s="233"/>
      <c r="AE465" s="107"/>
      <c r="AF465" s="107"/>
      <c r="AG465" s="107"/>
      <c r="AH465" s="107"/>
      <c r="AI465" s="107"/>
      <c r="AJ465" s="107"/>
      <c r="AK465" s="107"/>
      <c r="AL465" s="107"/>
      <c r="AM465" s="304"/>
      <c r="AN465" s="304"/>
      <c r="AO465" s="304"/>
      <c r="AP465" s="304"/>
      <c r="AQ465" s="304"/>
      <c r="AR465" s="304"/>
      <c r="AS465" s="304"/>
      <c r="AT465" s="304"/>
      <c r="AU465" s="304"/>
      <c r="AV465" s="304"/>
      <c r="AW465" s="304"/>
      <c r="AX465" s="304"/>
      <c r="AY465" s="304"/>
      <c r="AZ465" s="304"/>
      <c r="BA465" s="304"/>
      <c r="BB465" s="107"/>
      <c r="BC465" s="107"/>
      <c r="BD465" s="107"/>
      <c r="BE465" s="107"/>
      <c r="BF465" s="107"/>
      <c r="BG465" s="107"/>
      <c r="BH465" s="107"/>
      <c r="BI465" s="107"/>
      <c r="BJ465" s="107"/>
      <c r="BK465" s="107"/>
      <c r="BL465" s="107"/>
      <c r="BM465" s="107"/>
      <c r="BN465" s="107"/>
      <c r="BO465" s="107"/>
      <c r="BP465" s="107"/>
      <c r="BQ465" s="107"/>
      <c r="BR465" s="107"/>
    </row>
    <row r="466" customFormat="false" ht="12.75" hidden="false" customHeight="false" outlineLevel="0" collapsed="false">
      <c r="A466" s="100"/>
      <c r="B466" s="100"/>
      <c r="C466" s="100"/>
      <c r="D466" s="100"/>
      <c r="E466" s="100"/>
      <c r="F466" s="277"/>
      <c r="H466" s="277"/>
      <c r="I466" s="277"/>
      <c r="J466" s="69"/>
      <c r="K466" s="277"/>
      <c r="L466" s="277"/>
      <c r="M466" s="277"/>
      <c r="N466" s="277"/>
      <c r="O466" s="277"/>
      <c r="P466" s="277"/>
      <c r="Q466" s="277"/>
      <c r="R466" s="277"/>
      <c r="T466" s="277"/>
      <c r="U466" s="277"/>
      <c r="W466" s="277"/>
      <c r="Y466" s="107"/>
      <c r="Z466" s="107"/>
      <c r="AA466" s="107"/>
      <c r="AB466" s="107"/>
      <c r="AC466" s="107"/>
      <c r="AD466" s="233"/>
      <c r="AE466" s="107"/>
      <c r="AF466" s="107"/>
      <c r="AG466" s="107"/>
      <c r="AH466" s="107"/>
      <c r="AI466" s="107"/>
      <c r="AJ466" s="107"/>
      <c r="AK466" s="107"/>
      <c r="AL466" s="107"/>
      <c r="AM466" s="304"/>
      <c r="AN466" s="304"/>
      <c r="AO466" s="304"/>
      <c r="AP466" s="304"/>
      <c r="AQ466" s="304"/>
      <c r="AR466" s="304"/>
      <c r="AS466" s="304"/>
      <c r="AT466" s="304"/>
      <c r="AU466" s="304"/>
      <c r="AV466" s="304"/>
      <c r="AW466" s="304"/>
      <c r="AX466" s="304"/>
      <c r="AY466" s="304"/>
      <c r="AZ466" s="304"/>
      <c r="BA466" s="304"/>
      <c r="BB466" s="107"/>
      <c r="BC466" s="107"/>
      <c r="BD466" s="107"/>
      <c r="BE466" s="107"/>
      <c r="BF466" s="107"/>
      <c r="BG466" s="107"/>
      <c r="BH466" s="107"/>
      <c r="BI466" s="107"/>
      <c r="BJ466" s="107"/>
      <c r="BK466" s="107"/>
      <c r="BL466" s="107"/>
      <c r="BM466" s="107"/>
      <c r="BN466" s="107"/>
      <c r="BO466" s="107"/>
      <c r="BP466" s="107"/>
      <c r="BQ466" s="107"/>
      <c r="BR466" s="107"/>
    </row>
    <row r="467" customFormat="false" ht="12.75" hidden="false" customHeight="false" outlineLevel="0" collapsed="false">
      <c r="A467" s="100"/>
      <c r="B467" s="100"/>
      <c r="C467" s="100"/>
      <c r="D467" s="100"/>
      <c r="E467" s="100"/>
      <c r="F467" s="277"/>
      <c r="H467" s="277"/>
      <c r="I467" s="277"/>
      <c r="J467" s="69"/>
      <c r="K467" s="277"/>
      <c r="L467" s="277"/>
      <c r="M467" s="277"/>
      <c r="N467" s="277"/>
      <c r="O467" s="277"/>
      <c r="P467" s="277"/>
      <c r="Q467" s="277"/>
      <c r="R467" s="277"/>
      <c r="T467" s="277"/>
      <c r="U467" s="277"/>
      <c r="W467" s="277"/>
      <c r="Y467" s="107"/>
      <c r="Z467" s="107"/>
      <c r="AA467" s="107"/>
      <c r="AB467" s="107"/>
      <c r="AC467" s="107"/>
      <c r="AD467" s="233"/>
      <c r="AE467" s="107"/>
      <c r="AF467" s="107"/>
      <c r="AG467" s="107"/>
      <c r="AH467" s="107"/>
      <c r="AI467" s="107"/>
      <c r="AJ467" s="107"/>
      <c r="AK467" s="107"/>
      <c r="AL467" s="107"/>
      <c r="AM467" s="304"/>
      <c r="AN467" s="304"/>
      <c r="AO467" s="304"/>
      <c r="AP467" s="304"/>
      <c r="AQ467" s="304"/>
      <c r="AR467" s="304"/>
      <c r="AS467" s="304"/>
      <c r="AT467" s="304"/>
      <c r="AU467" s="304"/>
      <c r="AV467" s="304"/>
      <c r="AW467" s="304"/>
      <c r="AX467" s="304"/>
      <c r="AY467" s="304"/>
      <c r="AZ467" s="304"/>
      <c r="BA467" s="304"/>
      <c r="BB467" s="107"/>
      <c r="BC467" s="107"/>
      <c r="BD467" s="107"/>
      <c r="BE467" s="107"/>
      <c r="BF467" s="107"/>
      <c r="BG467" s="107"/>
      <c r="BH467" s="107"/>
      <c r="BI467" s="107"/>
      <c r="BJ467" s="107"/>
      <c r="BK467" s="107"/>
      <c r="BL467" s="107"/>
      <c r="BM467" s="107"/>
      <c r="BN467" s="107"/>
      <c r="BO467" s="107"/>
      <c r="BP467" s="107"/>
      <c r="BQ467" s="107"/>
      <c r="BR467" s="107"/>
    </row>
    <row r="468" customFormat="false" ht="12.75" hidden="false" customHeight="false" outlineLevel="0" collapsed="false">
      <c r="A468" s="100"/>
      <c r="B468" s="100"/>
      <c r="C468" s="100"/>
      <c r="D468" s="100"/>
      <c r="E468" s="100"/>
      <c r="F468" s="277"/>
      <c r="H468" s="277"/>
      <c r="I468" s="277"/>
      <c r="J468" s="69"/>
      <c r="K468" s="277"/>
      <c r="L468" s="277"/>
      <c r="M468" s="277"/>
      <c r="N468" s="277"/>
      <c r="O468" s="277"/>
      <c r="P468" s="277"/>
      <c r="Q468" s="277"/>
      <c r="R468" s="277"/>
      <c r="T468" s="277"/>
      <c r="U468" s="277"/>
      <c r="W468" s="277"/>
      <c r="Y468" s="107"/>
      <c r="Z468" s="107"/>
      <c r="AA468" s="107"/>
      <c r="AB468" s="107"/>
      <c r="AC468" s="107"/>
      <c r="AD468" s="233"/>
      <c r="AE468" s="107"/>
      <c r="AF468" s="107"/>
      <c r="AG468" s="107"/>
      <c r="AH468" s="107"/>
      <c r="AI468" s="107"/>
      <c r="AJ468" s="107"/>
      <c r="AK468" s="107"/>
      <c r="AL468" s="107"/>
      <c r="AM468" s="304"/>
      <c r="AN468" s="304"/>
      <c r="AO468" s="304"/>
      <c r="AP468" s="304"/>
      <c r="AQ468" s="304"/>
      <c r="AR468" s="304"/>
      <c r="AS468" s="304"/>
      <c r="AT468" s="304"/>
      <c r="AU468" s="304"/>
      <c r="AV468" s="304"/>
      <c r="AW468" s="304"/>
      <c r="AX468" s="304"/>
      <c r="AY468" s="304"/>
      <c r="AZ468" s="304"/>
      <c r="BA468" s="304"/>
      <c r="BB468" s="107"/>
      <c r="BC468" s="107"/>
      <c r="BD468" s="107"/>
      <c r="BE468" s="107"/>
      <c r="BF468" s="107"/>
      <c r="BG468" s="107"/>
      <c r="BH468" s="107"/>
      <c r="BI468" s="107"/>
      <c r="BJ468" s="107"/>
      <c r="BK468" s="107"/>
      <c r="BL468" s="107"/>
      <c r="BM468" s="107"/>
      <c r="BN468" s="107"/>
      <c r="BO468" s="107"/>
      <c r="BP468" s="107"/>
      <c r="BQ468" s="107"/>
      <c r="BR468" s="107"/>
    </row>
    <row r="469" customFormat="false" ht="12.75" hidden="false" customHeight="false" outlineLevel="0" collapsed="false">
      <c r="A469" s="100"/>
      <c r="B469" s="100"/>
      <c r="C469" s="100"/>
      <c r="D469" s="100"/>
      <c r="E469" s="100"/>
      <c r="F469" s="277"/>
      <c r="H469" s="277"/>
      <c r="I469" s="277"/>
      <c r="J469" s="69"/>
      <c r="K469" s="277"/>
      <c r="L469" s="277"/>
      <c r="M469" s="277"/>
      <c r="N469" s="277"/>
      <c r="O469" s="277"/>
      <c r="P469" s="277"/>
      <c r="Q469" s="277"/>
      <c r="R469" s="277"/>
      <c r="T469" s="277"/>
      <c r="U469" s="277"/>
      <c r="W469" s="277"/>
      <c r="Y469" s="107"/>
      <c r="Z469" s="107"/>
      <c r="AA469" s="107"/>
      <c r="AB469" s="107"/>
      <c r="AC469" s="107"/>
      <c r="AD469" s="233"/>
      <c r="AE469" s="107"/>
      <c r="AF469" s="107"/>
      <c r="AG469" s="107"/>
      <c r="AH469" s="107"/>
      <c r="AI469" s="107"/>
      <c r="AJ469" s="107"/>
      <c r="AK469" s="107"/>
      <c r="AL469" s="107"/>
      <c r="AM469" s="304"/>
      <c r="AN469" s="304"/>
      <c r="AO469" s="304"/>
      <c r="AP469" s="304"/>
      <c r="AQ469" s="304"/>
      <c r="AR469" s="304"/>
      <c r="AS469" s="304"/>
      <c r="AT469" s="304"/>
      <c r="AU469" s="304"/>
      <c r="AV469" s="304"/>
      <c r="AW469" s="304"/>
      <c r="AX469" s="304"/>
      <c r="AY469" s="304"/>
      <c r="AZ469" s="304"/>
      <c r="BA469" s="304"/>
      <c r="BB469" s="107"/>
      <c r="BC469" s="107"/>
      <c r="BD469" s="107"/>
      <c r="BE469" s="107"/>
      <c r="BF469" s="107"/>
      <c r="BG469" s="107"/>
      <c r="BH469" s="107"/>
      <c r="BI469" s="107"/>
      <c r="BJ469" s="107"/>
      <c r="BK469" s="107"/>
      <c r="BL469" s="107"/>
      <c r="BM469" s="107"/>
      <c r="BN469" s="107"/>
      <c r="BO469" s="107"/>
      <c r="BP469" s="107"/>
      <c r="BQ469" s="107"/>
      <c r="BR469" s="107"/>
    </row>
    <row r="470" customFormat="false" ht="12.75" hidden="false" customHeight="false" outlineLevel="0" collapsed="false">
      <c r="A470" s="100"/>
      <c r="B470" s="100"/>
      <c r="C470" s="100"/>
      <c r="D470" s="100"/>
      <c r="E470" s="100"/>
      <c r="F470" s="277"/>
      <c r="H470" s="277"/>
      <c r="I470" s="277"/>
      <c r="J470" s="69"/>
      <c r="K470" s="277"/>
      <c r="L470" s="277"/>
      <c r="M470" s="277"/>
      <c r="N470" s="277"/>
      <c r="O470" s="277"/>
      <c r="P470" s="277"/>
      <c r="Q470" s="277"/>
      <c r="R470" s="277"/>
      <c r="T470" s="277"/>
      <c r="U470" s="277"/>
      <c r="W470" s="277"/>
      <c r="Y470" s="107"/>
      <c r="Z470" s="107"/>
      <c r="AA470" s="107"/>
      <c r="AB470" s="107"/>
      <c r="AC470" s="107"/>
      <c r="AD470" s="233"/>
      <c r="AE470" s="107"/>
      <c r="AF470" s="107"/>
      <c r="AG470" s="107"/>
      <c r="AH470" s="107"/>
      <c r="AI470" s="107"/>
      <c r="AJ470" s="107"/>
      <c r="AK470" s="107"/>
      <c r="AL470" s="107"/>
      <c r="AM470" s="304"/>
      <c r="AN470" s="304"/>
      <c r="AO470" s="304"/>
      <c r="AP470" s="304"/>
      <c r="AQ470" s="304"/>
      <c r="AR470" s="304"/>
      <c r="AS470" s="304"/>
      <c r="AT470" s="304"/>
      <c r="AU470" s="304"/>
      <c r="AV470" s="304"/>
      <c r="AW470" s="304"/>
      <c r="AX470" s="304"/>
      <c r="AY470" s="304"/>
      <c r="AZ470" s="304"/>
      <c r="BA470" s="304"/>
      <c r="BB470" s="107"/>
      <c r="BC470" s="107"/>
      <c r="BD470" s="107"/>
      <c r="BE470" s="107"/>
      <c r="BF470" s="107"/>
      <c r="BG470" s="107"/>
      <c r="BH470" s="107"/>
      <c r="BI470" s="107"/>
      <c r="BJ470" s="107"/>
      <c r="BK470" s="107"/>
      <c r="BL470" s="107"/>
      <c r="BM470" s="107"/>
      <c r="BN470" s="107"/>
      <c r="BO470" s="107"/>
      <c r="BP470" s="107"/>
      <c r="BQ470" s="107"/>
      <c r="BR470" s="107"/>
    </row>
    <row r="471" customFormat="false" ht="12.75" hidden="false" customHeight="false" outlineLevel="0" collapsed="false">
      <c r="A471" s="100"/>
      <c r="B471" s="100"/>
      <c r="C471" s="100"/>
      <c r="D471" s="100"/>
      <c r="E471" s="100"/>
      <c r="F471" s="277"/>
      <c r="H471" s="277"/>
      <c r="I471" s="277"/>
      <c r="J471" s="69"/>
      <c r="K471" s="277"/>
      <c r="L471" s="277"/>
      <c r="M471" s="277"/>
      <c r="N471" s="277"/>
      <c r="O471" s="277"/>
      <c r="P471" s="277"/>
      <c r="Q471" s="277"/>
      <c r="R471" s="277"/>
      <c r="T471" s="277"/>
      <c r="U471" s="277"/>
      <c r="W471" s="277"/>
      <c r="Y471" s="107"/>
      <c r="Z471" s="107"/>
      <c r="AA471" s="107"/>
      <c r="AB471" s="107"/>
      <c r="AC471" s="107"/>
      <c r="AD471" s="233"/>
      <c r="AE471" s="107"/>
      <c r="AF471" s="107"/>
      <c r="AG471" s="107"/>
      <c r="AH471" s="107"/>
      <c r="AI471" s="107"/>
      <c r="AJ471" s="107"/>
      <c r="AK471" s="107"/>
      <c r="AL471" s="107"/>
      <c r="AM471" s="304"/>
      <c r="AN471" s="304"/>
      <c r="AO471" s="304"/>
      <c r="AP471" s="304"/>
      <c r="AQ471" s="304"/>
      <c r="AR471" s="304"/>
      <c r="AS471" s="304"/>
      <c r="AT471" s="304"/>
      <c r="AU471" s="304"/>
      <c r="AV471" s="304"/>
      <c r="AW471" s="304"/>
      <c r="AX471" s="304"/>
      <c r="AY471" s="304"/>
      <c r="AZ471" s="304"/>
      <c r="BA471" s="304"/>
      <c r="BB471" s="107"/>
      <c r="BC471" s="107"/>
      <c r="BD471" s="107"/>
      <c r="BE471" s="107"/>
      <c r="BF471" s="107"/>
      <c r="BG471" s="107"/>
      <c r="BH471" s="107"/>
      <c r="BI471" s="107"/>
      <c r="BJ471" s="107"/>
      <c r="BK471" s="107"/>
      <c r="BL471" s="107"/>
      <c r="BM471" s="107"/>
      <c r="BN471" s="107"/>
      <c r="BO471" s="107"/>
      <c r="BP471" s="107"/>
      <c r="BQ471" s="107"/>
      <c r="BR471" s="107"/>
    </row>
    <row r="472" customFormat="false" ht="12.75" hidden="false" customHeight="false" outlineLevel="0" collapsed="false">
      <c r="A472" s="100"/>
      <c r="B472" s="100"/>
      <c r="C472" s="100"/>
      <c r="D472" s="100"/>
      <c r="E472" s="100"/>
      <c r="F472" s="277"/>
      <c r="H472" s="277"/>
      <c r="I472" s="277"/>
      <c r="J472" s="69"/>
      <c r="K472" s="277"/>
      <c r="L472" s="277"/>
      <c r="M472" s="277"/>
      <c r="N472" s="277"/>
      <c r="O472" s="277"/>
      <c r="P472" s="277"/>
      <c r="Q472" s="277"/>
      <c r="R472" s="277"/>
      <c r="T472" s="277"/>
      <c r="U472" s="277"/>
      <c r="W472" s="277"/>
      <c r="Y472" s="107"/>
      <c r="Z472" s="107"/>
      <c r="AA472" s="107"/>
      <c r="AB472" s="107"/>
      <c r="AC472" s="107"/>
      <c r="AD472" s="233"/>
      <c r="AE472" s="107"/>
      <c r="AF472" s="107"/>
      <c r="AG472" s="107"/>
      <c r="AH472" s="107"/>
      <c r="AI472" s="107"/>
      <c r="AJ472" s="107"/>
      <c r="AK472" s="107"/>
      <c r="AL472" s="107"/>
      <c r="AM472" s="304"/>
      <c r="AN472" s="304"/>
      <c r="AO472" s="304"/>
      <c r="AP472" s="304"/>
      <c r="AQ472" s="304"/>
      <c r="AR472" s="304"/>
      <c r="AS472" s="304"/>
      <c r="AT472" s="304"/>
      <c r="AU472" s="304"/>
      <c r="AV472" s="304"/>
      <c r="AW472" s="304"/>
      <c r="AX472" s="304"/>
      <c r="AY472" s="304"/>
      <c r="AZ472" s="304"/>
      <c r="BA472" s="304"/>
      <c r="BB472" s="107"/>
      <c r="BC472" s="107"/>
      <c r="BD472" s="107"/>
      <c r="BE472" s="107"/>
      <c r="BF472" s="107"/>
      <c r="BG472" s="107"/>
      <c r="BH472" s="107"/>
      <c r="BI472" s="107"/>
      <c r="BJ472" s="107"/>
      <c r="BK472" s="107"/>
      <c r="BL472" s="107"/>
      <c r="BM472" s="107"/>
      <c r="BN472" s="107"/>
      <c r="BO472" s="107"/>
      <c r="BP472" s="107"/>
      <c r="BQ472" s="107"/>
      <c r="BR472" s="107"/>
    </row>
    <row r="473" customFormat="false" ht="12.75" hidden="false" customHeight="false" outlineLevel="0" collapsed="false">
      <c r="A473" s="100"/>
      <c r="B473" s="100"/>
      <c r="C473" s="100"/>
      <c r="D473" s="100"/>
      <c r="E473" s="100"/>
      <c r="F473" s="277"/>
      <c r="H473" s="277"/>
      <c r="I473" s="277"/>
      <c r="J473" s="69"/>
      <c r="K473" s="277"/>
      <c r="L473" s="277"/>
      <c r="M473" s="277"/>
      <c r="N473" s="277"/>
      <c r="O473" s="277"/>
      <c r="P473" s="277"/>
      <c r="Q473" s="277"/>
      <c r="R473" s="277"/>
      <c r="T473" s="277"/>
      <c r="U473" s="277"/>
      <c r="W473" s="277"/>
      <c r="Y473" s="107"/>
      <c r="Z473" s="107"/>
      <c r="AA473" s="107"/>
      <c r="AB473" s="107"/>
      <c r="AC473" s="107"/>
      <c r="AD473" s="233"/>
      <c r="AE473" s="107"/>
      <c r="AF473" s="107"/>
      <c r="AG473" s="107"/>
      <c r="AH473" s="107"/>
      <c r="AI473" s="107"/>
      <c r="AJ473" s="107"/>
      <c r="AK473" s="107"/>
      <c r="AL473" s="107"/>
      <c r="AM473" s="304"/>
      <c r="AN473" s="304"/>
      <c r="AO473" s="304"/>
      <c r="AP473" s="304"/>
      <c r="AQ473" s="304"/>
      <c r="AR473" s="304"/>
      <c r="AS473" s="304"/>
      <c r="AT473" s="304"/>
      <c r="AU473" s="304"/>
      <c r="AV473" s="304"/>
      <c r="AW473" s="304"/>
      <c r="AX473" s="304"/>
      <c r="AY473" s="304"/>
      <c r="AZ473" s="304"/>
      <c r="BA473" s="304"/>
      <c r="BB473" s="107"/>
      <c r="BC473" s="107"/>
      <c r="BD473" s="107"/>
      <c r="BE473" s="107"/>
      <c r="BF473" s="107"/>
      <c r="BG473" s="107"/>
      <c r="BH473" s="107"/>
      <c r="BI473" s="107"/>
      <c r="BJ473" s="107"/>
      <c r="BK473" s="107"/>
      <c r="BL473" s="107"/>
      <c r="BM473" s="107"/>
      <c r="BN473" s="107"/>
      <c r="BO473" s="107"/>
      <c r="BP473" s="107"/>
      <c r="BQ473" s="107"/>
      <c r="BR473" s="107"/>
    </row>
    <row r="474" customFormat="false" ht="12.75" hidden="false" customHeight="false" outlineLevel="0" collapsed="false">
      <c r="A474" s="100"/>
      <c r="B474" s="100"/>
      <c r="C474" s="100"/>
      <c r="D474" s="100"/>
      <c r="E474" s="100"/>
      <c r="F474" s="277"/>
      <c r="H474" s="277"/>
      <c r="I474" s="277"/>
      <c r="J474" s="69"/>
      <c r="K474" s="277"/>
      <c r="L474" s="277"/>
      <c r="M474" s="277"/>
      <c r="N474" s="277"/>
      <c r="O474" s="277"/>
      <c r="P474" s="277"/>
      <c r="Q474" s="277"/>
      <c r="R474" s="277"/>
      <c r="T474" s="277"/>
      <c r="U474" s="277"/>
      <c r="W474" s="277"/>
      <c r="Y474" s="107"/>
      <c r="Z474" s="107"/>
      <c r="AA474" s="107"/>
      <c r="AB474" s="107"/>
      <c r="AC474" s="107"/>
      <c r="AD474" s="233"/>
      <c r="AE474" s="107"/>
      <c r="AF474" s="107"/>
      <c r="AG474" s="107"/>
      <c r="AH474" s="107"/>
      <c r="AI474" s="107"/>
      <c r="AJ474" s="107"/>
      <c r="AK474" s="107"/>
      <c r="AL474" s="107"/>
      <c r="AM474" s="304"/>
      <c r="AN474" s="304"/>
      <c r="AO474" s="304"/>
      <c r="AP474" s="304"/>
      <c r="AQ474" s="304"/>
      <c r="AR474" s="304"/>
      <c r="AS474" s="304"/>
      <c r="AT474" s="304"/>
      <c r="AU474" s="304"/>
      <c r="AV474" s="304"/>
      <c r="AW474" s="304"/>
      <c r="AX474" s="304"/>
      <c r="AY474" s="304"/>
      <c r="AZ474" s="304"/>
      <c r="BA474" s="304"/>
      <c r="BB474" s="107"/>
      <c r="BC474" s="107"/>
      <c r="BD474" s="107"/>
      <c r="BE474" s="107"/>
      <c r="BF474" s="107"/>
      <c r="BG474" s="107"/>
      <c r="BH474" s="107"/>
      <c r="BI474" s="107"/>
      <c r="BJ474" s="107"/>
      <c r="BK474" s="107"/>
      <c r="BL474" s="107"/>
      <c r="BM474" s="107"/>
      <c r="BN474" s="107"/>
      <c r="BO474" s="107"/>
      <c r="BP474" s="107"/>
      <c r="BQ474" s="107"/>
      <c r="BR474" s="107"/>
    </row>
    <row r="475" customFormat="false" ht="12.75" hidden="false" customHeight="false" outlineLevel="0" collapsed="false">
      <c r="A475" s="100"/>
      <c r="B475" s="100"/>
      <c r="C475" s="100"/>
      <c r="D475" s="100"/>
      <c r="E475" s="100"/>
      <c r="F475" s="277"/>
      <c r="H475" s="277"/>
      <c r="I475" s="277"/>
      <c r="J475" s="69"/>
      <c r="K475" s="277"/>
      <c r="L475" s="277"/>
      <c r="M475" s="277"/>
      <c r="N475" s="277"/>
      <c r="O475" s="277"/>
      <c r="P475" s="277"/>
      <c r="Q475" s="277"/>
      <c r="R475" s="277"/>
      <c r="T475" s="277"/>
      <c r="U475" s="277"/>
      <c r="W475" s="277"/>
      <c r="Y475" s="107"/>
      <c r="Z475" s="107"/>
      <c r="AA475" s="107"/>
      <c r="AB475" s="107"/>
      <c r="AC475" s="107"/>
      <c r="AD475" s="233"/>
      <c r="AE475" s="107"/>
      <c r="AF475" s="107"/>
      <c r="AG475" s="107"/>
      <c r="AH475" s="107"/>
      <c r="AI475" s="107"/>
      <c r="AJ475" s="107"/>
      <c r="AK475" s="107"/>
      <c r="AL475" s="107"/>
      <c r="AM475" s="304"/>
      <c r="AN475" s="304"/>
      <c r="AO475" s="304"/>
      <c r="AP475" s="304"/>
      <c r="AQ475" s="304"/>
      <c r="AR475" s="304"/>
      <c r="AS475" s="304"/>
      <c r="AT475" s="304"/>
      <c r="AU475" s="304"/>
      <c r="AV475" s="304"/>
      <c r="AW475" s="304"/>
      <c r="AX475" s="304"/>
      <c r="AY475" s="304"/>
      <c r="AZ475" s="304"/>
      <c r="BA475" s="304"/>
      <c r="BB475" s="107"/>
      <c r="BC475" s="107"/>
      <c r="BD475" s="107"/>
      <c r="BE475" s="107"/>
      <c r="BF475" s="107"/>
      <c r="BG475" s="107"/>
      <c r="BH475" s="107"/>
      <c r="BI475" s="107"/>
      <c r="BJ475" s="107"/>
      <c r="BK475" s="107"/>
      <c r="BL475" s="107"/>
      <c r="BM475" s="107"/>
      <c r="BN475" s="107"/>
      <c r="BO475" s="107"/>
      <c r="BP475" s="107"/>
      <c r="BQ475" s="107"/>
      <c r="BR475" s="107"/>
    </row>
    <row r="476" customFormat="false" ht="12.75" hidden="false" customHeight="false" outlineLevel="0" collapsed="false">
      <c r="A476" s="100"/>
      <c r="B476" s="100"/>
      <c r="C476" s="100"/>
      <c r="D476" s="100"/>
      <c r="E476" s="100"/>
      <c r="F476" s="277"/>
      <c r="H476" s="277"/>
      <c r="I476" s="277"/>
      <c r="J476" s="69"/>
      <c r="K476" s="277"/>
      <c r="L476" s="277"/>
      <c r="M476" s="277"/>
      <c r="N476" s="277"/>
      <c r="O476" s="277"/>
      <c r="P476" s="277"/>
      <c r="Q476" s="277"/>
      <c r="R476" s="277"/>
      <c r="T476" s="277"/>
      <c r="U476" s="277"/>
      <c r="W476" s="277"/>
      <c r="Y476" s="107"/>
      <c r="Z476" s="107"/>
      <c r="AA476" s="107"/>
      <c r="AB476" s="107"/>
      <c r="AC476" s="107"/>
      <c r="AD476" s="233"/>
      <c r="AE476" s="107"/>
      <c r="AF476" s="107"/>
      <c r="AG476" s="107"/>
      <c r="AH476" s="107"/>
      <c r="AI476" s="107"/>
      <c r="AJ476" s="107"/>
      <c r="AK476" s="107"/>
      <c r="AL476" s="107"/>
      <c r="AM476" s="304"/>
      <c r="AN476" s="304"/>
      <c r="AO476" s="304"/>
      <c r="AP476" s="304"/>
      <c r="AQ476" s="304"/>
      <c r="AR476" s="304"/>
      <c r="AS476" s="304"/>
      <c r="AT476" s="304"/>
      <c r="AU476" s="304"/>
      <c r="AV476" s="304"/>
      <c r="AW476" s="304"/>
      <c r="AX476" s="304"/>
      <c r="AY476" s="304"/>
      <c r="AZ476" s="304"/>
      <c r="BA476" s="304"/>
      <c r="BB476" s="107"/>
      <c r="BC476" s="107"/>
      <c r="BD476" s="107"/>
      <c r="BE476" s="107"/>
      <c r="BF476" s="107"/>
      <c r="BG476" s="107"/>
      <c r="BH476" s="107"/>
      <c r="BI476" s="107"/>
      <c r="BJ476" s="107"/>
      <c r="BK476" s="107"/>
      <c r="BL476" s="107"/>
      <c r="BM476" s="107"/>
      <c r="BN476" s="107"/>
      <c r="BO476" s="107"/>
      <c r="BP476" s="107"/>
      <c r="BQ476" s="107"/>
      <c r="BR476" s="107"/>
    </row>
    <row r="477" customFormat="false" ht="12.75" hidden="false" customHeight="false" outlineLevel="0" collapsed="false">
      <c r="A477" s="100"/>
      <c r="B477" s="100"/>
      <c r="C477" s="100"/>
      <c r="D477" s="100"/>
      <c r="E477" s="100"/>
      <c r="F477" s="277"/>
      <c r="H477" s="277"/>
      <c r="I477" s="277"/>
      <c r="J477" s="69"/>
      <c r="K477" s="277"/>
      <c r="L477" s="277"/>
      <c r="M477" s="277"/>
      <c r="N477" s="277"/>
      <c r="O477" s="277"/>
      <c r="P477" s="277"/>
      <c r="Q477" s="277"/>
      <c r="R477" s="277"/>
      <c r="T477" s="277"/>
      <c r="U477" s="277"/>
      <c r="W477" s="277"/>
      <c r="Y477" s="107"/>
      <c r="Z477" s="107"/>
      <c r="AA477" s="107"/>
      <c r="AB477" s="107"/>
      <c r="AC477" s="107"/>
      <c r="AD477" s="233"/>
      <c r="AE477" s="107"/>
      <c r="AF477" s="107"/>
      <c r="AG477" s="107"/>
      <c r="AH477" s="107"/>
      <c r="AI477" s="107"/>
      <c r="AJ477" s="107"/>
      <c r="AK477" s="107"/>
      <c r="AL477" s="107"/>
      <c r="AM477" s="304"/>
      <c r="AN477" s="304"/>
      <c r="AO477" s="304"/>
      <c r="AP477" s="304"/>
      <c r="AQ477" s="304"/>
      <c r="AR477" s="304"/>
      <c r="AS477" s="304"/>
      <c r="AT477" s="304"/>
      <c r="AU477" s="304"/>
      <c r="AV477" s="304"/>
      <c r="AW477" s="304"/>
      <c r="AX477" s="304"/>
      <c r="AY477" s="304"/>
      <c r="AZ477" s="304"/>
      <c r="BA477" s="304"/>
      <c r="BB477" s="107"/>
      <c r="BC477" s="107"/>
      <c r="BD477" s="107"/>
      <c r="BE477" s="107"/>
      <c r="BF477" s="107"/>
      <c r="BG477" s="107"/>
      <c r="BH477" s="107"/>
      <c r="BI477" s="107"/>
      <c r="BJ477" s="107"/>
      <c r="BK477" s="107"/>
      <c r="BL477" s="107"/>
      <c r="BM477" s="107"/>
      <c r="BN477" s="107"/>
      <c r="BO477" s="107"/>
      <c r="BP477" s="107"/>
      <c r="BQ477" s="107"/>
      <c r="BR477" s="107"/>
    </row>
    <row r="478" customFormat="false" ht="12.75" hidden="false" customHeight="false" outlineLevel="0" collapsed="false">
      <c r="A478" s="100"/>
      <c r="B478" s="100"/>
      <c r="C478" s="100"/>
      <c r="D478" s="100"/>
      <c r="E478" s="100"/>
      <c r="F478" s="277"/>
      <c r="H478" s="277"/>
      <c r="I478" s="277"/>
      <c r="J478" s="69"/>
      <c r="K478" s="277"/>
      <c r="L478" s="277"/>
      <c r="M478" s="277"/>
      <c r="N478" s="277"/>
      <c r="O478" s="277"/>
      <c r="P478" s="277"/>
      <c r="Q478" s="277"/>
      <c r="R478" s="277"/>
      <c r="T478" s="277"/>
      <c r="U478" s="277"/>
      <c r="W478" s="277"/>
      <c r="Y478" s="107"/>
      <c r="Z478" s="107"/>
      <c r="AA478" s="107"/>
      <c r="AB478" s="107"/>
      <c r="AC478" s="107"/>
      <c r="AD478" s="233"/>
      <c r="AE478" s="107"/>
      <c r="AF478" s="107"/>
      <c r="AG478" s="107"/>
      <c r="AH478" s="107"/>
      <c r="AI478" s="107"/>
      <c r="AJ478" s="107"/>
      <c r="AK478" s="107"/>
      <c r="AL478" s="107"/>
      <c r="AM478" s="304"/>
      <c r="AN478" s="304"/>
      <c r="AO478" s="304"/>
      <c r="AP478" s="304"/>
      <c r="AQ478" s="304"/>
      <c r="AR478" s="304"/>
      <c r="AS478" s="304"/>
      <c r="AT478" s="304"/>
      <c r="AU478" s="304"/>
      <c r="AV478" s="304"/>
      <c r="AW478" s="304"/>
      <c r="AX478" s="304"/>
      <c r="AY478" s="304"/>
      <c r="AZ478" s="304"/>
      <c r="BA478" s="304"/>
      <c r="BB478" s="107"/>
      <c r="BC478" s="107"/>
      <c r="BD478" s="107"/>
      <c r="BE478" s="107"/>
      <c r="BF478" s="107"/>
      <c r="BG478" s="107"/>
      <c r="BH478" s="107"/>
      <c r="BI478" s="107"/>
      <c r="BJ478" s="107"/>
      <c r="BK478" s="107"/>
      <c r="BL478" s="107"/>
      <c r="BM478" s="107"/>
      <c r="BN478" s="107"/>
      <c r="BO478" s="107"/>
      <c r="BP478" s="107"/>
      <c r="BQ478" s="107"/>
      <c r="BR478" s="107"/>
    </row>
    <row r="479" customFormat="false" ht="12.75" hidden="false" customHeight="false" outlineLevel="0" collapsed="false">
      <c r="A479" s="100"/>
      <c r="B479" s="100"/>
      <c r="C479" s="100"/>
      <c r="D479" s="100"/>
      <c r="E479" s="100"/>
      <c r="F479" s="277"/>
      <c r="H479" s="277"/>
      <c r="I479" s="277"/>
      <c r="J479" s="69"/>
      <c r="K479" s="277"/>
      <c r="L479" s="277"/>
      <c r="M479" s="277"/>
      <c r="N479" s="277"/>
      <c r="O479" s="277"/>
      <c r="P479" s="277"/>
      <c r="Q479" s="277"/>
      <c r="R479" s="277"/>
      <c r="T479" s="277"/>
      <c r="U479" s="277"/>
      <c r="W479" s="277"/>
      <c r="Y479" s="107"/>
      <c r="Z479" s="107"/>
      <c r="AA479" s="107"/>
      <c r="AB479" s="107"/>
      <c r="AC479" s="107"/>
      <c r="AD479" s="233"/>
      <c r="AE479" s="107"/>
      <c r="AF479" s="107"/>
      <c r="AG479" s="107"/>
      <c r="AH479" s="107"/>
      <c r="AI479" s="107"/>
      <c r="AJ479" s="107"/>
      <c r="AK479" s="107"/>
      <c r="AL479" s="107"/>
      <c r="AM479" s="304"/>
      <c r="AN479" s="304"/>
      <c r="AO479" s="304"/>
      <c r="AP479" s="304"/>
      <c r="AQ479" s="304"/>
      <c r="AR479" s="304"/>
      <c r="AS479" s="304"/>
      <c r="AT479" s="304"/>
      <c r="AU479" s="304"/>
      <c r="AV479" s="304"/>
      <c r="AW479" s="304"/>
      <c r="AX479" s="304"/>
      <c r="AY479" s="304"/>
      <c r="AZ479" s="304"/>
      <c r="BA479" s="304"/>
      <c r="BB479" s="107"/>
      <c r="BC479" s="107"/>
      <c r="BD479" s="107"/>
      <c r="BE479" s="107"/>
      <c r="BF479" s="107"/>
      <c r="BG479" s="107"/>
      <c r="BH479" s="107"/>
      <c r="BI479" s="107"/>
      <c r="BJ479" s="107"/>
      <c r="BK479" s="107"/>
      <c r="BL479" s="107"/>
      <c r="BM479" s="107"/>
      <c r="BN479" s="107"/>
      <c r="BO479" s="107"/>
      <c r="BP479" s="107"/>
      <c r="BQ479" s="107"/>
      <c r="BR479" s="107"/>
    </row>
    <row r="480" customFormat="false" ht="12.75" hidden="false" customHeight="false" outlineLevel="0" collapsed="false">
      <c r="A480" s="100"/>
      <c r="B480" s="100"/>
      <c r="C480" s="100"/>
      <c r="D480" s="100"/>
      <c r="E480" s="100"/>
      <c r="F480" s="277"/>
      <c r="H480" s="277"/>
      <c r="I480" s="277"/>
      <c r="J480" s="69"/>
      <c r="K480" s="277"/>
      <c r="L480" s="277"/>
      <c r="M480" s="277"/>
      <c r="N480" s="277"/>
      <c r="O480" s="277"/>
      <c r="P480" s="277"/>
      <c r="Q480" s="277"/>
      <c r="R480" s="277"/>
      <c r="T480" s="277"/>
      <c r="U480" s="277"/>
      <c r="W480" s="277"/>
      <c r="Y480" s="107"/>
      <c r="Z480" s="107"/>
      <c r="AA480" s="107"/>
      <c r="AB480" s="107"/>
      <c r="AC480" s="107"/>
      <c r="AD480" s="233"/>
      <c r="AE480" s="107"/>
      <c r="AF480" s="107"/>
      <c r="AG480" s="107"/>
      <c r="AH480" s="107"/>
      <c r="AI480" s="107"/>
      <c r="AJ480" s="107"/>
      <c r="AK480" s="107"/>
      <c r="AL480" s="107"/>
      <c r="AM480" s="304"/>
      <c r="AN480" s="304"/>
      <c r="AO480" s="304"/>
      <c r="AP480" s="304"/>
      <c r="AQ480" s="304"/>
      <c r="AR480" s="304"/>
      <c r="AS480" s="304"/>
      <c r="AT480" s="304"/>
      <c r="AU480" s="304"/>
      <c r="AV480" s="304"/>
      <c r="AW480" s="304"/>
      <c r="AX480" s="304"/>
      <c r="AY480" s="304"/>
      <c r="AZ480" s="304"/>
      <c r="BA480" s="304"/>
      <c r="BB480" s="107"/>
      <c r="BC480" s="107"/>
      <c r="BD480" s="107"/>
      <c r="BE480" s="107"/>
      <c r="BF480" s="107"/>
      <c r="BG480" s="107"/>
      <c r="BH480" s="107"/>
      <c r="BI480" s="107"/>
      <c r="BJ480" s="107"/>
      <c r="BK480" s="107"/>
      <c r="BL480" s="107"/>
      <c r="BM480" s="107"/>
      <c r="BN480" s="107"/>
      <c r="BO480" s="107"/>
      <c r="BP480" s="107"/>
      <c r="BQ480" s="107"/>
      <c r="BR480" s="107"/>
    </row>
    <row r="481" customFormat="false" ht="12.75" hidden="false" customHeight="false" outlineLevel="0" collapsed="false">
      <c r="A481" s="100"/>
      <c r="B481" s="100"/>
      <c r="C481" s="100"/>
      <c r="D481" s="100"/>
      <c r="E481" s="100"/>
      <c r="F481" s="277"/>
      <c r="H481" s="277"/>
      <c r="I481" s="277"/>
      <c r="J481" s="69"/>
      <c r="K481" s="277"/>
      <c r="L481" s="277"/>
      <c r="M481" s="277"/>
      <c r="N481" s="277"/>
      <c r="O481" s="277"/>
      <c r="P481" s="277"/>
      <c r="Q481" s="277"/>
      <c r="R481" s="277"/>
      <c r="T481" s="277"/>
      <c r="U481" s="277"/>
      <c r="W481" s="277"/>
      <c r="Y481" s="107"/>
      <c r="Z481" s="107"/>
      <c r="AA481" s="107"/>
      <c r="AB481" s="107"/>
      <c r="AC481" s="107"/>
      <c r="AD481" s="233"/>
      <c r="AE481" s="107"/>
      <c r="AF481" s="107"/>
      <c r="AG481" s="107"/>
      <c r="AH481" s="107"/>
      <c r="AI481" s="107"/>
      <c r="AJ481" s="107"/>
      <c r="AK481" s="107"/>
      <c r="AL481" s="107"/>
      <c r="AM481" s="304"/>
      <c r="AN481" s="304"/>
      <c r="AO481" s="304"/>
      <c r="AP481" s="304"/>
      <c r="AQ481" s="304"/>
      <c r="AR481" s="304"/>
      <c r="AS481" s="304"/>
      <c r="AT481" s="304"/>
      <c r="AU481" s="304"/>
      <c r="AV481" s="304"/>
      <c r="AW481" s="304"/>
      <c r="AX481" s="304"/>
      <c r="AY481" s="304"/>
      <c r="AZ481" s="304"/>
      <c r="BA481" s="304"/>
      <c r="BB481" s="107"/>
      <c r="BC481" s="107"/>
      <c r="BD481" s="107"/>
      <c r="BE481" s="107"/>
      <c r="BF481" s="107"/>
      <c r="BG481" s="107"/>
      <c r="BH481" s="107"/>
      <c r="BI481" s="107"/>
      <c r="BJ481" s="107"/>
      <c r="BK481" s="107"/>
      <c r="BL481" s="107"/>
      <c r="BM481" s="107"/>
      <c r="BN481" s="107"/>
      <c r="BO481" s="107"/>
      <c r="BP481" s="107"/>
      <c r="BQ481" s="107"/>
      <c r="BR481" s="107"/>
    </row>
    <row r="482" customFormat="false" ht="12.75" hidden="false" customHeight="false" outlineLevel="0" collapsed="false">
      <c r="A482" s="100"/>
      <c r="B482" s="100"/>
      <c r="C482" s="100"/>
      <c r="D482" s="100"/>
      <c r="E482" s="100"/>
      <c r="F482" s="277"/>
      <c r="H482" s="277"/>
      <c r="I482" s="277"/>
      <c r="J482" s="69"/>
      <c r="K482" s="277"/>
      <c r="L482" s="277"/>
      <c r="M482" s="277"/>
      <c r="N482" s="277"/>
      <c r="O482" s="277"/>
      <c r="P482" s="277"/>
      <c r="Q482" s="277"/>
      <c r="R482" s="277"/>
      <c r="T482" s="277"/>
      <c r="U482" s="277"/>
      <c r="W482" s="277"/>
      <c r="Y482" s="107"/>
      <c r="Z482" s="107"/>
      <c r="AA482" s="107"/>
      <c r="AB482" s="107"/>
      <c r="AC482" s="107"/>
      <c r="AD482" s="233"/>
      <c r="AE482" s="107"/>
      <c r="AF482" s="107"/>
      <c r="AG482" s="107"/>
      <c r="AH482" s="107"/>
      <c r="AI482" s="107"/>
      <c r="AJ482" s="107"/>
      <c r="AK482" s="107"/>
      <c r="AL482" s="107"/>
      <c r="AM482" s="304"/>
      <c r="AN482" s="304"/>
      <c r="AO482" s="304"/>
      <c r="AP482" s="304"/>
      <c r="AQ482" s="304"/>
      <c r="AR482" s="304"/>
      <c r="AS482" s="304"/>
      <c r="AT482" s="304"/>
      <c r="AU482" s="304"/>
      <c r="AV482" s="304"/>
      <c r="AW482" s="304"/>
      <c r="AX482" s="304"/>
      <c r="AY482" s="304"/>
      <c r="AZ482" s="304"/>
      <c r="BA482" s="304"/>
      <c r="BB482" s="107"/>
      <c r="BC482" s="107"/>
      <c r="BD482" s="107"/>
      <c r="BE482" s="107"/>
      <c r="BF482" s="107"/>
      <c r="BG482" s="107"/>
      <c r="BH482" s="107"/>
      <c r="BI482" s="107"/>
      <c r="BJ482" s="107"/>
      <c r="BK482" s="107"/>
      <c r="BL482" s="107"/>
      <c r="BM482" s="107"/>
      <c r="BN482" s="107"/>
      <c r="BO482" s="107"/>
      <c r="BP482" s="107"/>
      <c r="BQ482" s="107"/>
      <c r="BR482" s="107"/>
    </row>
    <row r="483" customFormat="false" ht="12.75" hidden="false" customHeight="false" outlineLevel="0" collapsed="false">
      <c r="A483" s="100"/>
      <c r="B483" s="100"/>
      <c r="C483" s="100"/>
      <c r="D483" s="100"/>
      <c r="E483" s="100"/>
      <c r="F483" s="277"/>
      <c r="H483" s="277"/>
      <c r="I483" s="277"/>
      <c r="J483" s="69"/>
      <c r="K483" s="277"/>
      <c r="L483" s="277"/>
      <c r="M483" s="277"/>
      <c r="N483" s="277"/>
      <c r="O483" s="277"/>
      <c r="P483" s="277"/>
      <c r="Q483" s="277"/>
      <c r="R483" s="277"/>
      <c r="T483" s="277"/>
      <c r="U483" s="277"/>
      <c r="W483" s="277"/>
      <c r="Y483" s="107"/>
      <c r="Z483" s="107"/>
      <c r="AA483" s="107"/>
      <c r="AB483" s="107"/>
      <c r="AC483" s="107"/>
      <c r="AD483" s="233"/>
      <c r="AE483" s="107"/>
      <c r="AF483" s="107"/>
      <c r="AG483" s="107"/>
      <c r="AH483" s="107"/>
      <c r="AI483" s="107"/>
      <c r="AJ483" s="107"/>
      <c r="AK483" s="107"/>
      <c r="AL483" s="107"/>
      <c r="AM483" s="304"/>
      <c r="AN483" s="304"/>
      <c r="AO483" s="304"/>
      <c r="AP483" s="304"/>
      <c r="AQ483" s="304"/>
      <c r="AR483" s="304"/>
      <c r="AS483" s="304"/>
      <c r="AT483" s="304"/>
      <c r="AU483" s="304"/>
      <c r="AV483" s="304"/>
      <c r="AW483" s="304"/>
      <c r="AX483" s="304"/>
      <c r="AY483" s="304"/>
      <c r="AZ483" s="304"/>
      <c r="BA483" s="304"/>
      <c r="BB483" s="107"/>
      <c r="BC483" s="107"/>
      <c r="BD483" s="107"/>
      <c r="BE483" s="107"/>
      <c r="BF483" s="107"/>
      <c r="BG483" s="107"/>
      <c r="BH483" s="107"/>
      <c r="BI483" s="107"/>
      <c r="BJ483" s="107"/>
      <c r="BK483" s="107"/>
      <c r="BL483" s="107"/>
      <c r="BM483" s="107"/>
      <c r="BN483" s="107"/>
      <c r="BO483" s="107"/>
      <c r="BP483" s="107"/>
      <c r="BQ483" s="107"/>
      <c r="BR483" s="107"/>
    </row>
    <row r="484" customFormat="false" ht="12.75" hidden="false" customHeight="false" outlineLevel="0" collapsed="false">
      <c r="A484" s="100"/>
      <c r="B484" s="100"/>
      <c r="C484" s="100"/>
      <c r="D484" s="100"/>
      <c r="E484" s="100"/>
      <c r="F484" s="277"/>
      <c r="H484" s="277"/>
      <c r="I484" s="277"/>
      <c r="J484" s="69"/>
      <c r="K484" s="277"/>
      <c r="L484" s="277"/>
      <c r="M484" s="277"/>
      <c r="N484" s="277"/>
      <c r="O484" s="277"/>
      <c r="P484" s="277"/>
      <c r="Q484" s="277"/>
      <c r="R484" s="277"/>
      <c r="T484" s="277"/>
      <c r="U484" s="277"/>
      <c r="W484" s="277"/>
      <c r="Y484" s="107"/>
      <c r="Z484" s="107"/>
      <c r="AA484" s="107"/>
      <c r="AB484" s="107"/>
      <c r="AC484" s="107"/>
      <c r="AD484" s="233"/>
      <c r="AE484" s="107"/>
      <c r="AF484" s="107"/>
      <c r="AG484" s="107"/>
      <c r="AH484" s="107"/>
      <c r="AI484" s="107"/>
      <c r="AJ484" s="107"/>
      <c r="AK484" s="107"/>
      <c r="AL484" s="107"/>
      <c r="AM484" s="304"/>
      <c r="AN484" s="304"/>
      <c r="AO484" s="304"/>
      <c r="AP484" s="304"/>
      <c r="AQ484" s="304"/>
      <c r="AR484" s="304"/>
      <c r="AS484" s="304"/>
      <c r="AT484" s="304"/>
      <c r="AU484" s="304"/>
      <c r="AV484" s="304"/>
      <c r="AW484" s="304"/>
      <c r="AX484" s="304"/>
      <c r="AY484" s="304"/>
      <c r="AZ484" s="304"/>
      <c r="BA484" s="304"/>
      <c r="BB484" s="107"/>
      <c r="BC484" s="107"/>
      <c r="BD484" s="107"/>
      <c r="BE484" s="107"/>
      <c r="BF484" s="107"/>
      <c r="BG484" s="107"/>
      <c r="BH484" s="107"/>
      <c r="BI484" s="107"/>
      <c r="BJ484" s="107"/>
      <c r="BK484" s="107"/>
      <c r="BL484" s="107"/>
      <c r="BM484" s="107"/>
      <c r="BN484" s="107"/>
      <c r="BO484" s="107"/>
      <c r="BP484" s="107"/>
      <c r="BQ484" s="107"/>
      <c r="BR484" s="107"/>
    </row>
    <row r="485" customFormat="false" ht="12.75" hidden="false" customHeight="false" outlineLevel="0" collapsed="false">
      <c r="A485" s="100"/>
      <c r="B485" s="100"/>
      <c r="C485" s="100"/>
      <c r="D485" s="100"/>
      <c r="E485" s="100"/>
      <c r="F485" s="277"/>
      <c r="H485" s="277"/>
      <c r="I485" s="277"/>
      <c r="J485" s="69"/>
      <c r="K485" s="277"/>
      <c r="L485" s="277"/>
      <c r="M485" s="277"/>
      <c r="N485" s="277"/>
      <c r="O485" s="277"/>
      <c r="P485" s="277"/>
      <c r="Q485" s="277"/>
      <c r="R485" s="277"/>
      <c r="T485" s="277"/>
      <c r="U485" s="277"/>
      <c r="W485" s="277"/>
      <c r="Y485" s="107"/>
      <c r="Z485" s="107"/>
      <c r="AA485" s="107"/>
      <c r="AB485" s="107"/>
      <c r="AC485" s="107"/>
      <c r="AD485" s="233"/>
      <c r="AE485" s="107"/>
      <c r="AF485" s="107"/>
      <c r="AG485" s="107"/>
      <c r="AH485" s="107"/>
      <c r="AI485" s="107"/>
      <c r="AJ485" s="107"/>
      <c r="AK485" s="107"/>
      <c r="AL485" s="107"/>
      <c r="AM485" s="304"/>
      <c r="AN485" s="304"/>
      <c r="AO485" s="304"/>
      <c r="AP485" s="304"/>
      <c r="AQ485" s="304"/>
      <c r="AR485" s="304"/>
      <c r="AS485" s="304"/>
      <c r="AT485" s="304"/>
      <c r="AU485" s="304"/>
      <c r="AV485" s="304"/>
      <c r="AW485" s="304"/>
      <c r="AX485" s="304"/>
      <c r="AY485" s="304"/>
      <c r="AZ485" s="304"/>
      <c r="BA485" s="304"/>
      <c r="BB485" s="107"/>
      <c r="BC485" s="107"/>
      <c r="BD485" s="107"/>
      <c r="BE485" s="107"/>
      <c r="BF485" s="107"/>
      <c r="BG485" s="107"/>
      <c r="BH485" s="107"/>
      <c r="BI485" s="107"/>
      <c r="BJ485" s="107"/>
      <c r="BK485" s="107"/>
      <c r="BL485" s="107"/>
      <c r="BM485" s="107"/>
      <c r="BN485" s="107"/>
      <c r="BO485" s="107"/>
      <c r="BP485" s="107"/>
      <c r="BQ485" s="107"/>
      <c r="BR485" s="107"/>
    </row>
    <row r="486" customFormat="false" ht="12.75" hidden="false" customHeight="false" outlineLevel="0" collapsed="false">
      <c r="A486" s="100"/>
      <c r="B486" s="100"/>
      <c r="C486" s="100"/>
      <c r="D486" s="100"/>
      <c r="E486" s="100"/>
      <c r="F486" s="277"/>
      <c r="H486" s="277"/>
      <c r="I486" s="277"/>
      <c r="J486" s="69"/>
      <c r="K486" s="277"/>
      <c r="L486" s="277"/>
      <c r="M486" s="277"/>
      <c r="N486" s="277"/>
      <c r="O486" s="277"/>
      <c r="P486" s="277"/>
      <c r="Q486" s="277"/>
      <c r="R486" s="277"/>
      <c r="T486" s="277"/>
      <c r="U486" s="277"/>
      <c r="W486" s="277"/>
      <c r="Y486" s="107"/>
      <c r="Z486" s="107"/>
      <c r="AA486" s="107"/>
      <c r="AB486" s="107"/>
      <c r="AC486" s="107"/>
      <c r="AD486" s="233"/>
      <c r="AE486" s="107"/>
      <c r="AF486" s="107"/>
      <c r="AG486" s="107"/>
      <c r="AH486" s="107"/>
      <c r="AI486" s="107"/>
      <c r="AJ486" s="107"/>
      <c r="AK486" s="107"/>
      <c r="AL486" s="107"/>
      <c r="AM486" s="304"/>
      <c r="AN486" s="304"/>
      <c r="AO486" s="304"/>
      <c r="AP486" s="304"/>
      <c r="AQ486" s="304"/>
      <c r="AR486" s="304"/>
      <c r="AS486" s="304"/>
      <c r="AT486" s="304"/>
      <c r="AU486" s="304"/>
      <c r="AV486" s="304"/>
      <c r="AW486" s="304"/>
      <c r="AX486" s="304"/>
      <c r="AY486" s="304"/>
      <c r="AZ486" s="304"/>
      <c r="BA486" s="304"/>
      <c r="BB486" s="107"/>
      <c r="BC486" s="107"/>
      <c r="BD486" s="107"/>
      <c r="BE486" s="107"/>
      <c r="BF486" s="107"/>
      <c r="BG486" s="107"/>
      <c r="BH486" s="107"/>
      <c r="BI486" s="107"/>
      <c r="BJ486" s="107"/>
      <c r="BK486" s="107"/>
      <c r="BL486" s="107"/>
      <c r="BM486" s="107"/>
      <c r="BN486" s="107"/>
      <c r="BO486" s="107"/>
      <c r="BP486" s="107"/>
      <c r="BQ486" s="107"/>
      <c r="BR486" s="107"/>
    </row>
    <row r="487" customFormat="false" ht="12.75" hidden="false" customHeight="false" outlineLevel="0" collapsed="false">
      <c r="A487" s="100"/>
      <c r="B487" s="100"/>
      <c r="C487" s="100"/>
      <c r="D487" s="100"/>
      <c r="E487" s="100"/>
      <c r="F487" s="277"/>
      <c r="H487" s="277"/>
      <c r="I487" s="277"/>
      <c r="J487" s="69"/>
      <c r="K487" s="277"/>
      <c r="L487" s="277"/>
      <c r="M487" s="277"/>
      <c r="N487" s="277"/>
      <c r="O487" s="277"/>
      <c r="P487" s="277"/>
      <c r="Q487" s="277"/>
      <c r="R487" s="277"/>
      <c r="T487" s="277"/>
      <c r="U487" s="277"/>
      <c r="W487" s="277"/>
      <c r="Y487" s="107"/>
      <c r="Z487" s="107"/>
      <c r="AA487" s="107"/>
      <c r="AB487" s="107"/>
      <c r="AC487" s="107"/>
      <c r="AD487" s="233"/>
      <c r="AE487" s="107"/>
      <c r="AF487" s="107"/>
      <c r="AG487" s="107"/>
      <c r="AH487" s="107"/>
      <c r="AI487" s="107"/>
      <c r="AJ487" s="107"/>
      <c r="AK487" s="107"/>
      <c r="AL487" s="107"/>
      <c r="AM487" s="304"/>
      <c r="AN487" s="304"/>
      <c r="AO487" s="304"/>
      <c r="AP487" s="304"/>
      <c r="AQ487" s="304"/>
      <c r="AR487" s="304"/>
      <c r="AS487" s="304"/>
      <c r="AT487" s="304"/>
      <c r="AU487" s="304"/>
      <c r="AV487" s="304"/>
      <c r="AW487" s="304"/>
      <c r="AX487" s="304"/>
      <c r="AY487" s="304"/>
      <c r="AZ487" s="304"/>
      <c r="BA487" s="304"/>
      <c r="BB487" s="107"/>
      <c r="BC487" s="107"/>
      <c r="BD487" s="107"/>
      <c r="BE487" s="107"/>
      <c r="BF487" s="107"/>
      <c r="BG487" s="107"/>
      <c r="BH487" s="107"/>
      <c r="BI487" s="107"/>
      <c r="BJ487" s="107"/>
      <c r="BK487" s="107"/>
      <c r="BL487" s="107"/>
      <c r="BM487" s="107"/>
      <c r="BN487" s="107"/>
      <c r="BO487" s="107"/>
      <c r="BP487" s="107"/>
      <c r="BQ487" s="107"/>
      <c r="BR487" s="107"/>
    </row>
    <row r="488" customFormat="false" ht="12.75" hidden="false" customHeight="false" outlineLevel="0" collapsed="false">
      <c r="A488" s="100"/>
      <c r="B488" s="100"/>
      <c r="C488" s="100"/>
      <c r="D488" s="100"/>
      <c r="E488" s="100"/>
      <c r="F488" s="277"/>
      <c r="H488" s="277"/>
      <c r="I488" s="277"/>
      <c r="J488" s="69"/>
      <c r="K488" s="277"/>
      <c r="L488" s="277"/>
      <c r="M488" s="277"/>
      <c r="N488" s="277"/>
      <c r="O488" s="277"/>
      <c r="P488" s="277"/>
      <c r="Q488" s="277"/>
      <c r="R488" s="277"/>
      <c r="T488" s="277"/>
      <c r="U488" s="277"/>
      <c r="W488" s="277"/>
      <c r="Y488" s="107"/>
      <c r="Z488" s="107"/>
      <c r="AA488" s="107"/>
      <c r="AB488" s="107"/>
      <c r="AC488" s="107"/>
      <c r="AD488" s="233"/>
      <c r="AE488" s="107"/>
      <c r="AF488" s="107"/>
      <c r="AG488" s="107"/>
      <c r="AH488" s="107"/>
      <c r="AI488" s="107"/>
      <c r="AJ488" s="107"/>
      <c r="AK488" s="107"/>
      <c r="AL488" s="107"/>
      <c r="AM488" s="304"/>
      <c r="AN488" s="304"/>
      <c r="AO488" s="304"/>
      <c r="AP488" s="304"/>
      <c r="AQ488" s="304"/>
      <c r="AR488" s="304"/>
      <c r="AS488" s="304"/>
      <c r="AT488" s="304"/>
      <c r="AU488" s="304"/>
      <c r="AV488" s="304"/>
      <c r="AW488" s="304"/>
      <c r="AX488" s="304"/>
      <c r="AY488" s="304"/>
      <c r="AZ488" s="304"/>
      <c r="BA488" s="304"/>
      <c r="BB488" s="107"/>
      <c r="BC488" s="107"/>
      <c r="BD488" s="107"/>
      <c r="BE488" s="107"/>
      <c r="BF488" s="107"/>
      <c r="BG488" s="107"/>
      <c r="BH488" s="107"/>
      <c r="BI488" s="107"/>
      <c r="BJ488" s="107"/>
      <c r="BK488" s="107"/>
      <c r="BL488" s="107"/>
      <c r="BM488" s="107"/>
      <c r="BN488" s="107"/>
      <c r="BO488" s="107"/>
      <c r="BP488" s="107"/>
      <c r="BQ488" s="107"/>
      <c r="BR488" s="107"/>
    </row>
    <row r="489" customFormat="false" ht="12.75" hidden="false" customHeight="false" outlineLevel="0" collapsed="false">
      <c r="A489" s="100"/>
      <c r="B489" s="100"/>
      <c r="C489" s="100"/>
      <c r="D489" s="100"/>
      <c r="E489" s="100"/>
      <c r="F489" s="277"/>
      <c r="H489" s="277"/>
      <c r="I489" s="277"/>
      <c r="J489" s="69"/>
      <c r="K489" s="277"/>
      <c r="L489" s="277"/>
      <c r="M489" s="277"/>
      <c r="N489" s="277"/>
      <c r="O489" s="277"/>
      <c r="P489" s="277"/>
      <c r="Q489" s="277"/>
      <c r="R489" s="277"/>
      <c r="T489" s="277"/>
      <c r="U489" s="277"/>
      <c r="W489" s="277"/>
      <c r="Y489" s="107"/>
      <c r="Z489" s="107"/>
      <c r="AA489" s="107"/>
      <c r="AB489" s="107"/>
      <c r="AC489" s="107"/>
      <c r="AD489" s="233"/>
      <c r="AE489" s="107"/>
      <c r="AF489" s="107"/>
      <c r="AG489" s="107"/>
      <c r="AH489" s="107"/>
      <c r="AI489" s="107"/>
      <c r="AJ489" s="107"/>
      <c r="AK489" s="107"/>
      <c r="AL489" s="107"/>
      <c r="AM489" s="304"/>
      <c r="AN489" s="304"/>
      <c r="AO489" s="304"/>
      <c r="AP489" s="304"/>
      <c r="AQ489" s="304"/>
      <c r="AR489" s="304"/>
      <c r="AS489" s="304"/>
      <c r="AT489" s="304"/>
      <c r="AU489" s="304"/>
      <c r="AV489" s="304"/>
      <c r="AW489" s="304"/>
      <c r="AX489" s="304"/>
      <c r="AY489" s="304"/>
      <c r="AZ489" s="304"/>
      <c r="BA489" s="304"/>
      <c r="BB489" s="107"/>
      <c r="BC489" s="107"/>
      <c r="BD489" s="107"/>
      <c r="BE489" s="107"/>
      <c r="BF489" s="107"/>
      <c r="BG489" s="107"/>
      <c r="BH489" s="107"/>
      <c r="BI489" s="107"/>
      <c r="BJ489" s="107"/>
      <c r="BK489" s="107"/>
      <c r="BL489" s="107"/>
      <c r="BM489" s="107"/>
      <c r="BN489" s="107"/>
      <c r="BO489" s="107"/>
      <c r="BP489" s="107"/>
      <c r="BQ489" s="107"/>
      <c r="BR489" s="107"/>
    </row>
    <row r="490" customFormat="false" ht="12.75" hidden="false" customHeight="false" outlineLevel="0" collapsed="false">
      <c r="A490" s="100"/>
      <c r="B490" s="100"/>
      <c r="C490" s="100"/>
      <c r="D490" s="100"/>
      <c r="E490" s="100"/>
      <c r="F490" s="277"/>
      <c r="H490" s="277"/>
      <c r="I490" s="277"/>
      <c r="J490" s="69"/>
      <c r="K490" s="277"/>
      <c r="L490" s="277"/>
      <c r="M490" s="277"/>
      <c r="N490" s="277"/>
      <c r="O490" s="277"/>
      <c r="P490" s="277"/>
      <c r="Q490" s="277"/>
      <c r="R490" s="277"/>
      <c r="T490" s="277"/>
      <c r="U490" s="277"/>
      <c r="W490" s="277"/>
      <c r="Y490" s="107"/>
      <c r="Z490" s="107"/>
      <c r="AA490" s="107"/>
      <c r="AB490" s="107"/>
      <c r="AC490" s="107"/>
      <c r="AD490" s="233"/>
      <c r="AE490" s="107"/>
      <c r="AF490" s="107"/>
      <c r="AG490" s="107"/>
      <c r="AH490" s="107"/>
      <c r="AI490" s="107"/>
      <c r="AJ490" s="107"/>
      <c r="AK490" s="107"/>
      <c r="AL490" s="107"/>
      <c r="AM490" s="304"/>
      <c r="AN490" s="304"/>
      <c r="AO490" s="304"/>
      <c r="AP490" s="304"/>
      <c r="AQ490" s="304"/>
      <c r="AR490" s="304"/>
      <c r="AS490" s="304"/>
      <c r="AT490" s="304"/>
      <c r="AU490" s="304"/>
      <c r="AV490" s="304"/>
      <c r="AW490" s="304"/>
      <c r="AX490" s="304"/>
      <c r="AY490" s="304"/>
      <c r="AZ490" s="304"/>
      <c r="BA490" s="304"/>
      <c r="BB490" s="107"/>
      <c r="BC490" s="107"/>
      <c r="BD490" s="107"/>
      <c r="BE490" s="107"/>
      <c r="BF490" s="107"/>
      <c r="BG490" s="107"/>
      <c r="BH490" s="107"/>
      <c r="BI490" s="107"/>
      <c r="BJ490" s="107"/>
      <c r="BK490" s="107"/>
      <c r="BL490" s="107"/>
      <c r="BM490" s="107"/>
      <c r="BN490" s="107"/>
      <c r="BO490" s="107"/>
      <c r="BP490" s="107"/>
      <c r="BQ490" s="107"/>
      <c r="BR490" s="107"/>
    </row>
    <row r="491" customFormat="false" ht="12.75" hidden="false" customHeight="false" outlineLevel="0" collapsed="false">
      <c r="A491" s="100"/>
      <c r="B491" s="100"/>
      <c r="C491" s="100"/>
      <c r="D491" s="100"/>
      <c r="E491" s="100"/>
      <c r="F491" s="277"/>
      <c r="H491" s="277"/>
      <c r="I491" s="277"/>
      <c r="J491" s="69"/>
      <c r="K491" s="277"/>
      <c r="L491" s="277"/>
      <c r="M491" s="277"/>
      <c r="N491" s="277"/>
      <c r="O491" s="277"/>
      <c r="P491" s="277"/>
      <c r="Q491" s="277"/>
      <c r="R491" s="277"/>
      <c r="T491" s="277"/>
      <c r="U491" s="277"/>
      <c r="W491" s="277"/>
      <c r="Y491" s="107"/>
      <c r="Z491" s="107"/>
      <c r="AA491" s="107"/>
      <c r="AB491" s="107"/>
      <c r="AC491" s="107"/>
      <c r="AD491" s="233"/>
      <c r="AE491" s="107"/>
      <c r="AF491" s="107"/>
      <c r="AG491" s="107"/>
      <c r="AH491" s="107"/>
      <c r="AI491" s="107"/>
      <c r="AJ491" s="107"/>
      <c r="AK491" s="107"/>
      <c r="AL491" s="107"/>
      <c r="AM491" s="304"/>
      <c r="AN491" s="304"/>
      <c r="AO491" s="304"/>
      <c r="AP491" s="304"/>
      <c r="AQ491" s="304"/>
      <c r="AR491" s="304"/>
      <c r="AS491" s="304"/>
      <c r="AT491" s="304"/>
      <c r="AU491" s="304"/>
      <c r="AV491" s="304"/>
      <c r="AW491" s="304"/>
      <c r="AX491" s="304"/>
      <c r="AY491" s="304"/>
      <c r="AZ491" s="304"/>
      <c r="BA491" s="304"/>
      <c r="BB491" s="107"/>
      <c r="BC491" s="107"/>
      <c r="BD491" s="107"/>
      <c r="BE491" s="107"/>
      <c r="BF491" s="107"/>
      <c r="BG491" s="107"/>
      <c r="BH491" s="107"/>
      <c r="BI491" s="107"/>
      <c r="BJ491" s="107"/>
      <c r="BK491" s="107"/>
      <c r="BL491" s="107"/>
      <c r="BM491" s="107"/>
      <c r="BN491" s="107"/>
      <c r="BO491" s="107"/>
      <c r="BP491" s="107"/>
      <c r="BQ491" s="107"/>
      <c r="BR491" s="107"/>
    </row>
    <row r="492" customFormat="false" ht="12.75" hidden="false" customHeight="false" outlineLevel="0" collapsed="false">
      <c r="A492" s="100"/>
      <c r="B492" s="100"/>
      <c r="C492" s="100"/>
      <c r="D492" s="100"/>
      <c r="E492" s="100"/>
      <c r="F492" s="277"/>
      <c r="H492" s="277"/>
      <c r="I492" s="277"/>
      <c r="J492" s="69"/>
      <c r="K492" s="277"/>
      <c r="L492" s="277"/>
      <c r="M492" s="277"/>
      <c r="N492" s="277"/>
      <c r="O492" s="277"/>
      <c r="P492" s="277"/>
      <c r="Q492" s="277"/>
      <c r="R492" s="277"/>
      <c r="T492" s="277"/>
      <c r="U492" s="277"/>
      <c r="W492" s="277"/>
      <c r="Y492" s="107"/>
      <c r="Z492" s="107"/>
      <c r="AA492" s="107"/>
      <c r="AB492" s="107"/>
      <c r="AC492" s="107"/>
      <c r="AD492" s="233"/>
      <c r="AE492" s="107"/>
      <c r="AF492" s="107"/>
      <c r="AG492" s="107"/>
      <c r="AH492" s="107"/>
      <c r="AI492" s="107"/>
      <c r="AJ492" s="107"/>
      <c r="AK492" s="107"/>
      <c r="AL492" s="107"/>
      <c r="AM492" s="304"/>
      <c r="AN492" s="304"/>
      <c r="AO492" s="304"/>
      <c r="AP492" s="304"/>
      <c r="AQ492" s="304"/>
      <c r="AR492" s="304"/>
      <c r="AS492" s="304"/>
      <c r="AT492" s="304"/>
      <c r="AU492" s="304"/>
      <c r="AV492" s="304"/>
      <c r="AW492" s="304"/>
      <c r="AX492" s="304"/>
      <c r="AY492" s="304"/>
      <c r="AZ492" s="304"/>
      <c r="BA492" s="304"/>
      <c r="BB492" s="107"/>
      <c r="BC492" s="107"/>
      <c r="BD492" s="107"/>
      <c r="BE492" s="107"/>
      <c r="BF492" s="107"/>
      <c r="BG492" s="107"/>
      <c r="BH492" s="107"/>
      <c r="BI492" s="107"/>
      <c r="BJ492" s="107"/>
      <c r="BK492" s="107"/>
      <c r="BL492" s="107"/>
      <c r="BM492" s="107"/>
      <c r="BN492" s="107"/>
      <c r="BO492" s="107"/>
      <c r="BP492" s="107"/>
      <c r="BQ492" s="107"/>
      <c r="BR492" s="107"/>
    </row>
    <row r="493" customFormat="false" ht="12.75" hidden="false" customHeight="false" outlineLevel="0" collapsed="false">
      <c r="A493" s="100"/>
      <c r="B493" s="100"/>
      <c r="C493" s="100"/>
      <c r="D493" s="100"/>
      <c r="E493" s="100"/>
      <c r="F493" s="277"/>
      <c r="H493" s="277"/>
      <c r="I493" s="277"/>
      <c r="J493" s="69"/>
      <c r="K493" s="277"/>
      <c r="L493" s="277"/>
      <c r="M493" s="277"/>
      <c r="N493" s="277"/>
      <c r="O493" s="277"/>
      <c r="P493" s="277"/>
      <c r="Q493" s="277"/>
      <c r="R493" s="277"/>
      <c r="T493" s="277"/>
      <c r="U493" s="277"/>
      <c r="W493" s="277"/>
      <c r="Y493" s="107"/>
      <c r="Z493" s="107"/>
      <c r="AA493" s="107"/>
      <c r="AB493" s="107"/>
      <c r="AC493" s="107"/>
      <c r="AD493" s="233"/>
      <c r="AE493" s="107"/>
      <c r="AF493" s="107"/>
      <c r="AG493" s="107"/>
      <c r="AH493" s="107"/>
      <c r="AI493" s="107"/>
      <c r="AJ493" s="107"/>
      <c r="AK493" s="107"/>
      <c r="AL493" s="107"/>
      <c r="AM493" s="304"/>
      <c r="AN493" s="304"/>
      <c r="AO493" s="304"/>
      <c r="AP493" s="304"/>
      <c r="AQ493" s="304"/>
      <c r="AR493" s="304"/>
      <c r="AS493" s="304"/>
      <c r="AT493" s="304"/>
      <c r="AU493" s="304"/>
      <c r="AV493" s="304"/>
      <c r="AW493" s="304"/>
      <c r="AX493" s="304"/>
      <c r="AY493" s="304"/>
      <c r="AZ493" s="304"/>
      <c r="BA493" s="304"/>
      <c r="BB493" s="107"/>
      <c r="BC493" s="107"/>
      <c r="BD493" s="107"/>
      <c r="BE493" s="107"/>
      <c r="BF493" s="107"/>
      <c r="BG493" s="107"/>
      <c r="BH493" s="107"/>
      <c r="BI493" s="107"/>
      <c r="BJ493" s="107"/>
      <c r="BK493" s="107"/>
      <c r="BL493" s="107"/>
      <c r="BM493" s="107"/>
      <c r="BN493" s="107"/>
      <c r="BO493" s="107"/>
      <c r="BP493" s="107"/>
      <c r="BQ493" s="107"/>
      <c r="BR493" s="107"/>
    </row>
    <row r="494" customFormat="false" ht="12.75" hidden="false" customHeight="false" outlineLevel="0" collapsed="false">
      <c r="A494" s="100"/>
      <c r="B494" s="100"/>
      <c r="C494" s="100"/>
      <c r="D494" s="100"/>
      <c r="E494" s="100"/>
      <c r="F494" s="277"/>
      <c r="H494" s="277"/>
      <c r="I494" s="277"/>
      <c r="J494" s="69"/>
      <c r="K494" s="277"/>
      <c r="L494" s="277"/>
      <c r="M494" s="277"/>
      <c r="N494" s="277"/>
      <c r="O494" s="277"/>
      <c r="P494" s="277"/>
      <c r="Q494" s="277"/>
      <c r="R494" s="277"/>
      <c r="T494" s="277"/>
      <c r="U494" s="277"/>
      <c r="W494" s="277"/>
      <c r="Y494" s="107"/>
      <c r="Z494" s="107"/>
      <c r="AA494" s="107"/>
      <c r="AB494" s="107"/>
      <c r="AC494" s="107"/>
      <c r="AD494" s="233"/>
      <c r="AE494" s="107"/>
      <c r="AF494" s="107"/>
      <c r="AG494" s="107"/>
      <c r="AH494" s="107"/>
      <c r="AI494" s="107"/>
      <c r="AJ494" s="107"/>
      <c r="AK494" s="107"/>
      <c r="AL494" s="107"/>
      <c r="AM494" s="304"/>
      <c r="AN494" s="304"/>
      <c r="AO494" s="304"/>
      <c r="AP494" s="304"/>
      <c r="AQ494" s="304"/>
      <c r="AR494" s="304"/>
      <c r="AS494" s="304"/>
      <c r="AT494" s="304"/>
      <c r="AU494" s="304"/>
      <c r="AV494" s="304"/>
      <c r="AW494" s="304"/>
      <c r="AX494" s="304"/>
      <c r="AY494" s="304"/>
      <c r="AZ494" s="304"/>
      <c r="BA494" s="304"/>
      <c r="BB494" s="107"/>
      <c r="BC494" s="107"/>
      <c r="BD494" s="107"/>
      <c r="BE494" s="107"/>
      <c r="BF494" s="107"/>
      <c r="BG494" s="107"/>
      <c r="BH494" s="107"/>
      <c r="BI494" s="107"/>
      <c r="BJ494" s="107"/>
      <c r="BK494" s="107"/>
      <c r="BL494" s="107"/>
      <c r="BM494" s="107"/>
      <c r="BN494" s="107"/>
      <c r="BO494" s="107"/>
      <c r="BP494" s="107"/>
      <c r="BQ494" s="107"/>
      <c r="BR494" s="107"/>
    </row>
    <row r="495" customFormat="false" ht="12.75" hidden="false" customHeight="false" outlineLevel="0" collapsed="false">
      <c r="A495" s="100"/>
      <c r="B495" s="100"/>
      <c r="C495" s="100"/>
      <c r="D495" s="100"/>
      <c r="E495" s="100"/>
      <c r="F495" s="277"/>
      <c r="H495" s="277"/>
      <c r="I495" s="277"/>
      <c r="J495" s="69"/>
      <c r="K495" s="277"/>
      <c r="L495" s="277"/>
      <c r="M495" s="277"/>
      <c r="N495" s="277"/>
      <c r="O495" s="277"/>
      <c r="P495" s="277"/>
      <c r="Q495" s="277"/>
      <c r="R495" s="277"/>
      <c r="T495" s="277"/>
      <c r="U495" s="277"/>
      <c r="W495" s="277"/>
      <c r="Y495" s="107"/>
      <c r="Z495" s="107"/>
      <c r="AA495" s="107"/>
      <c r="AB495" s="107"/>
      <c r="AC495" s="107"/>
      <c r="AD495" s="233"/>
      <c r="AE495" s="107"/>
      <c r="AF495" s="107"/>
      <c r="AG495" s="107"/>
      <c r="AH495" s="107"/>
      <c r="AI495" s="107"/>
      <c r="AJ495" s="107"/>
      <c r="AK495" s="107"/>
      <c r="AL495" s="107"/>
      <c r="AM495" s="304"/>
      <c r="AN495" s="304"/>
      <c r="AO495" s="304"/>
      <c r="AP495" s="304"/>
      <c r="AQ495" s="304"/>
      <c r="AR495" s="304"/>
      <c r="AS495" s="304"/>
      <c r="AT495" s="304"/>
      <c r="AU495" s="304"/>
      <c r="AV495" s="304"/>
      <c r="AW495" s="304"/>
      <c r="AX495" s="304"/>
      <c r="AY495" s="304"/>
      <c r="AZ495" s="304"/>
      <c r="BA495" s="304"/>
      <c r="BB495" s="107"/>
      <c r="BC495" s="107"/>
      <c r="BD495" s="107"/>
      <c r="BE495" s="107"/>
      <c r="BF495" s="107"/>
      <c r="BG495" s="107"/>
      <c r="BH495" s="107"/>
      <c r="BI495" s="107"/>
      <c r="BJ495" s="107"/>
      <c r="BK495" s="107"/>
      <c r="BL495" s="107"/>
      <c r="BM495" s="107"/>
      <c r="BN495" s="107"/>
      <c r="BO495" s="107"/>
      <c r="BP495" s="107"/>
      <c r="BQ495" s="107"/>
      <c r="BR495" s="107"/>
    </row>
    <row r="496" customFormat="false" ht="12.75" hidden="false" customHeight="false" outlineLevel="0" collapsed="false">
      <c r="A496" s="100"/>
      <c r="B496" s="100"/>
      <c r="C496" s="100"/>
      <c r="D496" s="100"/>
      <c r="E496" s="100"/>
      <c r="F496" s="277"/>
      <c r="H496" s="277"/>
      <c r="I496" s="277"/>
      <c r="J496" s="69"/>
      <c r="K496" s="277"/>
      <c r="L496" s="277"/>
      <c r="M496" s="277"/>
      <c r="N496" s="277"/>
      <c r="O496" s="277"/>
      <c r="P496" s="277"/>
      <c r="Q496" s="277"/>
      <c r="R496" s="277"/>
      <c r="T496" s="277"/>
      <c r="U496" s="277"/>
      <c r="W496" s="277"/>
      <c r="Y496" s="107"/>
      <c r="Z496" s="107"/>
      <c r="AA496" s="107"/>
      <c r="AB496" s="107"/>
      <c r="AC496" s="107"/>
      <c r="AD496" s="233"/>
      <c r="AE496" s="107"/>
      <c r="AF496" s="107"/>
      <c r="AG496" s="107"/>
      <c r="AH496" s="107"/>
      <c r="AI496" s="107"/>
      <c r="AJ496" s="107"/>
      <c r="AK496" s="107"/>
      <c r="AL496" s="107"/>
      <c r="AM496" s="304"/>
      <c r="AN496" s="304"/>
      <c r="AO496" s="304"/>
      <c r="AP496" s="304"/>
      <c r="AQ496" s="304"/>
      <c r="AR496" s="304"/>
      <c r="AS496" s="304"/>
      <c r="AT496" s="304"/>
      <c r="AU496" s="304"/>
      <c r="AV496" s="304"/>
      <c r="AW496" s="304"/>
      <c r="AX496" s="304"/>
      <c r="AY496" s="304"/>
      <c r="AZ496" s="304"/>
      <c r="BA496" s="304"/>
      <c r="BB496" s="107"/>
      <c r="BC496" s="107"/>
      <c r="BD496" s="107"/>
      <c r="BE496" s="107"/>
      <c r="BF496" s="107"/>
      <c r="BG496" s="107"/>
      <c r="BH496" s="107"/>
      <c r="BI496" s="107"/>
      <c r="BJ496" s="107"/>
      <c r="BK496" s="107"/>
      <c r="BL496" s="107"/>
      <c r="BM496" s="107"/>
      <c r="BN496" s="107"/>
      <c r="BO496" s="107"/>
      <c r="BP496" s="107"/>
      <c r="BQ496" s="107"/>
      <c r="BR496" s="107"/>
    </row>
    <row r="497" customFormat="false" ht="12.75" hidden="false" customHeight="false" outlineLevel="0" collapsed="false">
      <c r="A497" s="100"/>
      <c r="B497" s="100"/>
      <c r="C497" s="100"/>
      <c r="D497" s="100"/>
      <c r="E497" s="100"/>
      <c r="F497" s="277"/>
      <c r="H497" s="277"/>
      <c r="I497" s="277"/>
      <c r="J497" s="69"/>
      <c r="K497" s="277"/>
      <c r="L497" s="277"/>
      <c r="M497" s="277"/>
      <c r="N497" s="277"/>
      <c r="O497" s="277"/>
      <c r="P497" s="277"/>
      <c r="Q497" s="277"/>
      <c r="R497" s="277"/>
      <c r="T497" s="277"/>
      <c r="U497" s="277"/>
      <c r="W497" s="277"/>
      <c r="Y497" s="107"/>
      <c r="Z497" s="107"/>
      <c r="AA497" s="107"/>
      <c r="AB497" s="107"/>
      <c r="AC497" s="107"/>
      <c r="AD497" s="233"/>
      <c r="AE497" s="107"/>
      <c r="AF497" s="107"/>
      <c r="AG497" s="107"/>
      <c r="AH497" s="107"/>
      <c r="AI497" s="107"/>
      <c r="AJ497" s="107"/>
      <c r="AK497" s="107"/>
      <c r="AL497" s="107"/>
      <c r="AM497" s="304"/>
      <c r="AN497" s="304"/>
      <c r="AO497" s="304"/>
      <c r="AP497" s="304"/>
      <c r="AQ497" s="304"/>
      <c r="AR497" s="304"/>
      <c r="AS497" s="304"/>
      <c r="AT497" s="304"/>
      <c r="AU497" s="304"/>
      <c r="AV497" s="304"/>
      <c r="AW497" s="304"/>
      <c r="AX497" s="304"/>
      <c r="AY497" s="304"/>
      <c r="AZ497" s="304"/>
      <c r="BA497" s="304"/>
      <c r="BB497" s="107"/>
      <c r="BC497" s="107"/>
      <c r="BD497" s="107"/>
      <c r="BE497" s="107"/>
      <c r="BF497" s="107"/>
      <c r="BG497" s="107"/>
      <c r="BH497" s="107"/>
      <c r="BI497" s="107"/>
      <c r="BJ497" s="107"/>
      <c r="BK497" s="107"/>
      <c r="BL497" s="107"/>
      <c r="BM497" s="107"/>
      <c r="BN497" s="107"/>
      <c r="BO497" s="107"/>
      <c r="BP497" s="107"/>
      <c r="BQ497" s="107"/>
      <c r="BR497" s="107"/>
    </row>
    <row r="498" customFormat="false" ht="12.75" hidden="false" customHeight="false" outlineLevel="0" collapsed="false">
      <c r="A498" s="100"/>
      <c r="B498" s="100"/>
      <c r="C498" s="100"/>
      <c r="D498" s="100"/>
      <c r="E498" s="100"/>
      <c r="F498" s="277"/>
      <c r="H498" s="277"/>
      <c r="I498" s="277"/>
      <c r="J498" s="69"/>
      <c r="K498" s="277"/>
      <c r="L498" s="277"/>
      <c r="M498" s="277"/>
      <c r="N498" s="277"/>
      <c r="O498" s="277"/>
      <c r="P498" s="277"/>
      <c r="Q498" s="277"/>
      <c r="R498" s="277"/>
      <c r="T498" s="277"/>
      <c r="U498" s="277"/>
      <c r="W498" s="277"/>
      <c r="Y498" s="107"/>
      <c r="Z498" s="107"/>
      <c r="AA498" s="107"/>
      <c r="AB498" s="107"/>
      <c r="AC498" s="107"/>
      <c r="AD498" s="233"/>
      <c r="AE498" s="107"/>
      <c r="AF498" s="107"/>
      <c r="AG498" s="107"/>
      <c r="AH498" s="107"/>
      <c r="AI498" s="107"/>
      <c r="AJ498" s="107"/>
      <c r="AK498" s="107"/>
      <c r="AL498" s="107"/>
      <c r="AM498" s="304"/>
      <c r="AN498" s="304"/>
      <c r="AO498" s="304"/>
      <c r="AP498" s="304"/>
      <c r="AQ498" s="304"/>
      <c r="AR498" s="304"/>
      <c r="AS498" s="304"/>
      <c r="AT498" s="304"/>
      <c r="AU498" s="304"/>
      <c r="AV498" s="304"/>
      <c r="AW498" s="304"/>
      <c r="AX498" s="304"/>
      <c r="AY498" s="304"/>
      <c r="AZ498" s="304"/>
      <c r="BA498" s="304"/>
      <c r="BB498" s="107"/>
      <c r="BC498" s="107"/>
      <c r="BD498" s="107"/>
      <c r="BE498" s="107"/>
      <c r="BF498" s="107"/>
      <c r="BG498" s="107"/>
      <c r="BH498" s="107"/>
      <c r="BI498" s="107"/>
      <c r="BJ498" s="107"/>
      <c r="BK498" s="107"/>
      <c r="BL498" s="107"/>
      <c r="BM498" s="107"/>
      <c r="BN498" s="107"/>
      <c r="BO498" s="107"/>
      <c r="BP498" s="107"/>
      <c r="BQ498" s="107"/>
      <c r="BR498" s="107"/>
    </row>
    <row r="499" customFormat="false" ht="12.75" hidden="false" customHeight="false" outlineLevel="0" collapsed="false">
      <c r="A499" s="100"/>
      <c r="B499" s="100"/>
      <c r="C499" s="100"/>
      <c r="D499" s="100"/>
      <c r="E499" s="100"/>
      <c r="F499" s="277"/>
      <c r="H499" s="277"/>
      <c r="I499" s="277"/>
      <c r="J499" s="69"/>
      <c r="K499" s="277"/>
      <c r="L499" s="277"/>
      <c r="M499" s="277"/>
      <c r="N499" s="277"/>
      <c r="O499" s="277"/>
      <c r="P499" s="277"/>
      <c r="Q499" s="277"/>
      <c r="R499" s="277"/>
      <c r="T499" s="277"/>
      <c r="U499" s="277"/>
      <c r="W499" s="277"/>
      <c r="Y499" s="107"/>
      <c r="Z499" s="107"/>
      <c r="AA499" s="107"/>
      <c r="AB499" s="107"/>
      <c r="AC499" s="107"/>
      <c r="AD499" s="233"/>
      <c r="AE499" s="107"/>
      <c r="AF499" s="107"/>
      <c r="AG499" s="107"/>
      <c r="AH499" s="107"/>
      <c r="AI499" s="107"/>
      <c r="AJ499" s="107"/>
      <c r="AK499" s="107"/>
      <c r="AL499" s="107"/>
      <c r="AM499" s="304"/>
      <c r="AN499" s="304"/>
      <c r="AO499" s="304"/>
      <c r="AP499" s="304"/>
      <c r="AQ499" s="304"/>
      <c r="AR499" s="304"/>
      <c r="AS499" s="304"/>
      <c r="AT499" s="304"/>
      <c r="AU499" s="304"/>
      <c r="AV499" s="304"/>
      <c r="AW499" s="304"/>
      <c r="AX499" s="304"/>
      <c r="AY499" s="304"/>
      <c r="AZ499" s="304"/>
      <c r="BA499" s="304"/>
      <c r="BB499" s="107"/>
      <c r="BC499" s="107"/>
      <c r="BD499" s="107"/>
      <c r="BE499" s="107"/>
      <c r="BF499" s="107"/>
      <c r="BG499" s="107"/>
      <c r="BH499" s="107"/>
      <c r="BI499" s="107"/>
      <c r="BJ499" s="107"/>
      <c r="BK499" s="107"/>
      <c r="BL499" s="107"/>
      <c r="BM499" s="107"/>
      <c r="BN499" s="107"/>
      <c r="BO499" s="107"/>
      <c r="BP499" s="107"/>
      <c r="BQ499" s="107"/>
      <c r="BR499" s="107"/>
    </row>
    <row r="500" customFormat="false" ht="12.75" hidden="false" customHeight="false" outlineLevel="0" collapsed="false">
      <c r="A500" s="100"/>
      <c r="B500" s="100"/>
      <c r="C500" s="100"/>
      <c r="D500" s="100"/>
      <c r="E500" s="100"/>
      <c r="F500" s="277"/>
      <c r="H500" s="277"/>
      <c r="I500" s="277"/>
      <c r="J500" s="69"/>
      <c r="K500" s="277"/>
      <c r="L500" s="277"/>
      <c r="M500" s="277"/>
      <c r="N500" s="277"/>
      <c r="O500" s="277"/>
      <c r="P500" s="277"/>
      <c r="Q500" s="277"/>
      <c r="R500" s="277"/>
      <c r="T500" s="277"/>
      <c r="U500" s="277"/>
      <c r="W500" s="277"/>
      <c r="Y500" s="107"/>
      <c r="Z500" s="107"/>
      <c r="AA500" s="107"/>
      <c r="AB500" s="107"/>
      <c r="AC500" s="107"/>
      <c r="AD500" s="233"/>
      <c r="AE500" s="107"/>
      <c r="AF500" s="107"/>
      <c r="AG500" s="107"/>
      <c r="AH500" s="107"/>
      <c r="AI500" s="107"/>
      <c r="AJ500" s="107"/>
      <c r="AK500" s="107"/>
      <c r="AL500" s="107"/>
      <c r="AM500" s="304"/>
      <c r="AN500" s="304"/>
      <c r="AO500" s="304"/>
      <c r="AP500" s="304"/>
      <c r="AQ500" s="304"/>
      <c r="AR500" s="304"/>
      <c r="AS500" s="304"/>
      <c r="AT500" s="304"/>
      <c r="AU500" s="304"/>
      <c r="AV500" s="304"/>
      <c r="AW500" s="304"/>
      <c r="AX500" s="304"/>
      <c r="AY500" s="304"/>
      <c r="AZ500" s="304"/>
      <c r="BA500" s="304"/>
      <c r="BB500" s="107"/>
      <c r="BC500" s="107"/>
      <c r="BD500" s="107"/>
      <c r="BE500" s="107"/>
      <c r="BF500" s="107"/>
      <c r="BG500" s="107"/>
      <c r="BH500" s="107"/>
      <c r="BI500" s="107"/>
      <c r="BJ500" s="107"/>
      <c r="BK500" s="107"/>
      <c r="BL500" s="107"/>
      <c r="BM500" s="107"/>
      <c r="BN500" s="107"/>
      <c r="BO500" s="107"/>
      <c r="BP500" s="107"/>
      <c r="BQ500" s="107"/>
      <c r="BR500" s="107"/>
    </row>
    <row r="501" customFormat="false" ht="12.75" hidden="false" customHeight="false" outlineLevel="0" collapsed="false">
      <c r="A501" s="100"/>
      <c r="B501" s="100"/>
      <c r="C501" s="100"/>
      <c r="D501" s="100"/>
      <c r="E501" s="100"/>
      <c r="F501" s="277"/>
      <c r="H501" s="277"/>
      <c r="I501" s="277"/>
      <c r="J501" s="69"/>
      <c r="K501" s="277"/>
      <c r="L501" s="277"/>
      <c r="M501" s="277"/>
      <c r="N501" s="277"/>
      <c r="O501" s="277"/>
      <c r="P501" s="277"/>
      <c r="Q501" s="277"/>
      <c r="R501" s="277"/>
      <c r="T501" s="277"/>
      <c r="U501" s="277"/>
      <c r="W501" s="277"/>
      <c r="Y501" s="107"/>
      <c r="Z501" s="107"/>
      <c r="AA501" s="107"/>
      <c r="AB501" s="107"/>
      <c r="AC501" s="107"/>
      <c r="AD501" s="233"/>
      <c r="AE501" s="107"/>
      <c r="AF501" s="107"/>
      <c r="AG501" s="107"/>
      <c r="AH501" s="107"/>
      <c r="AI501" s="107"/>
      <c r="AJ501" s="107"/>
      <c r="AK501" s="107"/>
      <c r="AL501" s="107"/>
      <c r="AM501" s="304"/>
      <c r="AN501" s="304"/>
      <c r="AO501" s="304"/>
      <c r="AP501" s="304"/>
      <c r="AQ501" s="304"/>
      <c r="AR501" s="304"/>
      <c r="AS501" s="304"/>
      <c r="AT501" s="304"/>
      <c r="AU501" s="304"/>
      <c r="AV501" s="304"/>
      <c r="AW501" s="304"/>
      <c r="AX501" s="304"/>
      <c r="AY501" s="304"/>
      <c r="AZ501" s="304"/>
      <c r="BA501" s="304"/>
      <c r="BB501" s="107"/>
      <c r="BC501" s="107"/>
      <c r="BD501" s="107"/>
      <c r="BE501" s="107"/>
      <c r="BF501" s="107"/>
      <c r="BG501" s="107"/>
      <c r="BH501" s="107"/>
      <c r="BI501" s="107"/>
      <c r="BJ501" s="107"/>
      <c r="BK501" s="107"/>
      <c r="BL501" s="107"/>
      <c r="BM501" s="107"/>
      <c r="BN501" s="107"/>
      <c r="BO501" s="107"/>
      <c r="BP501" s="107"/>
      <c r="BQ501" s="107"/>
      <c r="BR501" s="107"/>
    </row>
    <row r="502" customFormat="false" ht="12.75" hidden="false" customHeight="false" outlineLevel="0" collapsed="false">
      <c r="A502" s="100"/>
      <c r="B502" s="100"/>
      <c r="C502" s="100"/>
      <c r="D502" s="100"/>
      <c r="E502" s="100"/>
      <c r="F502" s="277"/>
      <c r="H502" s="277"/>
      <c r="I502" s="277"/>
      <c r="J502" s="69"/>
      <c r="K502" s="277"/>
      <c r="L502" s="277"/>
      <c r="M502" s="277"/>
      <c r="N502" s="277"/>
      <c r="O502" s="277"/>
      <c r="P502" s="277"/>
      <c r="Q502" s="277"/>
      <c r="R502" s="277"/>
      <c r="T502" s="277"/>
      <c r="U502" s="277"/>
      <c r="W502" s="277"/>
      <c r="Y502" s="107"/>
      <c r="Z502" s="107"/>
      <c r="AA502" s="107"/>
      <c r="AB502" s="107"/>
      <c r="AC502" s="107"/>
      <c r="AD502" s="233"/>
      <c r="AE502" s="107"/>
      <c r="AF502" s="107"/>
      <c r="AG502" s="107"/>
      <c r="AH502" s="107"/>
      <c r="AI502" s="107"/>
      <c r="AJ502" s="107"/>
      <c r="AK502" s="107"/>
      <c r="AL502" s="107"/>
      <c r="AM502" s="304"/>
      <c r="AN502" s="304"/>
      <c r="AO502" s="304"/>
      <c r="AP502" s="304"/>
      <c r="AQ502" s="304"/>
      <c r="AR502" s="304"/>
      <c r="AS502" s="304"/>
      <c r="AT502" s="304"/>
      <c r="AU502" s="304"/>
      <c r="AV502" s="304"/>
      <c r="AW502" s="304"/>
      <c r="AX502" s="304"/>
      <c r="AY502" s="304"/>
      <c r="AZ502" s="304"/>
      <c r="BA502" s="304"/>
      <c r="BB502" s="107"/>
      <c r="BC502" s="107"/>
      <c r="BD502" s="107"/>
      <c r="BE502" s="107"/>
      <c r="BF502" s="107"/>
      <c r="BG502" s="107"/>
      <c r="BH502" s="107"/>
      <c r="BI502" s="107"/>
      <c r="BJ502" s="107"/>
      <c r="BK502" s="107"/>
      <c r="BL502" s="107"/>
      <c r="BM502" s="107"/>
      <c r="BN502" s="107"/>
      <c r="BO502" s="107"/>
      <c r="BP502" s="107"/>
      <c r="BQ502" s="107"/>
      <c r="BR502" s="107"/>
    </row>
    <row r="503" customFormat="false" ht="12.75" hidden="false" customHeight="false" outlineLevel="0" collapsed="false">
      <c r="A503" s="100"/>
      <c r="B503" s="100"/>
      <c r="C503" s="100"/>
      <c r="D503" s="100"/>
      <c r="E503" s="100"/>
      <c r="F503" s="277"/>
      <c r="H503" s="277"/>
      <c r="I503" s="277"/>
      <c r="J503" s="69"/>
      <c r="K503" s="277"/>
      <c r="L503" s="277"/>
      <c r="M503" s="277"/>
      <c r="N503" s="277"/>
      <c r="O503" s="277"/>
      <c r="P503" s="277"/>
      <c r="Q503" s="277"/>
      <c r="R503" s="277"/>
      <c r="T503" s="277"/>
      <c r="U503" s="277"/>
      <c r="W503" s="277"/>
      <c r="Y503" s="107"/>
      <c r="Z503" s="107"/>
      <c r="AA503" s="107"/>
      <c r="AB503" s="107"/>
      <c r="AC503" s="107"/>
      <c r="AD503" s="233"/>
      <c r="AE503" s="107"/>
      <c r="AF503" s="107"/>
      <c r="AG503" s="107"/>
      <c r="AH503" s="107"/>
      <c r="AI503" s="107"/>
      <c r="AJ503" s="107"/>
      <c r="AK503" s="107"/>
      <c r="AL503" s="107"/>
      <c r="AM503" s="304"/>
      <c r="AN503" s="304"/>
      <c r="AO503" s="304"/>
      <c r="AP503" s="304"/>
      <c r="AQ503" s="304"/>
      <c r="AR503" s="304"/>
      <c r="AS503" s="304"/>
      <c r="AT503" s="304"/>
      <c r="AU503" s="304"/>
      <c r="AV503" s="304"/>
      <c r="AW503" s="304"/>
      <c r="AX503" s="304"/>
      <c r="AY503" s="304"/>
      <c r="AZ503" s="304"/>
      <c r="BA503" s="304"/>
      <c r="BB503" s="107"/>
      <c r="BC503" s="107"/>
      <c r="BD503" s="107"/>
      <c r="BE503" s="107"/>
      <c r="BF503" s="107"/>
      <c r="BG503" s="107"/>
      <c r="BH503" s="107"/>
      <c r="BI503" s="107"/>
      <c r="BJ503" s="107"/>
      <c r="BK503" s="107"/>
      <c r="BL503" s="107"/>
      <c r="BM503" s="107"/>
      <c r="BN503" s="107"/>
      <c r="BO503" s="107"/>
      <c r="BP503" s="107"/>
      <c r="BQ503" s="107"/>
      <c r="BR503" s="107"/>
    </row>
    <row r="504" customFormat="false" ht="12.75" hidden="false" customHeight="false" outlineLevel="0" collapsed="false">
      <c r="A504" s="100"/>
      <c r="B504" s="100"/>
      <c r="C504" s="100"/>
      <c r="D504" s="100"/>
      <c r="E504" s="100"/>
      <c r="F504" s="277"/>
      <c r="H504" s="277"/>
      <c r="I504" s="277"/>
      <c r="J504" s="69"/>
      <c r="K504" s="277"/>
      <c r="L504" s="277"/>
      <c r="M504" s="277"/>
      <c r="N504" s="277"/>
      <c r="O504" s="277"/>
      <c r="P504" s="277"/>
      <c r="Q504" s="277"/>
      <c r="R504" s="277"/>
      <c r="T504" s="277"/>
      <c r="U504" s="277"/>
      <c r="W504" s="277"/>
      <c r="Y504" s="107"/>
      <c r="Z504" s="107"/>
      <c r="AA504" s="107"/>
      <c r="AB504" s="107"/>
      <c r="AC504" s="107"/>
      <c r="AD504" s="233"/>
      <c r="AE504" s="107"/>
      <c r="AF504" s="107"/>
      <c r="AG504" s="107"/>
      <c r="AH504" s="107"/>
      <c r="AI504" s="107"/>
      <c r="AJ504" s="107"/>
      <c r="AK504" s="107"/>
      <c r="AL504" s="107"/>
      <c r="AM504" s="304"/>
      <c r="AN504" s="304"/>
      <c r="AO504" s="304"/>
      <c r="AP504" s="304"/>
      <c r="AQ504" s="304"/>
      <c r="AR504" s="304"/>
      <c r="AS504" s="304"/>
      <c r="AT504" s="304"/>
      <c r="AU504" s="304"/>
      <c r="AV504" s="304"/>
      <c r="AW504" s="304"/>
      <c r="AX504" s="304"/>
      <c r="AY504" s="304"/>
      <c r="AZ504" s="304"/>
      <c r="BA504" s="304"/>
      <c r="BB504" s="107"/>
      <c r="BC504" s="107"/>
      <c r="BD504" s="107"/>
      <c r="BE504" s="107"/>
      <c r="BF504" s="107"/>
      <c r="BG504" s="107"/>
      <c r="BH504" s="107"/>
      <c r="BI504" s="107"/>
      <c r="BJ504" s="107"/>
      <c r="BK504" s="107"/>
      <c r="BL504" s="107"/>
      <c r="BM504" s="107"/>
      <c r="BN504" s="107"/>
      <c r="BO504" s="107"/>
      <c r="BP504" s="107"/>
      <c r="BQ504" s="107"/>
      <c r="BR504" s="107"/>
    </row>
    <row r="505" customFormat="false" ht="12.75" hidden="false" customHeight="false" outlineLevel="0" collapsed="false">
      <c r="A505" s="100"/>
      <c r="B505" s="100"/>
      <c r="C505" s="100"/>
      <c r="D505" s="100"/>
      <c r="E505" s="100"/>
      <c r="F505" s="277"/>
      <c r="H505" s="277"/>
      <c r="I505" s="277"/>
      <c r="J505" s="69"/>
      <c r="K505" s="277"/>
      <c r="L505" s="277"/>
      <c r="M505" s="277"/>
      <c r="N505" s="277"/>
      <c r="O505" s="277"/>
      <c r="P505" s="277"/>
      <c r="Q505" s="277"/>
      <c r="R505" s="277"/>
      <c r="T505" s="277"/>
      <c r="U505" s="277"/>
      <c r="W505" s="277"/>
      <c r="Y505" s="107"/>
      <c r="Z505" s="107"/>
      <c r="AA505" s="107"/>
      <c r="AB505" s="107"/>
      <c r="AC505" s="107"/>
      <c r="AD505" s="233"/>
      <c r="AE505" s="107"/>
      <c r="AF505" s="107"/>
      <c r="AG505" s="107"/>
      <c r="AH505" s="107"/>
      <c r="AI505" s="107"/>
      <c r="AJ505" s="107"/>
      <c r="AK505" s="107"/>
      <c r="AL505" s="107"/>
      <c r="AM505" s="304"/>
      <c r="AN505" s="304"/>
      <c r="AO505" s="304"/>
      <c r="AP505" s="304"/>
      <c r="AQ505" s="304"/>
      <c r="AR505" s="304"/>
      <c r="AS505" s="304"/>
      <c r="AT505" s="304"/>
      <c r="AU505" s="304"/>
      <c r="AV505" s="304"/>
      <c r="AW505" s="304"/>
      <c r="AX505" s="304"/>
      <c r="AY505" s="304"/>
      <c r="AZ505" s="304"/>
      <c r="BA505" s="304"/>
      <c r="BB505" s="107"/>
      <c r="BC505" s="107"/>
      <c r="BD505" s="107"/>
      <c r="BE505" s="107"/>
      <c r="BF505" s="107"/>
      <c r="BG505" s="107"/>
      <c r="BH505" s="107"/>
      <c r="BI505" s="107"/>
      <c r="BJ505" s="107"/>
      <c r="BK505" s="107"/>
      <c r="BL505" s="107"/>
      <c r="BM505" s="107"/>
      <c r="BN505" s="107"/>
      <c r="BO505" s="107"/>
      <c r="BP505" s="107"/>
      <c r="BQ505" s="107"/>
      <c r="BR505" s="107"/>
    </row>
    <row r="506" customFormat="false" ht="12.75" hidden="false" customHeight="false" outlineLevel="0" collapsed="false">
      <c r="A506" s="100"/>
      <c r="B506" s="100"/>
      <c r="C506" s="100"/>
      <c r="D506" s="100"/>
      <c r="E506" s="100"/>
      <c r="F506" s="277"/>
      <c r="H506" s="277"/>
      <c r="I506" s="277"/>
      <c r="J506" s="69"/>
      <c r="K506" s="277"/>
      <c r="L506" s="277"/>
      <c r="M506" s="277"/>
      <c r="N506" s="277"/>
      <c r="O506" s="277"/>
      <c r="P506" s="277"/>
      <c r="Q506" s="277"/>
      <c r="R506" s="277"/>
      <c r="T506" s="277"/>
      <c r="U506" s="277"/>
      <c r="W506" s="277"/>
      <c r="Y506" s="107"/>
      <c r="Z506" s="107"/>
      <c r="AA506" s="107"/>
      <c r="AB506" s="107"/>
      <c r="AC506" s="107"/>
      <c r="AD506" s="233"/>
      <c r="AE506" s="107"/>
      <c r="AF506" s="107"/>
      <c r="AG506" s="107"/>
      <c r="AH506" s="107"/>
      <c r="AI506" s="107"/>
      <c r="AJ506" s="107"/>
      <c r="AK506" s="107"/>
      <c r="AL506" s="107"/>
      <c r="AM506" s="304"/>
      <c r="AN506" s="304"/>
      <c r="AO506" s="304"/>
      <c r="AP506" s="304"/>
      <c r="AQ506" s="304"/>
      <c r="AR506" s="304"/>
      <c r="AS506" s="304"/>
      <c r="AT506" s="304"/>
      <c r="AU506" s="304"/>
      <c r="AV506" s="304"/>
      <c r="AW506" s="304"/>
      <c r="AX506" s="304"/>
      <c r="AY506" s="304"/>
      <c r="AZ506" s="304"/>
      <c r="BA506" s="304"/>
      <c r="BB506" s="107"/>
      <c r="BC506" s="107"/>
      <c r="BD506" s="107"/>
      <c r="BE506" s="107"/>
      <c r="BF506" s="107"/>
      <c r="BG506" s="107"/>
      <c r="BH506" s="107"/>
      <c r="BI506" s="107"/>
      <c r="BJ506" s="107"/>
      <c r="BK506" s="107"/>
      <c r="BL506" s="107"/>
      <c r="BM506" s="107"/>
      <c r="BN506" s="107"/>
      <c r="BO506" s="107"/>
      <c r="BP506" s="107"/>
      <c r="BQ506" s="107"/>
      <c r="BR506" s="107"/>
    </row>
    <row r="507" customFormat="false" ht="12.75" hidden="false" customHeight="false" outlineLevel="0" collapsed="false">
      <c r="A507" s="100"/>
      <c r="B507" s="100"/>
      <c r="C507" s="100"/>
      <c r="D507" s="100"/>
      <c r="E507" s="100"/>
      <c r="F507" s="277"/>
      <c r="H507" s="277"/>
      <c r="I507" s="277"/>
      <c r="J507" s="69"/>
      <c r="K507" s="277"/>
      <c r="L507" s="277"/>
      <c r="M507" s="277"/>
      <c r="N507" s="277"/>
      <c r="O507" s="277"/>
      <c r="P507" s="277"/>
      <c r="Q507" s="277"/>
      <c r="R507" s="277"/>
      <c r="T507" s="277"/>
      <c r="U507" s="277"/>
      <c r="W507" s="277"/>
      <c r="Y507" s="107"/>
      <c r="Z507" s="107"/>
      <c r="AA507" s="107"/>
      <c r="AB507" s="107"/>
      <c r="AC507" s="107"/>
      <c r="AD507" s="233"/>
      <c r="AE507" s="107"/>
      <c r="AF507" s="107"/>
      <c r="AG507" s="107"/>
      <c r="AH507" s="107"/>
      <c r="AI507" s="107"/>
      <c r="AJ507" s="107"/>
      <c r="AK507" s="107"/>
      <c r="AL507" s="107"/>
      <c r="AM507" s="304"/>
      <c r="AN507" s="304"/>
      <c r="AO507" s="304"/>
      <c r="AP507" s="304"/>
      <c r="AQ507" s="304"/>
      <c r="AR507" s="304"/>
      <c r="AS507" s="304"/>
      <c r="AT507" s="304"/>
      <c r="AU507" s="304"/>
      <c r="AV507" s="304"/>
      <c r="AW507" s="304"/>
      <c r="AX507" s="304"/>
      <c r="AY507" s="304"/>
      <c r="AZ507" s="304"/>
      <c r="BA507" s="304"/>
      <c r="BB507" s="107"/>
      <c r="BC507" s="107"/>
      <c r="BD507" s="107"/>
      <c r="BE507" s="107"/>
      <c r="BF507" s="107"/>
      <c r="BG507" s="107"/>
      <c r="BH507" s="107"/>
      <c r="BI507" s="107"/>
      <c r="BJ507" s="107"/>
      <c r="BK507" s="107"/>
      <c r="BL507" s="107"/>
      <c r="BM507" s="107"/>
      <c r="BN507" s="107"/>
      <c r="BO507" s="107"/>
      <c r="BP507" s="107"/>
      <c r="BQ507" s="107"/>
      <c r="BR507" s="107"/>
    </row>
    <row r="508" customFormat="false" ht="12.75" hidden="false" customHeight="false" outlineLevel="0" collapsed="false">
      <c r="A508" s="100"/>
      <c r="B508" s="100"/>
      <c r="C508" s="100"/>
      <c r="D508" s="100"/>
      <c r="E508" s="100"/>
      <c r="F508" s="277"/>
      <c r="H508" s="277"/>
      <c r="I508" s="277"/>
      <c r="J508" s="69"/>
      <c r="K508" s="277"/>
      <c r="L508" s="277"/>
      <c r="M508" s="277"/>
      <c r="N508" s="277"/>
      <c r="O508" s="277"/>
      <c r="P508" s="277"/>
      <c r="Q508" s="277"/>
      <c r="R508" s="277"/>
      <c r="T508" s="277"/>
      <c r="U508" s="277"/>
      <c r="W508" s="277"/>
      <c r="Y508" s="107"/>
      <c r="Z508" s="107"/>
      <c r="AA508" s="107"/>
      <c r="AB508" s="107"/>
      <c r="AC508" s="107"/>
      <c r="AD508" s="233"/>
      <c r="AE508" s="107"/>
      <c r="AF508" s="107"/>
      <c r="AG508" s="107"/>
      <c r="AH508" s="107"/>
      <c r="AI508" s="107"/>
      <c r="AJ508" s="107"/>
      <c r="AK508" s="107"/>
      <c r="AL508" s="107"/>
      <c r="AM508" s="304"/>
      <c r="AN508" s="304"/>
      <c r="AO508" s="304"/>
      <c r="AP508" s="304"/>
      <c r="AQ508" s="304"/>
      <c r="AR508" s="304"/>
      <c r="AS508" s="304"/>
      <c r="AT508" s="304"/>
      <c r="AU508" s="304"/>
      <c r="AV508" s="304"/>
      <c r="AW508" s="304"/>
      <c r="AX508" s="304"/>
      <c r="AY508" s="304"/>
      <c r="AZ508" s="304"/>
      <c r="BA508" s="304"/>
      <c r="BB508" s="107"/>
      <c r="BC508" s="107"/>
      <c r="BD508" s="107"/>
      <c r="BE508" s="107"/>
      <c r="BF508" s="107"/>
      <c r="BG508" s="107"/>
      <c r="BH508" s="107"/>
      <c r="BI508" s="107"/>
      <c r="BJ508" s="107"/>
      <c r="BK508" s="107"/>
      <c r="BL508" s="107"/>
      <c r="BM508" s="107"/>
      <c r="BN508" s="107"/>
      <c r="BO508" s="107"/>
      <c r="BP508" s="107"/>
      <c r="BQ508" s="107"/>
      <c r="BR508" s="107"/>
    </row>
    <row r="509" customFormat="false" ht="12.75" hidden="false" customHeight="false" outlineLevel="0" collapsed="false">
      <c r="A509" s="100"/>
      <c r="B509" s="100"/>
      <c r="C509" s="100"/>
      <c r="D509" s="100"/>
      <c r="E509" s="100"/>
      <c r="F509" s="277"/>
      <c r="H509" s="277"/>
      <c r="I509" s="277"/>
      <c r="J509" s="69"/>
      <c r="K509" s="277"/>
      <c r="L509" s="277"/>
      <c r="M509" s="277"/>
      <c r="N509" s="277"/>
      <c r="O509" s="277"/>
      <c r="P509" s="277"/>
      <c r="Q509" s="277"/>
      <c r="R509" s="277"/>
      <c r="T509" s="277"/>
      <c r="U509" s="277"/>
      <c r="W509" s="277"/>
      <c r="Y509" s="107"/>
      <c r="Z509" s="107"/>
      <c r="AA509" s="107"/>
      <c r="AB509" s="107"/>
      <c r="AC509" s="107"/>
      <c r="AD509" s="233"/>
      <c r="AE509" s="107"/>
      <c r="AF509" s="107"/>
      <c r="AG509" s="107"/>
      <c r="AH509" s="107"/>
      <c r="AI509" s="107"/>
      <c r="AJ509" s="107"/>
      <c r="AK509" s="107"/>
      <c r="AL509" s="107"/>
      <c r="AM509" s="304"/>
      <c r="AN509" s="304"/>
      <c r="AO509" s="304"/>
      <c r="AP509" s="304"/>
      <c r="AQ509" s="304"/>
      <c r="AR509" s="304"/>
      <c r="AS509" s="304"/>
      <c r="AT509" s="304"/>
      <c r="AU509" s="304"/>
      <c r="AV509" s="304"/>
      <c r="AW509" s="304"/>
      <c r="AX509" s="304"/>
      <c r="AY509" s="304"/>
      <c r="AZ509" s="304"/>
      <c r="BA509" s="304"/>
      <c r="BB509" s="107"/>
      <c r="BC509" s="107"/>
      <c r="BD509" s="107"/>
      <c r="BE509" s="107"/>
      <c r="BF509" s="107"/>
      <c r="BG509" s="107"/>
      <c r="BH509" s="107"/>
      <c r="BI509" s="107"/>
      <c r="BJ509" s="107"/>
      <c r="BK509" s="107"/>
      <c r="BL509" s="107"/>
      <c r="BM509" s="107"/>
      <c r="BN509" s="107"/>
      <c r="BO509" s="107"/>
      <c r="BP509" s="107"/>
      <c r="BQ509" s="107"/>
      <c r="BR509" s="107"/>
    </row>
    <row r="510" customFormat="false" ht="12.75" hidden="false" customHeight="false" outlineLevel="0" collapsed="false">
      <c r="A510" s="100"/>
      <c r="B510" s="100"/>
      <c r="C510" s="100"/>
      <c r="D510" s="100"/>
      <c r="E510" s="100"/>
      <c r="F510" s="277"/>
      <c r="H510" s="277"/>
      <c r="I510" s="277"/>
      <c r="J510" s="69"/>
      <c r="K510" s="277"/>
      <c r="L510" s="277"/>
      <c r="M510" s="277"/>
      <c r="N510" s="277"/>
      <c r="O510" s="277"/>
      <c r="P510" s="277"/>
      <c r="Q510" s="277"/>
      <c r="R510" s="277"/>
      <c r="T510" s="277"/>
      <c r="U510" s="277"/>
      <c r="W510" s="277"/>
      <c r="Y510" s="107"/>
      <c r="Z510" s="107"/>
      <c r="AA510" s="107"/>
      <c r="AB510" s="107"/>
      <c r="AC510" s="107"/>
      <c r="AD510" s="233"/>
      <c r="AE510" s="107"/>
      <c r="AF510" s="107"/>
      <c r="AG510" s="107"/>
      <c r="AH510" s="107"/>
      <c r="AI510" s="107"/>
      <c r="AJ510" s="107"/>
      <c r="AK510" s="107"/>
      <c r="AL510" s="107"/>
      <c r="AM510" s="304"/>
      <c r="AN510" s="304"/>
      <c r="AO510" s="304"/>
      <c r="AP510" s="304"/>
      <c r="AQ510" s="304"/>
      <c r="AR510" s="304"/>
      <c r="AS510" s="304"/>
      <c r="AT510" s="304"/>
      <c r="AU510" s="304"/>
      <c r="AV510" s="304"/>
      <c r="AW510" s="304"/>
      <c r="AX510" s="304"/>
      <c r="AY510" s="304"/>
      <c r="AZ510" s="304"/>
      <c r="BA510" s="304"/>
      <c r="BB510" s="107"/>
      <c r="BC510" s="107"/>
      <c r="BD510" s="107"/>
      <c r="BE510" s="107"/>
      <c r="BF510" s="107"/>
      <c r="BG510" s="107"/>
      <c r="BH510" s="107"/>
      <c r="BI510" s="107"/>
      <c r="BJ510" s="107"/>
      <c r="BK510" s="107"/>
      <c r="BL510" s="107"/>
      <c r="BM510" s="107"/>
      <c r="BN510" s="107"/>
      <c r="BO510" s="107"/>
      <c r="BP510" s="107"/>
      <c r="BQ510" s="107"/>
      <c r="BR510" s="107"/>
    </row>
    <row r="511" customFormat="false" ht="12.75" hidden="false" customHeight="false" outlineLevel="0" collapsed="false">
      <c r="A511" s="100"/>
      <c r="B511" s="100"/>
      <c r="C511" s="100"/>
      <c r="D511" s="100"/>
      <c r="E511" s="100"/>
      <c r="F511" s="277"/>
      <c r="H511" s="277"/>
      <c r="I511" s="277"/>
      <c r="J511" s="69"/>
      <c r="K511" s="277"/>
      <c r="L511" s="277"/>
      <c r="M511" s="277"/>
      <c r="N511" s="277"/>
      <c r="O511" s="277"/>
      <c r="P511" s="277"/>
      <c r="Q511" s="277"/>
      <c r="R511" s="277"/>
      <c r="T511" s="277"/>
      <c r="U511" s="277"/>
      <c r="W511" s="277"/>
      <c r="Y511" s="107"/>
      <c r="Z511" s="107"/>
      <c r="AA511" s="107"/>
      <c r="AB511" s="107"/>
      <c r="AC511" s="107"/>
      <c r="AD511" s="233"/>
      <c r="AE511" s="107"/>
      <c r="AF511" s="107"/>
      <c r="AG511" s="107"/>
      <c r="AH511" s="107"/>
      <c r="AI511" s="107"/>
      <c r="AJ511" s="107"/>
      <c r="AK511" s="107"/>
      <c r="AL511" s="107"/>
      <c r="AM511" s="304"/>
      <c r="AN511" s="304"/>
      <c r="AO511" s="304"/>
      <c r="AP511" s="304"/>
      <c r="AQ511" s="304"/>
      <c r="AR511" s="304"/>
      <c r="AS511" s="304"/>
      <c r="AT511" s="304"/>
      <c r="AU511" s="304"/>
      <c r="AV511" s="304"/>
      <c r="AW511" s="304"/>
      <c r="AX511" s="304"/>
      <c r="AY511" s="304"/>
      <c r="AZ511" s="304"/>
      <c r="BA511" s="304"/>
      <c r="BB511" s="107"/>
      <c r="BC511" s="107"/>
      <c r="BD511" s="107"/>
      <c r="BE511" s="107"/>
      <c r="BF511" s="107"/>
      <c r="BG511" s="107"/>
      <c r="BH511" s="107"/>
      <c r="BI511" s="107"/>
      <c r="BJ511" s="107"/>
      <c r="BK511" s="107"/>
      <c r="BL511" s="107"/>
      <c r="BM511" s="107"/>
      <c r="BN511" s="107"/>
      <c r="BO511" s="107"/>
      <c r="BP511" s="107"/>
      <c r="BQ511" s="107"/>
      <c r="BR511" s="107"/>
    </row>
    <row r="512" customFormat="false" ht="12.75" hidden="false" customHeight="false" outlineLevel="0" collapsed="false">
      <c r="A512" s="100"/>
      <c r="B512" s="100"/>
      <c r="C512" s="100"/>
      <c r="D512" s="100"/>
      <c r="E512" s="100"/>
      <c r="F512" s="277"/>
      <c r="H512" s="277"/>
      <c r="I512" s="277"/>
      <c r="J512" s="69"/>
      <c r="K512" s="277"/>
      <c r="L512" s="277"/>
      <c r="M512" s="277"/>
      <c r="N512" s="277"/>
      <c r="O512" s="277"/>
      <c r="P512" s="277"/>
      <c r="Q512" s="277"/>
      <c r="R512" s="277"/>
      <c r="T512" s="277"/>
      <c r="U512" s="277"/>
      <c r="W512" s="277"/>
      <c r="Y512" s="107"/>
      <c r="Z512" s="107"/>
      <c r="AA512" s="107"/>
      <c r="AB512" s="107"/>
      <c r="AC512" s="107"/>
      <c r="AD512" s="233"/>
      <c r="AE512" s="107"/>
      <c r="AF512" s="107"/>
      <c r="AG512" s="107"/>
      <c r="AH512" s="107"/>
      <c r="AI512" s="107"/>
      <c r="AJ512" s="107"/>
      <c r="AK512" s="107"/>
      <c r="AL512" s="107"/>
      <c r="AM512" s="304"/>
      <c r="AN512" s="304"/>
      <c r="AO512" s="304"/>
      <c r="AP512" s="304"/>
      <c r="AQ512" s="304"/>
      <c r="AR512" s="304"/>
      <c r="AS512" s="304"/>
      <c r="AT512" s="304"/>
      <c r="AU512" s="304"/>
      <c r="AV512" s="304"/>
      <c r="AW512" s="304"/>
      <c r="AX512" s="304"/>
      <c r="AY512" s="304"/>
      <c r="AZ512" s="304"/>
      <c r="BA512" s="304"/>
      <c r="BB512" s="107"/>
      <c r="BC512" s="107"/>
      <c r="BD512" s="107"/>
      <c r="BE512" s="107"/>
      <c r="BF512" s="107"/>
      <c r="BG512" s="107"/>
      <c r="BH512" s="107"/>
      <c r="BI512" s="107"/>
      <c r="BJ512" s="107"/>
      <c r="BK512" s="107"/>
      <c r="BL512" s="107"/>
      <c r="BM512" s="107"/>
      <c r="BN512" s="107"/>
      <c r="BO512" s="107"/>
      <c r="BP512" s="107"/>
      <c r="BQ512" s="107"/>
      <c r="BR512" s="107"/>
    </row>
    <row r="513" customFormat="false" ht="12.75" hidden="false" customHeight="false" outlineLevel="0" collapsed="false">
      <c r="A513" s="100"/>
      <c r="B513" s="100"/>
      <c r="C513" s="100"/>
      <c r="D513" s="100"/>
      <c r="E513" s="100"/>
      <c r="F513" s="277"/>
      <c r="H513" s="277"/>
      <c r="I513" s="277"/>
      <c r="J513" s="69"/>
      <c r="K513" s="277"/>
      <c r="L513" s="277"/>
      <c r="M513" s="277"/>
      <c r="N513" s="277"/>
      <c r="O513" s="277"/>
      <c r="P513" s="277"/>
      <c r="Q513" s="277"/>
      <c r="R513" s="277"/>
      <c r="T513" s="277"/>
      <c r="U513" s="277"/>
      <c r="W513" s="277"/>
      <c r="Y513" s="107"/>
      <c r="Z513" s="107"/>
      <c r="AA513" s="107"/>
      <c r="AB513" s="107"/>
      <c r="AC513" s="107"/>
      <c r="AD513" s="233"/>
      <c r="AE513" s="107"/>
      <c r="AF513" s="107"/>
      <c r="AG513" s="107"/>
      <c r="AH513" s="107"/>
      <c r="AI513" s="107"/>
      <c r="AJ513" s="107"/>
      <c r="AK513" s="107"/>
      <c r="AL513" s="107"/>
      <c r="AM513" s="304"/>
      <c r="AN513" s="304"/>
      <c r="AO513" s="304"/>
      <c r="AP513" s="304"/>
      <c r="AQ513" s="304"/>
      <c r="AR513" s="304"/>
      <c r="AS513" s="304"/>
      <c r="AT513" s="304"/>
      <c r="AU513" s="304"/>
      <c r="AV513" s="304"/>
      <c r="AW513" s="304"/>
      <c r="AX513" s="304"/>
      <c r="AY513" s="304"/>
      <c r="AZ513" s="304"/>
      <c r="BA513" s="304"/>
      <c r="BB513" s="107"/>
      <c r="BC513" s="107"/>
      <c r="BD513" s="107"/>
      <c r="BE513" s="107"/>
      <c r="BF513" s="107"/>
      <c r="BG513" s="107"/>
      <c r="BH513" s="107"/>
      <c r="BI513" s="107"/>
      <c r="BJ513" s="107"/>
      <c r="BK513" s="107"/>
      <c r="BL513" s="107"/>
      <c r="BM513" s="107"/>
      <c r="BN513" s="107"/>
      <c r="BO513" s="107"/>
      <c r="BP513" s="107"/>
      <c r="BQ513" s="107"/>
      <c r="BR513" s="107"/>
    </row>
    <row r="514" customFormat="false" ht="12.75" hidden="false" customHeight="false" outlineLevel="0" collapsed="false">
      <c r="A514" s="100"/>
      <c r="B514" s="100"/>
      <c r="C514" s="100"/>
      <c r="D514" s="100"/>
      <c r="E514" s="100"/>
      <c r="F514" s="277"/>
      <c r="H514" s="277"/>
      <c r="I514" s="277"/>
      <c r="J514" s="69"/>
      <c r="K514" s="277"/>
      <c r="L514" s="277"/>
      <c r="M514" s="277"/>
      <c r="N514" s="277"/>
      <c r="O514" s="277"/>
      <c r="P514" s="277"/>
      <c r="Q514" s="277"/>
      <c r="R514" s="277"/>
      <c r="T514" s="277"/>
      <c r="U514" s="277"/>
      <c r="W514" s="277"/>
      <c r="Y514" s="107"/>
      <c r="Z514" s="107"/>
      <c r="AA514" s="107"/>
      <c r="AB514" s="107"/>
      <c r="AC514" s="107"/>
      <c r="AD514" s="233"/>
      <c r="AE514" s="107"/>
      <c r="AF514" s="107"/>
      <c r="AG514" s="107"/>
      <c r="AH514" s="107"/>
      <c r="AI514" s="107"/>
      <c r="AJ514" s="107"/>
      <c r="AK514" s="107"/>
      <c r="AL514" s="107"/>
      <c r="AM514" s="304"/>
      <c r="AN514" s="304"/>
      <c r="AO514" s="304"/>
      <c r="AP514" s="304"/>
      <c r="AQ514" s="304"/>
      <c r="AR514" s="304"/>
      <c r="AS514" s="304"/>
      <c r="AT514" s="304"/>
      <c r="AU514" s="304"/>
      <c r="AV514" s="304"/>
      <c r="AW514" s="304"/>
      <c r="AX514" s="304"/>
      <c r="AY514" s="304"/>
      <c r="AZ514" s="304"/>
      <c r="BA514" s="304"/>
      <c r="BB514" s="107"/>
      <c r="BC514" s="107"/>
      <c r="BD514" s="107"/>
      <c r="BE514" s="107"/>
      <c r="BF514" s="107"/>
      <c r="BG514" s="107"/>
      <c r="BH514" s="107"/>
      <c r="BI514" s="107"/>
      <c r="BJ514" s="107"/>
      <c r="BK514" s="107"/>
      <c r="BL514" s="107"/>
      <c r="BM514" s="107"/>
      <c r="BN514" s="107"/>
      <c r="BO514" s="107"/>
      <c r="BP514" s="107"/>
      <c r="BQ514" s="107"/>
      <c r="BR514" s="107"/>
    </row>
    <row r="515" customFormat="false" ht="12.75" hidden="false" customHeight="false" outlineLevel="0" collapsed="false">
      <c r="A515" s="100"/>
      <c r="B515" s="100"/>
      <c r="C515" s="100"/>
      <c r="D515" s="100"/>
      <c r="E515" s="100"/>
      <c r="F515" s="277"/>
      <c r="H515" s="277"/>
      <c r="I515" s="277"/>
      <c r="J515" s="69"/>
      <c r="K515" s="277"/>
      <c r="L515" s="277"/>
      <c r="M515" s="277"/>
      <c r="N515" s="277"/>
      <c r="O515" s="277"/>
      <c r="P515" s="277"/>
      <c r="Q515" s="277"/>
      <c r="R515" s="277"/>
      <c r="T515" s="277"/>
      <c r="U515" s="277"/>
      <c r="W515" s="277"/>
      <c r="Y515" s="107"/>
      <c r="Z515" s="107"/>
      <c r="AA515" s="107"/>
      <c r="AB515" s="107"/>
      <c r="AC515" s="107"/>
      <c r="AD515" s="233"/>
      <c r="AE515" s="107"/>
      <c r="AF515" s="107"/>
      <c r="AG515" s="107"/>
      <c r="AH515" s="107"/>
      <c r="AI515" s="107"/>
      <c r="AJ515" s="107"/>
      <c r="AK515" s="107"/>
      <c r="AL515" s="107"/>
      <c r="AM515" s="304"/>
      <c r="AN515" s="304"/>
      <c r="AO515" s="304"/>
      <c r="AP515" s="304"/>
      <c r="AQ515" s="304"/>
      <c r="AR515" s="304"/>
      <c r="AS515" s="304"/>
      <c r="AT515" s="304"/>
      <c r="AU515" s="304"/>
      <c r="AV515" s="304"/>
      <c r="AW515" s="304"/>
      <c r="AX515" s="304"/>
      <c r="AY515" s="304"/>
      <c r="AZ515" s="304"/>
      <c r="BA515" s="304"/>
      <c r="BB515" s="107"/>
      <c r="BC515" s="107"/>
      <c r="BD515" s="107"/>
      <c r="BE515" s="107"/>
      <c r="BF515" s="107"/>
      <c r="BG515" s="107"/>
      <c r="BH515" s="107"/>
      <c r="BI515" s="107"/>
      <c r="BJ515" s="107"/>
      <c r="BK515" s="107"/>
      <c r="BL515" s="107"/>
      <c r="BM515" s="107"/>
      <c r="BN515" s="107"/>
      <c r="BO515" s="107"/>
      <c r="BP515" s="107"/>
      <c r="BQ515" s="107"/>
      <c r="BR515" s="107"/>
    </row>
    <row r="516" customFormat="false" ht="12.75" hidden="false" customHeight="false" outlineLevel="0" collapsed="false">
      <c r="A516" s="100"/>
      <c r="B516" s="100"/>
      <c r="C516" s="100"/>
      <c r="D516" s="100"/>
      <c r="E516" s="100"/>
      <c r="F516" s="277"/>
      <c r="H516" s="277"/>
      <c r="I516" s="277"/>
      <c r="J516" s="69"/>
      <c r="K516" s="277"/>
      <c r="L516" s="277"/>
      <c r="M516" s="277"/>
      <c r="N516" s="277"/>
      <c r="O516" s="277"/>
      <c r="P516" s="277"/>
      <c r="Q516" s="277"/>
      <c r="R516" s="277"/>
      <c r="T516" s="277"/>
      <c r="U516" s="277"/>
      <c r="W516" s="277"/>
      <c r="Y516" s="107"/>
      <c r="Z516" s="107"/>
      <c r="AA516" s="107"/>
      <c r="AB516" s="107"/>
      <c r="AC516" s="107"/>
      <c r="AD516" s="233"/>
      <c r="AE516" s="107"/>
      <c r="AF516" s="107"/>
      <c r="AG516" s="107"/>
      <c r="AH516" s="107"/>
      <c r="AI516" s="107"/>
      <c r="AJ516" s="107"/>
      <c r="AK516" s="107"/>
      <c r="AL516" s="107"/>
      <c r="AM516" s="304"/>
      <c r="AN516" s="304"/>
      <c r="AO516" s="304"/>
      <c r="AP516" s="304"/>
      <c r="AQ516" s="304"/>
      <c r="AR516" s="304"/>
      <c r="AS516" s="304"/>
      <c r="AT516" s="304"/>
      <c r="AU516" s="304"/>
      <c r="AV516" s="304"/>
      <c r="AW516" s="304"/>
      <c r="AX516" s="304"/>
      <c r="AY516" s="304"/>
      <c r="AZ516" s="304"/>
      <c r="BA516" s="304"/>
      <c r="BB516" s="107"/>
      <c r="BC516" s="107"/>
      <c r="BD516" s="107"/>
      <c r="BE516" s="107"/>
      <c r="BF516" s="107"/>
      <c r="BG516" s="107"/>
      <c r="BH516" s="107"/>
      <c r="BI516" s="107"/>
      <c r="BJ516" s="107"/>
      <c r="BK516" s="107"/>
      <c r="BL516" s="107"/>
      <c r="BM516" s="107"/>
      <c r="BN516" s="107"/>
      <c r="BO516" s="107"/>
      <c r="BP516" s="107"/>
      <c r="BQ516" s="107"/>
      <c r="BR516" s="107"/>
    </row>
    <row r="517" customFormat="false" ht="12.75" hidden="false" customHeight="false" outlineLevel="0" collapsed="false">
      <c r="A517" s="100"/>
      <c r="B517" s="100"/>
      <c r="C517" s="100"/>
      <c r="D517" s="100"/>
      <c r="E517" s="100"/>
      <c r="F517" s="277"/>
      <c r="H517" s="277"/>
      <c r="I517" s="277"/>
      <c r="J517" s="69"/>
      <c r="K517" s="277"/>
      <c r="L517" s="277"/>
      <c r="M517" s="277"/>
      <c r="N517" s="277"/>
      <c r="O517" s="277"/>
      <c r="P517" s="277"/>
      <c r="Q517" s="277"/>
      <c r="R517" s="277"/>
      <c r="T517" s="277"/>
      <c r="U517" s="277"/>
      <c r="W517" s="277"/>
      <c r="Y517" s="107"/>
      <c r="Z517" s="107"/>
      <c r="AA517" s="107"/>
      <c r="AB517" s="107"/>
      <c r="AC517" s="107"/>
      <c r="AD517" s="233"/>
      <c r="AE517" s="107"/>
      <c r="AF517" s="107"/>
      <c r="AG517" s="107"/>
      <c r="AH517" s="107"/>
      <c r="AI517" s="107"/>
      <c r="AJ517" s="107"/>
      <c r="AK517" s="107"/>
      <c r="AL517" s="107"/>
      <c r="AM517" s="304"/>
      <c r="AN517" s="304"/>
      <c r="AO517" s="304"/>
      <c r="AP517" s="304"/>
      <c r="AQ517" s="304"/>
      <c r="AR517" s="304"/>
      <c r="AS517" s="304"/>
      <c r="AT517" s="304"/>
      <c r="AU517" s="304"/>
      <c r="AV517" s="304"/>
      <c r="AW517" s="304"/>
      <c r="AX517" s="304"/>
      <c r="AY517" s="304"/>
      <c r="AZ517" s="304"/>
      <c r="BA517" s="304"/>
      <c r="BB517" s="107"/>
      <c r="BC517" s="107"/>
      <c r="BD517" s="107"/>
      <c r="BE517" s="107"/>
      <c r="BF517" s="107"/>
      <c r="BG517" s="107"/>
      <c r="BH517" s="107"/>
      <c r="BI517" s="107"/>
      <c r="BJ517" s="107"/>
      <c r="BK517" s="107"/>
      <c r="BL517" s="107"/>
      <c r="BM517" s="107"/>
      <c r="BN517" s="107"/>
      <c r="BO517" s="107"/>
      <c r="BP517" s="107"/>
      <c r="BQ517" s="107"/>
      <c r="BR517" s="107"/>
    </row>
    <row r="518" customFormat="false" ht="12.75" hidden="false" customHeight="false" outlineLevel="0" collapsed="false">
      <c r="A518" s="100"/>
      <c r="B518" s="100"/>
      <c r="C518" s="100"/>
      <c r="D518" s="100"/>
      <c r="E518" s="100"/>
      <c r="F518" s="277"/>
      <c r="H518" s="277"/>
      <c r="I518" s="277"/>
      <c r="J518" s="69"/>
      <c r="K518" s="277"/>
      <c r="L518" s="277"/>
      <c r="M518" s="277"/>
      <c r="N518" s="277"/>
      <c r="O518" s="277"/>
      <c r="P518" s="277"/>
      <c r="Q518" s="277"/>
      <c r="R518" s="277"/>
      <c r="T518" s="277"/>
      <c r="U518" s="277"/>
      <c r="W518" s="277"/>
      <c r="Y518" s="107"/>
      <c r="Z518" s="107"/>
      <c r="AA518" s="107"/>
      <c r="AB518" s="107"/>
      <c r="AC518" s="107"/>
      <c r="AD518" s="233"/>
      <c r="AE518" s="107"/>
      <c r="AF518" s="107"/>
      <c r="AG518" s="107"/>
      <c r="AH518" s="107"/>
      <c r="AI518" s="107"/>
      <c r="AJ518" s="107"/>
      <c r="AK518" s="107"/>
      <c r="AL518" s="107"/>
      <c r="AM518" s="304"/>
      <c r="AN518" s="304"/>
      <c r="AO518" s="304"/>
      <c r="AP518" s="304"/>
      <c r="AQ518" s="304"/>
      <c r="AR518" s="304"/>
      <c r="AS518" s="304"/>
      <c r="AT518" s="304"/>
      <c r="AU518" s="304"/>
      <c r="AV518" s="304"/>
      <c r="AW518" s="304"/>
      <c r="AX518" s="304"/>
      <c r="AY518" s="304"/>
      <c r="AZ518" s="304"/>
      <c r="BA518" s="304"/>
      <c r="BB518" s="107"/>
      <c r="BC518" s="107"/>
      <c r="BD518" s="107"/>
      <c r="BE518" s="107"/>
      <c r="BF518" s="107"/>
      <c r="BG518" s="107"/>
      <c r="BH518" s="107"/>
      <c r="BI518" s="107"/>
      <c r="BJ518" s="107"/>
      <c r="BK518" s="107"/>
      <c r="BL518" s="107"/>
      <c r="BM518" s="107"/>
      <c r="BN518" s="107"/>
      <c r="BO518" s="107"/>
      <c r="BP518" s="107"/>
      <c r="BQ518" s="107"/>
      <c r="BR518" s="107"/>
    </row>
    <row r="519" customFormat="false" ht="12.75" hidden="false" customHeight="false" outlineLevel="0" collapsed="false">
      <c r="A519" s="100"/>
      <c r="B519" s="100"/>
      <c r="C519" s="100"/>
      <c r="D519" s="100"/>
      <c r="E519" s="100"/>
      <c r="F519" s="277"/>
      <c r="H519" s="277"/>
      <c r="I519" s="277"/>
      <c r="J519" s="69"/>
      <c r="K519" s="277"/>
      <c r="L519" s="277"/>
      <c r="M519" s="277"/>
      <c r="N519" s="277"/>
      <c r="O519" s="277"/>
      <c r="P519" s="277"/>
      <c r="Q519" s="277"/>
      <c r="R519" s="277"/>
      <c r="T519" s="277"/>
      <c r="U519" s="277"/>
      <c r="W519" s="277"/>
      <c r="Y519" s="107"/>
      <c r="Z519" s="107"/>
      <c r="AA519" s="107"/>
      <c r="AB519" s="107"/>
      <c r="AC519" s="107"/>
      <c r="AD519" s="233"/>
      <c r="AE519" s="107"/>
      <c r="AF519" s="107"/>
      <c r="AG519" s="107"/>
      <c r="AH519" s="107"/>
      <c r="AI519" s="107"/>
      <c r="AJ519" s="107"/>
      <c r="AK519" s="107"/>
      <c r="AL519" s="107"/>
      <c r="AM519" s="304"/>
      <c r="AN519" s="304"/>
      <c r="AO519" s="304"/>
      <c r="AP519" s="304"/>
      <c r="AQ519" s="304"/>
      <c r="AR519" s="304"/>
      <c r="AS519" s="304"/>
      <c r="AT519" s="304"/>
      <c r="AU519" s="304"/>
      <c r="AV519" s="304"/>
      <c r="AW519" s="304"/>
      <c r="AX519" s="304"/>
      <c r="AY519" s="304"/>
      <c r="AZ519" s="304"/>
      <c r="BA519" s="304"/>
      <c r="BB519" s="107"/>
      <c r="BC519" s="107"/>
      <c r="BD519" s="107"/>
      <c r="BE519" s="107"/>
      <c r="BF519" s="107"/>
      <c r="BG519" s="107"/>
      <c r="BH519" s="107"/>
      <c r="BI519" s="107"/>
      <c r="BJ519" s="107"/>
      <c r="BK519" s="107"/>
      <c r="BL519" s="107"/>
      <c r="BM519" s="107"/>
      <c r="BN519" s="107"/>
      <c r="BO519" s="107"/>
      <c r="BP519" s="107"/>
      <c r="BQ519" s="107"/>
      <c r="BR519" s="107"/>
    </row>
    <row r="520" customFormat="false" ht="12.75" hidden="false" customHeight="false" outlineLevel="0" collapsed="false">
      <c r="A520" s="100"/>
      <c r="B520" s="100"/>
      <c r="C520" s="100"/>
      <c r="D520" s="100"/>
      <c r="E520" s="100"/>
      <c r="F520" s="277"/>
      <c r="H520" s="277"/>
      <c r="I520" s="277"/>
      <c r="J520" s="69"/>
      <c r="K520" s="277"/>
      <c r="L520" s="277"/>
      <c r="M520" s="277"/>
      <c r="N520" s="277"/>
      <c r="O520" s="277"/>
      <c r="P520" s="277"/>
      <c r="Q520" s="277"/>
      <c r="R520" s="277"/>
      <c r="T520" s="277"/>
      <c r="U520" s="277"/>
      <c r="W520" s="277"/>
      <c r="Y520" s="107"/>
      <c r="Z520" s="107"/>
      <c r="AA520" s="107"/>
      <c r="AB520" s="107"/>
      <c r="AC520" s="107"/>
      <c r="AD520" s="233"/>
      <c r="AE520" s="107"/>
      <c r="AF520" s="107"/>
      <c r="AG520" s="107"/>
      <c r="AH520" s="107"/>
      <c r="AI520" s="107"/>
      <c r="AJ520" s="107"/>
      <c r="AK520" s="107"/>
      <c r="AL520" s="107"/>
      <c r="AM520" s="304"/>
      <c r="AN520" s="304"/>
      <c r="AO520" s="304"/>
      <c r="AP520" s="304"/>
      <c r="AQ520" s="304"/>
      <c r="AR520" s="304"/>
      <c r="AS520" s="304"/>
      <c r="AT520" s="304"/>
      <c r="AU520" s="304"/>
      <c r="AV520" s="304"/>
      <c r="AW520" s="304"/>
      <c r="AX520" s="304"/>
      <c r="AY520" s="304"/>
      <c r="AZ520" s="304"/>
      <c r="BA520" s="304"/>
      <c r="BB520" s="107"/>
      <c r="BC520" s="107"/>
      <c r="BD520" s="107"/>
      <c r="BE520" s="107"/>
      <c r="BF520" s="107"/>
      <c r="BG520" s="107"/>
      <c r="BH520" s="107"/>
      <c r="BI520" s="107"/>
      <c r="BJ520" s="107"/>
      <c r="BK520" s="107"/>
      <c r="BL520" s="107"/>
      <c r="BM520" s="107"/>
      <c r="BN520" s="107"/>
      <c r="BO520" s="107"/>
      <c r="BP520" s="107"/>
      <c r="BQ520" s="107"/>
      <c r="BR520" s="107"/>
    </row>
    <row r="521" customFormat="false" ht="12.75" hidden="false" customHeight="false" outlineLevel="0" collapsed="false">
      <c r="A521" s="100"/>
      <c r="B521" s="100"/>
      <c r="C521" s="100"/>
      <c r="D521" s="100"/>
      <c r="E521" s="100"/>
      <c r="F521" s="277"/>
      <c r="H521" s="277"/>
      <c r="I521" s="277"/>
      <c r="J521" s="69"/>
      <c r="K521" s="277"/>
      <c r="L521" s="277"/>
      <c r="M521" s="277"/>
      <c r="N521" s="277"/>
      <c r="O521" s="277"/>
      <c r="P521" s="277"/>
      <c r="Q521" s="277"/>
      <c r="R521" s="277"/>
      <c r="T521" s="277"/>
      <c r="U521" s="277"/>
      <c r="W521" s="277"/>
      <c r="Y521" s="107"/>
      <c r="Z521" s="107"/>
      <c r="AA521" s="107"/>
      <c r="AB521" s="107"/>
      <c r="AC521" s="107"/>
      <c r="AD521" s="233"/>
      <c r="AE521" s="107"/>
      <c r="AF521" s="107"/>
      <c r="AG521" s="107"/>
      <c r="AH521" s="107"/>
      <c r="AI521" s="107"/>
      <c r="AJ521" s="107"/>
      <c r="AK521" s="107"/>
      <c r="AL521" s="107"/>
      <c r="AM521" s="304"/>
      <c r="AN521" s="304"/>
      <c r="AO521" s="304"/>
      <c r="AP521" s="304"/>
      <c r="AQ521" s="304"/>
      <c r="AR521" s="304"/>
      <c r="AS521" s="304"/>
      <c r="AT521" s="304"/>
      <c r="AU521" s="304"/>
      <c r="AV521" s="304"/>
      <c r="AW521" s="304"/>
      <c r="AX521" s="304"/>
      <c r="AY521" s="304"/>
      <c r="AZ521" s="304"/>
      <c r="BA521" s="304"/>
      <c r="BB521" s="107"/>
      <c r="BC521" s="107"/>
      <c r="BD521" s="107"/>
      <c r="BE521" s="107"/>
      <c r="BF521" s="107"/>
      <c r="BG521" s="107"/>
      <c r="BH521" s="107"/>
      <c r="BI521" s="107"/>
      <c r="BJ521" s="107"/>
      <c r="BK521" s="107"/>
      <c r="BL521" s="107"/>
      <c r="BM521" s="107"/>
      <c r="BN521" s="107"/>
      <c r="BO521" s="107"/>
      <c r="BP521" s="107"/>
      <c r="BQ521" s="107"/>
      <c r="BR521" s="107"/>
    </row>
    <row r="522" customFormat="false" ht="12.75" hidden="false" customHeight="false" outlineLevel="0" collapsed="false">
      <c r="A522" s="100"/>
      <c r="B522" s="100"/>
      <c r="C522" s="100"/>
      <c r="D522" s="100"/>
      <c r="E522" s="100"/>
      <c r="F522" s="277"/>
      <c r="H522" s="277"/>
      <c r="I522" s="277"/>
      <c r="J522" s="69"/>
      <c r="K522" s="277"/>
      <c r="L522" s="277"/>
      <c r="M522" s="277"/>
      <c r="N522" s="277"/>
      <c r="O522" s="277"/>
      <c r="P522" s="277"/>
      <c r="Q522" s="277"/>
      <c r="R522" s="277"/>
      <c r="T522" s="277"/>
      <c r="U522" s="277"/>
      <c r="W522" s="277"/>
      <c r="Y522" s="107"/>
      <c r="Z522" s="107"/>
      <c r="AA522" s="107"/>
      <c r="AB522" s="107"/>
      <c r="AC522" s="107"/>
      <c r="AD522" s="233"/>
      <c r="AE522" s="107"/>
      <c r="AF522" s="107"/>
      <c r="AG522" s="107"/>
      <c r="AH522" s="107"/>
      <c r="AI522" s="107"/>
      <c r="AJ522" s="107"/>
      <c r="AK522" s="107"/>
      <c r="AL522" s="107"/>
      <c r="AM522" s="304"/>
      <c r="AN522" s="304"/>
      <c r="AO522" s="304"/>
      <c r="AP522" s="304"/>
      <c r="AQ522" s="304"/>
      <c r="AR522" s="304"/>
      <c r="AS522" s="304"/>
      <c r="AT522" s="304"/>
      <c r="AU522" s="304"/>
      <c r="AV522" s="304"/>
      <c r="AW522" s="304"/>
      <c r="AX522" s="304"/>
      <c r="AY522" s="304"/>
      <c r="AZ522" s="304"/>
      <c r="BA522" s="304"/>
      <c r="BB522" s="107"/>
      <c r="BC522" s="107"/>
      <c r="BD522" s="107"/>
      <c r="BE522" s="107"/>
      <c r="BF522" s="107"/>
      <c r="BG522" s="107"/>
      <c r="BH522" s="107"/>
      <c r="BI522" s="107"/>
      <c r="BJ522" s="107"/>
      <c r="BK522" s="107"/>
      <c r="BL522" s="107"/>
      <c r="BM522" s="107"/>
      <c r="BN522" s="107"/>
      <c r="BO522" s="107"/>
      <c r="BP522" s="107"/>
      <c r="BQ522" s="107"/>
      <c r="BR522" s="107"/>
    </row>
    <row r="523" customFormat="false" ht="12.75" hidden="false" customHeight="false" outlineLevel="0" collapsed="false">
      <c r="A523" s="100"/>
      <c r="B523" s="100"/>
      <c r="C523" s="100"/>
      <c r="D523" s="100"/>
      <c r="E523" s="100"/>
      <c r="F523" s="277"/>
      <c r="H523" s="277"/>
      <c r="I523" s="277"/>
      <c r="J523" s="69"/>
      <c r="K523" s="277"/>
      <c r="L523" s="277"/>
      <c r="M523" s="277"/>
      <c r="N523" s="277"/>
      <c r="O523" s="277"/>
      <c r="P523" s="277"/>
      <c r="Q523" s="277"/>
      <c r="R523" s="277"/>
      <c r="T523" s="277"/>
      <c r="U523" s="277"/>
      <c r="W523" s="277"/>
      <c r="Y523" s="107"/>
      <c r="Z523" s="107"/>
      <c r="AA523" s="107"/>
      <c r="AB523" s="107"/>
      <c r="AC523" s="107"/>
      <c r="AD523" s="233"/>
      <c r="AE523" s="107"/>
      <c r="AF523" s="107"/>
      <c r="AG523" s="107"/>
      <c r="AH523" s="107"/>
      <c r="AI523" s="107"/>
      <c r="AJ523" s="107"/>
      <c r="AK523" s="107"/>
      <c r="AL523" s="107"/>
      <c r="AM523" s="304"/>
      <c r="AN523" s="304"/>
      <c r="AO523" s="304"/>
      <c r="AP523" s="304"/>
      <c r="AQ523" s="304"/>
      <c r="AR523" s="304"/>
      <c r="AS523" s="304"/>
      <c r="AT523" s="304"/>
      <c r="AU523" s="304"/>
      <c r="AV523" s="304"/>
      <c r="AW523" s="304"/>
      <c r="AX523" s="304"/>
      <c r="AY523" s="304"/>
      <c r="AZ523" s="304"/>
      <c r="BA523" s="304"/>
      <c r="BB523" s="107"/>
      <c r="BC523" s="107"/>
      <c r="BD523" s="107"/>
      <c r="BE523" s="107"/>
      <c r="BF523" s="107"/>
      <c r="BG523" s="107"/>
      <c r="BH523" s="107"/>
      <c r="BI523" s="107"/>
      <c r="BJ523" s="107"/>
      <c r="BK523" s="107"/>
      <c r="BL523" s="107"/>
      <c r="BM523" s="107"/>
      <c r="BN523" s="107"/>
      <c r="BO523" s="107"/>
      <c r="BP523" s="107"/>
      <c r="BQ523" s="107"/>
      <c r="BR523" s="107"/>
    </row>
    <row r="524" customFormat="false" ht="12.75" hidden="false" customHeight="false" outlineLevel="0" collapsed="false">
      <c r="A524" s="100"/>
      <c r="B524" s="100"/>
      <c r="C524" s="100"/>
      <c r="D524" s="100"/>
      <c r="E524" s="100"/>
      <c r="F524" s="277"/>
      <c r="H524" s="277"/>
      <c r="I524" s="277"/>
      <c r="J524" s="69"/>
      <c r="K524" s="277"/>
      <c r="L524" s="277"/>
      <c r="M524" s="277"/>
      <c r="N524" s="277"/>
      <c r="O524" s="277"/>
      <c r="P524" s="277"/>
      <c r="Q524" s="277"/>
      <c r="R524" s="277"/>
      <c r="T524" s="277"/>
      <c r="U524" s="277"/>
      <c r="W524" s="277"/>
      <c r="Y524" s="107"/>
      <c r="Z524" s="107"/>
      <c r="AA524" s="107"/>
      <c r="AB524" s="107"/>
      <c r="AC524" s="107"/>
      <c r="AD524" s="233"/>
      <c r="AE524" s="107"/>
      <c r="AF524" s="107"/>
      <c r="AG524" s="107"/>
      <c r="AH524" s="107"/>
      <c r="AI524" s="107"/>
      <c r="AJ524" s="107"/>
      <c r="AK524" s="107"/>
      <c r="AL524" s="107"/>
      <c r="AM524" s="304"/>
      <c r="AN524" s="304"/>
      <c r="AO524" s="304"/>
      <c r="AP524" s="304"/>
      <c r="AQ524" s="304"/>
      <c r="AR524" s="304"/>
      <c r="AS524" s="304"/>
      <c r="AT524" s="304"/>
      <c r="AU524" s="304"/>
      <c r="AV524" s="304"/>
      <c r="AW524" s="304"/>
      <c r="AX524" s="304"/>
      <c r="AY524" s="304"/>
      <c r="AZ524" s="304"/>
      <c r="BA524" s="304"/>
      <c r="BB524" s="107"/>
      <c r="BC524" s="107"/>
      <c r="BD524" s="107"/>
      <c r="BE524" s="107"/>
      <c r="BF524" s="107"/>
      <c r="BG524" s="107"/>
      <c r="BH524" s="107"/>
      <c r="BI524" s="107"/>
      <c r="BJ524" s="107"/>
      <c r="BK524" s="107"/>
      <c r="BL524" s="107"/>
      <c r="BM524" s="107"/>
      <c r="BN524" s="107"/>
      <c r="BO524" s="107"/>
      <c r="BP524" s="107"/>
      <c r="BQ524" s="107"/>
      <c r="BR524" s="107"/>
    </row>
    <row r="525" customFormat="false" ht="12.75" hidden="false" customHeight="false" outlineLevel="0" collapsed="false">
      <c r="A525" s="100"/>
      <c r="B525" s="100"/>
      <c r="C525" s="100"/>
      <c r="D525" s="100"/>
      <c r="E525" s="100"/>
      <c r="F525" s="277"/>
      <c r="H525" s="277"/>
      <c r="I525" s="277"/>
      <c r="J525" s="69"/>
      <c r="K525" s="277"/>
      <c r="L525" s="277"/>
      <c r="M525" s="277"/>
      <c r="N525" s="277"/>
      <c r="O525" s="277"/>
      <c r="P525" s="277"/>
      <c r="Q525" s="277"/>
      <c r="R525" s="277"/>
      <c r="T525" s="277"/>
      <c r="U525" s="277"/>
      <c r="W525" s="277"/>
      <c r="Y525" s="107"/>
      <c r="Z525" s="107"/>
      <c r="AA525" s="107"/>
      <c r="AB525" s="107"/>
      <c r="AC525" s="107"/>
      <c r="AD525" s="233"/>
      <c r="AE525" s="107"/>
      <c r="AF525" s="107"/>
      <c r="AG525" s="107"/>
      <c r="AH525" s="107"/>
      <c r="AI525" s="107"/>
      <c r="AJ525" s="107"/>
      <c r="AK525" s="107"/>
      <c r="AL525" s="107"/>
      <c r="AM525" s="304"/>
      <c r="AN525" s="304"/>
      <c r="AO525" s="304"/>
      <c r="AP525" s="304"/>
      <c r="AQ525" s="304"/>
      <c r="AR525" s="304"/>
      <c r="AS525" s="304"/>
      <c r="AT525" s="304"/>
      <c r="AU525" s="304"/>
      <c r="AV525" s="304"/>
      <c r="AW525" s="304"/>
      <c r="AX525" s="304"/>
      <c r="AY525" s="304"/>
      <c r="AZ525" s="304"/>
      <c r="BA525" s="304"/>
      <c r="BB525" s="107"/>
      <c r="BC525" s="107"/>
      <c r="BD525" s="107"/>
      <c r="BE525" s="107"/>
      <c r="BF525" s="107"/>
      <c r="BG525" s="107"/>
      <c r="BH525" s="107"/>
      <c r="BI525" s="107"/>
      <c r="BJ525" s="107"/>
      <c r="BK525" s="107"/>
      <c r="BL525" s="107"/>
      <c r="BM525" s="107"/>
      <c r="BN525" s="107"/>
      <c r="BO525" s="107"/>
      <c r="BP525" s="107"/>
      <c r="BQ525" s="107"/>
      <c r="BR525" s="107"/>
    </row>
    <row r="526" customFormat="false" ht="12.75" hidden="false" customHeight="false" outlineLevel="0" collapsed="false">
      <c r="A526" s="100"/>
      <c r="B526" s="100"/>
      <c r="C526" s="100"/>
      <c r="D526" s="100"/>
      <c r="E526" s="100"/>
      <c r="F526" s="277"/>
      <c r="H526" s="277"/>
      <c r="I526" s="277"/>
      <c r="J526" s="69"/>
      <c r="K526" s="277"/>
      <c r="L526" s="277"/>
      <c r="M526" s="277"/>
      <c r="N526" s="277"/>
      <c r="O526" s="277"/>
      <c r="P526" s="277"/>
      <c r="Q526" s="277"/>
      <c r="R526" s="277"/>
      <c r="T526" s="277"/>
      <c r="U526" s="277"/>
      <c r="W526" s="277"/>
      <c r="Y526" s="107"/>
      <c r="Z526" s="107"/>
      <c r="AA526" s="107"/>
      <c r="AB526" s="107"/>
      <c r="AC526" s="107"/>
      <c r="AD526" s="233"/>
      <c r="AE526" s="107"/>
      <c r="AF526" s="107"/>
      <c r="AG526" s="107"/>
      <c r="AH526" s="107"/>
      <c r="AI526" s="107"/>
      <c r="AJ526" s="107"/>
      <c r="AK526" s="107"/>
      <c r="AL526" s="107"/>
      <c r="AM526" s="304"/>
      <c r="AN526" s="304"/>
      <c r="AO526" s="304"/>
      <c r="AP526" s="304"/>
      <c r="AQ526" s="304"/>
      <c r="AR526" s="304"/>
      <c r="AS526" s="304"/>
      <c r="AT526" s="304"/>
      <c r="AU526" s="304"/>
      <c r="AV526" s="304"/>
      <c r="AW526" s="304"/>
      <c r="AX526" s="304"/>
      <c r="AY526" s="304"/>
      <c r="AZ526" s="304"/>
      <c r="BA526" s="304"/>
      <c r="BB526" s="107"/>
      <c r="BC526" s="107"/>
      <c r="BD526" s="107"/>
      <c r="BE526" s="107"/>
      <c r="BF526" s="107"/>
      <c r="BG526" s="107"/>
      <c r="BH526" s="107"/>
      <c r="BI526" s="107"/>
      <c r="BJ526" s="107"/>
      <c r="BK526" s="107"/>
      <c r="BL526" s="107"/>
      <c r="BM526" s="107"/>
      <c r="BN526" s="107"/>
      <c r="BO526" s="107"/>
      <c r="BP526" s="107"/>
      <c r="BQ526" s="107"/>
      <c r="BR526" s="107"/>
    </row>
    <row r="527" customFormat="false" ht="12.75" hidden="false" customHeight="false" outlineLevel="0" collapsed="false">
      <c r="A527" s="100"/>
      <c r="B527" s="100"/>
      <c r="C527" s="100"/>
      <c r="D527" s="100"/>
      <c r="E527" s="100"/>
      <c r="F527" s="277"/>
      <c r="H527" s="277"/>
      <c r="I527" s="277"/>
      <c r="J527" s="69"/>
      <c r="K527" s="277"/>
      <c r="L527" s="277"/>
      <c r="M527" s="277"/>
      <c r="N527" s="277"/>
      <c r="O527" s="277"/>
      <c r="P527" s="277"/>
      <c r="Q527" s="277"/>
      <c r="R527" s="277"/>
      <c r="T527" s="277"/>
      <c r="U527" s="277"/>
      <c r="W527" s="277"/>
      <c r="Y527" s="107"/>
      <c r="Z527" s="107"/>
      <c r="AA527" s="107"/>
      <c r="AB527" s="107"/>
      <c r="AC527" s="107"/>
      <c r="AD527" s="233"/>
      <c r="AE527" s="107"/>
      <c r="AF527" s="107"/>
      <c r="AG527" s="107"/>
      <c r="AH527" s="107"/>
      <c r="AI527" s="107"/>
      <c r="AJ527" s="107"/>
      <c r="AK527" s="107"/>
      <c r="AL527" s="107"/>
      <c r="AM527" s="304"/>
      <c r="AN527" s="304"/>
      <c r="AO527" s="304"/>
      <c r="AP527" s="304"/>
      <c r="AQ527" s="304"/>
      <c r="AR527" s="304"/>
      <c r="AS527" s="304"/>
      <c r="AT527" s="304"/>
      <c r="AU527" s="304"/>
      <c r="AV527" s="304"/>
      <c r="AW527" s="304"/>
      <c r="AX527" s="304"/>
      <c r="AY527" s="304"/>
      <c r="AZ527" s="304"/>
      <c r="BA527" s="304"/>
      <c r="BB527" s="107"/>
      <c r="BC527" s="107"/>
      <c r="BD527" s="107"/>
      <c r="BE527" s="107"/>
      <c r="BF527" s="107"/>
      <c r="BG527" s="107"/>
      <c r="BH527" s="107"/>
      <c r="BI527" s="107"/>
      <c r="BJ527" s="107"/>
      <c r="BK527" s="107"/>
      <c r="BL527" s="107"/>
      <c r="BM527" s="107"/>
      <c r="BN527" s="107"/>
      <c r="BO527" s="107"/>
      <c r="BP527" s="107"/>
      <c r="BQ527" s="107"/>
      <c r="BR527" s="107"/>
    </row>
    <row r="528" customFormat="false" ht="12.75" hidden="false" customHeight="false" outlineLevel="0" collapsed="false">
      <c r="A528" s="100"/>
      <c r="B528" s="100"/>
      <c r="C528" s="100"/>
      <c r="D528" s="100"/>
      <c r="E528" s="100"/>
      <c r="F528" s="277"/>
      <c r="H528" s="277"/>
      <c r="I528" s="277"/>
      <c r="J528" s="69"/>
      <c r="K528" s="277"/>
      <c r="L528" s="277"/>
      <c r="M528" s="277"/>
      <c r="N528" s="277"/>
      <c r="O528" s="277"/>
      <c r="P528" s="277"/>
      <c r="Q528" s="277"/>
      <c r="R528" s="277"/>
      <c r="T528" s="277"/>
      <c r="U528" s="277"/>
      <c r="W528" s="277"/>
      <c r="Y528" s="107"/>
      <c r="Z528" s="107"/>
      <c r="AA528" s="107"/>
      <c r="AB528" s="107"/>
      <c r="AC528" s="107"/>
      <c r="AD528" s="233"/>
      <c r="AE528" s="107"/>
      <c r="AF528" s="107"/>
      <c r="AG528" s="107"/>
      <c r="AH528" s="107"/>
      <c r="AI528" s="107"/>
      <c r="AJ528" s="107"/>
      <c r="AK528" s="107"/>
      <c r="AL528" s="107"/>
      <c r="AM528" s="304"/>
      <c r="AN528" s="304"/>
      <c r="AO528" s="304"/>
      <c r="AP528" s="304"/>
      <c r="AQ528" s="304"/>
      <c r="AR528" s="304"/>
      <c r="AS528" s="304"/>
      <c r="AT528" s="304"/>
      <c r="AU528" s="304"/>
      <c r="AV528" s="304"/>
      <c r="AW528" s="304"/>
      <c r="AX528" s="304"/>
      <c r="AY528" s="304"/>
      <c r="AZ528" s="304"/>
      <c r="BA528" s="304"/>
      <c r="BB528" s="107"/>
      <c r="BC528" s="107"/>
      <c r="BD528" s="107"/>
      <c r="BE528" s="107"/>
      <c r="BF528" s="107"/>
      <c r="BG528" s="107"/>
      <c r="BH528" s="107"/>
      <c r="BI528" s="107"/>
      <c r="BJ528" s="107"/>
      <c r="BK528" s="107"/>
      <c r="BL528" s="107"/>
      <c r="BM528" s="107"/>
      <c r="BN528" s="107"/>
      <c r="BO528" s="107"/>
      <c r="BP528" s="107"/>
      <c r="BQ528" s="107"/>
      <c r="BR528" s="107"/>
    </row>
    <row r="529" customFormat="false" ht="12.75" hidden="false" customHeight="false" outlineLevel="0" collapsed="false">
      <c r="A529" s="100"/>
      <c r="B529" s="100"/>
      <c r="C529" s="100"/>
      <c r="D529" s="100"/>
      <c r="E529" s="100"/>
      <c r="F529" s="277"/>
      <c r="H529" s="277"/>
      <c r="I529" s="277"/>
      <c r="J529" s="69"/>
      <c r="K529" s="277"/>
      <c r="L529" s="277"/>
      <c r="M529" s="277"/>
      <c r="N529" s="277"/>
      <c r="O529" s="277"/>
      <c r="P529" s="277"/>
      <c r="Q529" s="277"/>
      <c r="R529" s="277"/>
      <c r="T529" s="277"/>
      <c r="U529" s="277"/>
      <c r="W529" s="277"/>
      <c r="Y529" s="107"/>
      <c r="Z529" s="107"/>
      <c r="AA529" s="107"/>
      <c r="AB529" s="107"/>
      <c r="AC529" s="107"/>
      <c r="AD529" s="233"/>
      <c r="AE529" s="107"/>
      <c r="AF529" s="107"/>
      <c r="AG529" s="107"/>
      <c r="AH529" s="107"/>
      <c r="AI529" s="107"/>
      <c r="AJ529" s="107"/>
      <c r="AK529" s="107"/>
      <c r="AL529" s="107"/>
      <c r="AM529" s="304"/>
      <c r="AN529" s="304"/>
      <c r="AO529" s="304"/>
      <c r="AP529" s="304"/>
      <c r="AQ529" s="304"/>
      <c r="AR529" s="304"/>
      <c r="AS529" s="304"/>
      <c r="AT529" s="304"/>
      <c r="AU529" s="304"/>
      <c r="AV529" s="304"/>
      <c r="AW529" s="304"/>
      <c r="AX529" s="304"/>
      <c r="AY529" s="304"/>
      <c r="AZ529" s="304"/>
      <c r="BA529" s="304"/>
      <c r="BB529" s="107"/>
      <c r="BC529" s="107"/>
      <c r="BD529" s="107"/>
      <c r="BE529" s="107"/>
      <c r="BF529" s="107"/>
      <c r="BG529" s="107"/>
      <c r="BH529" s="107"/>
      <c r="BI529" s="107"/>
      <c r="BJ529" s="107"/>
      <c r="BK529" s="107"/>
      <c r="BL529" s="107"/>
      <c r="BM529" s="107"/>
      <c r="BN529" s="107"/>
      <c r="BO529" s="107"/>
      <c r="BP529" s="107"/>
      <c r="BQ529" s="107"/>
      <c r="BR529" s="107"/>
    </row>
    <row r="530" customFormat="false" ht="12.75" hidden="false" customHeight="false" outlineLevel="0" collapsed="false">
      <c r="A530" s="100"/>
      <c r="B530" s="100"/>
      <c r="C530" s="100"/>
      <c r="D530" s="100"/>
      <c r="E530" s="100"/>
      <c r="F530" s="277"/>
      <c r="H530" s="277"/>
      <c r="I530" s="277"/>
      <c r="J530" s="69"/>
      <c r="K530" s="277"/>
      <c r="L530" s="277"/>
      <c r="M530" s="277"/>
      <c r="N530" s="277"/>
      <c r="O530" s="277"/>
      <c r="P530" s="277"/>
      <c r="Q530" s="277"/>
      <c r="R530" s="277"/>
      <c r="T530" s="277"/>
      <c r="U530" s="277"/>
      <c r="W530" s="277"/>
      <c r="Y530" s="107"/>
      <c r="Z530" s="107"/>
      <c r="AA530" s="107"/>
      <c r="AB530" s="107"/>
      <c r="AC530" s="107"/>
      <c r="AD530" s="233"/>
      <c r="AE530" s="107"/>
      <c r="AF530" s="107"/>
      <c r="AG530" s="107"/>
      <c r="AH530" s="107"/>
      <c r="AI530" s="107"/>
      <c r="AJ530" s="107"/>
      <c r="AK530" s="107"/>
      <c r="AL530" s="107"/>
      <c r="AM530" s="304"/>
      <c r="AN530" s="304"/>
      <c r="AO530" s="304"/>
      <c r="AP530" s="304"/>
      <c r="AQ530" s="304"/>
      <c r="AR530" s="304"/>
      <c r="AS530" s="304"/>
      <c r="AT530" s="304"/>
      <c r="AU530" s="304"/>
      <c r="AV530" s="304"/>
      <c r="AW530" s="304"/>
      <c r="AX530" s="304"/>
      <c r="AY530" s="304"/>
      <c r="AZ530" s="304"/>
      <c r="BA530" s="304"/>
      <c r="BB530" s="107"/>
      <c r="BC530" s="107"/>
      <c r="BD530" s="107"/>
      <c r="BE530" s="107"/>
      <c r="BF530" s="107"/>
      <c r="BG530" s="107"/>
      <c r="BH530" s="107"/>
      <c r="BI530" s="107"/>
      <c r="BJ530" s="107"/>
      <c r="BK530" s="107"/>
      <c r="BL530" s="107"/>
      <c r="BM530" s="107"/>
      <c r="BN530" s="107"/>
      <c r="BO530" s="107"/>
      <c r="BP530" s="107"/>
      <c r="BQ530" s="107"/>
      <c r="BR530" s="107"/>
    </row>
    <row r="531" customFormat="false" ht="12.75" hidden="false" customHeight="false" outlineLevel="0" collapsed="false">
      <c r="A531" s="100"/>
      <c r="B531" s="100"/>
      <c r="C531" s="100"/>
      <c r="D531" s="100"/>
      <c r="E531" s="100"/>
      <c r="F531" s="277"/>
      <c r="H531" s="277"/>
      <c r="I531" s="277"/>
      <c r="J531" s="69"/>
      <c r="K531" s="277"/>
      <c r="L531" s="277"/>
      <c r="M531" s="277"/>
      <c r="N531" s="277"/>
      <c r="O531" s="277"/>
      <c r="P531" s="277"/>
      <c r="Q531" s="277"/>
      <c r="R531" s="277"/>
      <c r="T531" s="277"/>
      <c r="U531" s="277"/>
      <c r="W531" s="277"/>
      <c r="Y531" s="107"/>
      <c r="Z531" s="107"/>
      <c r="AA531" s="107"/>
      <c r="AB531" s="107"/>
      <c r="AC531" s="107"/>
      <c r="AD531" s="233"/>
      <c r="AE531" s="107"/>
      <c r="AF531" s="107"/>
      <c r="AG531" s="107"/>
      <c r="AH531" s="107"/>
      <c r="AI531" s="107"/>
      <c r="AJ531" s="107"/>
      <c r="AK531" s="107"/>
      <c r="AL531" s="107"/>
      <c r="AM531" s="304"/>
      <c r="AN531" s="304"/>
      <c r="AO531" s="304"/>
      <c r="AP531" s="304"/>
      <c r="AQ531" s="304"/>
      <c r="AR531" s="304"/>
      <c r="AS531" s="304"/>
      <c r="AT531" s="304"/>
      <c r="AU531" s="304"/>
      <c r="AV531" s="304"/>
      <c r="AW531" s="304"/>
      <c r="AX531" s="304"/>
      <c r="AY531" s="304"/>
      <c r="AZ531" s="304"/>
      <c r="BA531" s="304"/>
      <c r="BB531" s="107"/>
      <c r="BC531" s="107"/>
      <c r="BD531" s="107"/>
      <c r="BE531" s="107"/>
      <c r="BF531" s="107"/>
      <c r="BG531" s="107"/>
      <c r="BH531" s="107"/>
      <c r="BI531" s="107"/>
      <c r="BJ531" s="107"/>
      <c r="BK531" s="107"/>
      <c r="BL531" s="107"/>
      <c r="BM531" s="107"/>
      <c r="BN531" s="107"/>
      <c r="BO531" s="107"/>
      <c r="BP531" s="107"/>
      <c r="BQ531" s="107"/>
      <c r="BR531" s="107"/>
    </row>
    <row r="532" customFormat="false" ht="12.75" hidden="false" customHeight="false" outlineLevel="0" collapsed="false">
      <c r="A532" s="100"/>
      <c r="B532" s="100"/>
      <c r="C532" s="100"/>
      <c r="D532" s="100"/>
      <c r="E532" s="100"/>
      <c r="F532" s="277"/>
      <c r="H532" s="277"/>
      <c r="I532" s="277"/>
      <c r="J532" s="69"/>
      <c r="K532" s="277"/>
      <c r="L532" s="277"/>
      <c r="M532" s="277"/>
      <c r="N532" s="277"/>
      <c r="O532" s="277"/>
      <c r="P532" s="277"/>
      <c r="Q532" s="277"/>
      <c r="R532" s="277"/>
      <c r="T532" s="277"/>
      <c r="U532" s="277"/>
      <c r="W532" s="277"/>
      <c r="Y532" s="107"/>
      <c r="Z532" s="107"/>
      <c r="AA532" s="107"/>
      <c r="AB532" s="107"/>
      <c r="AC532" s="107"/>
      <c r="AD532" s="233"/>
      <c r="AE532" s="107"/>
      <c r="AF532" s="107"/>
      <c r="AG532" s="107"/>
      <c r="AH532" s="107"/>
      <c r="AI532" s="107"/>
      <c r="AJ532" s="107"/>
      <c r="AK532" s="107"/>
      <c r="AL532" s="107"/>
      <c r="AM532" s="304"/>
      <c r="AN532" s="304"/>
      <c r="AO532" s="304"/>
      <c r="AP532" s="304"/>
      <c r="AQ532" s="304"/>
      <c r="AR532" s="304"/>
      <c r="AS532" s="304"/>
      <c r="AT532" s="304"/>
      <c r="AU532" s="304"/>
      <c r="AV532" s="304"/>
      <c r="AW532" s="304"/>
      <c r="AX532" s="304"/>
      <c r="AY532" s="304"/>
      <c r="AZ532" s="304"/>
      <c r="BA532" s="304"/>
      <c r="BB532" s="107"/>
      <c r="BC532" s="107"/>
      <c r="BD532" s="107"/>
      <c r="BE532" s="107"/>
      <c r="BF532" s="107"/>
      <c r="BG532" s="107"/>
      <c r="BH532" s="107"/>
      <c r="BI532" s="107"/>
      <c r="BJ532" s="107"/>
      <c r="BK532" s="107"/>
      <c r="BL532" s="107"/>
      <c r="BM532" s="107"/>
      <c r="BN532" s="107"/>
      <c r="BO532" s="107"/>
      <c r="BP532" s="107"/>
      <c r="BQ532" s="107"/>
      <c r="BR532" s="107"/>
    </row>
    <row r="533" customFormat="false" ht="12.75" hidden="false" customHeight="false" outlineLevel="0" collapsed="false">
      <c r="A533" s="100"/>
      <c r="B533" s="100"/>
      <c r="C533" s="100"/>
      <c r="D533" s="100"/>
      <c r="E533" s="100"/>
      <c r="F533" s="277"/>
      <c r="H533" s="277"/>
      <c r="I533" s="277"/>
      <c r="J533" s="69"/>
      <c r="K533" s="277"/>
      <c r="L533" s="277"/>
      <c r="M533" s="277"/>
      <c r="N533" s="277"/>
      <c r="O533" s="277"/>
      <c r="P533" s="277"/>
      <c r="Q533" s="277"/>
      <c r="R533" s="277"/>
      <c r="T533" s="277"/>
      <c r="U533" s="277"/>
      <c r="W533" s="277"/>
      <c r="Y533" s="107"/>
      <c r="Z533" s="107"/>
      <c r="AA533" s="107"/>
      <c r="AB533" s="107"/>
      <c r="AC533" s="107"/>
      <c r="AD533" s="233"/>
      <c r="AE533" s="107"/>
      <c r="AF533" s="107"/>
      <c r="AG533" s="107"/>
      <c r="AH533" s="107"/>
      <c r="AI533" s="107"/>
      <c r="AJ533" s="107"/>
      <c r="AK533" s="107"/>
      <c r="AL533" s="107"/>
      <c r="AM533" s="304"/>
      <c r="AN533" s="304"/>
      <c r="AO533" s="304"/>
      <c r="AP533" s="304"/>
      <c r="AQ533" s="304"/>
      <c r="AR533" s="304"/>
      <c r="AS533" s="304"/>
      <c r="AT533" s="304"/>
      <c r="AU533" s="304"/>
      <c r="AV533" s="304"/>
      <c r="AW533" s="304"/>
      <c r="AX533" s="304"/>
      <c r="AY533" s="304"/>
      <c r="AZ533" s="304"/>
      <c r="BA533" s="304"/>
      <c r="BB533" s="107"/>
      <c r="BC533" s="107"/>
      <c r="BD533" s="107"/>
      <c r="BE533" s="107"/>
      <c r="BF533" s="107"/>
      <c r="BG533" s="107"/>
      <c r="BH533" s="107"/>
      <c r="BI533" s="107"/>
      <c r="BJ533" s="107"/>
      <c r="BK533" s="107"/>
      <c r="BL533" s="107"/>
      <c r="BM533" s="107"/>
      <c r="BN533" s="107"/>
      <c r="BO533" s="107"/>
      <c r="BP533" s="107"/>
      <c r="BQ533" s="107"/>
      <c r="BR533" s="107"/>
    </row>
    <row r="534" customFormat="false" ht="12.75" hidden="false" customHeight="false" outlineLevel="0" collapsed="false">
      <c r="A534" s="100"/>
      <c r="B534" s="100"/>
      <c r="C534" s="100"/>
      <c r="D534" s="100"/>
      <c r="E534" s="100"/>
      <c r="F534" s="277"/>
      <c r="H534" s="277"/>
      <c r="I534" s="277"/>
      <c r="J534" s="69"/>
      <c r="K534" s="277"/>
      <c r="L534" s="277"/>
      <c r="M534" s="277"/>
      <c r="N534" s="277"/>
      <c r="O534" s="277"/>
      <c r="P534" s="277"/>
      <c r="Q534" s="277"/>
      <c r="R534" s="277"/>
      <c r="T534" s="277"/>
      <c r="U534" s="277"/>
      <c r="W534" s="277"/>
      <c r="Y534" s="107"/>
      <c r="Z534" s="107"/>
      <c r="AA534" s="107"/>
      <c r="AB534" s="107"/>
      <c r="AC534" s="107"/>
      <c r="AD534" s="233"/>
      <c r="AE534" s="107"/>
      <c r="AF534" s="107"/>
      <c r="AG534" s="107"/>
      <c r="AH534" s="107"/>
      <c r="AI534" s="107"/>
      <c r="AJ534" s="107"/>
      <c r="AK534" s="107"/>
      <c r="AL534" s="107"/>
      <c r="AM534" s="304"/>
      <c r="AN534" s="304"/>
      <c r="AO534" s="304"/>
      <c r="AP534" s="304"/>
      <c r="AQ534" s="304"/>
      <c r="AR534" s="304"/>
      <c r="AS534" s="304"/>
      <c r="AT534" s="304"/>
      <c r="AU534" s="304"/>
      <c r="AV534" s="304"/>
      <c r="AW534" s="304"/>
      <c r="AX534" s="304"/>
      <c r="AY534" s="304"/>
      <c r="AZ534" s="304"/>
      <c r="BA534" s="304"/>
      <c r="BB534" s="107"/>
      <c r="BC534" s="107"/>
      <c r="BD534" s="107"/>
      <c r="BE534" s="107"/>
      <c r="BF534" s="107"/>
      <c r="BG534" s="107"/>
      <c r="BH534" s="107"/>
      <c r="BI534" s="107"/>
      <c r="BJ534" s="107"/>
      <c r="BK534" s="107"/>
      <c r="BL534" s="107"/>
      <c r="BM534" s="107"/>
      <c r="BN534" s="107"/>
      <c r="BO534" s="107"/>
      <c r="BP534" s="107"/>
      <c r="BQ534" s="107"/>
      <c r="BR534" s="107"/>
    </row>
    <row r="535" customFormat="false" ht="12.75" hidden="false" customHeight="false" outlineLevel="0" collapsed="false">
      <c r="A535" s="100"/>
      <c r="B535" s="100"/>
      <c r="C535" s="100"/>
      <c r="D535" s="100"/>
      <c r="E535" s="100"/>
      <c r="F535" s="277"/>
      <c r="H535" s="277"/>
      <c r="I535" s="277"/>
      <c r="J535" s="69"/>
      <c r="K535" s="277"/>
      <c r="L535" s="277"/>
      <c r="M535" s="277"/>
      <c r="N535" s="277"/>
      <c r="O535" s="277"/>
      <c r="P535" s="277"/>
      <c r="Q535" s="277"/>
      <c r="R535" s="277"/>
      <c r="T535" s="277"/>
      <c r="U535" s="277"/>
      <c r="W535" s="277"/>
      <c r="Y535" s="107"/>
      <c r="Z535" s="107"/>
      <c r="AA535" s="107"/>
      <c r="AB535" s="107"/>
      <c r="AC535" s="107"/>
      <c r="AD535" s="233"/>
      <c r="AE535" s="107"/>
      <c r="AF535" s="107"/>
      <c r="AG535" s="107"/>
      <c r="AH535" s="107"/>
      <c r="AI535" s="107"/>
      <c r="AJ535" s="107"/>
      <c r="AK535" s="107"/>
      <c r="AL535" s="107"/>
      <c r="AM535" s="304"/>
      <c r="AN535" s="304"/>
      <c r="AO535" s="304"/>
      <c r="AP535" s="304"/>
      <c r="AQ535" s="304"/>
      <c r="AR535" s="304"/>
      <c r="AS535" s="304"/>
      <c r="AT535" s="304"/>
      <c r="AU535" s="304"/>
      <c r="AV535" s="304"/>
      <c r="AW535" s="304"/>
      <c r="AX535" s="304"/>
      <c r="AY535" s="304"/>
      <c r="AZ535" s="304"/>
      <c r="BA535" s="304"/>
      <c r="BB535" s="107"/>
      <c r="BC535" s="107"/>
      <c r="BD535" s="107"/>
      <c r="BE535" s="107"/>
      <c r="BF535" s="107"/>
      <c r="BG535" s="107"/>
      <c r="BH535" s="107"/>
      <c r="BI535" s="107"/>
      <c r="BJ535" s="107"/>
      <c r="BK535" s="107"/>
      <c r="BL535" s="107"/>
      <c r="BM535" s="107"/>
      <c r="BN535" s="107"/>
      <c r="BO535" s="107"/>
      <c r="BP535" s="107"/>
      <c r="BQ535" s="107"/>
      <c r="BR535" s="107"/>
    </row>
    <row r="536" customFormat="false" ht="12.75" hidden="false" customHeight="false" outlineLevel="0" collapsed="false">
      <c r="A536" s="100"/>
      <c r="B536" s="100"/>
      <c r="C536" s="100"/>
      <c r="D536" s="100"/>
      <c r="E536" s="100"/>
      <c r="F536" s="277"/>
      <c r="H536" s="277"/>
      <c r="I536" s="277"/>
      <c r="J536" s="69"/>
      <c r="K536" s="277"/>
      <c r="L536" s="277"/>
      <c r="M536" s="277"/>
      <c r="N536" s="277"/>
      <c r="O536" s="277"/>
      <c r="P536" s="277"/>
      <c r="Q536" s="277"/>
      <c r="R536" s="277"/>
      <c r="T536" s="277"/>
      <c r="U536" s="277"/>
      <c r="W536" s="277"/>
      <c r="Y536" s="107"/>
      <c r="Z536" s="107"/>
      <c r="AA536" s="107"/>
      <c r="AB536" s="107"/>
      <c r="AC536" s="107"/>
      <c r="AD536" s="233"/>
      <c r="AE536" s="107"/>
      <c r="AF536" s="107"/>
      <c r="AG536" s="107"/>
      <c r="AH536" s="107"/>
      <c r="AI536" s="107"/>
      <c r="AJ536" s="107"/>
      <c r="AK536" s="107"/>
      <c r="AL536" s="107"/>
      <c r="AM536" s="304"/>
      <c r="AN536" s="304"/>
      <c r="AO536" s="304"/>
      <c r="AP536" s="304"/>
      <c r="AQ536" s="304"/>
      <c r="AR536" s="304"/>
      <c r="AS536" s="304"/>
      <c r="AT536" s="304"/>
      <c r="AU536" s="304"/>
      <c r="AV536" s="304"/>
      <c r="AW536" s="304"/>
      <c r="AX536" s="304"/>
      <c r="AY536" s="304"/>
      <c r="AZ536" s="304"/>
      <c r="BA536" s="304"/>
      <c r="BB536" s="107"/>
      <c r="BC536" s="107"/>
      <c r="BD536" s="107"/>
      <c r="BE536" s="107"/>
      <c r="BF536" s="107"/>
      <c r="BG536" s="107"/>
      <c r="BH536" s="107"/>
      <c r="BI536" s="107"/>
      <c r="BJ536" s="107"/>
      <c r="BK536" s="107"/>
      <c r="BL536" s="107"/>
      <c r="BM536" s="107"/>
      <c r="BN536" s="107"/>
      <c r="BO536" s="107"/>
      <c r="BP536" s="107"/>
      <c r="BQ536" s="107"/>
      <c r="BR536" s="107"/>
    </row>
    <row r="537" customFormat="false" ht="12.75" hidden="false" customHeight="false" outlineLevel="0" collapsed="false">
      <c r="A537" s="100"/>
      <c r="B537" s="100"/>
      <c r="C537" s="100"/>
      <c r="D537" s="100"/>
      <c r="E537" s="100"/>
      <c r="F537" s="277"/>
      <c r="H537" s="277"/>
      <c r="I537" s="277"/>
      <c r="J537" s="69"/>
      <c r="K537" s="277"/>
      <c r="L537" s="277"/>
      <c r="M537" s="277"/>
      <c r="N537" s="277"/>
      <c r="O537" s="277"/>
      <c r="P537" s="277"/>
      <c r="Q537" s="277"/>
      <c r="R537" s="277"/>
      <c r="T537" s="277"/>
      <c r="U537" s="277"/>
      <c r="W537" s="277"/>
      <c r="Y537" s="107"/>
      <c r="Z537" s="107"/>
      <c r="AA537" s="107"/>
      <c r="AB537" s="107"/>
      <c r="AC537" s="107"/>
      <c r="AD537" s="233"/>
      <c r="AE537" s="107"/>
      <c r="AF537" s="107"/>
      <c r="AG537" s="107"/>
      <c r="AH537" s="107"/>
      <c r="AI537" s="107"/>
      <c r="AJ537" s="107"/>
      <c r="AK537" s="107"/>
      <c r="AL537" s="107"/>
      <c r="AM537" s="304"/>
      <c r="AN537" s="304"/>
      <c r="AO537" s="304"/>
      <c r="AP537" s="304"/>
      <c r="AQ537" s="304"/>
      <c r="AR537" s="304"/>
      <c r="AS537" s="304"/>
      <c r="AT537" s="304"/>
      <c r="AU537" s="304"/>
      <c r="AV537" s="304"/>
      <c r="AW537" s="304"/>
      <c r="AX537" s="304"/>
      <c r="AY537" s="304"/>
      <c r="AZ537" s="304"/>
      <c r="BA537" s="304"/>
      <c r="BB537" s="107"/>
      <c r="BC537" s="107"/>
      <c r="BD537" s="107"/>
      <c r="BE537" s="107"/>
      <c r="BF537" s="107"/>
      <c r="BG537" s="107"/>
      <c r="BH537" s="107"/>
      <c r="BI537" s="107"/>
      <c r="BJ537" s="107"/>
      <c r="BK537" s="107"/>
      <c r="BL537" s="107"/>
      <c r="BM537" s="107"/>
      <c r="BN537" s="107"/>
      <c r="BO537" s="107"/>
      <c r="BP537" s="107"/>
      <c r="BQ537" s="107"/>
      <c r="BR537" s="107"/>
    </row>
    <row r="538" customFormat="false" ht="12.75" hidden="false" customHeight="false" outlineLevel="0" collapsed="false">
      <c r="A538" s="100"/>
      <c r="B538" s="100"/>
      <c r="C538" s="100"/>
      <c r="D538" s="100"/>
      <c r="E538" s="100"/>
      <c r="F538" s="277"/>
      <c r="H538" s="277"/>
      <c r="I538" s="277"/>
      <c r="J538" s="69"/>
      <c r="K538" s="277"/>
      <c r="L538" s="277"/>
      <c r="M538" s="277"/>
      <c r="N538" s="277"/>
      <c r="O538" s="277"/>
      <c r="P538" s="277"/>
      <c r="Q538" s="277"/>
      <c r="R538" s="277"/>
      <c r="T538" s="277"/>
      <c r="U538" s="277"/>
      <c r="W538" s="277"/>
      <c r="Y538" s="107"/>
      <c r="Z538" s="107"/>
      <c r="AA538" s="107"/>
      <c r="AB538" s="107"/>
      <c r="AC538" s="107"/>
      <c r="AD538" s="233"/>
      <c r="AE538" s="107"/>
      <c r="AF538" s="107"/>
      <c r="AG538" s="107"/>
      <c r="AH538" s="107"/>
      <c r="AI538" s="107"/>
      <c r="AJ538" s="107"/>
      <c r="AK538" s="107"/>
      <c r="AL538" s="107"/>
      <c r="AM538" s="304"/>
      <c r="AN538" s="304"/>
      <c r="AO538" s="304"/>
      <c r="AP538" s="304"/>
      <c r="AQ538" s="304"/>
      <c r="AR538" s="304"/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107"/>
      <c r="BC538" s="107"/>
      <c r="BD538" s="107"/>
      <c r="BE538" s="107"/>
      <c r="BF538" s="107"/>
      <c r="BG538" s="107"/>
      <c r="BH538" s="107"/>
      <c r="BI538" s="107"/>
      <c r="BJ538" s="107"/>
      <c r="BK538" s="107"/>
      <c r="BL538" s="107"/>
      <c r="BM538" s="107"/>
      <c r="BN538" s="107"/>
      <c r="BO538" s="107"/>
      <c r="BP538" s="107"/>
      <c r="BQ538" s="107"/>
      <c r="BR538" s="107"/>
    </row>
    <row r="539" customFormat="false" ht="12.75" hidden="false" customHeight="false" outlineLevel="0" collapsed="false">
      <c r="A539" s="100"/>
      <c r="B539" s="100"/>
      <c r="C539" s="100"/>
      <c r="D539" s="100"/>
      <c r="E539" s="100"/>
      <c r="F539" s="277"/>
      <c r="H539" s="277"/>
      <c r="I539" s="277"/>
      <c r="J539" s="69"/>
      <c r="K539" s="277"/>
      <c r="L539" s="277"/>
      <c r="M539" s="277"/>
      <c r="N539" s="277"/>
      <c r="O539" s="277"/>
      <c r="P539" s="277"/>
      <c r="Q539" s="277"/>
      <c r="R539" s="277"/>
      <c r="T539" s="277"/>
      <c r="U539" s="277"/>
      <c r="W539" s="277"/>
      <c r="Y539" s="107"/>
      <c r="Z539" s="107"/>
      <c r="AA539" s="107"/>
      <c r="AB539" s="107"/>
      <c r="AC539" s="107"/>
      <c r="AD539" s="233"/>
      <c r="AE539" s="107"/>
      <c r="AF539" s="107"/>
      <c r="AG539" s="107"/>
      <c r="AH539" s="107"/>
      <c r="AI539" s="107"/>
      <c r="AJ539" s="107"/>
      <c r="AK539" s="107"/>
      <c r="AL539" s="107"/>
      <c r="AM539" s="304"/>
      <c r="AN539" s="304"/>
      <c r="AO539" s="304"/>
      <c r="AP539" s="304"/>
      <c r="AQ539" s="304"/>
      <c r="AR539" s="304"/>
      <c r="AS539" s="304"/>
      <c r="AT539" s="304"/>
      <c r="AU539" s="304"/>
      <c r="AV539" s="304"/>
      <c r="AW539" s="304"/>
      <c r="AX539" s="304"/>
      <c r="AY539" s="304"/>
      <c r="AZ539" s="304"/>
      <c r="BA539" s="304"/>
      <c r="BB539" s="107"/>
      <c r="BC539" s="107"/>
      <c r="BD539" s="107"/>
      <c r="BE539" s="107"/>
      <c r="BF539" s="107"/>
      <c r="BG539" s="107"/>
      <c r="BH539" s="107"/>
      <c r="BI539" s="107"/>
      <c r="BJ539" s="107"/>
      <c r="BK539" s="107"/>
      <c r="BL539" s="107"/>
      <c r="BM539" s="107"/>
      <c r="BN539" s="107"/>
      <c r="BO539" s="107"/>
      <c r="BP539" s="107"/>
      <c r="BQ539" s="107"/>
      <c r="BR539" s="107"/>
    </row>
    <row r="540" customFormat="false" ht="12.75" hidden="false" customHeight="false" outlineLevel="0" collapsed="false">
      <c r="A540" s="100"/>
      <c r="B540" s="100"/>
      <c r="C540" s="100"/>
      <c r="D540" s="100"/>
      <c r="E540" s="100"/>
      <c r="F540" s="277"/>
      <c r="H540" s="277"/>
      <c r="I540" s="277"/>
      <c r="J540" s="69"/>
      <c r="K540" s="277"/>
      <c r="L540" s="277"/>
      <c r="M540" s="277"/>
      <c r="N540" s="277"/>
      <c r="O540" s="277"/>
      <c r="P540" s="277"/>
      <c r="Q540" s="277"/>
      <c r="R540" s="277"/>
      <c r="T540" s="277"/>
      <c r="U540" s="277"/>
      <c r="W540" s="277"/>
      <c r="Y540" s="107"/>
      <c r="Z540" s="107"/>
      <c r="AA540" s="107"/>
      <c r="AB540" s="107"/>
      <c r="AC540" s="107"/>
      <c r="AD540" s="233"/>
      <c r="AE540" s="107"/>
      <c r="AF540" s="107"/>
      <c r="AG540" s="107"/>
      <c r="AH540" s="107"/>
      <c r="AI540" s="107"/>
      <c r="AJ540" s="107"/>
      <c r="AK540" s="107"/>
      <c r="AL540" s="107"/>
      <c r="AM540" s="304"/>
      <c r="AN540" s="304"/>
      <c r="AO540" s="304"/>
      <c r="AP540" s="304"/>
      <c r="AQ540" s="304"/>
      <c r="AR540" s="304"/>
      <c r="AS540" s="304"/>
      <c r="AT540" s="304"/>
      <c r="AU540" s="304"/>
      <c r="AV540" s="304"/>
      <c r="AW540" s="304"/>
      <c r="AX540" s="304"/>
      <c r="AY540" s="304"/>
      <c r="AZ540" s="304"/>
      <c r="BA540" s="304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</row>
    <row r="541" customFormat="false" ht="12.75" hidden="false" customHeight="false" outlineLevel="0" collapsed="false">
      <c r="A541" s="100"/>
      <c r="B541" s="100"/>
      <c r="C541" s="100"/>
      <c r="D541" s="100"/>
      <c r="E541" s="100"/>
      <c r="F541" s="277"/>
      <c r="H541" s="277"/>
      <c r="I541" s="277"/>
      <c r="J541" s="69"/>
      <c r="K541" s="277"/>
      <c r="L541" s="277"/>
      <c r="M541" s="277"/>
      <c r="N541" s="277"/>
      <c r="O541" s="277"/>
      <c r="P541" s="277"/>
      <c r="Q541" s="277"/>
      <c r="R541" s="277"/>
      <c r="T541" s="277"/>
      <c r="U541" s="277"/>
      <c r="W541" s="277"/>
      <c r="Y541" s="107"/>
      <c r="Z541" s="107"/>
      <c r="AA541" s="107"/>
      <c r="AB541" s="107"/>
      <c r="AC541" s="107"/>
      <c r="AD541" s="233"/>
      <c r="AE541" s="107"/>
      <c r="AF541" s="107"/>
      <c r="AG541" s="107"/>
      <c r="AH541" s="107"/>
      <c r="AI541" s="107"/>
      <c r="AJ541" s="107"/>
      <c r="AK541" s="107"/>
      <c r="AL541" s="107"/>
      <c r="AM541" s="304"/>
      <c r="AN541" s="304"/>
      <c r="AO541" s="304"/>
      <c r="AP541" s="304"/>
      <c r="AQ541" s="304"/>
      <c r="AR541" s="304"/>
      <c r="AS541" s="304"/>
      <c r="AT541" s="304"/>
      <c r="AU541" s="304"/>
      <c r="AV541" s="304"/>
      <c r="AW541" s="304"/>
      <c r="AX541" s="304"/>
      <c r="AY541" s="304"/>
      <c r="AZ541" s="304"/>
      <c r="BA541" s="304"/>
      <c r="BB541" s="107"/>
      <c r="BC541" s="107"/>
      <c r="BD541" s="107"/>
      <c r="BE541" s="107"/>
      <c r="BF541" s="107"/>
      <c r="BG541" s="107"/>
      <c r="BH541" s="107"/>
      <c r="BI541" s="107"/>
      <c r="BJ541" s="107"/>
      <c r="BK541" s="107"/>
      <c r="BL541" s="107"/>
      <c r="BM541" s="107"/>
      <c r="BN541" s="107"/>
      <c r="BO541" s="107"/>
      <c r="BP541" s="107"/>
      <c r="BQ541" s="107"/>
      <c r="BR541" s="107"/>
    </row>
    <row r="542" customFormat="false" ht="12.75" hidden="false" customHeight="false" outlineLevel="0" collapsed="false">
      <c r="A542" s="100"/>
      <c r="B542" s="100"/>
      <c r="C542" s="100"/>
      <c r="D542" s="100"/>
      <c r="E542" s="100"/>
      <c r="F542" s="277"/>
      <c r="H542" s="277"/>
      <c r="I542" s="277"/>
      <c r="J542" s="69"/>
      <c r="K542" s="277"/>
      <c r="L542" s="277"/>
      <c r="M542" s="277"/>
      <c r="N542" s="277"/>
      <c r="O542" s="277"/>
      <c r="P542" s="277"/>
      <c r="Q542" s="277"/>
      <c r="R542" s="277"/>
      <c r="T542" s="277"/>
      <c r="U542" s="277"/>
      <c r="W542" s="277"/>
      <c r="Y542" s="107"/>
      <c r="Z542" s="107"/>
      <c r="AA542" s="107"/>
      <c r="AB542" s="107"/>
      <c r="AC542" s="107"/>
      <c r="AD542" s="233"/>
      <c r="AE542" s="107"/>
      <c r="AF542" s="107"/>
      <c r="AG542" s="107"/>
      <c r="AH542" s="107"/>
      <c r="AI542" s="107"/>
      <c r="AJ542" s="107"/>
      <c r="AK542" s="107"/>
      <c r="AL542" s="107"/>
      <c r="AM542" s="304"/>
      <c r="AN542" s="304"/>
      <c r="AO542" s="304"/>
      <c r="AP542" s="304"/>
      <c r="AQ542" s="304"/>
      <c r="AR542" s="304"/>
      <c r="AS542" s="304"/>
      <c r="AT542" s="304"/>
      <c r="AU542" s="304"/>
      <c r="AV542" s="304"/>
      <c r="AW542" s="304"/>
      <c r="AX542" s="304"/>
      <c r="AY542" s="304"/>
      <c r="AZ542" s="304"/>
      <c r="BA542" s="304"/>
      <c r="BB542" s="107"/>
      <c r="BC542" s="107"/>
      <c r="BD542" s="107"/>
      <c r="BE542" s="107"/>
      <c r="BF542" s="107"/>
      <c r="BG542" s="107"/>
      <c r="BH542" s="107"/>
      <c r="BI542" s="107"/>
      <c r="BJ542" s="107"/>
      <c r="BK542" s="107"/>
      <c r="BL542" s="107"/>
      <c r="BM542" s="107"/>
      <c r="BN542" s="107"/>
      <c r="BO542" s="107"/>
      <c r="BP542" s="107"/>
      <c r="BQ542" s="107"/>
      <c r="BR542" s="107"/>
    </row>
    <row r="543" customFormat="false" ht="12.75" hidden="false" customHeight="false" outlineLevel="0" collapsed="false">
      <c r="A543" s="100"/>
      <c r="B543" s="100"/>
      <c r="C543" s="100"/>
      <c r="D543" s="100"/>
      <c r="E543" s="100"/>
      <c r="F543" s="277"/>
      <c r="H543" s="277"/>
      <c r="I543" s="277"/>
      <c r="J543" s="69"/>
      <c r="K543" s="277"/>
      <c r="L543" s="277"/>
      <c r="M543" s="277"/>
      <c r="N543" s="277"/>
      <c r="O543" s="277"/>
      <c r="P543" s="277"/>
      <c r="Q543" s="277"/>
      <c r="R543" s="277"/>
      <c r="T543" s="277"/>
      <c r="U543" s="277"/>
      <c r="W543" s="277"/>
      <c r="Y543" s="107"/>
      <c r="Z543" s="107"/>
      <c r="AA543" s="107"/>
      <c r="AB543" s="107"/>
      <c r="AC543" s="107"/>
      <c r="AD543" s="233"/>
      <c r="AE543" s="107"/>
      <c r="AF543" s="107"/>
      <c r="AG543" s="107"/>
      <c r="AH543" s="107"/>
      <c r="AI543" s="107"/>
      <c r="AJ543" s="107"/>
      <c r="AK543" s="107"/>
      <c r="AL543" s="107"/>
      <c r="AM543" s="304"/>
      <c r="AN543" s="304"/>
      <c r="AO543" s="304"/>
      <c r="AP543" s="304"/>
      <c r="AQ543" s="304"/>
      <c r="AR543" s="304"/>
      <c r="AS543" s="304"/>
      <c r="AT543" s="304"/>
      <c r="AU543" s="304"/>
      <c r="AV543" s="304"/>
      <c r="AW543" s="304"/>
      <c r="AX543" s="304"/>
      <c r="AY543" s="304"/>
      <c r="AZ543" s="304"/>
      <c r="BA543" s="304"/>
      <c r="BB543" s="107"/>
      <c r="BC543" s="107"/>
      <c r="BD543" s="107"/>
      <c r="BE543" s="107"/>
      <c r="BF543" s="107"/>
      <c r="BG543" s="107"/>
      <c r="BH543" s="107"/>
      <c r="BI543" s="107"/>
      <c r="BJ543" s="107"/>
      <c r="BK543" s="107"/>
      <c r="BL543" s="107"/>
      <c r="BM543" s="107"/>
      <c r="BN543" s="107"/>
      <c r="BO543" s="107"/>
      <c r="BP543" s="107"/>
      <c r="BQ543" s="107"/>
      <c r="BR543" s="107"/>
    </row>
    <row r="544" customFormat="false" ht="12.75" hidden="false" customHeight="false" outlineLevel="0" collapsed="false">
      <c r="A544" s="100"/>
      <c r="B544" s="100"/>
      <c r="C544" s="100"/>
      <c r="D544" s="100"/>
      <c r="E544" s="100"/>
      <c r="F544" s="277"/>
      <c r="H544" s="277"/>
      <c r="I544" s="277"/>
      <c r="J544" s="69"/>
      <c r="K544" s="277"/>
      <c r="L544" s="277"/>
      <c r="M544" s="277"/>
      <c r="N544" s="277"/>
      <c r="O544" s="277"/>
      <c r="P544" s="277"/>
      <c r="Q544" s="277"/>
      <c r="R544" s="277"/>
      <c r="T544" s="277"/>
      <c r="U544" s="277"/>
      <c r="W544" s="277"/>
      <c r="Y544" s="107"/>
      <c r="Z544" s="107"/>
      <c r="AA544" s="107"/>
      <c r="AB544" s="107"/>
      <c r="AC544" s="107"/>
      <c r="AD544" s="233"/>
      <c r="AE544" s="107"/>
      <c r="AF544" s="107"/>
      <c r="AG544" s="107"/>
      <c r="AH544" s="107"/>
      <c r="AI544" s="107"/>
      <c r="AJ544" s="107"/>
      <c r="AK544" s="107"/>
      <c r="AL544" s="107"/>
      <c r="AM544" s="304"/>
      <c r="AN544" s="304"/>
      <c r="AO544" s="304"/>
      <c r="AP544" s="304"/>
      <c r="AQ544" s="304"/>
      <c r="AR544" s="304"/>
      <c r="AS544" s="304"/>
      <c r="AT544" s="304"/>
      <c r="AU544" s="304"/>
      <c r="AV544" s="304"/>
      <c r="AW544" s="304"/>
      <c r="AX544" s="304"/>
      <c r="AY544" s="304"/>
      <c r="AZ544" s="304"/>
      <c r="BA544" s="304"/>
      <c r="BB544" s="107"/>
      <c r="BC544" s="107"/>
      <c r="BD544" s="107"/>
      <c r="BE544" s="107"/>
      <c r="BF544" s="107"/>
      <c r="BG544" s="107"/>
      <c r="BH544" s="107"/>
      <c r="BI544" s="107"/>
      <c r="BJ544" s="107"/>
      <c r="BK544" s="107"/>
      <c r="BL544" s="107"/>
      <c r="BM544" s="107"/>
      <c r="BN544" s="107"/>
      <c r="BO544" s="107"/>
      <c r="BP544" s="107"/>
      <c r="BQ544" s="107"/>
      <c r="BR544" s="107"/>
    </row>
    <row r="545" customFormat="false" ht="12.75" hidden="false" customHeight="false" outlineLevel="0" collapsed="false">
      <c r="A545" s="100"/>
      <c r="B545" s="100"/>
      <c r="C545" s="100"/>
      <c r="D545" s="100"/>
      <c r="E545" s="100"/>
      <c r="F545" s="277"/>
      <c r="H545" s="277"/>
      <c r="I545" s="277"/>
      <c r="J545" s="69"/>
      <c r="K545" s="277"/>
      <c r="L545" s="277"/>
      <c r="M545" s="277"/>
      <c r="N545" s="277"/>
      <c r="O545" s="277"/>
      <c r="P545" s="277"/>
      <c r="Q545" s="277"/>
      <c r="R545" s="277"/>
      <c r="T545" s="277"/>
      <c r="U545" s="277"/>
      <c r="W545" s="277"/>
      <c r="Y545" s="107"/>
      <c r="Z545" s="107"/>
      <c r="AA545" s="107"/>
      <c r="AB545" s="107"/>
      <c r="AC545" s="107"/>
      <c r="AD545" s="233"/>
      <c r="AE545" s="107"/>
      <c r="AF545" s="107"/>
      <c r="AG545" s="107"/>
      <c r="AH545" s="107"/>
      <c r="AI545" s="107"/>
      <c r="AJ545" s="107"/>
      <c r="AK545" s="107"/>
      <c r="AL545" s="107"/>
      <c r="AM545" s="304"/>
      <c r="AN545" s="304"/>
      <c r="AO545" s="304"/>
      <c r="AP545" s="304"/>
      <c r="AQ545" s="304"/>
      <c r="AR545" s="304"/>
      <c r="AS545" s="304"/>
      <c r="AT545" s="304"/>
      <c r="AU545" s="304"/>
      <c r="AV545" s="304"/>
      <c r="AW545" s="304"/>
      <c r="AX545" s="304"/>
      <c r="AY545" s="304"/>
      <c r="AZ545" s="304"/>
      <c r="BA545" s="304"/>
      <c r="BB545" s="107"/>
      <c r="BC545" s="107"/>
      <c r="BD545" s="107"/>
      <c r="BE545" s="107"/>
      <c r="BF545" s="107"/>
      <c r="BG545" s="107"/>
      <c r="BH545" s="107"/>
      <c r="BI545" s="107"/>
      <c r="BJ545" s="107"/>
      <c r="BK545" s="107"/>
      <c r="BL545" s="107"/>
      <c r="BM545" s="107"/>
      <c r="BN545" s="107"/>
      <c r="BO545" s="107"/>
      <c r="BP545" s="107"/>
      <c r="BQ545" s="107"/>
      <c r="BR545" s="107"/>
    </row>
    <row r="546" customFormat="false" ht="12.75" hidden="false" customHeight="false" outlineLevel="0" collapsed="false">
      <c r="A546" s="100"/>
      <c r="B546" s="100"/>
      <c r="C546" s="100"/>
      <c r="D546" s="100"/>
      <c r="E546" s="100"/>
      <c r="F546" s="277"/>
      <c r="H546" s="277"/>
      <c r="I546" s="277"/>
      <c r="J546" s="69"/>
      <c r="K546" s="277"/>
      <c r="L546" s="277"/>
      <c r="M546" s="277"/>
      <c r="N546" s="277"/>
      <c r="O546" s="277"/>
      <c r="P546" s="277"/>
      <c r="Q546" s="277"/>
      <c r="R546" s="277"/>
      <c r="T546" s="277"/>
      <c r="U546" s="277"/>
      <c r="W546" s="277"/>
      <c r="Y546" s="107"/>
      <c r="Z546" s="107"/>
      <c r="AA546" s="107"/>
      <c r="AB546" s="107"/>
      <c r="AC546" s="107"/>
      <c r="AD546" s="233"/>
      <c r="AE546" s="107"/>
      <c r="AF546" s="107"/>
      <c r="AG546" s="107"/>
      <c r="AH546" s="107"/>
      <c r="AI546" s="107"/>
      <c r="AJ546" s="107"/>
      <c r="AK546" s="107"/>
      <c r="AL546" s="107"/>
      <c r="AM546" s="304"/>
      <c r="AN546" s="304"/>
      <c r="AO546" s="304"/>
      <c r="AP546" s="304"/>
      <c r="AQ546" s="304"/>
      <c r="AR546" s="304"/>
      <c r="AS546" s="304"/>
      <c r="AT546" s="304"/>
      <c r="AU546" s="304"/>
      <c r="AV546" s="304"/>
      <c r="AW546" s="304"/>
      <c r="AX546" s="304"/>
      <c r="AY546" s="304"/>
      <c r="AZ546" s="304"/>
      <c r="BA546" s="304"/>
      <c r="BB546" s="107"/>
      <c r="BC546" s="107"/>
      <c r="BD546" s="107"/>
      <c r="BE546" s="107"/>
      <c r="BF546" s="107"/>
      <c r="BG546" s="107"/>
      <c r="BH546" s="107"/>
      <c r="BI546" s="107"/>
      <c r="BJ546" s="107"/>
      <c r="BK546" s="107"/>
      <c r="BL546" s="107"/>
      <c r="BM546" s="107"/>
      <c r="BN546" s="107"/>
      <c r="BO546" s="107"/>
      <c r="BP546" s="107"/>
      <c r="BQ546" s="107"/>
      <c r="BR546" s="107"/>
    </row>
    <row r="547" customFormat="false" ht="12.75" hidden="false" customHeight="false" outlineLevel="0" collapsed="false">
      <c r="A547" s="100"/>
      <c r="B547" s="100"/>
      <c r="C547" s="100"/>
      <c r="D547" s="100"/>
      <c r="E547" s="100"/>
      <c r="F547" s="277"/>
      <c r="H547" s="277"/>
      <c r="I547" s="277"/>
      <c r="J547" s="69"/>
      <c r="K547" s="277"/>
      <c r="L547" s="277"/>
      <c r="M547" s="277"/>
      <c r="N547" s="277"/>
      <c r="O547" s="277"/>
      <c r="P547" s="277"/>
      <c r="Q547" s="277"/>
      <c r="R547" s="277"/>
      <c r="T547" s="277"/>
      <c r="U547" s="277"/>
      <c r="W547" s="277"/>
      <c r="Y547" s="107"/>
      <c r="Z547" s="107"/>
      <c r="AA547" s="107"/>
      <c r="AB547" s="107"/>
      <c r="AC547" s="107"/>
      <c r="AD547" s="233"/>
      <c r="AE547" s="107"/>
      <c r="AF547" s="107"/>
      <c r="AG547" s="107"/>
      <c r="AH547" s="107"/>
      <c r="AI547" s="107"/>
      <c r="AJ547" s="107"/>
      <c r="AK547" s="107"/>
      <c r="AL547" s="107"/>
      <c r="AM547" s="304"/>
      <c r="AN547" s="304"/>
      <c r="AO547" s="304"/>
      <c r="AP547" s="304"/>
      <c r="AQ547" s="304"/>
      <c r="AR547" s="304"/>
      <c r="AS547" s="304"/>
      <c r="AT547" s="304"/>
      <c r="AU547" s="304"/>
      <c r="AV547" s="304"/>
      <c r="AW547" s="304"/>
      <c r="AX547" s="304"/>
      <c r="AY547" s="304"/>
      <c r="AZ547" s="304"/>
      <c r="BA547" s="304"/>
      <c r="BB547" s="107"/>
      <c r="BC547" s="107"/>
      <c r="BD547" s="107"/>
      <c r="BE547" s="107"/>
      <c r="BF547" s="107"/>
      <c r="BG547" s="107"/>
      <c r="BH547" s="107"/>
      <c r="BI547" s="107"/>
      <c r="BJ547" s="107"/>
      <c r="BK547" s="107"/>
      <c r="BL547" s="107"/>
      <c r="BM547" s="107"/>
      <c r="BN547" s="107"/>
      <c r="BO547" s="107"/>
      <c r="BP547" s="107"/>
      <c r="BQ547" s="107"/>
      <c r="BR547" s="107"/>
    </row>
    <row r="548" customFormat="false" ht="12.75" hidden="false" customHeight="false" outlineLevel="0" collapsed="false">
      <c r="A548" s="100"/>
      <c r="B548" s="100"/>
      <c r="C548" s="100"/>
      <c r="D548" s="100"/>
      <c r="E548" s="100"/>
      <c r="F548" s="277"/>
      <c r="H548" s="277"/>
      <c r="I548" s="277"/>
      <c r="J548" s="69"/>
      <c r="K548" s="277"/>
      <c r="L548" s="277"/>
      <c r="M548" s="277"/>
      <c r="N548" s="277"/>
      <c r="O548" s="277"/>
      <c r="P548" s="277"/>
      <c r="Q548" s="277"/>
      <c r="R548" s="277"/>
      <c r="T548" s="277"/>
      <c r="U548" s="277"/>
      <c r="W548" s="277"/>
      <c r="Y548" s="107"/>
      <c r="Z548" s="107"/>
      <c r="AA548" s="107"/>
      <c r="AB548" s="107"/>
      <c r="AC548" s="107"/>
      <c r="AD548" s="233"/>
      <c r="AE548" s="107"/>
      <c r="AF548" s="107"/>
      <c r="AG548" s="107"/>
      <c r="AH548" s="107"/>
      <c r="AI548" s="107"/>
      <c r="AJ548" s="107"/>
      <c r="AK548" s="107"/>
      <c r="AL548" s="107"/>
      <c r="AM548" s="304"/>
      <c r="AN548" s="304"/>
      <c r="AO548" s="304"/>
      <c r="AP548" s="304"/>
      <c r="AQ548" s="304"/>
      <c r="AR548" s="304"/>
      <c r="AS548" s="304"/>
      <c r="AT548" s="304"/>
      <c r="AU548" s="304"/>
      <c r="AV548" s="304"/>
      <c r="AW548" s="304"/>
      <c r="AX548" s="304"/>
      <c r="AY548" s="304"/>
      <c r="AZ548" s="304"/>
      <c r="BA548" s="304"/>
      <c r="BB548" s="107"/>
      <c r="BC548" s="107"/>
      <c r="BD548" s="107"/>
      <c r="BE548" s="107"/>
      <c r="BF548" s="107"/>
      <c r="BG548" s="107"/>
      <c r="BH548" s="107"/>
      <c r="BI548" s="107"/>
      <c r="BJ548" s="107"/>
      <c r="BK548" s="107"/>
      <c r="BL548" s="107"/>
      <c r="BM548" s="107"/>
      <c r="BN548" s="107"/>
      <c r="BO548" s="107"/>
      <c r="BP548" s="107"/>
      <c r="BQ548" s="107"/>
      <c r="BR548" s="107"/>
    </row>
    <row r="549" customFormat="false" ht="12.75" hidden="false" customHeight="false" outlineLevel="0" collapsed="false">
      <c r="A549" s="100"/>
      <c r="B549" s="100"/>
      <c r="C549" s="100"/>
      <c r="D549" s="100"/>
      <c r="E549" s="100"/>
      <c r="F549" s="277"/>
      <c r="H549" s="277"/>
      <c r="I549" s="277"/>
      <c r="J549" s="69"/>
      <c r="K549" s="277"/>
      <c r="L549" s="277"/>
      <c r="M549" s="277"/>
      <c r="N549" s="277"/>
      <c r="O549" s="277"/>
      <c r="P549" s="277"/>
      <c r="Q549" s="277"/>
      <c r="R549" s="277"/>
      <c r="T549" s="277"/>
      <c r="U549" s="277"/>
      <c r="W549" s="277"/>
      <c r="Y549" s="107"/>
      <c r="Z549" s="107"/>
      <c r="AA549" s="107"/>
      <c r="AB549" s="107"/>
      <c r="AC549" s="107"/>
      <c r="AD549" s="233"/>
      <c r="AE549" s="107"/>
      <c r="AF549" s="107"/>
      <c r="AG549" s="107"/>
      <c r="AH549" s="107"/>
      <c r="AI549" s="107"/>
      <c r="AJ549" s="107"/>
      <c r="AK549" s="107"/>
      <c r="AL549" s="107"/>
      <c r="AM549" s="304"/>
      <c r="AN549" s="304"/>
      <c r="AO549" s="304"/>
      <c r="AP549" s="304"/>
      <c r="AQ549" s="304"/>
      <c r="AR549" s="304"/>
      <c r="AS549" s="304"/>
      <c r="AT549" s="304"/>
      <c r="AU549" s="304"/>
      <c r="AV549" s="304"/>
      <c r="AW549" s="304"/>
      <c r="AX549" s="304"/>
      <c r="AY549" s="304"/>
      <c r="AZ549" s="304"/>
      <c r="BA549" s="304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</row>
    <row r="550" customFormat="false" ht="12.75" hidden="false" customHeight="false" outlineLevel="0" collapsed="false">
      <c r="A550" s="100"/>
      <c r="B550" s="100"/>
      <c r="C550" s="100"/>
      <c r="D550" s="100"/>
      <c r="E550" s="100"/>
      <c r="F550" s="277"/>
      <c r="H550" s="277"/>
      <c r="I550" s="277"/>
      <c r="J550" s="69"/>
      <c r="K550" s="277"/>
      <c r="L550" s="277"/>
      <c r="M550" s="277"/>
      <c r="N550" s="277"/>
      <c r="O550" s="277"/>
      <c r="P550" s="277"/>
      <c r="Q550" s="277"/>
      <c r="R550" s="277"/>
      <c r="T550" s="277"/>
      <c r="U550" s="277"/>
      <c r="W550" s="277"/>
      <c r="Y550" s="107"/>
      <c r="Z550" s="107"/>
      <c r="AA550" s="107"/>
      <c r="AB550" s="107"/>
      <c r="AC550" s="107"/>
      <c r="AD550" s="233"/>
      <c r="AE550" s="107"/>
      <c r="AF550" s="107"/>
      <c r="AG550" s="107"/>
      <c r="AH550" s="107"/>
      <c r="AI550" s="107"/>
      <c r="AJ550" s="107"/>
      <c r="AK550" s="107"/>
      <c r="AL550" s="107"/>
      <c r="AM550" s="304"/>
      <c r="AN550" s="304"/>
      <c r="AO550" s="304"/>
      <c r="AP550" s="304"/>
      <c r="AQ550" s="304"/>
      <c r="AR550" s="304"/>
      <c r="AS550" s="304"/>
      <c r="AT550" s="304"/>
      <c r="AU550" s="304"/>
      <c r="AV550" s="304"/>
      <c r="AW550" s="304"/>
      <c r="AX550" s="304"/>
      <c r="AY550" s="304"/>
      <c r="AZ550" s="304"/>
      <c r="BA550" s="304"/>
      <c r="BB550" s="107"/>
      <c r="BC550" s="107"/>
      <c r="BD550" s="107"/>
      <c r="BE550" s="107"/>
      <c r="BF550" s="107"/>
      <c r="BG550" s="107"/>
      <c r="BH550" s="107"/>
      <c r="BI550" s="107"/>
      <c r="BJ550" s="107"/>
      <c r="BK550" s="107"/>
      <c r="BL550" s="107"/>
      <c r="BM550" s="107"/>
      <c r="BN550" s="107"/>
      <c r="BO550" s="107"/>
      <c r="BP550" s="107"/>
      <c r="BQ550" s="107"/>
      <c r="BR550" s="107"/>
    </row>
    <row r="551" customFormat="false" ht="12.75" hidden="false" customHeight="false" outlineLevel="0" collapsed="false">
      <c r="A551" s="100"/>
      <c r="B551" s="100"/>
      <c r="C551" s="100"/>
      <c r="D551" s="100"/>
      <c r="E551" s="100"/>
      <c r="F551" s="277"/>
      <c r="H551" s="277"/>
      <c r="I551" s="277"/>
      <c r="J551" s="69"/>
      <c r="K551" s="277"/>
      <c r="L551" s="277"/>
      <c r="M551" s="277"/>
      <c r="N551" s="277"/>
      <c r="O551" s="277"/>
      <c r="P551" s="277"/>
      <c r="Q551" s="277"/>
      <c r="R551" s="277"/>
      <c r="T551" s="277"/>
      <c r="U551" s="277"/>
      <c r="W551" s="277"/>
      <c r="Y551" s="107"/>
      <c r="Z551" s="107"/>
      <c r="AA551" s="107"/>
      <c r="AB551" s="107"/>
      <c r="AC551" s="107"/>
      <c r="AD551" s="233"/>
      <c r="AE551" s="107"/>
      <c r="AF551" s="107"/>
      <c r="AG551" s="107"/>
      <c r="AH551" s="107"/>
      <c r="AI551" s="107"/>
      <c r="AJ551" s="107"/>
      <c r="AK551" s="107"/>
      <c r="AL551" s="107"/>
      <c r="AM551" s="304"/>
      <c r="AN551" s="304"/>
      <c r="AO551" s="304"/>
      <c r="AP551" s="304"/>
      <c r="AQ551" s="304"/>
      <c r="AR551" s="304"/>
      <c r="AS551" s="304"/>
      <c r="AT551" s="304"/>
      <c r="AU551" s="304"/>
      <c r="AV551" s="304"/>
      <c r="AW551" s="304"/>
      <c r="AX551" s="304"/>
      <c r="AY551" s="304"/>
      <c r="AZ551" s="304"/>
      <c r="BA551" s="304"/>
      <c r="BB551" s="107"/>
      <c r="BC551" s="107"/>
      <c r="BD551" s="107"/>
      <c r="BE551" s="107"/>
      <c r="BF551" s="107"/>
      <c r="BG551" s="107"/>
      <c r="BH551" s="107"/>
      <c r="BI551" s="107"/>
      <c r="BJ551" s="107"/>
      <c r="BK551" s="107"/>
      <c r="BL551" s="107"/>
      <c r="BM551" s="107"/>
      <c r="BN551" s="107"/>
      <c r="BO551" s="107"/>
      <c r="BP551" s="107"/>
      <c r="BQ551" s="107"/>
      <c r="BR551" s="107"/>
    </row>
    <row r="552" customFormat="false" ht="12.75" hidden="false" customHeight="false" outlineLevel="0" collapsed="false">
      <c r="A552" s="100"/>
      <c r="B552" s="100"/>
      <c r="C552" s="100"/>
      <c r="D552" s="100"/>
      <c r="E552" s="100"/>
      <c r="F552" s="277"/>
      <c r="H552" s="277"/>
      <c r="I552" s="277"/>
      <c r="J552" s="69"/>
      <c r="K552" s="277"/>
      <c r="L552" s="277"/>
      <c r="M552" s="277"/>
      <c r="N552" s="277"/>
      <c r="O552" s="277"/>
      <c r="P552" s="277"/>
      <c r="Q552" s="277"/>
      <c r="R552" s="277"/>
      <c r="T552" s="277"/>
      <c r="U552" s="277"/>
      <c r="W552" s="277"/>
      <c r="Y552" s="107"/>
      <c r="Z552" s="107"/>
      <c r="AA552" s="107"/>
      <c r="AB552" s="107"/>
      <c r="AC552" s="107"/>
      <c r="AD552" s="233"/>
      <c r="AE552" s="107"/>
      <c r="AF552" s="107"/>
      <c r="AG552" s="107"/>
      <c r="AH552" s="107"/>
      <c r="AI552" s="107"/>
      <c r="AJ552" s="107"/>
      <c r="AK552" s="107"/>
      <c r="AL552" s="107"/>
      <c r="AM552" s="304"/>
      <c r="AN552" s="304"/>
      <c r="AO552" s="304"/>
      <c r="AP552" s="304"/>
      <c r="AQ552" s="304"/>
      <c r="AR552" s="304"/>
      <c r="AS552" s="304"/>
      <c r="AT552" s="304"/>
      <c r="AU552" s="304"/>
      <c r="AV552" s="304"/>
      <c r="AW552" s="304"/>
      <c r="AX552" s="304"/>
      <c r="AY552" s="304"/>
      <c r="AZ552" s="304"/>
      <c r="BA552" s="304"/>
      <c r="BB552" s="107"/>
      <c r="BC552" s="107"/>
      <c r="BD552" s="107"/>
      <c r="BE552" s="107"/>
      <c r="BF552" s="107"/>
      <c r="BG552" s="107"/>
      <c r="BH552" s="107"/>
      <c r="BI552" s="107"/>
      <c r="BJ552" s="107"/>
      <c r="BK552" s="107"/>
      <c r="BL552" s="107"/>
      <c r="BM552" s="107"/>
      <c r="BN552" s="107"/>
      <c r="BO552" s="107"/>
      <c r="BP552" s="107"/>
      <c r="BQ552" s="107"/>
      <c r="BR552" s="107"/>
    </row>
    <row r="553" customFormat="false" ht="12.75" hidden="false" customHeight="false" outlineLevel="0" collapsed="false">
      <c r="A553" s="100"/>
      <c r="B553" s="100"/>
      <c r="C553" s="100"/>
      <c r="D553" s="100"/>
      <c r="E553" s="100"/>
      <c r="F553" s="277"/>
      <c r="H553" s="277"/>
      <c r="I553" s="277"/>
      <c r="J553" s="69"/>
      <c r="K553" s="277"/>
      <c r="L553" s="277"/>
      <c r="M553" s="277"/>
      <c r="N553" s="277"/>
      <c r="O553" s="277"/>
      <c r="P553" s="277"/>
      <c r="Q553" s="277"/>
      <c r="R553" s="277"/>
      <c r="T553" s="277"/>
      <c r="U553" s="277"/>
      <c r="W553" s="277"/>
      <c r="Y553" s="107"/>
      <c r="Z553" s="107"/>
      <c r="AA553" s="107"/>
      <c r="AB553" s="107"/>
      <c r="AC553" s="107"/>
      <c r="AD553" s="233"/>
      <c r="AE553" s="107"/>
      <c r="AF553" s="107"/>
      <c r="AG553" s="107"/>
      <c r="AH553" s="107"/>
      <c r="AI553" s="107"/>
      <c r="AJ553" s="107"/>
      <c r="AK553" s="107"/>
      <c r="AL553" s="107"/>
      <c r="AM553" s="304"/>
      <c r="AN553" s="304"/>
      <c r="AO553" s="304"/>
      <c r="AP553" s="304"/>
      <c r="AQ553" s="304"/>
      <c r="AR553" s="304"/>
      <c r="AS553" s="304"/>
      <c r="AT553" s="304"/>
      <c r="AU553" s="304"/>
      <c r="AV553" s="304"/>
      <c r="AW553" s="304"/>
      <c r="AX553" s="304"/>
      <c r="AY553" s="304"/>
      <c r="AZ553" s="304"/>
      <c r="BA553" s="304"/>
      <c r="BB553" s="107"/>
      <c r="BC553" s="107"/>
      <c r="BD553" s="107"/>
      <c r="BE553" s="107"/>
      <c r="BF553" s="107"/>
      <c r="BG553" s="107"/>
      <c r="BH553" s="107"/>
      <c r="BI553" s="107"/>
      <c r="BJ553" s="107"/>
      <c r="BK553" s="107"/>
      <c r="BL553" s="107"/>
      <c r="BM553" s="107"/>
      <c r="BN553" s="107"/>
      <c r="BO553" s="107"/>
      <c r="BP553" s="107"/>
      <c r="BQ553" s="107"/>
      <c r="BR553" s="107"/>
    </row>
    <row r="554" customFormat="false" ht="12.75" hidden="false" customHeight="false" outlineLevel="0" collapsed="false">
      <c r="A554" s="100"/>
      <c r="B554" s="100"/>
      <c r="C554" s="100"/>
      <c r="D554" s="100"/>
      <c r="E554" s="100"/>
      <c r="F554" s="277"/>
      <c r="H554" s="277"/>
      <c r="I554" s="277"/>
      <c r="J554" s="69"/>
      <c r="K554" s="277"/>
      <c r="L554" s="277"/>
      <c r="M554" s="277"/>
      <c r="N554" s="277"/>
      <c r="O554" s="277"/>
      <c r="P554" s="277"/>
      <c r="Q554" s="277"/>
      <c r="R554" s="277"/>
      <c r="T554" s="277"/>
      <c r="U554" s="277"/>
      <c r="W554" s="277"/>
      <c r="Y554" s="107"/>
      <c r="Z554" s="107"/>
      <c r="AA554" s="107"/>
      <c r="AB554" s="107"/>
      <c r="AC554" s="107"/>
      <c r="AD554" s="233"/>
      <c r="AE554" s="107"/>
      <c r="AF554" s="107"/>
      <c r="AG554" s="107"/>
      <c r="AH554" s="107"/>
      <c r="AI554" s="107"/>
      <c r="AJ554" s="107"/>
      <c r="AK554" s="107"/>
      <c r="AL554" s="107"/>
      <c r="AM554" s="304"/>
      <c r="AN554" s="304"/>
      <c r="AO554" s="304"/>
      <c r="AP554" s="304"/>
      <c r="AQ554" s="304"/>
      <c r="AR554" s="304"/>
      <c r="AS554" s="304"/>
      <c r="AT554" s="304"/>
      <c r="AU554" s="304"/>
      <c r="AV554" s="304"/>
      <c r="AW554" s="304"/>
      <c r="AX554" s="304"/>
      <c r="AY554" s="304"/>
      <c r="AZ554" s="304"/>
      <c r="BA554" s="304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</row>
    <row r="555" customFormat="false" ht="12.75" hidden="false" customHeight="false" outlineLevel="0" collapsed="false">
      <c r="A555" s="100"/>
      <c r="B555" s="100"/>
      <c r="C555" s="100"/>
      <c r="D555" s="100"/>
      <c r="E555" s="100"/>
      <c r="F555" s="277"/>
      <c r="H555" s="277"/>
      <c r="I555" s="277"/>
      <c r="J555" s="69"/>
      <c r="K555" s="277"/>
      <c r="L555" s="277"/>
      <c r="M555" s="277"/>
      <c r="N555" s="277"/>
      <c r="O555" s="277"/>
      <c r="P555" s="277"/>
      <c r="Q555" s="277"/>
      <c r="R555" s="277"/>
      <c r="T555" s="277"/>
      <c r="U555" s="277"/>
      <c r="W555" s="277"/>
      <c r="Y555" s="107"/>
      <c r="Z555" s="107"/>
      <c r="AA555" s="107"/>
      <c r="AB555" s="107"/>
      <c r="AC555" s="107"/>
      <c r="AD555" s="233"/>
      <c r="AE555" s="107"/>
      <c r="AF555" s="107"/>
      <c r="AG555" s="107"/>
      <c r="AH555" s="107"/>
      <c r="AI555" s="107"/>
      <c r="AJ555" s="107"/>
      <c r="AK555" s="107"/>
      <c r="AL555" s="107"/>
      <c r="AM555" s="304"/>
      <c r="AN555" s="304"/>
      <c r="AO555" s="304"/>
      <c r="AP555" s="304"/>
      <c r="AQ555" s="304"/>
      <c r="AR555" s="304"/>
      <c r="AS555" s="304"/>
      <c r="AT555" s="304"/>
      <c r="AU555" s="304"/>
      <c r="AV555" s="304"/>
      <c r="AW555" s="304"/>
      <c r="AX555" s="304"/>
      <c r="AY555" s="304"/>
      <c r="AZ555" s="304"/>
      <c r="BA555" s="304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107"/>
      <c r="BL555" s="107"/>
      <c r="BM555" s="107"/>
      <c r="BN555" s="107"/>
      <c r="BO555" s="107"/>
      <c r="BP555" s="107"/>
      <c r="BQ555" s="107"/>
      <c r="BR555" s="107"/>
    </row>
    <row r="556" customFormat="false" ht="12.75" hidden="false" customHeight="false" outlineLevel="0" collapsed="false">
      <c r="A556" s="100"/>
      <c r="B556" s="100"/>
      <c r="C556" s="100"/>
      <c r="D556" s="100"/>
      <c r="E556" s="100"/>
      <c r="F556" s="277"/>
      <c r="H556" s="277"/>
      <c r="I556" s="277"/>
      <c r="J556" s="69"/>
      <c r="K556" s="277"/>
      <c r="L556" s="277"/>
      <c r="M556" s="277"/>
      <c r="N556" s="277"/>
      <c r="O556" s="277"/>
      <c r="P556" s="277"/>
      <c r="Q556" s="277"/>
      <c r="R556" s="277"/>
      <c r="T556" s="277"/>
      <c r="U556" s="277"/>
      <c r="W556" s="277"/>
      <c r="Y556" s="107"/>
      <c r="Z556" s="107"/>
      <c r="AA556" s="107"/>
      <c r="AB556" s="107"/>
      <c r="AC556" s="107"/>
      <c r="AD556" s="233"/>
      <c r="AE556" s="107"/>
      <c r="AF556" s="107"/>
      <c r="AG556" s="107"/>
      <c r="AH556" s="107"/>
      <c r="AI556" s="107"/>
      <c r="AJ556" s="107"/>
      <c r="AK556" s="107"/>
      <c r="AL556" s="107"/>
      <c r="AM556" s="304"/>
      <c r="AN556" s="304"/>
      <c r="AO556" s="304"/>
      <c r="AP556" s="304"/>
      <c r="AQ556" s="304"/>
      <c r="AR556" s="304"/>
      <c r="AS556" s="304"/>
      <c r="AT556" s="304"/>
      <c r="AU556" s="304"/>
      <c r="AV556" s="304"/>
      <c r="AW556" s="304"/>
      <c r="AX556" s="304"/>
      <c r="AY556" s="304"/>
      <c r="AZ556" s="304"/>
      <c r="BA556" s="304"/>
      <c r="BB556" s="107"/>
      <c r="BC556" s="107"/>
      <c r="BD556" s="107"/>
      <c r="BE556" s="107"/>
      <c r="BF556" s="107"/>
      <c r="BG556" s="107"/>
      <c r="BH556" s="107"/>
      <c r="BI556" s="107"/>
      <c r="BJ556" s="107"/>
      <c r="BK556" s="107"/>
      <c r="BL556" s="107"/>
      <c r="BM556" s="107"/>
      <c r="BN556" s="107"/>
      <c r="BO556" s="107"/>
      <c r="BP556" s="107"/>
      <c r="BQ556" s="107"/>
      <c r="BR556" s="107"/>
    </row>
    <row r="557" customFormat="false" ht="12.75" hidden="false" customHeight="false" outlineLevel="0" collapsed="false">
      <c r="A557" s="100"/>
      <c r="B557" s="100"/>
      <c r="C557" s="100"/>
      <c r="D557" s="100"/>
      <c r="E557" s="100"/>
      <c r="F557" s="277"/>
      <c r="H557" s="277"/>
      <c r="I557" s="277"/>
      <c r="J557" s="69"/>
      <c r="K557" s="277"/>
      <c r="L557" s="277"/>
      <c r="M557" s="277"/>
      <c r="N557" s="277"/>
      <c r="O557" s="277"/>
      <c r="P557" s="277"/>
      <c r="Q557" s="277"/>
      <c r="R557" s="277"/>
      <c r="T557" s="277"/>
      <c r="U557" s="277"/>
      <c r="W557" s="277"/>
      <c r="Y557" s="107"/>
      <c r="Z557" s="107"/>
      <c r="AA557" s="107"/>
      <c r="AB557" s="107"/>
      <c r="AC557" s="107"/>
      <c r="AD557" s="233"/>
      <c r="AE557" s="107"/>
      <c r="AF557" s="107"/>
      <c r="AG557" s="107"/>
      <c r="AH557" s="107"/>
      <c r="AI557" s="107"/>
      <c r="AJ557" s="107"/>
      <c r="AK557" s="107"/>
      <c r="AL557" s="107"/>
      <c r="AM557" s="304"/>
      <c r="AN557" s="304"/>
      <c r="AO557" s="304"/>
      <c r="AP557" s="304"/>
      <c r="AQ557" s="304"/>
      <c r="AR557" s="304"/>
      <c r="AS557" s="304"/>
      <c r="AT557" s="304"/>
      <c r="AU557" s="304"/>
      <c r="AV557" s="304"/>
      <c r="AW557" s="304"/>
      <c r="AX557" s="304"/>
      <c r="AY557" s="304"/>
      <c r="AZ557" s="304"/>
      <c r="BA557" s="304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</row>
    <row r="558" customFormat="false" ht="12.75" hidden="false" customHeight="false" outlineLevel="0" collapsed="false">
      <c r="A558" s="100"/>
      <c r="B558" s="100"/>
      <c r="C558" s="100"/>
      <c r="D558" s="100"/>
      <c r="E558" s="100"/>
      <c r="F558" s="277"/>
      <c r="H558" s="277"/>
      <c r="I558" s="277"/>
      <c r="J558" s="69"/>
      <c r="K558" s="277"/>
      <c r="L558" s="277"/>
      <c r="M558" s="277"/>
      <c r="N558" s="277"/>
      <c r="O558" s="277"/>
      <c r="P558" s="277"/>
      <c r="Q558" s="277"/>
      <c r="R558" s="277"/>
      <c r="T558" s="277"/>
      <c r="U558" s="277"/>
      <c r="W558" s="277"/>
      <c r="Y558" s="107"/>
      <c r="Z558" s="107"/>
      <c r="AA558" s="107"/>
      <c r="AB558" s="107"/>
      <c r="AC558" s="107"/>
      <c r="AD558" s="233"/>
      <c r="AE558" s="107"/>
      <c r="AF558" s="107"/>
      <c r="AG558" s="107"/>
      <c r="AH558" s="107"/>
      <c r="AI558" s="107"/>
      <c r="AJ558" s="107"/>
      <c r="AK558" s="107"/>
      <c r="AL558" s="107"/>
      <c r="AM558" s="304"/>
      <c r="AN558" s="304"/>
      <c r="AO558" s="304"/>
      <c r="AP558" s="304"/>
      <c r="AQ558" s="304"/>
      <c r="AR558" s="304"/>
      <c r="AS558" s="304"/>
      <c r="AT558" s="304"/>
      <c r="AU558" s="304"/>
      <c r="AV558" s="304"/>
      <c r="AW558" s="304"/>
      <c r="AX558" s="304"/>
      <c r="AY558" s="304"/>
      <c r="AZ558" s="304"/>
      <c r="BA558" s="304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</row>
    <row r="559" customFormat="false" ht="12.75" hidden="false" customHeight="false" outlineLevel="0" collapsed="false">
      <c r="A559" s="100"/>
      <c r="B559" s="100"/>
      <c r="C559" s="100"/>
      <c r="D559" s="100"/>
      <c r="E559" s="100"/>
      <c r="F559" s="277"/>
      <c r="H559" s="277"/>
      <c r="I559" s="277"/>
      <c r="J559" s="69"/>
      <c r="K559" s="277"/>
      <c r="L559" s="277"/>
      <c r="M559" s="277"/>
      <c r="N559" s="277"/>
      <c r="O559" s="277"/>
      <c r="P559" s="277"/>
      <c r="Q559" s="277"/>
      <c r="R559" s="277"/>
      <c r="T559" s="277"/>
      <c r="U559" s="277"/>
      <c r="W559" s="277"/>
      <c r="Y559" s="107"/>
      <c r="Z559" s="107"/>
      <c r="AA559" s="107"/>
      <c r="AB559" s="107"/>
      <c r="AC559" s="107"/>
      <c r="AD559" s="233"/>
      <c r="AE559" s="107"/>
      <c r="AF559" s="107"/>
      <c r="AG559" s="107"/>
      <c r="AH559" s="107"/>
      <c r="AI559" s="107"/>
      <c r="AJ559" s="107"/>
      <c r="AK559" s="107"/>
      <c r="AL559" s="107"/>
      <c r="AM559" s="304"/>
      <c r="AN559" s="304"/>
      <c r="AO559" s="304"/>
      <c r="AP559" s="304"/>
      <c r="AQ559" s="304"/>
      <c r="AR559" s="304"/>
      <c r="AS559" s="304"/>
      <c r="AT559" s="304"/>
      <c r="AU559" s="304"/>
      <c r="AV559" s="304"/>
      <c r="AW559" s="304"/>
      <c r="AX559" s="304"/>
      <c r="AY559" s="304"/>
      <c r="AZ559" s="304"/>
      <c r="BA559" s="304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</row>
    <row r="560" customFormat="false" ht="12.75" hidden="false" customHeight="false" outlineLevel="0" collapsed="false">
      <c r="A560" s="100"/>
      <c r="B560" s="100"/>
      <c r="C560" s="100"/>
      <c r="D560" s="100"/>
      <c r="E560" s="100"/>
      <c r="F560" s="277"/>
      <c r="H560" s="277"/>
      <c r="I560" s="277"/>
      <c r="J560" s="69"/>
      <c r="K560" s="277"/>
      <c r="L560" s="277"/>
      <c r="M560" s="277"/>
      <c r="N560" s="277"/>
      <c r="O560" s="277"/>
      <c r="P560" s="277"/>
      <c r="Q560" s="277"/>
      <c r="R560" s="277"/>
      <c r="T560" s="277"/>
      <c r="U560" s="277"/>
      <c r="W560" s="277"/>
      <c r="Y560" s="107"/>
      <c r="Z560" s="107"/>
      <c r="AA560" s="107"/>
      <c r="AB560" s="107"/>
      <c r="AC560" s="107"/>
      <c r="AD560" s="233"/>
      <c r="AE560" s="107"/>
      <c r="AF560" s="107"/>
      <c r="AG560" s="107"/>
      <c r="AH560" s="107"/>
      <c r="AI560" s="107"/>
      <c r="AJ560" s="107"/>
      <c r="AK560" s="107"/>
      <c r="AL560" s="107"/>
      <c r="AM560" s="304"/>
      <c r="AN560" s="304"/>
      <c r="AO560" s="304"/>
      <c r="AP560" s="304"/>
      <c r="AQ560" s="304"/>
      <c r="AR560" s="304"/>
      <c r="AS560" s="304"/>
      <c r="AT560" s="304"/>
      <c r="AU560" s="304"/>
      <c r="AV560" s="304"/>
      <c r="AW560" s="304"/>
      <c r="AX560" s="304"/>
      <c r="AY560" s="304"/>
      <c r="AZ560" s="304"/>
      <c r="BA560" s="304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</row>
    <row r="561" customFormat="false" ht="12.75" hidden="false" customHeight="false" outlineLevel="0" collapsed="false">
      <c r="A561" s="100"/>
      <c r="B561" s="100"/>
      <c r="C561" s="100"/>
      <c r="D561" s="100"/>
      <c r="E561" s="100"/>
      <c r="F561" s="277"/>
      <c r="H561" s="277"/>
      <c r="I561" s="277"/>
      <c r="J561" s="69"/>
      <c r="K561" s="277"/>
      <c r="L561" s="277"/>
      <c r="M561" s="277"/>
      <c r="N561" s="277"/>
      <c r="O561" s="277"/>
      <c r="P561" s="277"/>
      <c r="Q561" s="277"/>
      <c r="R561" s="277"/>
      <c r="T561" s="277"/>
      <c r="U561" s="277"/>
      <c r="W561" s="277"/>
      <c r="Y561" s="107"/>
      <c r="Z561" s="107"/>
      <c r="AA561" s="107"/>
      <c r="AB561" s="107"/>
      <c r="AC561" s="107"/>
      <c r="AD561" s="233"/>
      <c r="AE561" s="107"/>
      <c r="AF561" s="107"/>
      <c r="AG561" s="107"/>
      <c r="AH561" s="107"/>
      <c r="AI561" s="107"/>
      <c r="AJ561" s="107"/>
      <c r="AK561" s="107"/>
      <c r="AL561" s="107"/>
      <c r="AM561" s="304"/>
      <c r="AN561" s="304"/>
      <c r="AO561" s="304"/>
      <c r="AP561" s="304"/>
      <c r="AQ561" s="304"/>
      <c r="AR561" s="304"/>
      <c r="AS561" s="304"/>
      <c r="AT561" s="304"/>
      <c r="AU561" s="304"/>
      <c r="AV561" s="304"/>
      <c r="AW561" s="304"/>
      <c r="AX561" s="304"/>
      <c r="AY561" s="304"/>
      <c r="AZ561" s="304"/>
      <c r="BA561" s="304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</row>
    <row r="562" customFormat="false" ht="12.75" hidden="false" customHeight="false" outlineLevel="0" collapsed="false">
      <c r="A562" s="100"/>
      <c r="B562" s="100"/>
      <c r="C562" s="100"/>
      <c r="D562" s="100"/>
      <c r="E562" s="100"/>
      <c r="F562" s="277"/>
      <c r="H562" s="277"/>
      <c r="I562" s="277"/>
      <c r="J562" s="69"/>
      <c r="K562" s="277"/>
      <c r="L562" s="277"/>
      <c r="M562" s="277"/>
      <c r="N562" s="277"/>
      <c r="O562" s="277"/>
      <c r="P562" s="277"/>
      <c r="Q562" s="277"/>
      <c r="R562" s="277"/>
      <c r="T562" s="277"/>
      <c r="U562" s="277"/>
      <c r="W562" s="277"/>
      <c r="Y562" s="107"/>
      <c r="Z562" s="107"/>
      <c r="AA562" s="107"/>
      <c r="AB562" s="107"/>
      <c r="AC562" s="107"/>
      <c r="AD562" s="233"/>
      <c r="AE562" s="107"/>
      <c r="AF562" s="107"/>
      <c r="AG562" s="107"/>
      <c r="AH562" s="107"/>
      <c r="AI562" s="107"/>
      <c r="AJ562" s="107"/>
      <c r="AK562" s="107"/>
      <c r="AL562" s="107"/>
      <c r="AM562" s="304"/>
      <c r="AN562" s="304"/>
      <c r="AO562" s="304"/>
      <c r="AP562" s="304"/>
      <c r="AQ562" s="304"/>
      <c r="AR562" s="304"/>
      <c r="AS562" s="304"/>
      <c r="AT562" s="304"/>
      <c r="AU562" s="304"/>
      <c r="AV562" s="304"/>
      <c r="AW562" s="304"/>
      <c r="AX562" s="304"/>
      <c r="AY562" s="304"/>
      <c r="AZ562" s="304"/>
      <c r="BA562" s="304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</row>
    <row r="563" customFormat="false" ht="12.75" hidden="false" customHeight="false" outlineLevel="0" collapsed="false">
      <c r="A563" s="100"/>
      <c r="B563" s="100"/>
      <c r="C563" s="100"/>
      <c r="D563" s="100"/>
      <c r="E563" s="100"/>
      <c r="F563" s="277"/>
      <c r="H563" s="277"/>
      <c r="I563" s="277"/>
      <c r="J563" s="69"/>
      <c r="K563" s="277"/>
      <c r="L563" s="277"/>
      <c r="M563" s="277"/>
      <c r="N563" s="277"/>
      <c r="O563" s="277"/>
      <c r="P563" s="277"/>
      <c r="Q563" s="277"/>
      <c r="R563" s="277"/>
      <c r="T563" s="277"/>
      <c r="U563" s="277"/>
      <c r="W563" s="277"/>
      <c r="Y563" s="107"/>
      <c r="Z563" s="107"/>
      <c r="AA563" s="107"/>
      <c r="AB563" s="107"/>
      <c r="AC563" s="107"/>
      <c r="AD563" s="233"/>
      <c r="AE563" s="107"/>
      <c r="AF563" s="107"/>
      <c r="AG563" s="107"/>
      <c r="AH563" s="107"/>
      <c r="AI563" s="107"/>
      <c r="AJ563" s="107"/>
      <c r="AK563" s="107"/>
      <c r="AL563" s="107"/>
      <c r="AM563" s="304"/>
      <c r="AN563" s="304"/>
      <c r="AO563" s="304"/>
      <c r="AP563" s="304"/>
      <c r="AQ563" s="304"/>
      <c r="AR563" s="304"/>
      <c r="AS563" s="304"/>
      <c r="AT563" s="304"/>
      <c r="AU563" s="304"/>
      <c r="AV563" s="304"/>
      <c r="AW563" s="304"/>
      <c r="AX563" s="304"/>
      <c r="AY563" s="304"/>
      <c r="AZ563" s="304"/>
      <c r="BA563" s="304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</row>
    <row r="564" customFormat="false" ht="12.75" hidden="false" customHeight="false" outlineLevel="0" collapsed="false">
      <c r="A564" s="100"/>
      <c r="B564" s="100"/>
      <c r="C564" s="100"/>
      <c r="D564" s="100"/>
      <c r="E564" s="100"/>
      <c r="F564" s="277"/>
      <c r="H564" s="277"/>
      <c r="I564" s="277"/>
      <c r="J564" s="69"/>
      <c r="K564" s="277"/>
      <c r="L564" s="277"/>
      <c r="M564" s="277"/>
      <c r="N564" s="277"/>
      <c r="O564" s="277"/>
      <c r="P564" s="277"/>
      <c r="Q564" s="277"/>
      <c r="R564" s="277"/>
      <c r="T564" s="277"/>
      <c r="U564" s="277"/>
      <c r="W564" s="277"/>
      <c r="Y564" s="107"/>
      <c r="Z564" s="107"/>
      <c r="AA564" s="107"/>
      <c r="AB564" s="107"/>
      <c r="AC564" s="107"/>
      <c r="AD564" s="233"/>
      <c r="AE564" s="107"/>
      <c r="AF564" s="107"/>
      <c r="AG564" s="107"/>
      <c r="AH564" s="107"/>
      <c r="AI564" s="107"/>
      <c r="AJ564" s="107"/>
      <c r="AK564" s="107"/>
      <c r="AL564" s="107"/>
      <c r="AM564" s="304"/>
      <c r="AN564" s="304"/>
      <c r="AO564" s="304"/>
      <c r="AP564" s="304"/>
      <c r="AQ564" s="304"/>
      <c r="AR564" s="304"/>
      <c r="AS564" s="304"/>
      <c r="AT564" s="304"/>
      <c r="AU564" s="304"/>
      <c r="AV564" s="304"/>
      <c r="AW564" s="304"/>
      <c r="AX564" s="304"/>
      <c r="AY564" s="304"/>
      <c r="AZ564" s="304"/>
      <c r="BA564" s="304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</row>
    <row r="565" customFormat="false" ht="12.75" hidden="false" customHeight="false" outlineLevel="0" collapsed="false">
      <c r="A565" s="100"/>
      <c r="B565" s="100"/>
      <c r="C565" s="100"/>
      <c r="D565" s="100"/>
      <c r="E565" s="100"/>
      <c r="F565" s="277"/>
      <c r="H565" s="277"/>
      <c r="I565" s="277"/>
      <c r="J565" s="69"/>
      <c r="K565" s="277"/>
      <c r="L565" s="277"/>
      <c r="M565" s="277"/>
      <c r="N565" s="277"/>
      <c r="O565" s="277"/>
      <c r="P565" s="277"/>
      <c r="Q565" s="277"/>
      <c r="R565" s="277"/>
      <c r="T565" s="277"/>
      <c r="U565" s="277"/>
      <c r="W565" s="277"/>
      <c r="Y565" s="107"/>
      <c r="Z565" s="107"/>
      <c r="AA565" s="107"/>
      <c r="AB565" s="107"/>
      <c r="AC565" s="107"/>
      <c r="AD565" s="233"/>
      <c r="AE565" s="107"/>
      <c r="AF565" s="107"/>
      <c r="AG565" s="107"/>
      <c r="AH565" s="107"/>
      <c r="AI565" s="107"/>
      <c r="AJ565" s="107"/>
      <c r="AK565" s="107"/>
      <c r="AL565" s="107"/>
      <c r="AM565" s="304"/>
      <c r="AN565" s="304"/>
      <c r="AO565" s="304"/>
      <c r="AP565" s="304"/>
      <c r="AQ565" s="304"/>
      <c r="AR565" s="304"/>
      <c r="AS565" s="304"/>
      <c r="AT565" s="304"/>
      <c r="AU565" s="304"/>
      <c r="AV565" s="304"/>
      <c r="AW565" s="304"/>
      <c r="AX565" s="304"/>
      <c r="AY565" s="304"/>
      <c r="AZ565" s="304"/>
      <c r="BA565" s="304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</row>
    <row r="566" customFormat="false" ht="12.75" hidden="false" customHeight="false" outlineLevel="0" collapsed="false">
      <c r="A566" s="100"/>
      <c r="B566" s="100"/>
      <c r="C566" s="100"/>
      <c r="D566" s="100"/>
      <c r="E566" s="100"/>
      <c r="F566" s="277"/>
      <c r="H566" s="277"/>
      <c r="I566" s="277"/>
      <c r="J566" s="69"/>
      <c r="K566" s="277"/>
      <c r="L566" s="277"/>
      <c r="M566" s="277"/>
      <c r="N566" s="277"/>
      <c r="O566" s="277"/>
      <c r="P566" s="277"/>
      <c r="Q566" s="277"/>
      <c r="R566" s="277"/>
      <c r="T566" s="277"/>
      <c r="U566" s="277"/>
      <c r="W566" s="277"/>
      <c r="Y566" s="107"/>
      <c r="Z566" s="107"/>
      <c r="AA566" s="107"/>
      <c r="AB566" s="107"/>
      <c r="AC566" s="107"/>
      <c r="AD566" s="233"/>
      <c r="AE566" s="107"/>
      <c r="AF566" s="107"/>
      <c r="AG566" s="107"/>
      <c r="AH566" s="107"/>
      <c r="AI566" s="107"/>
      <c r="AJ566" s="107"/>
      <c r="AK566" s="107"/>
      <c r="AL566" s="107"/>
      <c r="AM566" s="304"/>
      <c r="AN566" s="304"/>
      <c r="AO566" s="304"/>
      <c r="AP566" s="304"/>
      <c r="AQ566" s="304"/>
      <c r="AR566" s="304"/>
      <c r="AS566" s="304"/>
      <c r="AT566" s="304"/>
      <c r="AU566" s="304"/>
      <c r="AV566" s="304"/>
      <c r="AW566" s="304"/>
      <c r="AX566" s="304"/>
      <c r="AY566" s="304"/>
      <c r="AZ566" s="304"/>
      <c r="BA566" s="304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</row>
    <row r="567" customFormat="false" ht="12.75" hidden="false" customHeight="false" outlineLevel="0" collapsed="false">
      <c r="A567" s="100"/>
      <c r="B567" s="100"/>
      <c r="C567" s="100"/>
      <c r="D567" s="100"/>
      <c r="E567" s="100"/>
      <c r="F567" s="277"/>
      <c r="H567" s="277"/>
      <c r="I567" s="277"/>
      <c r="J567" s="69"/>
      <c r="K567" s="277"/>
      <c r="L567" s="277"/>
      <c r="M567" s="277"/>
      <c r="N567" s="277"/>
      <c r="O567" s="277"/>
      <c r="P567" s="277"/>
      <c r="Q567" s="277"/>
      <c r="R567" s="277"/>
      <c r="T567" s="277"/>
      <c r="U567" s="277"/>
      <c r="W567" s="277"/>
      <c r="Y567" s="107"/>
      <c r="Z567" s="107"/>
      <c r="AA567" s="107"/>
      <c r="AB567" s="107"/>
      <c r="AC567" s="107"/>
      <c r="AD567" s="233"/>
      <c r="AE567" s="107"/>
      <c r="AF567" s="107"/>
      <c r="AG567" s="107"/>
      <c r="AH567" s="107"/>
      <c r="AI567" s="107"/>
      <c r="AJ567" s="107"/>
      <c r="AK567" s="107"/>
      <c r="AL567" s="107"/>
      <c r="AM567" s="304"/>
      <c r="AN567" s="304"/>
      <c r="AO567" s="304"/>
      <c r="AP567" s="304"/>
      <c r="AQ567" s="304"/>
      <c r="AR567" s="304"/>
      <c r="AS567" s="304"/>
      <c r="AT567" s="304"/>
      <c r="AU567" s="304"/>
      <c r="AV567" s="304"/>
      <c r="AW567" s="304"/>
      <c r="AX567" s="304"/>
      <c r="AY567" s="304"/>
      <c r="AZ567" s="304"/>
      <c r="BA567" s="304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</row>
    <row r="568" customFormat="false" ht="12.75" hidden="false" customHeight="false" outlineLevel="0" collapsed="false">
      <c r="A568" s="100"/>
      <c r="B568" s="100"/>
      <c r="C568" s="100"/>
      <c r="D568" s="100"/>
      <c r="E568" s="100"/>
      <c r="F568" s="277"/>
      <c r="H568" s="277"/>
      <c r="I568" s="277"/>
      <c r="J568" s="69"/>
      <c r="K568" s="277"/>
      <c r="L568" s="277"/>
      <c r="M568" s="277"/>
      <c r="N568" s="277"/>
      <c r="O568" s="277"/>
      <c r="P568" s="277"/>
      <c r="Q568" s="277"/>
      <c r="R568" s="277"/>
      <c r="T568" s="277"/>
      <c r="U568" s="277"/>
      <c r="W568" s="277"/>
      <c r="Y568" s="107"/>
      <c r="Z568" s="107"/>
      <c r="AA568" s="107"/>
      <c r="AB568" s="107"/>
      <c r="AC568" s="107"/>
      <c r="AD568" s="233"/>
      <c r="AE568" s="107"/>
      <c r="AF568" s="107"/>
      <c r="AG568" s="107"/>
      <c r="AH568" s="107"/>
      <c r="AI568" s="107"/>
      <c r="AJ568" s="107"/>
      <c r="AK568" s="107"/>
      <c r="AL568" s="107"/>
      <c r="AM568" s="304"/>
      <c r="AN568" s="304"/>
      <c r="AO568" s="304"/>
      <c r="AP568" s="304"/>
      <c r="AQ568" s="304"/>
      <c r="AR568" s="304"/>
      <c r="AS568" s="304"/>
      <c r="AT568" s="304"/>
      <c r="AU568" s="304"/>
      <c r="AV568" s="304"/>
      <c r="AW568" s="304"/>
      <c r="AX568" s="304"/>
      <c r="AY568" s="304"/>
      <c r="AZ568" s="304"/>
      <c r="BA568" s="304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</row>
    <row r="569" customFormat="false" ht="12.75" hidden="false" customHeight="false" outlineLevel="0" collapsed="false">
      <c r="A569" s="100"/>
      <c r="B569" s="100"/>
      <c r="C569" s="100"/>
      <c r="D569" s="100"/>
      <c r="E569" s="100"/>
      <c r="F569" s="277"/>
      <c r="H569" s="277"/>
      <c r="I569" s="277"/>
      <c r="J569" s="69"/>
      <c r="K569" s="277"/>
      <c r="L569" s="277"/>
      <c r="M569" s="277"/>
      <c r="N569" s="277"/>
      <c r="O569" s="277"/>
      <c r="P569" s="277"/>
      <c r="Q569" s="277"/>
      <c r="R569" s="277"/>
      <c r="T569" s="277"/>
      <c r="U569" s="277"/>
      <c r="W569" s="277"/>
      <c r="Y569" s="107"/>
      <c r="Z569" s="107"/>
      <c r="AA569" s="107"/>
      <c r="AB569" s="107"/>
      <c r="AC569" s="107"/>
      <c r="AD569" s="233"/>
      <c r="AE569" s="107"/>
      <c r="AF569" s="107"/>
      <c r="AG569" s="107"/>
      <c r="AH569" s="107"/>
      <c r="AI569" s="107"/>
      <c r="AJ569" s="107"/>
      <c r="AK569" s="107"/>
      <c r="AL569" s="107"/>
      <c r="AM569" s="304"/>
      <c r="AN569" s="304"/>
      <c r="AO569" s="304"/>
      <c r="AP569" s="304"/>
      <c r="AQ569" s="304"/>
      <c r="AR569" s="304"/>
      <c r="AS569" s="304"/>
      <c r="AT569" s="304"/>
      <c r="AU569" s="304"/>
      <c r="AV569" s="304"/>
      <c r="AW569" s="304"/>
      <c r="AX569" s="304"/>
      <c r="AY569" s="304"/>
      <c r="AZ569" s="304"/>
      <c r="BA569" s="304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</row>
    <row r="570" customFormat="false" ht="12.75" hidden="false" customHeight="false" outlineLevel="0" collapsed="false">
      <c r="A570" s="100"/>
      <c r="B570" s="100"/>
      <c r="C570" s="100"/>
      <c r="D570" s="100"/>
      <c r="E570" s="100"/>
      <c r="F570" s="277"/>
      <c r="H570" s="277"/>
      <c r="I570" s="277"/>
      <c r="J570" s="69"/>
      <c r="K570" s="277"/>
      <c r="L570" s="277"/>
      <c r="M570" s="277"/>
      <c r="N570" s="277"/>
      <c r="O570" s="277"/>
      <c r="P570" s="277"/>
      <c r="Q570" s="277"/>
      <c r="R570" s="277"/>
      <c r="T570" s="277"/>
      <c r="U570" s="277"/>
      <c r="W570" s="277"/>
      <c r="Y570" s="107"/>
      <c r="Z570" s="107"/>
      <c r="AA570" s="107"/>
      <c r="AB570" s="107"/>
      <c r="AC570" s="107"/>
      <c r="AD570" s="233"/>
      <c r="AE570" s="107"/>
      <c r="AF570" s="107"/>
      <c r="AG570" s="107"/>
      <c r="AH570" s="107"/>
      <c r="AI570" s="107"/>
      <c r="AJ570" s="107"/>
      <c r="AK570" s="107"/>
      <c r="AL570" s="107"/>
      <c r="AM570" s="304"/>
      <c r="AN570" s="304"/>
      <c r="AO570" s="304"/>
      <c r="AP570" s="304"/>
      <c r="AQ570" s="304"/>
      <c r="AR570" s="304"/>
      <c r="AS570" s="304"/>
      <c r="AT570" s="304"/>
      <c r="AU570" s="304"/>
      <c r="AV570" s="304"/>
      <c r="AW570" s="304"/>
      <c r="AX570" s="304"/>
      <c r="AY570" s="304"/>
      <c r="AZ570" s="304"/>
      <c r="BA570" s="304"/>
      <c r="BB570" s="107"/>
      <c r="BC570" s="107"/>
      <c r="BD570" s="107"/>
      <c r="BE570" s="107"/>
      <c r="BF570" s="107"/>
      <c r="BG570" s="107"/>
      <c r="BH570" s="107"/>
      <c r="BI570" s="107"/>
      <c r="BJ570" s="107"/>
      <c r="BK570" s="107"/>
      <c r="BL570" s="107"/>
      <c r="BM570" s="107"/>
      <c r="BN570" s="107"/>
      <c r="BO570" s="107"/>
      <c r="BP570" s="107"/>
      <c r="BQ570" s="107"/>
      <c r="BR570" s="107"/>
    </row>
    <row r="571" customFormat="false" ht="12.75" hidden="false" customHeight="false" outlineLevel="0" collapsed="false">
      <c r="A571" s="100"/>
      <c r="B571" s="100"/>
      <c r="C571" s="100"/>
      <c r="D571" s="100"/>
      <c r="E571" s="100"/>
      <c r="F571" s="277"/>
      <c r="H571" s="277"/>
      <c r="I571" s="277"/>
      <c r="J571" s="69"/>
      <c r="K571" s="277"/>
      <c r="L571" s="277"/>
      <c r="M571" s="277"/>
      <c r="N571" s="277"/>
      <c r="O571" s="277"/>
      <c r="P571" s="277"/>
      <c r="Q571" s="277"/>
      <c r="R571" s="277"/>
      <c r="T571" s="277"/>
      <c r="U571" s="277"/>
      <c r="W571" s="277"/>
      <c r="Y571" s="107"/>
      <c r="Z571" s="107"/>
      <c r="AA571" s="107"/>
      <c r="AB571" s="107"/>
      <c r="AC571" s="107"/>
      <c r="AD571" s="233"/>
      <c r="AE571" s="107"/>
      <c r="AF571" s="107"/>
      <c r="AG571" s="107"/>
      <c r="AH571" s="107"/>
      <c r="AI571" s="107"/>
      <c r="AJ571" s="107"/>
      <c r="AK571" s="107"/>
      <c r="AL571" s="107"/>
      <c r="AM571" s="304"/>
      <c r="AN571" s="304"/>
      <c r="AO571" s="304"/>
      <c r="AP571" s="304"/>
      <c r="AQ571" s="304"/>
      <c r="AR571" s="304"/>
      <c r="AS571" s="304"/>
      <c r="AT571" s="304"/>
      <c r="AU571" s="304"/>
      <c r="AV571" s="304"/>
      <c r="AW571" s="304"/>
      <c r="AX571" s="304"/>
      <c r="AY571" s="304"/>
      <c r="AZ571" s="304"/>
      <c r="BA571" s="304"/>
      <c r="BB571" s="107"/>
      <c r="BC571" s="107"/>
      <c r="BD571" s="107"/>
      <c r="BE571" s="107"/>
      <c r="BF571" s="107"/>
      <c r="BG571" s="107"/>
      <c r="BH571" s="107"/>
      <c r="BI571" s="107"/>
      <c r="BJ571" s="107"/>
      <c r="BK571" s="107"/>
      <c r="BL571" s="107"/>
      <c r="BM571" s="107"/>
      <c r="BN571" s="107"/>
      <c r="BO571" s="107"/>
      <c r="BP571" s="107"/>
      <c r="BQ571" s="107"/>
      <c r="BR571" s="107"/>
    </row>
    <row r="572" customFormat="false" ht="12.75" hidden="false" customHeight="false" outlineLevel="0" collapsed="false">
      <c r="A572" s="100"/>
      <c r="B572" s="100"/>
      <c r="C572" s="100"/>
      <c r="D572" s="100"/>
      <c r="E572" s="100"/>
      <c r="F572" s="277"/>
      <c r="H572" s="277"/>
      <c r="I572" s="277"/>
      <c r="J572" s="69"/>
      <c r="K572" s="277"/>
      <c r="L572" s="277"/>
      <c r="M572" s="277"/>
      <c r="N572" s="277"/>
      <c r="O572" s="277"/>
      <c r="P572" s="277"/>
      <c r="Q572" s="277"/>
      <c r="R572" s="277"/>
      <c r="T572" s="277"/>
      <c r="U572" s="277"/>
      <c r="W572" s="277"/>
      <c r="Y572" s="107"/>
      <c r="Z572" s="107"/>
      <c r="AA572" s="107"/>
      <c r="AB572" s="107"/>
      <c r="AC572" s="107"/>
      <c r="AD572" s="233"/>
      <c r="AE572" s="107"/>
      <c r="AF572" s="107"/>
      <c r="AG572" s="107"/>
      <c r="AH572" s="107"/>
      <c r="AI572" s="107"/>
      <c r="AJ572" s="107"/>
      <c r="AK572" s="107"/>
      <c r="AL572" s="107"/>
      <c r="AM572" s="304"/>
      <c r="AN572" s="304"/>
      <c r="AO572" s="304"/>
      <c r="AP572" s="304"/>
      <c r="AQ572" s="304"/>
      <c r="AR572" s="304"/>
      <c r="AS572" s="304"/>
      <c r="AT572" s="304"/>
      <c r="AU572" s="304"/>
      <c r="AV572" s="304"/>
      <c r="AW572" s="304"/>
      <c r="AX572" s="304"/>
      <c r="AY572" s="304"/>
      <c r="AZ572" s="304"/>
      <c r="BA572" s="304"/>
      <c r="BB572" s="107"/>
      <c r="BC572" s="107"/>
      <c r="BD572" s="107"/>
      <c r="BE572" s="107"/>
      <c r="BF572" s="107"/>
      <c r="BG572" s="107"/>
      <c r="BH572" s="107"/>
      <c r="BI572" s="107"/>
      <c r="BJ572" s="107"/>
      <c r="BK572" s="107"/>
      <c r="BL572" s="107"/>
      <c r="BM572" s="107"/>
      <c r="BN572" s="107"/>
      <c r="BO572" s="107"/>
      <c r="BP572" s="107"/>
      <c r="BQ572" s="107"/>
      <c r="BR572" s="107"/>
    </row>
    <row r="573" customFormat="false" ht="12.75" hidden="false" customHeight="false" outlineLevel="0" collapsed="false">
      <c r="A573" s="100"/>
      <c r="B573" s="100"/>
      <c r="C573" s="100"/>
      <c r="D573" s="100"/>
      <c r="E573" s="100"/>
      <c r="F573" s="277"/>
      <c r="H573" s="277"/>
      <c r="I573" s="277"/>
      <c r="J573" s="69"/>
      <c r="K573" s="277"/>
      <c r="L573" s="277"/>
      <c r="M573" s="277"/>
      <c r="N573" s="277"/>
      <c r="O573" s="277"/>
      <c r="P573" s="277"/>
      <c r="Q573" s="277"/>
      <c r="R573" s="277"/>
      <c r="T573" s="277"/>
      <c r="U573" s="277"/>
      <c r="W573" s="277"/>
      <c r="Y573" s="107"/>
      <c r="Z573" s="107"/>
      <c r="AA573" s="107"/>
      <c r="AB573" s="107"/>
      <c r="AC573" s="107"/>
      <c r="AD573" s="233"/>
      <c r="AE573" s="107"/>
      <c r="AF573" s="107"/>
      <c r="AG573" s="107"/>
      <c r="AH573" s="107"/>
      <c r="AI573" s="107"/>
      <c r="AJ573" s="107"/>
      <c r="AK573" s="107"/>
      <c r="AL573" s="107"/>
      <c r="AM573" s="304"/>
      <c r="AN573" s="304"/>
      <c r="AO573" s="304"/>
      <c r="AP573" s="304"/>
      <c r="AQ573" s="304"/>
      <c r="AR573" s="304"/>
      <c r="AS573" s="304"/>
      <c r="AT573" s="304"/>
      <c r="AU573" s="304"/>
      <c r="AV573" s="304"/>
      <c r="AW573" s="304"/>
      <c r="AX573" s="304"/>
      <c r="AY573" s="304"/>
      <c r="AZ573" s="304"/>
      <c r="BA573" s="304"/>
      <c r="BB573" s="107"/>
      <c r="BC573" s="107"/>
      <c r="BD573" s="107"/>
      <c r="BE573" s="107"/>
      <c r="BF573" s="107"/>
      <c r="BG573" s="107"/>
      <c r="BH573" s="107"/>
      <c r="BI573" s="107"/>
      <c r="BJ573" s="107"/>
      <c r="BK573" s="107"/>
      <c r="BL573" s="107"/>
      <c r="BM573" s="107"/>
      <c r="BN573" s="107"/>
      <c r="BO573" s="107"/>
      <c r="BP573" s="107"/>
      <c r="BQ573" s="107"/>
      <c r="BR573" s="107"/>
    </row>
    <row r="574" customFormat="false" ht="12.75" hidden="false" customHeight="false" outlineLevel="0" collapsed="false">
      <c r="A574" s="100"/>
      <c r="B574" s="100"/>
      <c r="C574" s="100"/>
      <c r="D574" s="100"/>
      <c r="E574" s="100"/>
      <c r="F574" s="277"/>
      <c r="H574" s="277"/>
      <c r="I574" s="277"/>
      <c r="J574" s="69"/>
      <c r="K574" s="277"/>
      <c r="L574" s="277"/>
      <c r="M574" s="277"/>
      <c r="N574" s="277"/>
      <c r="O574" s="277"/>
      <c r="P574" s="277"/>
      <c r="Q574" s="277"/>
      <c r="R574" s="277"/>
      <c r="T574" s="277"/>
      <c r="U574" s="277"/>
      <c r="W574" s="277"/>
      <c r="Y574" s="107"/>
      <c r="Z574" s="107"/>
      <c r="AA574" s="107"/>
      <c r="AB574" s="107"/>
      <c r="AC574" s="107"/>
      <c r="AD574" s="233"/>
      <c r="AE574" s="107"/>
      <c r="AF574" s="107"/>
      <c r="AG574" s="107"/>
      <c r="AH574" s="107"/>
      <c r="AI574" s="107"/>
      <c r="AJ574" s="107"/>
      <c r="AK574" s="107"/>
      <c r="AL574" s="107"/>
      <c r="AM574" s="304"/>
      <c r="AN574" s="304"/>
      <c r="AO574" s="304"/>
      <c r="AP574" s="304"/>
      <c r="AQ574" s="304"/>
      <c r="AR574" s="304"/>
      <c r="AS574" s="304"/>
      <c r="AT574" s="304"/>
      <c r="AU574" s="304"/>
      <c r="AV574" s="304"/>
      <c r="AW574" s="304"/>
      <c r="AX574" s="304"/>
      <c r="AY574" s="304"/>
      <c r="AZ574" s="304"/>
      <c r="BA574" s="304"/>
      <c r="BB574" s="107"/>
      <c r="BC574" s="107"/>
      <c r="BD574" s="107"/>
      <c r="BE574" s="107"/>
      <c r="BF574" s="107"/>
      <c r="BG574" s="107"/>
      <c r="BH574" s="107"/>
      <c r="BI574" s="107"/>
      <c r="BJ574" s="107"/>
      <c r="BK574" s="107"/>
      <c r="BL574" s="107"/>
      <c r="BM574" s="107"/>
      <c r="BN574" s="107"/>
      <c r="BO574" s="107"/>
      <c r="BP574" s="107"/>
      <c r="BQ574" s="107"/>
      <c r="BR574" s="107"/>
    </row>
    <row r="575" customFormat="false" ht="12.75" hidden="false" customHeight="false" outlineLevel="0" collapsed="false">
      <c r="A575" s="100"/>
      <c r="B575" s="100"/>
      <c r="C575" s="100"/>
      <c r="D575" s="100"/>
      <c r="E575" s="100"/>
      <c r="F575" s="277"/>
      <c r="H575" s="277"/>
      <c r="I575" s="277"/>
      <c r="J575" s="69"/>
      <c r="K575" s="277"/>
      <c r="L575" s="277"/>
      <c r="M575" s="277"/>
      <c r="N575" s="277"/>
      <c r="O575" s="277"/>
      <c r="P575" s="277"/>
      <c r="Q575" s="277"/>
      <c r="R575" s="277"/>
      <c r="T575" s="277"/>
      <c r="U575" s="277"/>
      <c r="W575" s="277"/>
      <c r="Y575" s="107"/>
      <c r="Z575" s="107"/>
      <c r="AA575" s="107"/>
      <c r="AB575" s="107"/>
      <c r="AC575" s="107"/>
      <c r="AD575" s="233"/>
      <c r="AE575" s="107"/>
      <c r="AF575" s="107"/>
      <c r="AG575" s="107"/>
      <c r="AH575" s="107"/>
      <c r="AI575" s="107"/>
      <c r="AJ575" s="107"/>
      <c r="AK575" s="107"/>
      <c r="AL575" s="107"/>
      <c r="AM575" s="304"/>
      <c r="AN575" s="304"/>
      <c r="AO575" s="304"/>
      <c r="AP575" s="304"/>
      <c r="AQ575" s="304"/>
      <c r="AR575" s="304"/>
      <c r="AS575" s="304"/>
      <c r="AT575" s="304"/>
      <c r="AU575" s="304"/>
      <c r="AV575" s="304"/>
      <c r="AW575" s="304"/>
      <c r="AX575" s="304"/>
      <c r="AY575" s="304"/>
      <c r="AZ575" s="304"/>
      <c r="BA575" s="304"/>
      <c r="BB575" s="107"/>
      <c r="BC575" s="107"/>
      <c r="BD575" s="107"/>
      <c r="BE575" s="107"/>
      <c r="BF575" s="107"/>
      <c r="BG575" s="107"/>
      <c r="BH575" s="107"/>
      <c r="BI575" s="107"/>
      <c r="BJ575" s="107"/>
      <c r="BK575" s="107"/>
      <c r="BL575" s="107"/>
      <c r="BM575" s="107"/>
      <c r="BN575" s="107"/>
      <c r="BO575" s="107"/>
      <c r="BP575" s="107"/>
      <c r="BQ575" s="107"/>
      <c r="BR575" s="107"/>
    </row>
    <row r="576" customFormat="false" ht="12.75" hidden="false" customHeight="false" outlineLevel="0" collapsed="false">
      <c r="A576" s="100"/>
      <c r="B576" s="100"/>
      <c r="C576" s="100"/>
      <c r="D576" s="100"/>
      <c r="E576" s="100"/>
      <c r="F576" s="277"/>
      <c r="H576" s="277"/>
      <c r="I576" s="277"/>
      <c r="J576" s="69"/>
      <c r="K576" s="277"/>
      <c r="L576" s="277"/>
      <c r="M576" s="277"/>
      <c r="N576" s="277"/>
      <c r="O576" s="277"/>
      <c r="P576" s="277"/>
      <c r="Q576" s="277"/>
      <c r="R576" s="277"/>
      <c r="T576" s="277"/>
      <c r="U576" s="277"/>
      <c r="W576" s="277"/>
      <c r="Y576" s="107"/>
      <c r="Z576" s="107"/>
      <c r="AA576" s="107"/>
      <c r="AB576" s="107"/>
      <c r="AC576" s="107"/>
      <c r="AD576" s="233"/>
      <c r="AE576" s="107"/>
      <c r="AF576" s="107"/>
      <c r="AG576" s="107"/>
      <c r="AH576" s="107"/>
      <c r="AI576" s="107"/>
      <c r="AJ576" s="107"/>
      <c r="AK576" s="107"/>
      <c r="AL576" s="107"/>
      <c r="AM576" s="304"/>
      <c r="AN576" s="304"/>
      <c r="AO576" s="304"/>
      <c r="AP576" s="304"/>
      <c r="AQ576" s="304"/>
      <c r="AR576" s="304"/>
      <c r="AS576" s="304"/>
      <c r="AT576" s="304"/>
      <c r="AU576" s="304"/>
      <c r="AV576" s="304"/>
      <c r="AW576" s="304"/>
      <c r="AX576" s="304"/>
      <c r="AY576" s="304"/>
      <c r="AZ576" s="304"/>
      <c r="BA576" s="304"/>
      <c r="BB576" s="107"/>
      <c r="BC576" s="107"/>
      <c r="BD576" s="107"/>
      <c r="BE576" s="107"/>
      <c r="BF576" s="107"/>
      <c r="BG576" s="107"/>
      <c r="BH576" s="107"/>
      <c r="BI576" s="107"/>
      <c r="BJ576" s="107"/>
      <c r="BK576" s="107"/>
      <c r="BL576" s="107"/>
      <c r="BM576" s="107"/>
      <c r="BN576" s="107"/>
      <c r="BO576" s="107"/>
      <c r="BP576" s="107"/>
      <c r="BQ576" s="107"/>
      <c r="BR576" s="107"/>
    </row>
    <row r="577" customFormat="false" ht="12.75" hidden="false" customHeight="false" outlineLevel="0" collapsed="false">
      <c r="A577" s="100"/>
      <c r="B577" s="100"/>
      <c r="C577" s="100"/>
      <c r="D577" s="100"/>
      <c r="E577" s="100"/>
      <c r="F577" s="277"/>
      <c r="H577" s="277"/>
      <c r="I577" s="277"/>
      <c r="J577" s="69"/>
      <c r="K577" s="277"/>
      <c r="L577" s="277"/>
      <c r="M577" s="277"/>
      <c r="N577" s="277"/>
      <c r="O577" s="277"/>
      <c r="P577" s="277"/>
      <c r="Q577" s="277"/>
      <c r="R577" s="277"/>
      <c r="T577" s="277"/>
      <c r="U577" s="277"/>
      <c r="W577" s="277"/>
      <c r="Y577" s="107"/>
      <c r="Z577" s="107"/>
      <c r="AA577" s="107"/>
      <c r="AB577" s="107"/>
      <c r="AC577" s="107"/>
      <c r="AD577" s="233"/>
      <c r="AE577" s="107"/>
      <c r="AF577" s="107"/>
      <c r="AG577" s="107"/>
      <c r="AH577" s="107"/>
      <c r="AI577" s="107"/>
      <c r="AJ577" s="107"/>
      <c r="AK577" s="107"/>
      <c r="AL577" s="107"/>
      <c r="AM577" s="304"/>
      <c r="AN577" s="304"/>
      <c r="AO577" s="304"/>
      <c r="AP577" s="304"/>
      <c r="AQ577" s="304"/>
      <c r="AR577" s="304"/>
      <c r="AS577" s="304"/>
      <c r="AT577" s="304"/>
      <c r="AU577" s="304"/>
      <c r="AV577" s="304"/>
      <c r="AW577" s="304"/>
      <c r="AX577" s="304"/>
      <c r="AY577" s="304"/>
      <c r="AZ577" s="304"/>
      <c r="BA577" s="304"/>
      <c r="BB577" s="107"/>
      <c r="BC577" s="107"/>
      <c r="BD577" s="107"/>
      <c r="BE577" s="107"/>
      <c r="BF577" s="107"/>
      <c r="BG577" s="107"/>
      <c r="BH577" s="107"/>
      <c r="BI577" s="107"/>
      <c r="BJ577" s="107"/>
      <c r="BK577" s="107"/>
      <c r="BL577" s="107"/>
      <c r="BM577" s="107"/>
      <c r="BN577" s="107"/>
      <c r="BO577" s="107"/>
      <c r="BP577" s="107"/>
      <c r="BQ577" s="107"/>
      <c r="BR577" s="107"/>
    </row>
    <row r="578" customFormat="false" ht="12.75" hidden="false" customHeight="false" outlineLevel="0" collapsed="false">
      <c r="A578" s="100"/>
      <c r="B578" s="100"/>
      <c r="C578" s="100"/>
      <c r="D578" s="100"/>
      <c r="E578" s="100"/>
      <c r="F578" s="277"/>
      <c r="H578" s="277"/>
      <c r="I578" s="277"/>
      <c r="J578" s="69"/>
      <c r="K578" s="277"/>
      <c r="L578" s="277"/>
      <c r="M578" s="277"/>
      <c r="N578" s="277"/>
      <c r="O578" s="277"/>
      <c r="P578" s="277"/>
      <c r="Q578" s="277"/>
      <c r="R578" s="277"/>
      <c r="T578" s="277"/>
      <c r="U578" s="277"/>
      <c r="W578" s="277"/>
      <c r="Y578" s="107"/>
      <c r="Z578" s="107"/>
      <c r="AA578" s="107"/>
      <c r="AB578" s="107"/>
      <c r="AC578" s="107"/>
      <c r="AD578" s="233"/>
      <c r="AE578" s="107"/>
      <c r="AF578" s="107"/>
      <c r="AG578" s="107"/>
      <c r="AH578" s="107"/>
      <c r="AI578" s="107"/>
      <c r="AJ578" s="107"/>
      <c r="AK578" s="107"/>
      <c r="AL578" s="107"/>
      <c r="AM578" s="304"/>
      <c r="AN578" s="304"/>
      <c r="AO578" s="304"/>
      <c r="AP578" s="304"/>
      <c r="AQ578" s="304"/>
      <c r="AR578" s="304"/>
      <c r="AS578" s="304"/>
      <c r="AT578" s="304"/>
      <c r="AU578" s="304"/>
      <c r="AV578" s="304"/>
      <c r="AW578" s="304"/>
      <c r="AX578" s="304"/>
      <c r="AY578" s="304"/>
      <c r="AZ578" s="304"/>
      <c r="BA578" s="304"/>
      <c r="BB578" s="107"/>
      <c r="BC578" s="107"/>
      <c r="BD578" s="107"/>
      <c r="BE578" s="107"/>
      <c r="BF578" s="107"/>
      <c r="BG578" s="107"/>
      <c r="BH578" s="107"/>
      <c r="BI578" s="107"/>
      <c r="BJ578" s="107"/>
      <c r="BK578" s="107"/>
      <c r="BL578" s="107"/>
      <c r="BM578" s="107"/>
      <c r="BN578" s="107"/>
      <c r="BO578" s="107"/>
      <c r="BP578" s="107"/>
      <c r="BQ578" s="107"/>
      <c r="BR578" s="107"/>
    </row>
    <row r="579" customFormat="false" ht="12.75" hidden="false" customHeight="false" outlineLevel="0" collapsed="false">
      <c r="A579" s="100"/>
      <c r="B579" s="100"/>
      <c r="C579" s="100"/>
      <c r="D579" s="100"/>
      <c r="E579" s="100"/>
      <c r="F579" s="277"/>
      <c r="H579" s="277"/>
      <c r="I579" s="277"/>
      <c r="J579" s="69"/>
      <c r="K579" s="277"/>
      <c r="L579" s="277"/>
      <c r="M579" s="277"/>
      <c r="N579" s="277"/>
      <c r="O579" s="277"/>
      <c r="P579" s="277"/>
      <c r="Q579" s="277"/>
      <c r="R579" s="277"/>
      <c r="T579" s="277"/>
      <c r="U579" s="277"/>
      <c r="W579" s="277"/>
      <c r="Y579" s="107"/>
      <c r="Z579" s="107"/>
      <c r="AA579" s="107"/>
      <c r="AB579" s="107"/>
      <c r="AC579" s="107"/>
      <c r="AD579" s="233"/>
      <c r="AE579" s="107"/>
      <c r="AF579" s="107"/>
      <c r="AG579" s="107"/>
      <c r="AH579" s="107"/>
      <c r="AI579" s="107"/>
      <c r="AJ579" s="107"/>
      <c r="AK579" s="107"/>
      <c r="AL579" s="107"/>
      <c r="AM579" s="304"/>
      <c r="AN579" s="304"/>
      <c r="AO579" s="304"/>
      <c r="AP579" s="304"/>
      <c r="AQ579" s="304"/>
      <c r="AR579" s="304"/>
      <c r="AS579" s="304"/>
      <c r="AT579" s="304"/>
      <c r="AU579" s="304"/>
      <c r="AV579" s="304"/>
      <c r="AW579" s="304"/>
      <c r="AX579" s="304"/>
      <c r="AY579" s="304"/>
      <c r="AZ579" s="304"/>
      <c r="BA579" s="304"/>
      <c r="BB579" s="107"/>
      <c r="BC579" s="107"/>
      <c r="BD579" s="107"/>
      <c r="BE579" s="107"/>
      <c r="BF579" s="107"/>
      <c r="BG579" s="107"/>
      <c r="BH579" s="107"/>
      <c r="BI579" s="107"/>
      <c r="BJ579" s="107"/>
      <c r="BK579" s="107"/>
      <c r="BL579" s="107"/>
      <c r="BM579" s="107"/>
      <c r="BN579" s="107"/>
      <c r="BO579" s="107"/>
      <c r="BP579" s="107"/>
      <c r="BQ579" s="107"/>
      <c r="BR579" s="107"/>
    </row>
    <row r="580" customFormat="false" ht="12.75" hidden="false" customHeight="false" outlineLevel="0" collapsed="false">
      <c r="A580" s="100"/>
      <c r="B580" s="100"/>
      <c r="C580" s="100"/>
      <c r="D580" s="100"/>
      <c r="E580" s="100"/>
      <c r="F580" s="277"/>
      <c r="H580" s="277"/>
      <c r="I580" s="277"/>
      <c r="J580" s="69"/>
      <c r="K580" s="277"/>
      <c r="L580" s="277"/>
      <c r="M580" s="277"/>
      <c r="N580" s="277"/>
      <c r="O580" s="277"/>
      <c r="P580" s="277"/>
      <c r="Q580" s="277"/>
      <c r="R580" s="277"/>
      <c r="T580" s="277"/>
      <c r="U580" s="277"/>
      <c r="W580" s="277"/>
      <c r="Y580" s="107"/>
      <c r="Z580" s="107"/>
      <c r="AA580" s="107"/>
      <c r="AB580" s="107"/>
      <c r="AC580" s="107"/>
      <c r="AD580" s="233"/>
      <c r="AE580" s="107"/>
      <c r="AF580" s="107"/>
      <c r="AG580" s="107"/>
      <c r="AH580" s="107"/>
      <c r="AI580" s="107"/>
      <c r="AJ580" s="107"/>
      <c r="AK580" s="107"/>
      <c r="AL580" s="107"/>
      <c r="AM580" s="304"/>
      <c r="AN580" s="304"/>
      <c r="AO580" s="304"/>
      <c r="AP580" s="304"/>
      <c r="AQ580" s="304"/>
      <c r="AR580" s="304"/>
      <c r="AS580" s="304"/>
      <c r="AT580" s="304"/>
      <c r="AU580" s="304"/>
      <c r="AV580" s="304"/>
      <c r="AW580" s="304"/>
      <c r="AX580" s="304"/>
      <c r="AY580" s="304"/>
      <c r="AZ580" s="304"/>
      <c r="BA580" s="304"/>
      <c r="BB580" s="107"/>
      <c r="BC580" s="107"/>
      <c r="BD580" s="107"/>
      <c r="BE580" s="107"/>
      <c r="BF580" s="107"/>
      <c r="BG580" s="107"/>
      <c r="BH580" s="107"/>
      <c r="BI580" s="107"/>
      <c r="BJ580" s="107"/>
      <c r="BK580" s="107"/>
      <c r="BL580" s="107"/>
      <c r="BM580" s="107"/>
      <c r="BN580" s="107"/>
      <c r="BO580" s="107"/>
      <c r="BP580" s="107"/>
      <c r="BQ580" s="107"/>
      <c r="BR580" s="107"/>
    </row>
    <row r="581" customFormat="false" ht="12.75" hidden="false" customHeight="false" outlineLevel="0" collapsed="false">
      <c r="A581" s="100"/>
      <c r="B581" s="100"/>
      <c r="C581" s="100"/>
      <c r="D581" s="100"/>
      <c r="E581" s="100"/>
      <c r="F581" s="277"/>
      <c r="H581" s="277"/>
      <c r="I581" s="277"/>
      <c r="J581" s="69"/>
      <c r="K581" s="277"/>
      <c r="L581" s="277"/>
      <c r="M581" s="277"/>
      <c r="N581" s="277"/>
      <c r="O581" s="277"/>
      <c r="P581" s="277"/>
      <c r="Q581" s="277"/>
      <c r="R581" s="277"/>
      <c r="T581" s="277"/>
      <c r="U581" s="277"/>
      <c r="W581" s="277"/>
      <c r="Y581" s="107"/>
      <c r="Z581" s="107"/>
      <c r="AA581" s="107"/>
      <c r="AB581" s="107"/>
      <c r="AC581" s="107"/>
      <c r="AD581" s="233"/>
      <c r="AE581" s="107"/>
      <c r="AF581" s="107"/>
      <c r="AG581" s="107"/>
      <c r="AH581" s="107"/>
      <c r="AI581" s="107"/>
      <c r="AJ581" s="107"/>
      <c r="AK581" s="107"/>
      <c r="AL581" s="107"/>
      <c r="AM581" s="304"/>
      <c r="AN581" s="304"/>
      <c r="AO581" s="304"/>
      <c r="AP581" s="304"/>
      <c r="AQ581" s="304"/>
      <c r="AR581" s="304"/>
      <c r="AS581" s="304"/>
      <c r="AT581" s="304"/>
      <c r="AU581" s="304"/>
      <c r="AV581" s="304"/>
      <c r="AW581" s="304"/>
      <c r="AX581" s="304"/>
      <c r="AY581" s="304"/>
      <c r="AZ581" s="304"/>
      <c r="BA581" s="304"/>
      <c r="BB581" s="107"/>
      <c r="BC581" s="107"/>
      <c r="BD581" s="107"/>
      <c r="BE581" s="107"/>
      <c r="BF581" s="107"/>
      <c r="BG581" s="107"/>
      <c r="BH581" s="107"/>
      <c r="BI581" s="107"/>
      <c r="BJ581" s="107"/>
      <c r="BK581" s="107"/>
      <c r="BL581" s="107"/>
      <c r="BM581" s="107"/>
      <c r="BN581" s="107"/>
      <c r="BO581" s="107"/>
      <c r="BP581" s="107"/>
      <c r="BQ581" s="107"/>
      <c r="BR581" s="107"/>
    </row>
    <row r="582" customFormat="false" ht="12.75" hidden="false" customHeight="false" outlineLevel="0" collapsed="false">
      <c r="A582" s="100"/>
      <c r="B582" s="100"/>
      <c r="C582" s="100"/>
      <c r="D582" s="100"/>
      <c r="E582" s="100"/>
      <c r="F582" s="277"/>
      <c r="H582" s="277"/>
      <c r="I582" s="277"/>
      <c r="J582" s="69"/>
      <c r="K582" s="277"/>
      <c r="L582" s="277"/>
      <c r="M582" s="277"/>
      <c r="N582" s="277"/>
      <c r="O582" s="277"/>
      <c r="P582" s="277"/>
      <c r="Q582" s="277"/>
      <c r="R582" s="277"/>
      <c r="T582" s="277"/>
      <c r="U582" s="277"/>
      <c r="W582" s="277"/>
      <c r="Y582" s="107"/>
      <c r="Z582" s="107"/>
      <c r="AA582" s="107"/>
      <c r="AB582" s="107"/>
      <c r="AC582" s="107"/>
      <c r="AD582" s="233"/>
      <c r="AE582" s="107"/>
      <c r="AF582" s="107"/>
      <c r="AG582" s="107"/>
      <c r="AH582" s="107"/>
      <c r="AI582" s="107"/>
      <c r="AJ582" s="107"/>
      <c r="AK582" s="107"/>
      <c r="AL582" s="107"/>
      <c r="AM582" s="304"/>
      <c r="AN582" s="304"/>
      <c r="AO582" s="304"/>
      <c r="AP582" s="304"/>
      <c r="AQ582" s="304"/>
      <c r="AR582" s="304"/>
      <c r="AS582" s="304"/>
      <c r="AT582" s="304"/>
      <c r="AU582" s="304"/>
      <c r="AV582" s="304"/>
      <c r="AW582" s="304"/>
      <c r="AX582" s="304"/>
      <c r="AY582" s="304"/>
      <c r="AZ582" s="304"/>
      <c r="BA582" s="304"/>
      <c r="BB582" s="107"/>
      <c r="BC582" s="107"/>
      <c r="BD582" s="107"/>
      <c r="BE582" s="107"/>
      <c r="BF582" s="107"/>
      <c r="BG582" s="107"/>
      <c r="BH582" s="107"/>
      <c r="BI582" s="107"/>
      <c r="BJ582" s="107"/>
      <c r="BK582" s="107"/>
      <c r="BL582" s="107"/>
      <c r="BM582" s="107"/>
      <c r="BN582" s="107"/>
      <c r="BO582" s="107"/>
      <c r="BP582" s="107"/>
      <c r="BQ582" s="107"/>
      <c r="BR582" s="107"/>
    </row>
    <row r="583" customFormat="false" ht="12.75" hidden="false" customHeight="false" outlineLevel="0" collapsed="false">
      <c r="A583" s="100"/>
      <c r="B583" s="100"/>
      <c r="C583" s="100"/>
      <c r="D583" s="100"/>
      <c r="E583" s="100"/>
      <c r="F583" s="277"/>
      <c r="H583" s="277"/>
      <c r="I583" s="277"/>
      <c r="J583" s="69"/>
      <c r="K583" s="277"/>
      <c r="L583" s="277"/>
      <c r="M583" s="277"/>
      <c r="N583" s="277"/>
      <c r="O583" s="277"/>
      <c r="P583" s="277"/>
      <c r="Q583" s="277"/>
      <c r="R583" s="277"/>
      <c r="T583" s="277"/>
      <c r="U583" s="277"/>
      <c r="W583" s="277"/>
      <c r="Y583" s="107"/>
      <c r="Z583" s="107"/>
      <c r="AA583" s="107"/>
      <c r="AB583" s="107"/>
      <c r="AC583" s="107"/>
      <c r="AD583" s="233"/>
      <c r="AE583" s="107"/>
      <c r="AF583" s="107"/>
      <c r="AG583" s="107"/>
      <c r="AH583" s="107"/>
      <c r="AI583" s="107"/>
      <c r="AJ583" s="107"/>
      <c r="AK583" s="107"/>
      <c r="AL583" s="107"/>
      <c r="AM583" s="304"/>
      <c r="AN583" s="304"/>
      <c r="AO583" s="304"/>
      <c r="AP583" s="304"/>
      <c r="AQ583" s="304"/>
      <c r="AR583" s="304"/>
      <c r="AS583" s="304"/>
      <c r="AT583" s="304"/>
      <c r="AU583" s="304"/>
      <c r="AV583" s="304"/>
      <c r="AW583" s="304"/>
      <c r="AX583" s="304"/>
      <c r="AY583" s="304"/>
      <c r="AZ583" s="304"/>
      <c r="BA583" s="304"/>
      <c r="BB583" s="107"/>
      <c r="BC583" s="107"/>
      <c r="BD583" s="107"/>
      <c r="BE583" s="107"/>
      <c r="BF583" s="107"/>
      <c r="BG583" s="107"/>
      <c r="BH583" s="107"/>
      <c r="BI583" s="107"/>
      <c r="BJ583" s="107"/>
      <c r="BK583" s="107"/>
      <c r="BL583" s="107"/>
      <c r="BM583" s="107"/>
      <c r="BN583" s="107"/>
      <c r="BO583" s="107"/>
      <c r="BP583" s="107"/>
      <c r="BQ583" s="107"/>
      <c r="BR583" s="107"/>
    </row>
    <row r="584" customFormat="false" ht="12.75" hidden="false" customHeight="false" outlineLevel="0" collapsed="false">
      <c r="A584" s="100"/>
      <c r="B584" s="100"/>
      <c r="C584" s="100"/>
      <c r="D584" s="100"/>
      <c r="E584" s="100"/>
      <c r="F584" s="277"/>
      <c r="H584" s="277"/>
      <c r="I584" s="277"/>
      <c r="J584" s="69"/>
      <c r="K584" s="277"/>
      <c r="L584" s="277"/>
      <c r="M584" s="277"/>
      <c r="N584" s="277"/>
      <c r="O584" s="277"/>
      <c r="P584" s="277"/>
      <c r="Q584" s="277"/>
      <c r="R584" s="277"/>
      <c r="T584" s="277"/>
      <c r="U584" s="277"/>
      <c r="W584" s="277"/>
      <c r="Y584" s="107"/>
      <c r="Z584" s="107"/>
      <c r="AA584" s="107"/>
      <c r="AB584" s="107"/>
      <c r="AC584" s="107"/>
      <c r="AD584" s="233"/>
      <c r="AE584" s="107"/>
      <c r="AF584" s="107"/>
      <c r="AG584" s="107"/>
      <c r="AH584" s="107"/>
      <c r="AI584" s="107"/>
      <c r="AJ584" s="107"/>
      <c r="AK584" s="107"/>
      <c r="AL584" s="107"/>
      <c r="AM584" s="304"/>
      <c r="AN584" s="304"/>
      <c r="AO584" s="304"/>
      <c r="AP584" s="304"/>
      <c r="AQ584" s="304"/>
      <c r="AR584" s="304"/>
      <c r="AS584" s="304"/>
      <c r="AT584" s="304"/>
      <c r="AU584" s="304"/>
      <c r="AV584" s="304"/>
      <c r="AW584" s="304"/>
      <c r="AX584" s="304"/>
      <c r="AY584" s="304"/>
      <c r="AZ584" s="304"/>
      <c r="BA584" s="304"/>
      <c r="BB584" s="107"/>
      <c r="BC584" s="107"/>
      <c r="BD584" s="107"/>
      <c r="BE584" s="107"/>
      <c r="BF584" s="107"/>
      <c r="BG584" s="107"/>
      <c r="BH584" s="107"/>
      <c r="BI584" s="107"/>
      <c r="BJ584" s="107"/>
      <c r="BK584" s="107"/>
      <c r="BL584" s="107"/>
      <c r="BM584" s="107"/>
      <c r="BN584" s="107"/>
      <c r="BO584" s="107"/>
      <c r="BP584" s="107"/>
      <c r="BQ584" s="107"/>
      <c r="BR584" s="107"/>
    </row>
    <row r="585" customFormat="false" ht="12.75" hidden="false" customHeight="false" outlineLevel="0" collapsed="false">
      <c r="A585" s="100"/>
      <c r="B585" s="100"/>
      <c r="C585" s="100"/>
      <c r="D585" s="100"/>
      <c r="E585" s="100"/>
      <c r="F585" s="277"/>
      <c r="H585" s="277"/>
      <c r="I585" s="277"/>
      <c r="J585" s="69"/>
      <c r="K585" s="277"/>
      <c r="L585" s="277"/>
      <c r="M585" s="277"/>
      <c r="N585" s="277"/>
      <c r="O585" s="277"/>
      <c r="P585" s="277"/>
      <c r="Q585" s="277"/>
      <c r="R585" s="277"/>
      <c r="T585" s="277"/>
      <c r="U585" s="277"/>
      <c r="W585" s="277"/>
      <c r="Y585" s="107"/>
      <c r="Z585" s="107"/>
      <c r="AA585" s="107"/>
      <c r="AB585" s="107"/>
      <c r="AC585" s="107"/>
      <c r="AD585" s="233"/>
      <c r="AE585" s="107"/>
      <c r="AF585" s="107"/>
      <c r="AG585" s="107"/>
      <c r="AH585" s="107"/>
      <c r="AI585" s="107"/>
      <c r="AJ585" s="107"/>
      <c r="AK585" s="107"/>
      <c r="AL585" s="107"/>
      <c r="AM585" s="304"/>
      <c r="AN585" s="304"/>
      <c r="AO585" s="304"/>
      <c r="AP585" s="304"/>
      <c r="AQ585" s="304"/>
      <c r="AR585" s="304"/>
      <c r="AS585" s="304"/>
      <c r="AT585" s="304"/>
      <c r="AU585" s="304"/>
      <c r="AV585" s="304"/>
      <c r="AW585" s="304"/>
      <c r="AX585" s="304"/>
      <c r="AY585" s="304"/>
      <c r="AZ585" s="304"/>
      <c r="BA585" s="304"/>
      <c r="BB585" s="107"/>
      <c r="BC585" s="107"/>
      <c r="BD585" s="107"/>
      <c r="BE585" s="107"/>
      <c r="BF585" s="107"/>
      <c r="BG585" s="107"/>
      <c r="BH585" s="107"/>
      <c r="BI585" s="107"/>
      <c r="BJ585" s="107"/>
      <c r="BK585" s="107"/>
      <c r="BL585" s="107"/>
      <c r="BM585" s="107"/>
      <c r="BN585" s="107"/>
      <c r="BO585" s="107"/>
      <c r="BP585" s="107"/>
      <c r="BQ585" s="107"/>
      <c r="BR585" s="107"/>
    </row>
    <row r="586" customFormat="false" ht="12.75" hidden="false" customHeight="false" outlineLevel="0" collapsed="false">
      <c r="A586" s="100"/>
      <c r="B586" s="100"/>
      <c r="C586" s="100"/>
      <c r="D586" s="100"/>
      <c r="E586" s="100"/>
      <c r="F586" s="277"/>
      <c r="H586" s="277"/>
      <c r="I586" s="277"/>
      <c r="J586" s="69"/>
      <c r="K586" s="277"/>
      <c r="L586" s="277"/>
      <c r="M586" s="277"/>
      <c r="N586" s="277"/>
      <c r="O586" s="277"/>
      <c r="P586" s="277"/>
      <c r="Q586" s="277"/>
      <c r="R586" s="277"/>
      <c r="T586" s="277"/>
      <c r="U586" s="277"/>
      <c r="W586" s="277"/>
      <c r="Y586" s="107"/>
      <c r="Z586" s="107"/>
      <c r="AA586" s="107"/>
      <c r="AB586" s="107"/>
      <c r="AC586" s="107"/>
      <c r="AD586" s="233"/>
      <c r="AE586" s="107"/>
      <c r="AF586" s="107"/>
      <c r="AG586" s="107"/>
      <c r="AH586" s="107"/>
      <c r="AI586" s="107"/>
      <c r="AJ586" s="107"/>
      <c r="AK586" s="107"/>
      <c r="AL586" s="107"/>
      <c r="AM586" s="304"/>
      <c r="AN586" s="304"/>
      <c r="AO586" s="304"/>
      <c r="AP586" s="304"/>
      <c r="AQ586" s="304"/>
      <c r="AR586" s="304"/>
      <c r="AS586" s="304"/>
      <c r="AT586" s="304"/>
      <c r="AU586" s="304"/>
      <c r="AV586" s="304"/>
      <c r="AW586" s="304"/>
      <c r="AX586" s="304"/>
      <c r="AY586" s="304"/>
      <c r="AZ586" s="304"/>
      <c r="BA586" s="304"/>
      <c r="BB586" s="107"/>
      <c r="BC586" s="107"/>
      <c r="BD586" s="107"/>
      <c r="BE586" s="107"/>
      <c r="BF586" s="107"/>
      <c r="BG586" s="107"/>
      <c r="BH586" s="107"/>
      <c r="BI586" s="107"/>
      <c r="BJ586" s="107"/>
      <c r="BK586" s="107"/>
      <c r="BL586" s="107"/>
      <c r="BM586" s="107"/>
      <c r="BN586" s="107"/>
      <c r="BO586" s="107"/>
      <c r="BP586" s="107"/>
      <c r="BQ586" s="107"/>
      <c r="BR586" s="107"/>
    </row>
    <row r="587" customFormat="false" ht="12.75" hidden="false" customHeight="false" outlineLevel="0" collapsed="false">
      <c r="A587" s="100"/>
      <c r="B587" s="100"/>
      <c r="C587" s="100"/>
      <c r="D587" s="100"/>
      <c r="E587" s="100"/>
      <c r="F587" s="277"/>
      <c r="H587" s="277"/>
      <c r="I587" s="277"/>
      <c r="J587" s="69"/>
      <c r="K587" s="277"/>
      <c r="L587" s="277"/>
      <c r="M587" s="277"/>
      <c r="N587" s="277"/>
      <c r="O587" s="277"/>
      <c r="P587" s="277"/>
      <c r="Q587" s="277"/>
      <c r="R587" s="277"/>
      <c r="T587" s="277"/>
      <c r="U587" s="277"/>
      <c r="W587" s="277"/>
      <c r="Y587" s="107"/>
      <c r="Z587" s="107"/>
      <c r="AA587" s="107"/>
      <c r="AB587" s="107"/>
      <c r="AC587" s="107"/>
      <c r="AD587" s="233"/>
      <c r="AE587" s="107"/>
      <c r="AF587" s="107"/>
      <c r="AG587" s="107"/>
      <c r="AH587" s="107"/>
      <c r="AI587" s="107"/>
      <c r="AJ587" s="107"/>
      <c r="AK587" s="107"/>
      <c r="AL587" s="107"/>
      <c r="AM587" s="304"/>
      <c r="AN587" s="304"/>
      <c r="AO587" s="304"/>
      <c r="AP587" s="304"/>
      <c r="AQ587" s="304"/>
      <c r="AR587" s="304"/>
      <c r="AS587" s="304"/>
      <c r="AT587" s="304"/>
      <c r="AU587" s="304"/>
      <c r="AV587" s="304"/>
      <c r="AW587" s="304"/>
      <c r="AX587" s="304"/>
      <c r="AY587" s="304"/>
      <c r="AZ587" s="304"/>
      <c r="BA587" s="304"/>
      <c r="BB587" s="107"/>
      <c r="BC587" s="107"/>
      <c r="BD587" s="107"/>
      <c r="BE587" s="107"/>
      <c r="BF587" s="107"/>
      <c r="BG587" s="107"/>
      <c r="BH587" s="107"/>
      <c r="BI587" s="107"/>
      <c r="BJ587" s="107"/>
      <c r="BK587" s="107"/>
      <c r="BL587" s="107"/>
      <c r="BM587" s="107"/>
      <c r="BN587" s="107"/>
      <c r="BO587" s="107"/>
      <c r="BP587" s="107"/>
      <c r="BQ587" s="107"/>
      <c r="BR587" s="107"/>
    </row>
    <row r="588" customFormat="false" ht="12.75" hidden="false" customHeight="false" outlineLevel="0" collapsed="false">
      <c r="A588" s="100"/>
      <c r="B588" s="100"/>
      <c r="C588" s="100"/>
      <c r="D588" s="100"/>
      <c r="E588" s="100"/>
      <c r="F588" s="277"/>
      <c r="H588" s="277"/>
      <c r="I588" s="277"/>
      <c r="J588" s="69"/>
      <c r="K588" s="277"/>
      <c r="L588" s="277"/>
      <c r="M588" s="277"/>
      <c r="N588" s="277"/>
      <c r="O588" s="277"/>
      <c r="P588" s="277"/>
      <c r="Q588" s="277"/>
      <c r="R588" s="277"/>
      <c r="T588" s="277"/>
      <c r="U588" s="277"/>
      <c r="W588" s="277"/>
      <c r="Y588" s="107"/>
      <c r="Z588" s="107"/>
      <c r="AA588" s="107"/>
      <c r="AB588" s="107"/>
      <c r="AC588" s="107"/>
      <c r="AD588" s="233"/>
      <c r="AE588" s="107"/>
      <c r="AF588" s="107"/>
      <c r="AG588" s="107"/>
      <c r="AH588" s="107"/>
      <c r="AI588" s="107"/>
      <c r="AJ588" s="107"/>
      <c r="AK588" s="107"/>
      <c r="AL588" s="107"/>
      <c r="AM588" s="304"/>
      <c r="AN588" s="304"/>
      <c r="AO588" s="304"/>
      <c r="AP588" s="304"/>
      <c r="AQ588" s="304"/>
      <c r="AR588" s="304"/>
      <c r="AS588" s="304"/>
      <c r="AT588" s="304"/>
      <c r="AU588" s="304"/>
      <c r="AV588" s="304"/>
      <c r="AW588" s="304"/>
      <c r="AX588" s="304"/>
      <c r="AY588" s="304"/>
      <c r="AZ588" s="304"/>
      <c r="BA588" s="304"/>
      <c r="BB588" s="107"/>
      <c r="BC588" s="107"/>
      <c r="BD588" s="107"/>
      <c r="BE588" s="107"/>
      <c r="BF588" s="107"/>
      <c r="BG588" s="107"/>
      <c r="BH588" s="107"/>
      <c r="BI588" s="107"/>
      <c r="BJ588" s="107"/>
      <c r="BK588" s="107"/>
      <c r="BL588" s="107"/>
      <c r="BM588" s="107"/>
      <c r="BN588" s="107"/>
      <c r="BO588" s="107"/>
      <c r="BP588" s="107"/>
      <c r="BQ588" s="107"/>
      <c r="BR588" s="107"/>
    </row>
    <row r="589" customFormat="false" ht="12.75" hidden="false" customHeight="false" outlineLevel="0" collapsed="false">
      <c r="A589" s="100"/>
      <c r="B589" s="100"/>
      <c r="C589" s="100"/>
      <c r="D589" s="100"/>
      <c r="E589" s="100"/>
      <c r="F589" s="277"/>
      <c r="H589" s="277"/>
      <c r="I589" s="277"/>
      <c r="J589" s="69"/>
      <c r="K589" s="277"/>
      <c r="L589" s="277"/>
      <c r="M589" s="277"/>
      <c r="N589" s="277"/>
      <c r="O589" s="277"/>
      <c r="P589" s="277"/>
      <c r="Q589" s="277"/>
      <c r="R589" s="277"/>
      <c r="T589" s="277"/>
      <c r="U589" s="277"/>
      <c r="W589" s="277"/>
      <c r="Y589" s="107"/>
      <c r="Z589" s="107"/>
      <c r="AA589" s="107"/>
      <c r="AB589" s="107"/>
      <c r="AC589" s="107"/>
      <c r="AD589" s="233"/>
      <c r="AE589" s="107"/>
      <c r="AF589" s="107"/>
      <c r="AG589" s="107"/>
      <c r="AH589" s="107"/>
      <c r="AI589" s="107"/>
      <c r="AJ589" s="107"/>
      <c r="AK589" s="107"/>
      <c r="AL589" s="107"/>
      <c r="AM589" s="304"/>
      <c r="AN589" s="304"/>
      <c r="AO589" s="304"/>
      <c r="AP589" s="304"/>
      <c r="AQ589" s="304"/>
      <c r="AR589" s="304"/>
      <c r="AS589" s="304"/>
      <c r="AT589" s="304"/>
      <c r="AU589" s="304"/>
      <c r="AV589" s="304"/>
      <c r="AW589" s="304"/>
      <c r="AX589" s="304"/>
      <c r="AY589" s="304"/>
      <c r="AZ589" s="304"/>
      <c r="BA589" s="304"/>
      <c r="BB589" s="107"/>
      <c r="BC589" s="107"/>
      <c r="BD589" s="107"/>
      <c r="BE589" s="107"/>
      <c r="BF589" s="107"/>
      <c r="BG589" s="107"/>
      <c r="BH589" s="107"/>
      <c r="BI589" s="107"/>
      <c r="BJ589" s="107"/>
      <c r="BK589" s="107"/>
      <c r="BL589" s="107"/>
      <c r="BM589" s="107"/>
      <c r="BN589" s="107"/>
      <c r="BO589" s="107"/>
      <c r="BP589" s="107"/>
      <c r="BQ589" s="107"/>
      <c r="BR589" s="107"/>
    </row>
    <row r="590" customFormat="false" ht="12.75" hidden="false" customHeight="false" outlineLevel="0" collapsed="false">
      <c r="A590" s="100"/>
      <c r="B590" s="100"/>
      <c r="C590" s="100"/>
      <c r="D590" s="100"/>
      <c r="E590" s="100"/>
      <c r="F590" s="277"/>
      <c r="H590" s="277"/>
      <c r="I590" s="277"/>
      <c r="J590" s="69"/>
      <c r="K590" s="277"/>
      <c r="L590" s="277"/>
      <c r="M590" s="277"/>
      <c r="N590" s="277"/>
      <c r="O590" s="277"/>
      <c r="P590" s="277"/>
      <c r="Q590" s="277"/>
      <c r="R590" s="277"/>
      <c r="T590" s="277"/>
      <c r="U590" s="277"/>
      <c r="W590" s="277"/>
      <c r="Y590" s="107"/>
      <c r="Z590" s="107"/>
      <c r="AA590" s="107"/>
      <c r="AB590" s="107"/>
      <c r="AC590" s="107"/>
      <c r="AD590" s="233"/>
      <c r="AE590" s="107"/>
      <c r="AF590" s="107"/>
      <c r="AG590" s="107"/>
      <c r="AH590" s="107"/>
      <c r="AI590" s="107"/>
      <c r="AJ590" s="107"/>
      <c r="AK590" s="107"/>
      <c r="AL590" s="107"/>
      <c r="AM590" s="304"/>
      <c r="AN590" s="304"/>
      <c r="AO590" s="304"/>
      <c r="AP590" s="304"/>
      <c r="AQ590" s="304"/>
      <c r="AR590" s="304"/>
      <c r="AS590" s="304"/>
      <c r="AT590" s="304"/>
      <c r="AU590" s="304"/>
      <c r="AV590" s="304"/>
      <c r="AW590" s="304"/>
      <c r="AX590" s="304"/>
      <c r="AY590" s="304"/>
      <c r="AZ590" s="304"/>
      <c r="BA590" s="304"/>
      <c r="BB590" s="107"/>
      <c r="BC590" s="107"/>
      <c r="BD590" s="107"/>
      <c r="BE590" s="107"/>
      <c r="BF590" s="107"/>
      <c r="BG590" s="107"/>
      <c r="BH590" s="107"/>
      <c r="BI590" s="107"/>
      <c r="BJ590" s="107"/>
      <c r="BK590" s="107"/>
      <c r="BL590" s="107"/>
      <c r="BM590" s="107"/>
      <c r="BN590" s="107"/>
      <c r="BO590" s="107"/>
      <c r="BP590" s="107"/>
      <c r="BQ590" s="107"/>
      <c r="BR590" s="107"/>
    </row>
    <row r="591" customFormat="false" ht="12.75" hidden="false" customHeight="false" outlineLevel="0" collapsed="false">
      <c r="A591" s="100"/>
      <c r="B591" s="100"/>
      <c r="C591" s="100"/>
      <c r="D591" s="100"/>
      <c r="E591" s="100"/>
      <c r="F591" s="277"/>
      <c r="H591" s="277"/>
      <c r="I591" s="277"/>
      <c r="J591" s="69"/>
      <c r="K591" s="277"/>
      <c r="L591" s="277"/>
      <c r="M591" s="277"/>
      <c r="N591" s="277"/>
      <c r="O591" s="277"/>
      <c r="P591" s="277"/>
      <c r="Q591" s="277"/>
      <c r="R591" s="277"/>
      <c r="T591" s="277"/>
      <c r="U591" s="277"/>
      <c r="W591" s="277"/>
      <c r="Y591" s="107"/>
      <c r="Z591" s="107"/>
      <c r="AA591" s="107"/>
      <c r="AB591" s="107"/>
      <c r="AC591" s="107"/>
      <c r="AD591" s="233"/>
      <c r="AE591" s="107"/>
      <c r="AF591" s="107"/>
      <c r="AG591" s="107"/>
      <c r="AH591" s="107"/>
      <c r="AI591" s="107"/>
      <c r="AJ591" s="107"/>
      <c r="AK591" s="107"/>
      <c r="AL591" s="107"/>
      <c r="AM591" s="304"/>
      <c r="AN591" s="304"/>
      <c r="AO591" s="304"/>
      <c r="AP591" s="304"/>
      <c r="AQ591" s="304"/>
      <c r="AR591" s="304"/>
      <c r="AS591" s="304"/>
      <c r="AT591" s="304"/>
      <c r="AU591" s="304"/>
      <c r="AV591" s="304"/>
      <c r="AW591" s="304"/>
      <c r="AX591" s="304"/>
      <c r="AY591" s="304"/>
      <c r="AZ591" s="304"/>
      <c r="BA591" s="304"/>
      <c r="BB591" s="107"/>
      <c r="BC591" s="107"/>
      <c r="BD591" s="107"/>
      <c r="BE591" s="107"/>
      <c r="BF591" s="107"/>
      <c r="BG591" s="107"/>
      <c r="BH591" s="107"/>
      <c r="BI591" s="107"/>
      <c r="BJ591" s="107"/>
      <c r="BK591" s="107"/>
      <c r="BL591" s="107"/>
      <c r="BM591" s="107"/>
      <c r="BN591" s="107"/>
      <c r="BO591" s="107"/>
      <c r="BP591" s="107"/>
      <c r="BQ591" s="107"/>
      <c r="BR591" s="107"/>
    </row>
    <row r="592" customFormat="false" ht="12.75" hidden="false" customHeight="false" outlineLevel="0" collapsed="false">
      <c r="A592" s="100"/>
      <c r="B592" s="100"/>
      <c r="C592" s="100"/>
      <c r="D592" s="100"/>
      <c r="E592" s="100"/>
      <c r="F592" s="277"/>
      <c r="H592" s="277"/>
      <c r="I592" s="277"/>
      <c r="J592" s="69"/>
      <c r="K592" s="277"/>
      <c r="L592" s="277"/>
      <c r="M592" s="277"/>
      <c r="N592" s="277"/>
      <c r="O592" s="277"/>
      <c r="P592" s="277"/>
      <c r="Q592" s="277"/>
      <c r="R592" s="277"/>
      <c r="T592" s="277"/>
      <c r="U592" s="277"/>
      <c r="W592" s="277"/>
      <c r="Y592" s="107"/>
      <c r="Z592" s="107"/>
      <c r="AA592" s="107"/>
      <c r="AB592" s="107"/>
      <c r="AC592" s="107"/>
      <c r="AD592" s="233"/>
      <c r="AE592" s="107"/>
      <c r="AF592" s="107"/>
      <c r="AG592" s="107"/>
      <c r="AH592" s="107"/>
      <c r="AI592" s="107"/>
      <c r="AJ592" s="107"/>
      <c r="AK592" s="107"/>
      <c r="AL592" s="107"/>
      <c r="AM592" s="304"/>
      <c r="AN592" s="304"/>
      <c r="AO592" s="304"/>
      <c r="AP592" s="304"/>
      <c r="AQ592" s="304"/>
      <c r="AR592" s="304"/>
      <c r="AS592" s="304"/>
      <c r="AT592" s="304"/>
      <c r="AU592" s="304"/>
      <c r="AV592" s="304"/>
      <c r="AW592" s="304"/>
      <c r="AX592" s="304"/>
      <c r="AY592" s="304"/>
      <c r="AZ592" s="304"/>
      <c r="BA592" s="304"/>
      <c r="BB592" s="107"/>
      <c r="BC592" s="107"/>
      <c r="BD592" s="107"/>
      <c r="BE592" s="107"/>
      <c r="BF592" s="107"/>
      <c r="BG592" s="107"/>
      <c r="BH592" s="107"/>
      <c r="BI592" s="107"/>
      <c r="BJ592" s="107"/>
      <c r="BK592" s="107"/>
      <c r="BL592" s="107"/>
      <c r="BM592" s="107"/>
      <c r="BN592" s="107"/>
      <c r="BO592" s="107"/>
      <c r="BP592" s="107"/>
      <c r="BQ592" s="107"/>
      <c r="BR592" s="107"/>
    </row>
    <row r="593" customFormat="false" ht="12.75" hidden="false" customHeight="false" outlineLevel="0" collapsed="false">
      <c r="A593" s="100"/>
      <c r="B593" s="100"/>
      <c r="C593" s="100"/>
      <c r="D593" s="100"/>
      <c r="E593" s="100"/>
      <c r="F593" s="277"/>
      <c r="H593" s="277"/>
      <c r="I593" s="277"/>
      <c r="J593" s="69"/>
      <c r="K593" s="277"/>
      <c r="L593" s="277"/>
      <c r="M593" s="277"/>
      <c r="N593" s="277"/>
      <c r="O593" s="277"/>
      <c r="P593" s="277"/>
      <c r="Q593" s="277"/>
      <c r="R593" s="277"/>
      <c r="T593" s="277"/>
      <c r="U593" s="277"/>
      <c r="W593" s="277"/>
      <c r="Y593" s="107"/>
      <c r="Z593" s="107"/>
      <c r="AA593" s="107"/>
      <c r="AB593" s="107"/>
      <c r="AC593" s="107"/>
      <c r="AD593" s="233"/>
      <c r="AE593" s="107"/>
      <c r="AF593" s="107"/>
      <c r="AG593" s="107"/>
      <c r="AH593" s="107"/>
      <c r="AI593" s="107"/>
      <c r="AJ593" s="107"/>
      <c r="AK593" s="107"/>
      <c r="AL593" s="107"/>
      <c r="AM593" s="304"/>
      <c r="AN593" s="304"/>
      <c r="AO593" s="304"/>
      <c r="AP593" s="304"/>
      <c r="AQ593" s="304"/>
      <c r="AR593" s="304"/>
      <c r="AS593" s="304"/>
      <c r="AT593" s="304"/>
      <c r="AU593" s="304"/>
      <c r="AV593" s="304"/>
      <c r="AW593" s="304"/>
      <c r="AX593" s="304"/>
      <c r="AY593" s="304"/>
      <c r="AZ593" s="304"/>
      <c r="BA593" s="304"/>
      <c r="BB593" s="107"/>
      <c r="BC593" s="107"/>
      <c r="BD593" s="107"/>
      <c r="BE593" s="107"/>
      <c r="BF593" s="107"/>
      <c r="BG593" s="107"/>
      <c r="BH593" s="107"/>
      <c r="BI593" s="107"/>
      <c r="BJ593" s="107"/>
      <c r="BK593" s="107"/>
      <c r="BL593" s="107"/>
      <c r="BM593" s="107"/>
      <c r="BN593" s="107"/>
      <c r="BO593" s="107"/>
      <c r="BP593" s="107"/>
      <c r="BQ593" s="107"/>
      <c r="BR593" s="107"/>
    </row>
    <row r="594" customFormat="false" ht="12.75" hidden="false" customHeight="false" outlineLevel="0" collapsed="false">
      <c r="A594" s="100"/>
      <c r="B594" s="100"/>
      <c r="C594" s="100"/>
      <c r="D594" s="100"/>
      <c r="E594" s="100"/>
      <c r="F594" s="277"/>
      <c r="H594" s="277"/>
      <c r="I594" s="277"/>
      <c r="J594" s="69"/>
      <c r="K594" s="277"/>
      <c r="L594" s="277"/>
      <c r="M594" s="277"/>
      <c r="N594" s="277"/>
      <c r="O594" s="277"/>
      <c r="P594" s="277"/>
      <c r="Q594" s="277"/>
      <c r="R594" s="277"/>
      <c r="T594" s="277"/>
      <c r="U594" s="277"/>
      <c r="W594" s="277"/>
      <c r="Y594" s="107"/>
      <c r="Z594" s="107"/>
      <c r="AA594" s="107"/>
      <c r="AB594" s="107"/>
      <c r="AC594" s="107"/>
      <c r="AD594" s="233"/>
      <c r="AE594" s="107"/>
      <c r="AF594" s="107"/>
      <c r="AG594" s="107"/>
      <c r="AH594" s="107"/>
      <c r="AI594" s="107"/>
      <c r="AJ594" s="107"/>
      <c r="AK594" s="107"/>
      <c r="AL594" s="107"/>
      <c r="AM594" s="304"/>
      <c r="AN594" s="304"/>
      <c r="AO594" s="304"/>
      <c r="AP594" s="304"/>
      <c r="AQ594" s="304"/>
      <c r="AR594" s="304"/>
      <c r="AS594" s="304"/>
      <c r="AT594" s="304"/>
      <c r="AU594" s="304"/>
      <c r="AV594" s="304"/>
      <c r="AW594" s="304"/>
      <c r="AX594" s="304"/>
      <c r="AY594" s="304"/>
      <c r="AZ594" s="304"/>
      <c r="BA594" s="304"/>
      <c r="BB594" s="107"/>
      <c r="BC594" s="107"/>
      <c r="BD594" s="107"/>
      <c r="BE594" s="107"/>
      <c r="BF594" s="107"/>
      <c r="BG594" s="107"/>
      <c r="BH594" s="107"/>
      <c r="BI594" s="107"/>
      <c r="BJ594" s="107"/>
      <c r="BK594" s="107"/>
      <c r="BL594" s="107"/>
      <c r="BM594" s="107"/>
      <c r="BN594" s="107"/>
      <c r="BO594" s="107"/>
      <c r="BP594" s="107"/>
      <c r="BQ594" s="107"/>
      <c r="BR594" s="107"/>
    </row>
    <row r="595" customFormat="false" ht="12.75" hidden="false" customHeight="false" outlineLevel="0" collapsed="false">
      <c r="A595" s="100"/>
      <c r="B595" s="100"/>
      <c r="C595" s="100"/>
      <c r="D595" s="100"/>
      <c r="E595" s="100"/>
      <c r="F595" s="277"/>
      <c r="H595" s="277"/>
      <c r="I595" s="277"/>
      <c r="J595" s="69"/>
      <c r="K595" s="277"/>
      <c r="L595" s="277"/>
      <c r="M595" s="277"/>
      <c r="N595" s="277"/>
      <c r="O595" s="277"/>
      <c r="P595" s="277"/>
      <c r="Q595" s="277"/>
      <c r="R595" s="277"/>
      <c r="T595" s="277"/>
      <c r="U595" s="277"/>
      <c r="W595" s="277"/>
      <c r="Y595" s="107"/>
      <c r="Z595" s="107"/>
      <c r="AA595" s="107"/>
      <c r="AB595" s="107"/>
      <c r="AC595" s="107"/>
      <c r="AD595" s="233"/>
      <c r="AE595" s="107"/>
      <c r="AF595" s="107"/>
      <c r="AG595" s="107"/>
      <c r="AH595" s="107"/>
      <c r="AI595" s="107"/>
      <c r="AJ595" s="107"/>
      <c r="AK595" s="107"/>
      <c r="AL595" s="107"/>
      <c r="AM595" s="304"/>
      <c r="AN595" s="304"/>
      <c r="AO595" s="304"/>
      <c r="AP595" s="304"/>
      <c r="AQ595" s="304"/>
      <c r="AR595" s="304"/>
      <c r="AS595" s="304"/>
      <c r="AT595" s="304"/>
      <c r="AU595" s="304"/>
      <c r="AV595" s="304"/>
      <c r="AW595" s="304"/>
      <c r="AX595" s="304"/>
      <c r="AY595" s="304"/>
      <c r="AZ595" s="304"/>
      <c r="BA595" s="304"/>
      <c r="BB595" s="107"/>
      <c r="BC595" s="107"/>
      <c r="BD595" s="107"/>
      <c r="BE595" s="107"/>
      <c r="BF595" s="107"/>
      <c r="BG595" s="107"/>
      <c r="BH595" s="107"/>
      <c r="BI595" s="107"/>
      <c r="BJ595" s="107"/>
      <c r="BK595" s="107"/>
      <c r="BL595" s="107"/>
      <c r="BM595" s="107"/>
      <c r="BN595" s="107"/>
      <c r="BO595" s="107"/>
      <c r="BP595" s="107"/>
      <c r="BQ595" s="107"/>
      <c r="BR595" s="107"/>
    </row>
    <row r="596" customFormat="false" ht="12.75" hidden="false" customHeight="false" outlineLevel="0" collapsed="false">
      <c r="A596" s="100"/>
      <c r="B596" s="100"/>
      <c r="C596" s="100"/>
      <c r="D596" s="100"/>
      <c r="E596" s="100"/>
      <c r="F596" s="277"/>
      <c r="H596" s="277"/>
      <c r="I596" s="277"/>
      <c r="J596" s="69"/>
      <c r="K596" s="277"/>
      <c r="L596" s="277"/>
      <c r="M596" s="277"/>
      <c r="N596" s="277"/>
      <c r="O596" s="277"/>
      <c r="P596" s="277"/>
      <c r="Q596" s="277"/>
      <c r="R596" s="277"/>
      <c r="T596" s="277"/>
      <c r="U596" s="277"/>
      <c r="W596" s="277"/>
      <c r="Y596" s="107"/>
      <c r="Z596" s="107"/>
      <c r="AA596" s="107"/>
      <c r="AB596" s="107"/>
      <c r="AC596" s="107"/>
      <c r="AD596" s="233"/>
      <c r="AE596" s="107"/>
      <c r="AF596" s="107"/>
      <c r="AG596" s="107"/>
      <c r="AH596" s="107"/>
      <c r="AI596" s="107"/>
      <c r="AJ596" s="107"/>
      <c r="AK596" s="107"/>
      <c r="AL596" s="107"/>
      <c r="AM596" s="304"/>
      <c r="AN596" s="304"/>
      <c r="AO596" s="304"/>
      <c r="AP596" s="304"/>
      <c r="AQ596" s="304"/>
      <c r="AR596" s="304"/>
      <c r="AS596" s="304"/>
      <c r="AT596" s="304"/>
      <c r="AU596" s="304"/>
      <c r="AV596" s="304"/>
      <c r="AW596" s="304"/>
      <c r="AX596" s="304"/>
      <c r="AY596" s="304"/>
      <c r="AZ596" s="304"/>
      <c r="BA596" s="304"/>
      <c r="BB596" s="107"/>
      <c r="BC596" s="107"/>
      <c r="BD596" s="107"/>
      <c r="BE596" s="107"/>
      <c r="BF596" s="107"/>
      <c r="BG596" s="107"/>
      <c r="BH596" s="107"/>
      <c r="BI596" s="107"/>
      <c r="BJ596" s="107"/>
      <c r="BK596" s="107"/>
      <c r="BL596" s="107"/>
      <c r="BM596" s="107"/>
      <c r="BN596" s="107"/>
      <c r="BO596" s="107"/>
      <c r="BP596" s="107"/>
      <c r="BQ596" s="107"/>
      <c r="BR596" s="107"/>
    </row>
    <row r="597" customFormat="false" ht="12.75" hidden="false" customHeight="false" outlineLevel="0" collapsed="false">
      <c r="A597" s="100"/>
      <c r="B597" s="100"/>
      <c r="C597" s="100"/>
      <c r="D597" s="100"/>
      <c r="E597" s="100"/>
      <c r="F597" s="277"/>
      <c r="H597" s="277"/>
      <c r="I597" s="277"/>
      <c r="J597" s="69"/>
      <c r="K597" s="277"/>
      <c r="L597" s="277"/>
      <c r="M597" s="277"/>
      <c r="N597" s="277"/>
      <c r="O597" s="277"/>
      <c r="P597" s="277"/>
      <c r="Q597" s="277"/>
      <c r="R597" s="277"/>
      <c r="T597" s="277"/>
      <c r="U597" s="277"/>
      <c r="W597" s="277"/>
      <c r="Y597" s="107"/>
      <c r="Z597" s="107"/>
      <c r="AA597" s="107"/>
      <c r="AB597" s="107"/>
      <c r="AC597" s="107"/>
      <c r="AD597" s="233"/>
      <c r="AE597" s="107"/>
      <c r="AF597" s="107"/>
      <c r="AG597" s="107"/>
      <c r="AH597" s="107"/>
      <c r="AI597" s="107"/>
      <c r="AJ597" s="107"/>
      <c r="AK597" s="107"/>
      <c r="AL597" s="107"/>
      <c r="AM597" s="304"/>
      <c r="AN597" s="304"/>
      <c r="AO597" s="304"/>
      <c r="AP597" s="304"/>
      <c r="AQ597" s="304"/>
      <c r="AR597" s="304"/>
      <c r="AS597" s="304"/>
      <c r="AT597" s="304"/>
      <c r="AU597" s="304"/>
      <c r="AV597" s="304"/>
      <c r="AW597" s="304"/>
      <c r="AX597" s="304"/>
      <c r="AY597" s="304"/>
      <c r="AZ597" s="304"/>
      <c r="BA597" s="304"/>
      <c r="BB597" s="107"/>
      <c r="BC597" s="107"/>
      <c r="BD597" s="107"/>
      <c r="BE597" s="107"/>
      <c r="BF597" s="107"/>
      <c r="BG597" s="107"/>
      <c r="BH597" s="107"/>
      <c r="BI597" s="107"/>
      <c r="BJ597" s="107"/>
      <c r="BK597" s="107"/>
      <c r="BL597" s="107"/>
      <c r="BM597" s="107"/>
      <c r="BN597" s="107"/>
      <c r="BO597" s="107"/>
      <c r="BP597" s="107"/>
      <c r="BQ597" s="107"/>
      <c r="BR597" s="107"/>
    </row>
    <row r="598" customFormat="false" ht="12.75" hidden="false" customHeight="false" outlineLevel="0" collapsed="false">
      <c r="A598" s="100"/>
      <c r="B598" s="100"/>
      <c r="C598" s="100"/>
      <c r="D598" s="100"/>
      <c r="E598" s="100"/>
      <c r="F598" s="277"/>
      <c r="H598" s="277"/>
      <c r="I598" s="277"/>
      <c r="J598" s="69"/>
      <c r="K598" s="277"/>
      <c r="L598" s="277"/>
      <c r="M598" s="277"/>
      <c r="N598" s="277"/>
      <c r="O598" s="277"/>
      <c r="P598" s="277"/>
      <c r="Q598" s="277"/>
      <c r="R598" s="277"/>
      <c r="T598" s="277"/>
      <c r="U598" s="277"/>
      <c r="W598" s="277"/>
      <c r="Y598" s="107"/>
      <c r="Z598" s="107"/>
      <c r="AA598" s="107"/>
      <c r="AB598" s="107"/>
      <c r="AC598" s="107"/>
      <c r="AD598" s="233"/>
      <c r="AE598" s="107"/>
      <c r="AF598" s="107"/>
      <c r="AG598" s="107"/>
      <c r="AH598" s="107"/>
      <c r="AI598" s="107"/>
      <c r="AJ598" s="107"/>
      <c r="AK598" s="107"/>
      <c r="AL598" s="107"/>
      <c r="AM598" s="304"/>
      <c r="AN598" s="304"/>
      <c r="AO598" s="304"/>
      <c r="AP598" s="304"/>
      <c r="AQ598" s="304"/>
      <c r="AR598" s="304"/>
      <c r="AS598" s="304"/>
      <c r="AT598" s="304"/>
      <c r="AU598" s="304"/>
      <c r="AV598" s="304"/>
      <c r="AW598" s="304"/>
      <c r="AX598" s="304"/>
      <c r="AY598" s="304"/>
      <c r="AZ598" s="304"/>
      <c r="BA598" s="304"/>
      <c r="BB598" s="107"/>
      <c r="BC598" s="107"/>
      <c r="BD598" s="107"/>
      <c r="BE598" s="107"/>
      <c r="BF598" s="107"/>
      <c r="BG598" s="107"/>
      <c r="BH598" s="107"/>
      <c r="BI598" s="107"/>
      <c r="BJ598" s="107"/>
      <c r="BK598" s="107"/>
      <c r="BL598" s="107"/>
      <c r="BM598" s="107"/>
      <c r="BN598" s="107"/>
      <c r="BO598" s="107"/>
      <c r="BP598" s="107"/>
      <c r="BQ598" s="107"/>
      <c r="BR598" s="107"/>
    </row>
    <row r="599" customFormat="false" ht="12.75" hidden="false" customHeight="false" outlineLevel="0" collapsed="false">
      <c r="A599" s="100"/>
      <c r="B599" s="100"/>
      <c r="C599" s="100"/>
      <c r="D599" s="100"/>
      <c r="E599" s="100"/>
      <c r="F599" s="277"/>
      <c r="H599" s="277"/>
      <c r="I599" s="277"/>
      <c r="J599" s="69"/>
      <c r="K599" s="277"/>
      <c r="L599" s="277"/>
      <c r="M599" s="277"/>
      <c r="N599" s="277"/>
      <c r="O599" s="277"/>
      <c r="P599" s="277"/>
      <c r="Q599" s="277"/>
      <c r="R599" s="277"/>
      <c r="T599" s="277"/>
      <c r="U599" s="277"/>
      <c r="W599" s="277"/>
      <c r="Y599" s="107"/>
      <c r="Z599" s="107"/>
      <c r="AA599" s="107"/>
      <c r="AB599" s="107"/>
      <c r="AC599" s="107"/>
      <c r="AD599" s="233"/>
      <c r="AE599" s="107"/>
      <c r="AF599" s="107"/>
      <c r="AG599" s="107"/>
      <c r="AH599" s="107"/>
      <c r="AI599" s="107"/>
      <c r="AJ599" s="107"/>
      <c r="AK599" s="107"/>
      <c r="AL599" s="107"/>
      <c r="AM599" s="304"/>
      <c r="AN599" s="304"/>
      <c r="AO599" s="304"/>
      <c r="AP599" s="304"/>
      <c r="AQ599" s="304"/>
      <c r="AR599" s="304"/>
      <c r="AS599" s="304"/>
      <c r="AT599" s="304"/>
      <c r="AU599" s="304"/>
      <c r="AV599" s="304"/>
      <c r="AW599" s="304"/>
      <c r="AX599" s="304"/>
      <c r="AY599" s="304"/>
      <c r="AZ599" s="304"/>
      <c r="BA599" s="304"/>
      <c r="BB599" s="107"/>
      <c r="BC599" s="107"/>
      <c r="BD599" s="107"/>
      <c r="BE599" s="107"/>
      <c r="BF599" s="107"/>
      <c r="BG599" s="107"/>
      <c r="BH599" s="107"/>
      <c r="BI599" s="107"/>
      <c r="BJ599" s="107"/>
      <c r="BK599" s="107"/>
      <c r="BL599" s="107"/>
      <c r="BM599" s="107"/>
      <c r="BN599" s="107"/>
      <c r="BO599" s="107"/>
      <c r="BP599" s="107"/>
      <c r="BQ599" s="107"/>
      <c r="BR599" s="107"/>
    </row>
    <row r="600" customFormat="false" ht="12.75" hidden="false" customHeight="false" outlineLevel="0" collapsed="false">
      <c r="A600" s="100"/>
      <c r="B600" s="100"/>
      <c r="C600" s="100"/>
      <c r="D600" s="100"/>
      <c r="E600" s="100"/>
      <c r="F600" s="277"/>
      <c r="H600" s="277"/>
      <c r="I600" s="277"/>
      <c r="J600" s="69"/>
      <c r="K600" s="277"/>
      <c r="L600" s="277"/>
      <c r="M600" s="277"/>
      <c r="N600" s="277"/>
      <c r="O600" s="277"/>
      <c r="P600" s="277"/>
      <c r="Q600" s="277"/>
      <c r="R600" s="277"/>
      <c r="T600" s="277"/>
      <c r="U600" s="277"/>
      <c r="W600" s="277"/>
      <c r="Y600" s="107"/>
      <c r="Z600" s="107"/>
      <c r="AA600" s="107"/>
      <c r="AB600" s="107"/>
      <c r="AC600" s="107"/>
      <c r="AD600" s="233"/>
      <c r="AE600" s="107"/>
      <c r="AF600" s="107"/>
      <c r="AG600" s="107"/>
      <c r="AH600" s="107"/>
      <c r="AI600" s="107"/>
      <c r="AJ600" s="107"/>
      <c r="AK600" s="107"/>
      <c r="AL600" s="107"/>
      <c r="AM600" s="304"/>
      <c r="AN600" s="304"/>
      <c r="AO600" s="304"/>
      <c r="AP600" s="304"/>
      <c r="AQ600" s="304"/>
      <c r="AR600" s="304"/>
      <c r="AS600" s="304"/>
      <c r="AT600" s="304"/>
      <c r="AU600" s="304"/>
      <c r="AV600" s="304"/>
      <c r="AW600" s="304"/>
      <c r="AX600" s="304"/>
      <c r="AY600" s="304"/>
      <c r="AZ600" s="304"/>
      <c r="BA600" s="304"/>
      <c r="BB600" s="107"/>
      <c r="BC600" s="107"/>
      <c r="BD600" s="107"/>
      <c r="BE600" s="107"/>
      <c r="BF600" s="107"/>
      <c r="BG600" s="107"/>
      <c r="BH600" s="107"/>
      <c r="BI600" s="107"/>
      <c r="BJ600" s="107"/>
      <c r="BK600" s="107"/>
      <c r="BL600" s="107"/>
      <c r="BM600" s="107"/>
      <c r="BN600" s="107"/>
      <c r="BO600" s="107"/>
      <c r="BP600" s="107"/>
      <c r="BQ600" s="107"/>
      <c r="BR600" s="107"/>
    </row>
    <row r="601" customFormat="false" ht="12.75" hidden="false" customHeight="false" outlineLevel="0" collapsed="false">
      <c r="A601" s="100"/>
      <c r="B601" s="100"/>
      <c r="C601" s="100"/>
      <c r="D601" s="100"/>
      <c r="E601" s="100"/>
      <c r="F601" s="277"/>
      <c r="H601" s="277"/>
      <c r="I601" s="277"/>
      <c r="J601" s="69"/>
      <c r="K601" s="277"/>
      <c r="L601" s="277"/>
      <c r="M601" s="277"/>
      <c r="N601" s="277"/>
      <c r="O601" s="277"/>
      <c r="P601" s="277"/>
      <c r="Q601" s="277"/>
      <c r="R601" s="277"/>
      <c r="T601" s="277"/>
      <c r="U601" s="277"/>
      <c r="W601" s="277"/>
      <c r="Y601" s="107"/>
      <c r="Z601" s="107"/>
      <c r="AA601" s="107"/>
      <c r="AB601" s="107"/>
      <c r="AC601" s="107"/>
      <c r="AD601" s="233"/>
      <c r="AE601" s="107"/>
      <c r="AF601" s="107"/>
      <c r="AG601" s="107"/>
      <c r="AH601" s="107"/>
      <c r="AI601" s="107"/>
      <c r="AJ601" s="107"/>
      <c r="AK601" s="107"/>
      <c r="AL601" s="107"/>
      <c r="AM601" s="304"/>
      <c r="AN601" s="304"/>
      <c r="AO601" s="304"/>
      <c r="AP601" s="304"/>
      <c r="AQ601" s="304"/>
      <c r="AR601" s="304"/>
      <c r="AS601" s="304"/>
      <c r="AT601" s="304"/>
      <c r="AU601" s="304"/>
      <c r="AV601" s="304"/>
      <c r="AW601" s="304"/>
      <c r="AX601" s="304"/>
      <c r="AY601" s="304"/>
      <c r="AZ601" s="304"/>
      <c r="BA601" s="304"/>
      <c r="BB601" s="107"/>
      <c r="BC601" s="107"/>
      <c r="BD601" s="107"/>
      <c r="BE601" s="107"/>
      <c r="BF601" s="107"/>
      <c r="BG601" s="107"/>
      <c r="BH601" s="107"/>
      <c r="BI601" s="107"/>
      <c r="BJ601" s="107"/>
      <c r="BK601" s="107"/>
      <c r="BL601" s="107"/>
      <c r="BM601" s="107"/>
      <c r="BN601" s="107"/>
      <c r="BO601" s="107"/>
      <c r="BP601" s="107"/>
      <c r="BQ601" s="107"/>
      <c r="BR601" s="107"/>
    </row>
    <row r="602" customFormat="false" ht="12.75" hidden="false" customHeight="false" outlineLevel="0" collapsed="false">
      <c r="A602" s="100"/>
      <c r="B602" s="100"/>
      <c r="C602" s="100"/>
      <c r="D602" s="100"/>
      <c r="E602" s="100"/>
      <c r="F602" s="277"/>
      <c r="H602" s="277"/>
      <c r="I602" s="277"/>
      <c r="J602" s="69"/>
      <c r="K602" s="277"/>
      <c r="L602" s="277"/>
      <c r="M602" s="277"/>
      <c r="N602" s="277"/>
      <c r="O602" s="277"/>
      <c r="P602" s="277"/>
      <c r="Q602" s="277"/>
      <c r="R602" s="277"/>
      <c r="T602" s="277"/>
      <c r="U602" s="277"/>
      <c r="W602" s="277"/>
      <c r="Y602" s="107"/>
      <c r="Z602" s="107"/>
      <c r="AA602" s="107"/>
      <c r="AB602" s="107"/>
      <c r="AC602" s="107"/>
      <c r="AD602" s="233"/>
      <c r="AE602" s="107"/>
      <c r="AF602" s="107"/>
      <c r="AG602" s="107"/>
      <c r="AH602" s="107"/>
      <c r="AI602" s="107"/>
      <c r="AJ602" s="107"/>
      <c r="AK602" s="107"/>
      <c r="AL602" s="107"/>
      <c r="AM602" s="304"/>
      <c r="AN602" s="304"/>
      <c r="AO602" s="304"/>
      <c r="AP602" s="304"/>
      <c r="AQ602" s="304"/>
      <c r="AR602" s="304"/>
      <c r="AS602" s="304"/>
      <c r="AT602" s="304"/>
      <c r="AU602" s="304"/>
      <c r="AV602" s="304"/>
      <c r="AW602" s="304"/>
      <c r="AX602" s="304"/>
      <c r="AY602" s="304"/>
      <c r="AZ602" s="304"/>
      <c r="BA602" s="304"/>
      <c r="BB602" s="107"/>
      <c r="BC602" s="107"/>
      <c r="BD602" s="107"/>
      <c r="BE602" s="107"/>
      <c r="BF602" s="107"/>
      <c r="BG602" s="107"/>
      <c r="BH602" s="107"/>
      <c r="BI602" s="107"/>
      <c r="BJ602" s="107"/>
      <c r="BK602" s="107"/>
      <c r="BL602" s="107"/>
      <c r="BM602" s="107"/>
      <c r="BN602" s="107"/>
      <c r="BO602" s="107"/>
      <c r="BP602" s="107"/>
      <c r="BQ602" s="107"/>
      <c r="BR602" s="107"/>
    </row>
    <row r="603" customFormat="false" ht="12.75" hidden="false" customHeight="false" outlineLevel="0" collapsed="false">
      <c r="A603" s="100"/>
      <c r="B603" s="100"/>
      <c r="C603" s="100"/>
      <c r="D603" s="100"/>
      <c r="E603" s="100"/>
      <c r="F603" s="277"/>
      <c r="H603" s="277"/>
      <c r="I603" s="277"/>
      <c r="J603" s="69"/>
      <c r="K603" s="277"/>
      <c r="L603" s="277"/>
      <c r="M603" s="277"/>
      <c r="N603" s="277"/>
      <c r="O603" s="277"/>
      <c r="P603" s="277"/>
      <c r="Q603" s="277"/>
      <c r="R603" s="277"/>
      <c r="T603" s="277"/>
      <c r="U603" s="277"/>
      <c r="W603" s="277"/>
      <c r="Y603" s="107"/>
      <c r="Z603" s="107"/>
      <c r="AA603" s="107"/>
      <c r="AB603" s="107"/>
      <c r="AC603" s="107"/>
      <c r="AD603" s="233"/>
      <c r="AE603" s="107"/>
      <c r="AF603" s="107"/>
      <c r="AG603" s="107"/>
      <c r="AH603" s="107"/>
      <c r="AI603" s="107"/>
      <c r="AJ603" s="107"/>
      <c r="AK603" s="107"/>
      <c r="AL603" s="107"/>
      <c r="AM603" s="304"/>
      <c r="AN603" s="304"/>
      <c r="AO603" s="304"/>
      <c r="AP603" s="304"/>
      <c r="AQ603" s="304"/>
      <c r="AR603" s="304"/>
      <c r="AS603" s="304"/>
      <c r="AT603" s="304"/>
      <c r="AU603" s="304"/>
      <c r="AV603" s="304"/>
      <c r="AW603" s="304"/>
      <c r="AX603" s="304"/>
      <c r="AY603" s="304"/>
      <c r="AZ603" s="304"/>
      <c r="BA603" s="304"/>
      <c r="BB603" s="107"/>
      <c r="BC603" s="107"/>
      <c r="BD603" s="107"/>
      <c r="BE603" s="107"/>
      <c r="BF603" s="107"/>
      <c r="BG603" s="107"/>
      <c r="BH603" s="107"/>
      <c r="BI603" s="107"/>
      <c r="BJ603" s="107"/>
      <c r="BK603" s="107"/>
      <c r="BL603" s="107"/>
      <c r="BM603" s="107"/>
      <c r="BN603" s="107"/>
      <c r="BO603" s="107"/>
      <c r="BP603" s="107"/>
      <c r="BQ603" s="107"/>
      <c r="BR603" s="107"/>
    </row>
    <row r="604" customFormat="false" ht="12.75" hidden="false" customHeight="false" outlineLevel="0" collapsed="false">
      <c r="A604" s="100"/>
      <c r="B604" s="100"/>
      <c r="C604" s="100"/>
      <c r="D604" s="100"/>
      <c r="E604" s="100"/>
      <c r="F604" s="277"/>
      <c r="H604" s="277"/>
      <c r="I604" s="277"/>
      <c r="J604" s="69"/>
      <c r="K604" s="277"/>
      <c r="L604" s="277"/>
      <c r="M604" s="277"/>
      <c r="N604" s="277"/>
      <c r="O604" s="277"/>
      <c r="P604" s="277"/>
      <c r="Q604" s="277"/>
      <c r="R604" s="277"/>
      <c r="T604" s="277"/>
      <c r="U604" s="277"/>
      <c r="W604" s="277"/>
      <c r="Y604" s="107"/>
      <c r="Z604" s="107"/>
      <c r="AA604" s="107"/>
      <c r="AB604" s="107"/>
      <c r="AC604" s="107"/>
      <c r="AD604" s="233"/>
      <c r="AE604" s="107"/>
      <c r="AF604" s="107"/>
      <c r="AG604" s="107"/>
      <c r="AH604" s="107"/>
      <c r="AI604" s="107"/>
      <c r="AJ604" s="107"/>
      <c r="AK604" s="107"/>
      <c r="AL604" s="107"/>
      <c r="AM604" s="304"/>
      <c r="AN604" s="304"/>
      <c r="AO604" s="304"/>
      <c r="AP604" s="304"/>
      <c r="AQ604" s="304"/>
      <c r="AR604" s="304"/>
      <c r="AS604" s="304"/>
      <c r="AT604" s="304"/>
      <c r="AU604" s="304"/>
      <c r="AV604" s="304"/>
      <c r="AW604" s="304"/>
      <c r="AX604" s="304"/>
      <c r="AY604" s="304"/>
      <c r="AZ604" s="304"/>
      <c r="BA604" s="304"/>
      <c r="BB604" s="107"/>
      <c r="BC604" s="107"/>
      <c r="BD604" s="107"/>
      <c r="BE604" s="107"/>
      <c r="BF604" s="107"/>
      <c r="BG604" s="107"/>
      <c r="BH604" s="107"/>
      <c r="BI604" s="107"/>
      <c r="BJ604" s="107"/>
      <c r="BK604" s="107"/>
      <c r="BL604" s="107"/>
      <c r="BM604" s="107"/>
      <c r="BN604" s="107"/>
      <c r="BO604" s="107"/>
      <c r="BP604" s="107"/>
      <c r="BQ604" s="107"/>
      <c r="BR604" s="107"/>
    </row>
    <row r="605" customFormat="false" ht="12.75" hidden="false" customHeight="false" outlineLevel="0" collapsed="false">
      <c r="A605" s="100"/>
      <c r="B605" s="100"/>
      <c r="C605" s="100"/>
      <c r="D605" s="100"/>
      <c r="E605" s="100"/>
      <c r="F605" s="277"/>
      <c r="H605" s="277"/>
      <c r="I605" s="277"/>
      <c r="J605" s="69"/>
      <c r="K605" s="277"/>
      <c r="L605" s="277"/>
      <c r="M605" s="277"/>
      <c r="N605" s="277"/>
      <c r="O605" s="277"/>
      <c r="P605" s="277"/>
      <c r="Q605" s="277"/>
      <c r="R605" s="277"/>
      <c r="T605" s="277"/>
      <c r="U605" s="277"/>
      <c r="W605" s="277"/>
      <c r="Y605" s="107"/>
      <c r="Z605" s="107"/>
      <c r="AA605" s="107"/>
      <c r="AB605" s="107"/>
      <c r="AC605" s="107"/>
      <c r="AD605" s="233"/>
      <c r="AE605" s="107"/>
      <c r="AF605" s="107"/>
      <c r="AG605" s="107"/>
      <c r="AH605" s="107"/>
      <c r="AI605" s="107"/>
      <c r="AJ605" s="107"/>
      <c r="AK605" s="107"/>
      <c r="AL605" s="107"/>
      <c r="AM605" s="304"/>
      <c r="AN605" s="304"/>
      <c r="AO605" s="304"/>
      <c r="AP605" s="304"/>
      <c r="AQ605" s="304"/>
      <c r="AR605" s="304"/>
      <c r="AS605" s="304"/>
      <c r="AT605" s="304"/>
      <c r="AU605" s="304"/>
      <c r="AV605" s="304"/>
      <c r="AW605" s="304"/>
      <c r="AX605" s="304"/>
      <c r="AY605" s="304"/>
      <c r="AZ605" s="304"/>
      <c r="BA605" s="304"/>
      <c r="BB605" s="107"/>
      <c r="BC605" s="107"/>
      <c r="BD605" s="107"/>
      <c r="BE605" s="107"/>
      <c r="BF605" s="107"/>
      <c r="BG605" s="107"/>
      <c r="BH605" s="107"/>
      <c r="BI605" s="107"/>
      <c r="BJ605" s="107"/>
      <c r="BK605" s="107"/>
      <c r="BL605" s="107"/>
      <c r="BM605" s="107"/>
      <c r="BN605" s="107"/>
      <c r="BO605" s="107"/>
      <c r="BP605" s="107"/>
      <c r="BQ605" s="107"/>
      <c r="BR605" s="107"/>
    </row>
    <row r="606" customFormat="false" ht="12.75" hidden="false" customHeight="false" outlineLevel="0" collapsed="false">
      <c r="A606" s="100"/>
      <c r="B606" s="100"/>
      <c r="C606" s="100"/>
      <c r="D606" s="100"/>
      <c r="E606" s="100"/>
      <c r="F606" s="277"/>
      <c r="H606" s="277"/>
      <c r="I606" s="277"/>
      <c r="J606" s="69"/>
      <c r="K606" s="277"/>
      <c r="L606" s="277"/>
      <c r="M606" s="277"/>
      <c r="N606" s="277"/>
      <c r="O606" s="277"/>
      <c r="P606" s="277"/>
      <c r="Q606" s="277"/>
      <c r="R606" s="277"/>
      <c r="T606" s="277"/>
      <c r="U606" s="277"/>
      <c r="W606" s="277"/>
      <c r="Y606" s="107"/>
      <c r="Z606" s="107"/>
      <c r="AA606" s="107"/>
      <c r="AB606" s="107"/>
      <c r="AC606" s="107"/>
      <c r="AD606" s="233"/>
      <c r="AE606" s="107"/>
      <c r="AF606" s="107"/>
      <c r="AG606" s="107"/>
      <c r="AH606" s="107"/>
      <c r="AI606" s="107"/>
      <c r="AJ606" s="107"/>
      <c r="AK606" s="107"/>
      <c r="AL606" s="107"/>
      <c r="AM606" s="304"/>
      <c r="AN606" s="304"/>
      <c r="AO606" s="304"/>
      <c r="AP606" s="304"/>
      <c r="AQ606" s="304"/>
      <c r="AR606" s="304"/>
      <c r="AS606" s="304"/>
      <c r="AT606" s="304"/>
      <c r="AU606" s="304"/>
      <c r="AV606" s="304"/>
      <c r="AW606" s="304"/>
      <c r="AX606" s="304"/>
      <c r="AY606" s="304"/>
      <c r="AZ606" s="304"/>
      <c r="BA606" s="304"/>
      <c r="BB606" s="107"/>
      <c r="BC606" s="107"/>
      <c r="BD606" s="107"/>
      <c r="BE606" s="107"/>
      <c r="BF606" s="107"/>
      <c r="BG606" s="107"/>
      <c r="BH606" s="107"/>
      <c r="BI606" s="107"/>
      <c r="BJ606" s="107"/>
      <c r="BK606" s="107"/>
      <c r="BL606" s="107"/>
      <c r="BM606" s="107"/>
      <c r="BN606" s="107"/>
      <c r="BO606" s="107"/>
      <c r="BP606" s="107"/>
      <c r="BQ606" s="107"/>
      <c r="BR606" s="107"/>
    </row>
    <row r="607" customFormat="false" ht="12.75" hidden="false" customHeight="false" outlineLevel="0" collapsed="false">
      <c r="A607" s="100"/>
      <c r="B607" s="100"/>
      <c r="C607" s="100"/>
      <c r="D607" s="100"/>
      <c r="E607" s="100"/>
      <c r="F607" s="277"/>
      <c r="H607" s="277"/>
      <c r="I607" s="277"/>
      <c r="J607" s="69"/>
      <c r="K607" s="277"/>
      <c r="L607" s="277"/>
      <c r="M607" s="277"/>
      <c r="N607" s="277"/>
      <c r="O607" s="277"/>
      <c r="P607" s="277"/>
      <c r="Q607" s="277"/>
      <c r="R607" s="277"/>
      <c r="T607" s="277"/>
      <c r="U607" s="277"/>
      <c r="W607" s="277"/>
      <c r="Y607" s="107"/>
      <c r="Z607" s="107"/>
      <c r="AA607" s="107"/>
      <c r="AB607" s="107"/>
      <c r="AC607" s="107"/>
      <c r="AD607" s="233"/>
      <c r="AE607" s="107"/>
      <c r="AF607" s="107"/>
      <c r="AG607" s="107"/>
      <c r="AH607" s="107"/>
      <c r="AI607" s="107"/>
      <c r="AJ607" s="107"/>
      <c r="AK607" s="107"/>
      <c r="AL607" s="107"/>
      <c r="AM607" s="304"/>
      <c r="AN607" s="304"/>
      <c r="AO607" s="304"/>
      <c r="AP607" s="304"/>
      <c r="AQ607" s="304"/>
      <c r="AR607" s="304"/>
      <c r="AS607" s="304"/>
      <c r="AT607" s="304"/>
      <c r="AU607" s="304"/>
      <c r="AV607" s="304"/>
      <c r="AW607" s="304"/>
      <c r="AX607" s="304"/>
      <c r="AY607" s="304"/>
      <c r="AZ607" s="304"/>
      <c r="BA607" s="304"/>
      <c r="BB607" s="107"/>
      <c r="BC607" s="107"/>
      <c r="BD607" s="107"/>
      <c r="BE607" s="107"/>
      <c r="BF607" s="107"/>
      <c r="BG607" s="107"/>
      <c r="BH607" s="107"/>
      <c r="BI607" s="107"/>
      <c r="BJ607" s="107"/>
      <c r="BK607" s="107"/>
      <c r="BL607" s="107"/>
      <c r="BM607" s="107"/>
      <c r="BN607" s="107"/>
      <c r="BO607" s="107"/>
      <c r="BP607" s="107"/>
      <c r="BQ607" s="107"/>
      <c r="BR607" s="107"/>
    </row>
    <row r="608" customFormat="false" ht="12.75" hidden="false" customHeight="false" outlineLevel="0" collapsed="false">
      <c r="A608" s="100"/>
      <c r="B608" s="100"/>
      <c r="C608" s="100"/>
      <c r="D608" s="100"/>
      <c r="E608" s="100"/>
      <c r="F608" s="277"/>
      <c r="H608" s="277"/>
      <c r="I608" s="277"/>
      <c r="J608" s="69"/>
      <c r="K608" s="277"/>
      <c r="L608" s="277"/>
      <c r="M608" s="277"/>
      <c r="N608" s="277"/>
      <c r="O608" s="277"/>
      <c r="P608" s="277"/>
      <c r="Q608" s="277"/>
      <c r="R608" s="277"/>
      <c r="T608" s="277"/>
      <c r="U608" s="277"/>
      <c r="W608" s="277"/>
      <c r="Y608" s="107"/>
      <c r="Z608" s="107"/>
      <c r="AA608" s="107"/>
      <c r="AB608" s="107"/>
      <c r="AC608" s="107"/>
      <c r="AD608" s="233"/>
      <c r="AE608" s="107"/>
      <c r="AF608" s="107"/>
      <c r="AG608" s="107"/>
      <c r="AH608" s="107"/>
      <c r="AI608" s="107"/>
      <c r="AJ608" s="107"/>
      <c r="AK608" s="107"/>
      <c r="AL608" s="107"/>
      <c r="AM608" s="304"/>
      <c r="AN608" s="304"/>
      <c r="AO608" s="304"/>
      <c r="AP608" s="304"/>
      <c r="AQ608" s="304"/>
      <c r="AR608" s="304"/>
      <c r="AS608" s="304"/>
      <c r="AT608" s="304"/>
      <c r="AU608" s="304"/>
      <c r="AV608" s="304"/>
      <c r="AW608" s="304"/>
      <c r="AX608" s="304"/>
      <c r="AY608" s="304"/>
      <c r="AZ608" s="304"/>
      <c r="BA608" s="304"/>
      <c r="BB608" s="107"/>
      <c r="BC608" s="107"/>
      <c r="BD608" s="107"/>
      <c r="BE608" s="107"/>
      <c r="BF608" s="107"/>
      <c r="BG608" s="107"/>
      <c r="BH608" s="107"/>
      <c r="BI608" s="107"/>
      <c r="BJ608" s="107"/>
      <c r="BK608" s="107"/>
      <c r="BL608" s="107"/>
      <c r="BM608" s="107"/>
      <c r="BN608" s="107"/>
      <c r="BO608" s="107"/>
      <c r="BP608" s="107"/>
      <c r="BQ608" s="107"/>
      <c r="BR608" s="107"/>
    </row>
    <row r="609" customFormat="false" ht="12.75" hidden="false" customHeight="false" outlineLevel="0" collapsed="false">
      <c r="A609" s="100"/>
      <c r="B609" s="100"/>
      <c r="C609" s="100"/>
      <c r="D609" s="100"/>
      <c r="E609" s="100"/>
      <c r="F609" s="277"/>
      <c r="H609" s="277"/>
      <c r="I609" s="277"/>
      <c r="J609" s="69"/>
      <c r="K609" s="277"/>
      <c r="L609" s="277"/>
      <c r="M609" s="277"/>
      <c r="N609" s="277"/>
      <c r="O609" s="277"/>
      <c r="P609" s="277"/>
      <c r="Q609" s="277"/>
      <c r="R609" s="277"/>
      <c r="T609" s="277"/>
      <c r="U609" s="277"/>
      <c r="W609" s="277"/>
      <c r="Y609" s="107"/>
      <c r="Z609" s="107"/>
      <c r="AA609" s="107"/>
      <c r="AB609" s="107"/>
      <c r="AC609" s="107"/>
      <c r="AD609" s="233"/>
      <c r="AE609" s="107"/>
      <c r="AF609" s="107"/>
      <c r="AG609" s="107"/>
      <c r="AH609" s="107"/>
      <c r="AI609" s="107"/>
      <c r="AJ609" s="107"/>
      <c r="AK609" s="107"/>
      <c r="AL609" s="107"/>
      <c r="AM609" s="304"/>
      <c r="AN609" s="304"/>
      <c r="AO609" s="304"/>
      <c r="AP609" s="304"/>
      <c r="AQ609" s="304"/>
      <c r="AR609" s="304"/>
      <c r="AS609" s="304"/>
      <c r="AT609" s="304"/>
      <c r="AU609" s="304"/>
      <c r="AV609" s="304"/>
      <c r="AW609" s="304"/>
      <c r="AX609" s="304"/>
      <c r="AY609" s="304"/>
      <c r="AZ609" s="304"/>
      <c r="BA609" s="304"/>
      <c r="BB609" s="107"/>
      <c r="BC609" s="107"/>
      <c r="BD609" s="107"/>
      <c r="BE609" s="107"/>
      <c r="BF609" s="107"/>
      <c r="BG609" s="107"/>
      <c r="BH609" s="107"/>
      <c r="BI609" s="107"/>
      <c r="BJ609" s="107"/>
      <c r="BK609" s="107"/>
      <c r="BL609" s="107"/>
      <c r="BM609" s="107"/>
      <c r="BN609" s="107"/>
      <c r="BO609" s="107"/>
      <c r="BP609" s="107"/>
      <c r="BQ609" s="107"/>
      <c r="BR609" s="107"/>
    </row>
    <row r="610" customFormat="false" ht="12.75" hidden="false" customHeight="false" outlineLevel="0" collapsed="false">
      <c r="A610" s="100"/>
      <c r="B610" s="100"/>
      <c r="C610" s="100"/>
      <c r="D610" s="100"/>
      <c r="E610" s="100"/>
      <c r="F610" s="277"/>
      <c r="H610" s="277"/>
      <c r="I610" s="277"/>
      <c r="J610" s="69"/>
      <c r="K610" s="277"/>
      <c r="L610" s="277"/>
      <c r="M610" s="277"/>
      <c r="N610" s="277"/>
      <c r="O610" s="277"/>
      <c r="P610" s="277"/>
      <c r="Q610" s="277"/>
      <c r="R610" s="277"/>
      <c r="T610" s="277"/>
      <c r="U610" s="277"/>
      <c r="W610" s="277"/>
      <c r="Y610" s="107"/>
      <c r="Z610" s="107"/>
      <c r="AA610" s="107"/>
      <c r="AB610" s="107"/>
      <c r="AC610" s="107"/>
      <c r="AD610" s="233"/>
      <c r="AE610" s="107"/>
      <c r="AF610" s="107"/>
      <c r="AG610" s="107"/>
      <c r="AH610" s="107"/>
      <c r="AI610" s="107"/>
      <c r="AJ610" s="107"/>
      <c r="AK610" s="107"/>
      <c r="AL610" s="107"/>
      <c r="AM610" s="304"/>
      <c r="AN610" s="304"/>
      <c r="AO610" s="304"/>
      <c r="AP610" s="304"/>
      <c r="AQ610" s="304"/>
      <c r="AR610" s="304"/>
      <c r="AS610" s="304"/>
      <c r="AT610" s="304"/>
      <c r="AU610" s="304"/>
      <c r="AV610" s="304"/>
      <c r="AW610" s="304"/>
      <c r="AX610" s="304"/>
      <c r="AY610" s="304"/>
      <c r="AZ610" s="304"/>
      <c r="BA610" s="304"/>
      <c r="BB610" s="107"/>
      <c r="BC610" s="107"/>
      <c r="BD610" s="107"/>
      <c r="BE610" s="107"/>
      <c r="BF610" s="107"/>
      <c r="BG610" s="107"/>
      <c r="BH610" s="107"/>
      <c r="BI610" s="107"/>
      <c r="BJ610" s="107"/>
      <c r="BK610" s="107"/>
      <c r="BL610" s="107"/>
      <c r="BM610" s="107"/>
      <c r="BN610" s="107"/>
      <c r="BO610" s="107"/>
      <c r="BP610" s="107"/>
      <c r="BQ610" s="107"/>
      <c r="BR610" s="107"/>
    </row>
    <row r="611" customFormat="false" ht="12.75" hidden="false" customHeight="false" outlineLevel="0" collapsed="false">
      <c r="A611" s="100"/>
      <c r="B611" s="100"/>
      <c r="C611" s="100"/>
      <c r="D611" s="100"/>
      <c r="E611" s="100"/>
      <c r="F611" s="277"/>
      <c r="H611" s="277"/>
      <c r="I611" s="277"/>
      <c r="J611" s="69"/>
      <c r="K611" s="277"/>
      <c r="L611" s="277"/>
      <c r="M611" s="277"/>
      <c r="N611" s="277"/>
      <c r="O611" s="277"/>
      <c r="P611" s="277"/>
      <c r="Q611" s="277"/>
      <c r="R611" s="277"/>
      <c r="T611" s="277"/>
      <c r="U611" s="277"/>
      <c r="W611" s="277"/>
      <c r="Y611" s="107"/>
      <c r="Z611" s="107"/>
      <c r="AA611" s="107"/>
      <c r="AB611" s="107"/>
      <c r="AC611" s="107"/>
      <c r="AD611" s="233"/>
      <c r="AE611" s="107"/>
      <c r="AF611" s="107"/>
      <c r="AG611" s="107"/>
      <c r="AH611" s="107"/>
      <c r="AI611" s="107"/>
      <c r="AJ611" s="107"/>
      <c r="AK611" s="107"/>
      <c r="AL611" s="107"/>
      <c r="AM611" s="304"/>
      <c r="AN611" s="304"/>
      <c r="AO611" s="304"/>
      <c r="AP611" s="304"/>
      <c r="AQ611" s="304"/>
      <c r="AR611" s="304"/>
      <c r="AS611" s="304"/>
      <c r="AT611" s="304"/>
      <c r="AU611" s="304"/>
      <c r="AV611" s="304"/>
      <c r="AW611" s="304"/>
      <c r="AX611" s="304"/>
      <c r="AY611" s="304"/>
      <c r="AZ611" s="304"/>
      <c r="BA611" s="304"/>
      <c r="BB611" s="107"/>
      <c r="BC611" s="107"/>
      <c r="BD611" s="107"/>
      <c r="BE611" s="107"/>
      <c r="BF611" s="107"/>
      <c r="BG611" s="107"/>
      <c r="BH611" s="107"/>
      <c r="BI611" s="107"/>
      <c r="BJ611" s="107"/>
      <c r="BK611" s="107"/>
      <c r="BL611" s="107"/>
      <c r="BM611" s="107"/>
      <c r="BN611" s="107"/>
      <c r="BO611" s="107"/>
      <c r="BP611" s="107"/>
      <c r="BQ611" s="107"/>
      <c r="BR611" s="107"/>
    </row>
    <row r="612" customFormat="false" ht="12.75" hidden="false" customHeight="false" outlineLevel="0" collapsed="false">
      <c r="A612" s="100"/>
      <c r="B612" s="100"/>
      <c r="C612" s="100"/>
      <c r="D612" s="100"/>
      <c r="E612" s="100"/>
      <c r="F612" s="277"/>
      <c r="H612" s="277"/>
      <c r="I612" s="277"/>
      <c r="J612" s="69"/>
      <c r="K612" s="277"/>
      <c r="L612" s="277"/>
      <c r="M612" s="277"/>
      <c r="N612" s="277"/>
      <c r="O612" s="277"/>
      <c r="P612" s="277"/>
      <c r="Q612" s="277"/>
      <c r="R612" s="277"/>
      <c r="T612" s="277"/>
      <c r="U612" s="277"/>
      <c r="W612" s="277"/>
      <c r="Y612" s="107"/>
      <c r="Z612" s="107"/>
      <c r="AA612" s="107"/>
      <c r="AB612" s="107"/>
      <c r="AC612" s="107"/>
      <c r="AD612" s="233"/>
      <c r="AE612" s="107"/>
      <c r="AF612" s="107"/>
      <c r="AG612" s="107"/>
      <c r="AH612" s="107"/>
      <c r="AI612" s="107"/>
      <c r="AJ612" s="107"/>
      <c r="AK612" s="107"/>
      <c r="AL612" s="107"/>
      <c r="AM612" s="304"/>
      <c r="AN612" s="304"/>
      <c r="AO612" s="304"/>
      <c r="AP612" s="304"/>
      <c r="AQ612" s="304"/>
      <c r="AR612" s="304"/>
      <c r="AS612" s="304"/>
      <c r="AT612" s="304"/>
      <c r="AU612" s="304"/>
      <c r="AV612" s="304"/>
      <c r="AW612" s="304"/>
      <c r="AX612" s="304"/>
      <c r="AY612" s="304"/>
      <c r="AZ612" s="304"/>
      <c r="BA612" s="304"/>
      <c r="BB612" s="107"/>
      <c r="BC612" s="107"/>
      <c r="BD612" s="107"/>
      <c r="BE612" s="107"/>
      <c r="BF612" s="107"/>
      <c r="BG612" s="107"/>
      <c r="BH612" s="107"/>
      <c r="BI612" s="107"/>
      <c r="BJ612" s="107"/>
      <c r="BK612" s="107"/>
      <c r="BL612" s="107"/>
      <c r="BM612" s="107"/>
      <c r="BN612" s="107"/>
      <c r="BO612" s="107"/>
      <c r="BP612" s="107"/>
      <c r="BQ612" s="107"/>
      <c r="BR612" s="107"/>
    </row>
    <row r="613" customFormat="false" ht="12.75" hidden="false" customHeight="false" outlineLevel="0" collapsed="false">
      <c r="A613" s="100"/>
      <c r="B613" s="100"/>
      <c r="C613" s="100"/>
      <c r="D613" s="100"/>
      <c r="E613" s="100"/>
      <c r="F613" s="277"/>
      <c r="H613" s="277"/>
      <c r="I613" s="277"/>
      <c r="J613" s="69"/>
      <c r="K613" s="277"/>
      <c r="L613" s="277"/>
      <c r="M613" s="277"/>
      <c r="N613" s="277"/>
      <c r="O613" s="277"/>
      <c r="P613" s="277"/>
      <c r="Q613" s="277"/>
      <c r="R613" s="277"/>
      <c r="T613" s="277"/>
      <c r="U613" s="277"/>
      <c r="W613" s="277"/>
      <c r="Y613" s="107"/>
      <c r="Z613" s="107"/>
      <c r="AA613" s="107"/>
      <c r="AB613" s="107"/>
      <c r="AC613" s="107"/>
      <c r="AD613" s="233"/>
      <c r="AE613" s="107"/>
      <c r="AF613" s="107"/>
      <c r="AG613" s="107"/>
      <c r="AH613" s="107"/>
      <c r="AI613" s="107"/>
      <c r="AJ613" s="107"/>
      <c r="AK613" s="107"/>
      <c r="AL613" s="107"/>
      <c r="AM613" s="304"/>
      <c r="AN613" s="304"/>
      <c r="AO613" s="304"/>
      <c r="AP613" s="304"/>
      <c r="AQ613" s="304"/>
      <c r="AR613" s="304"/>
      <c r="AS613" s="304"/>
      <c r="AT613" s="304"/>
      <c r="AU613" s="304"/>
      <c r="AV613" s="304"/>
      <c r="AW613" s="304"/>
      <c r="AX613" s="304"/>
      <c r="AY613" s="304"/>
      <c r="AZ613" s="304"/>
      <c r="BA613" s="304"/>
      <c r="BB613" s="107"/>
      <c r="BC613" s="107"/>
      <c r="BD613" s="107"/>
      <c r="BE613" s="107"/>
      <c r="BF613" s="107"/>
      <c r="BG613" s="107"/>
      <c r="BH613" s="107"/>
      <c r="BI613" s="107"/>
      <c r="BJ613" s="107"/>
      <c r="BK613" s="107"/>
      <c r="BL613" s="107"/>
      <c r="BM613" s="107"/>
      <c r="BN613" s="107"/>
      <c r="BO613" s="107"/>
      <c r="BP613" s="107"/>
      <c r="BQ613" s="107"/>
      <c r="BR613" s="107"/>
    </row>
    <row r="614" customFormat="false" ht="12.75" hidden="false" customHeight="false" outlineLevel="0" collapsed="false">
      <c r="A614" s="100"/>
      <c r="B614" s="100"/>
      <c r="C614" s="100"/>
      <c r="D614" s="100"/>
      <c r="E614" s="100"/>
      <c r="F614" s="277"/>
      <c r="H614" s="277"/>
      <c r="I614" s="277"/>
      <c r="J614" s="69"/>
      <c r="K614" s="277"/>
      <c r="L614" s="277"/>
      <c r="M614" s="277"/>
      <c r="N614" s="277"/>
      <c r="O614" s="277"/>
      <c r="P614" s="277"/>
      <c r="Q614" s="277"/>
      <c r="R614" s="277"/>
      <c r="T614" s="277"/>
      <c r="U614" s="277"/>
      <c r="W614" s="277"/>
      <c r="Y614" s="107"/>
      <c r="Z614" s="107"/>
      <c r="AA614" s="107"/>
      <c r="AB614" s="107"/>
      <c r="AC614" s="107"/>
      <c r="AD614" s="233"/>
      <c r="AE614" s="107"/>
      <c r="AF614" s="107"/>
      <c r="AG614" s="107"/>
      <c r="AH614" s="107"/>
      <c r="AI614" s="107"/>
      <c r="AJ614" s="107"/>
      <c r="AK614" s="107"/>
      <c r="AL614" s="107"/>
      <c r="AM614" s="304"/>
      <c r="AN614" s="304"/>
      <c r="AO614" s="304"/>
      <c r="AP614" s="304"/>
      <c r="AQ614" s="304"/>
      <c r="AR614" s="304"/>
      <c r="AS614" s="304"/>
      <c r="AT614" s="304"/>
      <c r="AU614" s="304"/>
      <c r="AV614" s="304"/>
      <c r="AW614" s="304"/>
      <c r="AX614" s="304"/>
      <c r="AY614" s="304"/>
      <c r="AZ614" s="304"/>
      <c r="BA614" s="304"/>
      <c r="BB614" s="107"/>
      <c r="BC614" s="107"/>
      <c r="BD614" s="107"/>
      <c r="BE614" s="107"/>
      <c r="BF614" s="107"/>
      <c r="BG614" s="107"/>
      <c r="BH614" s="107"/>
      <c r="BI614" s="107"/>
      <c r="BJ614" s="107"/>
      <c r="BK614" s="107"/>
      <c r="BL614" s="107"/>
      <c r="BM614" s="107"/>
      <c r="BN614" s="107"/>
      <c r="BO614" s="107"/>
      <c r="BP614" s="107"/>
      <c r="BQ614" s="107"/>
      <c r="BR614" s="107"/>
    </row>
    <row r="615" customFormat="false" ht="12.75" hidden="false" customHeight="false" outlineLevel="0" collapsed="false">
      <c r="A615" s="100"/>
      <c r="B615" s="100"/>
      <c r="C615" s="100"/>
      <c r="D615" s="100"/>
      <c r="E615" s="100"/>
      <c r="F615" s="277"/>
      <c r="H615" s="277"/>
      <c r="I615" s="277"/>
      <c r="J615" s="69"/>
      <c r="K615" s="277"/>
      <c r="L615" s="277"/>
      <c r="M615" s="277"/>
      <c r="N615" s="277"/>
      <c r="O615" s="277"/>
      <c r="P615" s="277"/>
      <c r="Q615" s="277"/>
      <c r="R615" s="277"/>
      <c r="T615" s="277"/>
      <c r="U615" s="277"/>
      <c r="W615" s="277"/>
      <c r="Y615" s="107"/>
      <c r="Z615" s="107"/>
      <c r="AA615" s="107"/>
      <c r="AB615" s="107"/>
      <c r="AC615" s="107"/>
      <c r="AD615" s="233"/>
      <c r="AE615" s="107"/>
      <c r="AF615" s="107"/>
      <c r="AG615" s="107"/>
      <c r="AH615" s="107"/>
      <c r="AI615" s="107"/>
      <c r="AJ615" s="107"/>
      <c r="AK615" s="107"/>
      <c r="AL615" s="107"/>
      <c r="AM615" s="304"/>
      <c r="AN615" s="304"/>
      <c r="AO615" s="304"/>
      <c r="AP615" s="304"/>
      <c r="AQ615" s="304"/>
      <c r="AR615" s="304"/>
      <c r="AS615" s="304"/>
      <c r="AT615" s="304"/>
      <c r="AU615" s="304"/>
      <c r="AV615" s="304"/>
      <c r="AW615" s="304"/>
      <c r="AX615" s="304"/>
      <c r="AY615" s="304"/>
      <c r="AZ615" s="304"/>
      <c r="BA615" s="304"/>
      <c r="BB615" s="107"/>
      <c r="BC615" s="107"/>
      <c r="BD615" s="107"/>
      <c r="BE615" s="107"/>
      <c r="BF615" s="107"/>
      <c r="BG615" s="107"/>
      <c r="BH615" s="107"/>
      <c r="BI615" s="107"/>
      <c r="BJ615" s="107"/>
      <c r="BK615" s="107"/>
      <c r="BL615" s="107"/>
      <c r="BM615" s="107"/>
      <c r="BN615" s="107"/>
      <c r="BO615" s="107"/>
      <c r="BP615" s="107"/>
      <c r="BQ615" s="107"/>
      <c r="BR615" s="107"/>
    </row>
    <row r="616" customFormat="false" ht="12.75" hidden="false" customHeight="false" outlineLevel="0" collapsed="false">
      <c r="A616" s="100"/>
      <c r="B616" s="100"/>
      <c r="C616" s="100"/>
      <c r="D616" s="100"/>
      <c r="E616" s="100"/>
      <c r="F616" s="277"/>
      <c r="H616" s="277"/>
      <c r="I616" s="277"/>
      <c r="J616" s="69"/>
      <c r="K616" s="277"/>
      <c r="L616" s="277"/>
      <c r="M616" s="277"/>
      <c r="N616" s="277"/>
      <c r="O616" s="277"/>
      <c r="P616" s="277"/>
      <c r="Q616" s="277"/>
      <c r="R616" s="277"/>
      <c r="T616" s="277"/>
      <c r="U616" s="277"/>
      <c r="W616" s="277"/>
      <c r="Y616" s="107"/>
      <c r="Z616" s="107"/>
      <c r="AA616" s="107"/>
      <c r="AB616" s="107"/>
      <c r="AC616" s="107"/>
      <c r="AD616" s="233"/>
      <c r="AE616" s="107"/>
      <c r="AF616" s="107"/>
      <c r="AG616" s="107"/>
      <c r="AH616" s="107"/>
      <c r="AI616" s="107"/>
      <c r="AJ616" s="107"/>
      <c r="AK616" s="107"/>
      <c r="AL616" s="107"/>
      <c r="AM616" s="304"/>
      <c r="AN616" s="304"/>
      <c r="AO616" s="304"/>
      <c r="AP616" s="304"/>
      <c r="AQ616" s="304"/>
      <c r="AR616" s="304"/>
      <c r="AS616" s="304"/>
      <c r="AT616" s="304"/>
      <c r="AU616" s="304"/>
      <c r="AV616" s="304"/>
      <c r="AW616" s="304"/>
      <c r="AX616" s="304"/>
      <c r="AY616" s="304"/>
      <c r="AZ616" s="304"/>
      <c r="BA616" s="304"/>
      <c r="BB616" s="107"/>
      <c r="BC616" s="107"/>
      <c r="BD616" s="107"/>
      <c r="BE616" s="107"/>
      <c r="BF616" s="107"/>
      <c r="BG616" s="107"/>
      <c r="BH616" s="107"/>
      <c r="BI616" s="107"/>
      <c r="BJ616" s="107"/>
      <c r="BK616" s="107"/>
      <c r="BL616" s="107"/>
      <c r="BM616" s="107"/>
      <c r="BN616" s="107"/>
      <c r="BO616" s="107"/>
      <c r="BP616" s="107"/>
      <c r="BQ616" s="107"/>
      <c r="BR616" s="107"/>
    </row>
    <row r="617" customFormat="false" ht="12.75" hidden="false" customHeight="false" outlineLevel="0" collapsed="false">
      <c r="A617" s="100"/>
      <c r="B617" s="100"/>
      <c r="C617" s="100"/>
      <c r="D617" s="100"/>
      <c r="E617" s="100"/>
      <c r="F617" s="277"/>
      <c r="H617" s="277"/>
      <c r="I617" s="277"/>
      <c r="J617" s="69"/>
      <c r="K617" s="277"/>
      <c r="L617" s="277"/>
      <c r="M617" s="277"/>
      <c r="N617" s="277"/>
      <c r="O617" s="277"/>
      <c r="P617" s="277"/>
      <c r="Q617" s="277"/>
      <c r="R617" s="277"/>
      <c r="T617" s="277"/>
      <c r="U617" s="277"/>
      <c r="W617" s="277"/>
      <c r="Y617" s="107"/>
      <c r="Z617" s="107"/>
      <c r="AA617" s="107"/>
      <c r="AB617" s="107"/>
      <c r="AC617" s="107"/>
      <c r="AD617" s="233"/>
      <c r="AE617" s="107"/>
      <c r="AF617" s="107"/>
      <c r="AG617" s="107"/>
      <c r="AH617" s="107"/>
      <c r="AI617" s="107"/>
      <c r="AJ617" s="107"/>
      <c r="AK617" s="107"/>
      <c r="AL617" s="107"/>
      <c r="AM617" s="304"/>
      <c r="AN617" s="304"/>
      <c r="AO617" s="304"/>
      <c r="AP617" s="304"/>
      <c r="AQ617" s="304"/>
      <c r="AR617" s="304"/>
      <c r="AS617" s="304"/>
      <c r="AT617" s="304"/>
      <c r="AU617" s="304"/>
      <c r="AV617" s="304"/>
      <c r="AW617" s="304"/>
      <c r="AX617" s="304"/>
      <c r="AY617" s="304"/>
      <c r="AZ617" s="304"/>
      <c r="BA617" s="304"/>
      <c r="BB617" s="107"/>
      <c r="BC617" s="107"/>
      <c r="BD617" s="107"/>
      <c r="BE617" s="107"/>
      <c r="BF617" s="107"/>
      <c r="BG617" s="107"/>
      <c r="BH617" s="107"/>
      <c r="BI617" s="107"/>
      <c r="BJ617" s="107"/>
      <c r="BK617" s="107"/>
      <c r="BL617" s="107"/>
      <c r="BM617" s="107"/>
      <c r="BN617" s="107"/>
      <c r="BO617" s="107"/>
      <c r="BP617" s="107"/>
      <c r="BQ617" s="107"/>
      <c r="BR617" s="107"/>
    </row>
    <row r="618" customFormat="false" ht="12.75" hidden="false" customHeight="false" outlineLevel="0" collapsed="false">
      <c r="A618" s="100"/>
      <c r="B618" s="100"/>
      <c r="C618" s="100"/>
      <c r="D618" s="100"/>
      <c r="E618" s="100"/>
      <c r="F618" s="277"/>
      <c r="H618" s="277"/>
      <c r="I618" s="277"/>
      <c r="J618" s="69"/>
      <c r="K618" s="277"/>
      <c r="L618" s="277"/>
      <c r="M618" s="277"/>
      <c r="N618" s="277"/>
      <c r="O618" s="277"/>
      <c r="P618" s="277"/>
      <c r="Q618" s="277"/>
      <c r="R618" s="277"/>
      <c r="T618" s="277"/>
      <c r="U618" s="277"/>
      <c r="W618" s="277"/>
      <c r="Y618" s="107"/>
      <c r="Z618" s="107"/>
      <c r="AA618" s="107"/>
      <c r="AB618" s="107"/>
      <c r="AC618" s="107"/>
      <c r="AD618" s="233"/>
      <c r="AE618" s="107"/>
      <c r="AF618" s="107"/>
      <c r="AG618" s="107"/>
      <c r="AH618" s="107"/>
      <c r="AI618" s="107"/>
      <c r="AJ618" s="107"/>
      <c r="AK618" s="107"/>
      <c r="AL618" s="107"/>
      <c r="AM618" s="304"/>
      <c r="AN618" s="304"/>
      <c r="AO618" s="304"/>
      <c r="AP618" s="304"/>
      <c r="AQ618" s="304"/>
      <c r="AR618" s="304"/>
      <c r="AS618" s="304"/>
      <c r="AT618" s="304"/>
      <c r="AU618" s="304"/>
      <c r="AV618" s="304"/>
      <c r="AW618" s="304"/>
      <c r="AX618" s="304"/>
      <c r="AY618" s="304"/>
      <c r="AZ618" s="304"/>
      <c r="BA618" s="304"/>
      <c r="BB618" s="107"/>
      <c r="BC618" s="107"/>
      <c r="BD618" s="107"/>
      <c r="BE618" s="107"/>
      <c r="BF618" s="107"/>
      <c r="BG618" s="107"/>
      <c r="BH618" s="107"/>
      <c r="BI618" s="107"/>
      <c r="BJ618" s="107"/>
      <c r="BK618" s="107"/>
      <c r="BL618" s="107"/>
      <c r="BM618" s="107"/>
      <c r="BN618" s="107"/>
      <c r="BO618" s="107"/>
      <c r="BP618" s="107"/>
      <c r="BQ618" s="107"/>
      <c r="BR618" s="107"/>
    </row>
    <row r="619" customFormat="false" ht="12.75" hidden="false" customHeight="false" outlineLevel="0" collapsed="false">
      <c r="A619" s="100"/>
      <c r="B619" s="100"/>
      <c r="C619" s="100"/>
      <c r="D619" s="100"/>
      <c r="E619" s="100"/>
      <c r="F619" s="277"/>
      <c r="H619" s="277"/>
      <c r="I619" s="277"/>
      <c r="J619" s="69"/>
      <c r="K619" s="277"/>
      <c r="L619" s="277"/>
      <c r="M619" s="277"/>
      <c r="N619" s="277"/>
      <c r="O619" s="277"/>
      <c r="P619" s="277"/>
      <c r="Q619" s="277"/>
      <c r="R619" s="277"/>
      <c r="T619" s="277"/>
      <c r="U619" s="277"/>
      <c r="W619" s="277"/>
      <c r="Y619" s="107"/>
      <c r="Z619" s="107"/>
      <c r="AA619" s="107"/>
      <c r="AB619" s="107"/>
      <c r="AC619" s="107"/>
      <c r="AD619" s="233"/>
      <c r="AE619" s="107"/>
      <c r="AF619" s="107"/>
      <c r="AG619" s="107"/>
      <c r="AH619" s="107"/>
      <c r="AI619" s="107"/>
      <c r="AJ619" s="107"/>
      <c r="AK619" s="107"/>
      <c r="AL619" s="107"/>
      <c r="AM619" s="304"/>
      <c r="AN619" s="304"/>
      <c r="AO619" s="304"/>
      <c r="AP619" s="304"/>
      <c r="AQ619" s="304"/>
      <c r="AR619" s="304"/>
      <c r="AS619" s="304"/>
      <c r="AT619" s="304"/>
      <c r="AU619" s="304"/>
      <c r="AV619" s="304"/>
      <c r="AW619" s="304"/>
      <c r="AX619" s="304"/>
      <c r="AY619" s="304"/>
      <c r="AZ619" s="304"/>
      <c r="BA619" s="304"/>
      <c r="BB619" s="107"/>
      <c r="BC619" s="107"/>
      <c r="BD619" s="107"/>
      <c r="BE619" s="107"/>
      <c r="BF619" s="107"/>
      <c r="BG619" s="107"/>
      <c r="BH619" s="107"/>
      <c r="BI619" s="107"/>
      <c r="BJ619" s="107"/>
      <c r="BK619" s="107"/>
      <c r="BL619" s="107"/>
      <c r="BM619" s="107"/>
      <c r="BN619" s="107"/>
      <c r="BO619" s="107"/>
      <c r="BP619" s="107"/>
      <c r="BQ619" s="107"/>
      <c r="BR619" s="107"/>
    </row>
    <row r="620" customFormat="false" ht="12.75" hidden="false" customHeight="false" outlineLevel="0" collapsed="false">
      <c r="A620" s="100"/>
      <c r="B620" s="100"/>
      <c r="C620" s="100"/>
      <c r="D620" s="100"/>
      <c r="E620" s="100"/>
      <c r="F620" s="277"/>
      <c r="H620" s="277"/>
      <c r="I620" s="277"/>
      <c r="J620" s="69"/>
      <c r="K620" s="277"/>
      <c r="L620" s="277"/>
      <c r="M620" s="277"/>
      <c r="N620" s="277"/>
      <c r="O620" s="277"/>
      <c r="P620" s="277"/>
      <c r="Q620" s="277"/>
      <c r="R620" s="277"/>
      <c r="T620" s="277"/>
      <c r="U620" s="277"/>
      <c r="W620" s="277"/>
      <c r="Y620" s="107"/>
      <c r="Z620" s="107"/>
      <c r="AA620" s="107"/>
      <c r="AB620" s="107"/>
      <c r="AC620" s="107"/>
      <c r="AD620" s="233"/>
      <c r="AE620" s="107"/>
      <c r="AF620" s="107"/>
      <c r="AG620" s="107"/>
      <c r="AH620" s="107"/>
      <c r="AI620" s="107"/>
      <c r="AJ620" s="107"/>
      <c r="AK620" s="107"/>
      <c r="AL620" s="107"/>
      <c r="AM620" s="304"/>
      <c r="AN620" s="304"/>
      <c r="AO620" s="304"/>
      <c r="AP620" s="304"/>
      <c r="AQ620" s="304"/>
      <c r="AR620" s="304"/>
      <c r="AS620" s="304"/>
      <c r="AT620" s="304"/>
      <c r="AU620" s="304"/>
      <c r="AV620" s="304"/>
      <c r="AW620" s="304"/>
      <c r="AX620" s="304"/>
      <c r="AY620" s="304"/>
      <c r="AZ620" s="304"/>
      <c r="BA620" s="304"/>
      <c r="BB620" s="107"/>
      <c r="BC620" s="107"/>
      <c r="BD620" s="107"/>
      <c r="BE620" s="107"/>
      <c r="BF620" s="107"/>
      <c r="BG620" s="107"/>
      <c r="BH620" s="107"/>
      <c r="BI620" s="107"/>
      <c r="BJ620" s="107"/>
      <c r="BK620" s="107"/>
      <c r="BL620" s="107"/>
      <c r="BM620" s="107"/>
      <c r="BN620" s="107"/>
      <c r="BO620" s="107"/>
      <c r="BP620" s="107"/>
      <c r="BQ620" s="107"/>
      <c r="BR620" s="107"/>
    </row>
    <row r="621" customFormat="false" ht="12.75" hidden="false" customHeight="false" outlineLevel="0" collapsed="false">
      <c r="A621" s="100"/>
      <c r="B621" s="100"/>
      <c r="C621" s="100"/>
      <c r="D621" s="100"/>
      <c r="E621" s="100"/>
      <c r="F621" s="277"/>
      <c r="H621" s="277"/>
      <c r="I621" s="277"/>
      <c r="J621" s="69"/>
      <c r="K621" s="277"/>
      <c r="L621" s="277"/>
      <c r="M621" s="277"/>
      <c r="N621" s="277"/>
      <c r="O621" s="277"/>
      <c r="P621" s="277"/>
      <c r="Q621" s="277"/>
      <c r="R621" s="277"/>
      <c r="T621" s="277"/>
      <c r="U621" s="277"/>
      <c r="W621" s="277"/>
      <c r="Y621" s="107"/>
      <c r="Z621" s="107"/>
      <c r="AA621" s="107"/>
      <c r="AB621" s="107"/>
      <c r="AC621" s="107"/>
      <c r="AD621" s="233"/>
      <c r="AE621" s="107"/>
      <c r="AF621" s="107"/>
      <c r="AG621" s="107"/>
      <c r="AH621" s="107"/>
      <c r="AI621" s="107"/>
      <c r="AJ621" s="107"/>
      <c r="AK621" s="107"/>
      <c r="AL621" s="107"/>
      <c r="AM621" s="304"/>
      <c r="AN621" s="304"/>
      <c r="AO621" s="304"/>
      <c r="AP621" s="304"/>
      <c r="AQ621" s="304"/>
      <c r="AR621" s="304"/>
      <c r="AS621" s="304"/>
      <c r="AT621" s="304"/>
      <c r="AU621" s="304"/>
      <c r="AV621" s="304"/>
      <c r="AW621" s="304"/>
      <c r="AX621" s="304"/>
      <c r="AY621" s="304"/>
      <c r="AZ621" s="304"/>
      <c r="BA621" s="304"/>
      <c r="BB621" s="107"/>
      <c r="BC621" s="107"/>
      <c r="BD621" s="107"/>
      <c r="BE621" s="107"/>
      <c r="BF621" s="107"/>
      <c r="BG621" s="107"/>
      <c r="BH621" s="107"/>
      <c r="BI621" s="107"/>
      <c r="BJ621" s="107"/>
      <c r="BK621" s="107"/>
      <c r="BL621" s="107"/>
      <c r="BM621" s="107"/>
      <c r="BN621" s="107"/>
      <c r="BO621" s="107"/>
      <c r="BP621" s="107"/>
      <c r="BQ621" s="107"/>
      <c r="BR621" s="107"/>
    </row>
    <row r="622" customFormat="false" ht="12.75" hidden="false" customHeight="false" outlineLevel="0" collapsed="false">
      <c r="A622" s="100"/>
      <c r="B622" s="100"/>
      <c r="C622" s="100"/>
      <c r="D622" s="100"/>
      <c r="E622" s="100"/>
      <c r="F622" s="277"/>
      <c r="H622" s="277"/>
      <c r="I622" s="277"/>
      <c r="J622" s="69"/>
      <c r="K622" s="277"/>
      <c r="L622" s="277"/>
      <c r="M622" s="277"/>
      <c r="N622" s="277"/>
      <c r="O622" s="277"/>
      <c r="P622" s="277"/>
      <c r="Q622" s="277"/>
      <c r="R622" s="277"/>
      <c r="T622" s="277"/>
      <c r="U622" s="277"/>
      <c r="W622" s="277"/>
      <c r="Y622" s="107"/>
      <c r="Z622" s="107"/>
      <c r="AA622" s="107"/>
      <c r="AB622" s="107"/>
      <c r="AC622" s="107"/>
      <c r="AD622" s="233"/>
      <c r="AE622" s="107"/>
      <c r="AF622" s="107"/>
      <c r="AG622" s="107"/>
      <c r="AH622" s="107"/>
      <c r="AI622" s="107"/>
      <c r="AJ622" s="107"/>
      <c r="AK622" s="107"/>
      <c r="AL622" s="107"/>
      <c r="AM622" s="304"/>
      <c r="AN622" s="304"/>
      <c r="AO622" s="304"/>
      <c r="AP622" s="304"/>
      <c r="AQ622" s="304"/>
      <c r="AR622" s="304"/>
      <c r="AS622" s="304"/>
      <c r="AT622" s="304"/>
      <c r="AU622" s="304"/>
      <c r="AV622" s="304"/>
      <c r="AW622" s="304"/>
      <c r="AX622" s="304"/>
      <c r="AY622" s="304"/>
      <c r="AZ622" s="304"/>
      <c r="BA622" s="304"/>
      <c r="BB622" s="107"/>
      <c r="BC622" s="107"/>
      <c r="BD622" s="107"/>
      <c r="BE622" s="107"/>
      <c r="BF622" s="107"/>
      <c r="BG622" s="107"/>
      <c r="BH622" s="107"/>
      <c r="BI622" s="107"/>
      <c r="BJ622" s="107"/>
      <c r="BK622" s="107"/>
      <c r="BL622" s="107"/>
      <c r="BM622" s="107"/>
      <c r="BN622" s="107"/>
      <c r="BO622" s="107"/>
      <c r="BP622" s="107"/>
      <c r="BQ622" s="107"/>
      <c r="BR622" s="107"/>
    </row>
    <row r="623" customFormat="false" ht="12.75" hidden="false" customHeight="false" outlineLevel="0" collapsed="false">
      <c r="A623" s="100"/>
      <c r="B623" s="100"/>
      <c r="C623" s="100"/>
      <c r="D623" s="100"/>
      <c r="E623" s="100"/>
      <c r="F623" s="277"/>
      <c r="H623" s="277"/>
      <c r="I623" s="277"/>
      <c r="J623" s="69"/>
      <c r="K623" s="277"/>
      <c r="L623" s="277"/>
      <c r="M623" s="277"/>
      <c r="N623" s="277"/>
      <c r="O623" s="277"/>
      <c r="P623" s="277"/>
      <c r="Q623" s="277"/>
      <c r="R623" s="277"/>
      <c r="T623" s="277"/>
      <c r="U623" s="277"/>
      <c r="W623" s="277"/>
      <c r="Y623" s="107"/>
      <c r="Z623" s="107"/>
      <c r="AA623" s="107"/>
      <c r="AB623" s="107"/>
      <c r="AC623" s="107"/>
      <c r="AD623" s="233"/>
      <c r="AE623" s="107"/>
      <c r="AF623" s="107"/>
      <c r="AG623" s="107"/>
      <c r="AH623" s="107"/>
      <c r="AI623" s="107"/>
      <c r="AJ623" s="107"/>
      <c r="AK623" s="107"/>
      <c r="AL623" s="107"/>
      <c r="AM623" s="304"/>
      <c r="AN623" s="304"/>
      <c r="AO623" s="304"/>
      <c r="AP623" s="304"/>
      <c r="AQ623" s="304"/>
      <c r="AR623" s="304"/>
      <c r="AS623" s="304"/>
      <c r="AT623" s="304"/>
      <c r="AU623" s="304"/>
      <c r="AV623" s="304"/>
      <c r="AW623" s="304"/>
      <c r="AX623" s="304"/>
      <c r="AY623" s="304"/>
      <c r="AZ623" s="304"/>
      <c r="BA623" s="304"/>
      <c r="BB623" s="107"/>
      <c r="BC623" s="107"/>
      <c r="BD623" s="107"/>
      <c r="BE623" s="107"/>
      <c r="BF623" s="107"/>
      <c r="BG623" s="107"/>
      <c r="BH623" s="107"/>
      <c r="BI623" s="107"/>
      <c r="BJ623" s="107"/>
      <c r="BK623" s="107"/>
      <c r="BL623" s="107"/>
      <c r="BM623" s="107"/>
      <c r="BN623" s="107"/>
      <c r="BO623" s="107"/>
      <c r="BP623" s="107"/>
      <c r="BQ623" s="107"/>
      <c r="BR623" s="107"/>
    </row>
    <row r="624" customFormat="false" ht="12.75" hidden="false" customHeight="false" outlineLevel="0" collapsed="false">
      <c r="A624" s="100"/>
      <c r="B624" s="100"/>
      <c r="C624" s="100"/>
      <c r="D624" s="100"/>
      <c r="E624" s="100"/>
      <c r="F624" s="277"/>
      <c r="H624" s="277"/>
      <c r="I624" s="277"/>
      <c r="J624" s="69"/>
      <c r="K624" s="277"/>
      <c r="L624" s="277"/>
      <c r="M624" s="277"/>
      <c r="N624" s="277"/>
      <c r="O624" s="277"/>
      <c r="P624" s="277"/>
      <c r="Q624" s="277"/>
      <c r="R624" s="277"/>
      <c r="T624" s="277"/>
      <c r="U624" s="277"/>
      <c r="W624" s="277"/>
      <c r="Y624" s="107"/>
      <c r="Z624" s="107"/>
      <c r="AA624" s="107"/>
      <c r="AB624" s="107"/>
      <c r="AC624" s="107"/>
      <c r="AD624" s="233"/>
      <c r="AE624" s="107"/>
      <c r="AF624" s="107"/>
      <c r="AG624" s="107"/>
      <c r="AH624" s="107"/>
      <c r="AI624" s="107"/>
      <c r="AJ624" s="107"/>
      <c r="AK624" s="107"/>
      <c r="AL624" s="107"/>
      <c r="AM624" s="304"/>
      <c r="AN624" s="304"/>
      <c r="AO624" s="304"/>
      <c r="AP624" s="304"/>
      <c r="AQ624" s="304"/>
      <c r="AR624" s="304"/>
      <c r="AS624" s="304"/>
      <c r="AT624" s="304"/>
      <c r="AU624" s="304"/>
      <c r="AV624" s="304"/>
      <c r="AW624" s="304"/>
      <c r="AX624" s="304"/>
      <c r="AY624" s="304"/>
      <c r="AZ624" s="304"/>
      <c r="BA624" s="304"/>
      <c r="BB624" s="107"/>
      <c r="BC624" s="107"/>
      <c r="BD624" s="107"/>
      <c r="BE624" s="107"/>
      <c r="BF624" s="107"/>
      <c r="BG624" s="107"/>
      <c r="BH624" s="107"/>
      <c r="BI624" s="107"/>
      <c r="BJ624" s="107"/>
      <c r="BK624" s="107"/>
      <c r="BL624" s="107"/>
      <c r="BM624" s="107"/>
      <c r="BN624" s="107"/>
      <c r="BO624" s="107"/>
      <c r="BP624" s="107"/>
      <c r="BQ624" s="107"/>
      <c r="BR624" s="107"/>
    </row>
    <row r="625" customFormat="false" ht="12.75" hidden="false" customHeight="false" outlineLevel="0" collapsed="false">
      <c r="A625" s="100"/>
      <c r="B625" s="100"/>
      <c r="C625" s="100"/>
      <c r="D625" s="100"/>
      <c r="E625" s="100"/>
      <c r="F625" s="277"/>
      <c r="H625" s="277"/>
      <c r="I625" s="277"/>
      <c r="J625" s="69"/>
      <c r="K625" s="277"/>
      <c r="L625" s="277"/>
      <c r="M625" s="277"/>
      <c r="N625" s="277"/>
      <c r="O625" s="277"/>
      <c r="P625" s="277"/>
      <c r="Q625" s="277"/>
      <c r="R625" s="277"/>
      <c r="T625" s="277"/>
      <c r="U625" s="277"/>
      <c r="W625" s="277"/>
      <c r="Y625" s="107"/>
      <c r="Z625" s="107"/>
      <c r="AA625" s="107"/>
      <c r="AB625" s="107"/>
      <c r="AC625" s="107"/>
      <c r="AD625" s="233"/>
      <c r="AE625" s="107"/>
      <c r="AF625" s="107"/>
      <c r="AG625" s="107"/>
      <c r="AH625" s="107"/>
      <c r="AI625" s="107"/>
      <c r="AJ625" s="107"/>
      <c r="AK625" s="107"/>
      <c r="AL625" s="107"/>
      <c r="AM625" s="304"/>
      <c r="AN625" s="304"/>
      <c r="AO625" s="304"/>
      <c r="AP625" s="304"/>
      <c r="AQ625" s="304"/>
      <c r="AR625" s="304"/>
      <c r="AS625" s="304"/>
      <c r="AT625" s="304"/>
      <c r="AU625" s="304"/>
      <c r="AV625" s="304"/>
      <c r="AW625" s="304"/>
      <c r="AX625" s="304"/>
      <c r="AY625" s="304"/>
      <c r="AZ625" s="304"/>
      <c r="BA625" s="304"/>
      <c r="BB625" s="107"/>
      <c r="BC625" s="107"/>
      <c r="BD625" s="107"/>
      <c r="BE625" s="107"/>
      <c r="BF625" s="107"/>
      <c r="BG625" s="107"/>
      <c r="BH625" s="107"/>
      <c r="BI625" s="107"/>
      <c r="BJ625" s="107"/>
      <c r="BK625" s="107"/>
      <c r="BL625" s="107"/>
      <c r="BM625" s="107"/>
      <c r="BN625" s="107"/>
      <c r="BO625" s="107"/>
      <c r="BP625" s="107"/>
      <c r="BQ625" s="107"/>
      <c r="BR625" s="107"/>
    </row>
    <row r="626" customFormat="false" ht="12.75" hidden="false" customHeight="false" outlineLevel="0" collapsed="false">
      <c r="A626" s="100"/>
      <c r="B626" s="100"/>
      <c r="C626" s="100"/>
      <c r="D626" s="100"/>
      <c r="E626" s="100"/>
      <c r="F626" s="277"/>
      <c r="H626" s="277"/>
      <c r="I626" s="277"/>
      <c r="J626" s="69"/>
      <c r="K626" s="277"/>
      <c r="L626" s="277"/>
      <c r="M626" s="277"/>
      <c r="N626" s="277"/>
      <c r="O626" s="277"/>
      <c r="P626" s="277"/>
      <c r="Q626" s="277"/>
      <c r="R626" s="277"/>
      <c r="T626" s="277"/>
      <c r="U626" s="277"/>
      <c r="W626" s="277"/>
      <c r="Y626" s="107"/>
      <c r="Z626" s="107"/>
      <c r="AA626" s="107"/>
      <c r="AB626" s="107"/>
      <c r="AC626" s="107"/>
      <c r="AD626" s="233"/>
      <c r="AE626" s="107"/>
      <c r="AF626" s="107"/>
      <c r="AG626" s="107"/>
      <c r="AH626" s="107"/>
      <c r="AI626" s="107"/>
      <c r="AJ626" s="107"/>
      <c r="AK626" s="107"/>
      <c r="AL626" s="107"/>
      <c r="AM626" s="304"/>
      <c r="AN626" s="304"/>
      <c r="AO626" s="304"/>
      <c r="AP626" s="304"/>
      <c r="AQ626" s="304"/>
      <c r="AR626" s="304"/>
      <c r="AS626" s="304"/>
      <c r="AT626" s="304"/>
      <c r="AU626" s="304"/>
      <c r="AV626" s="304"/>
      <c r="AW626" s="304"/>
      <c r="AX626" s="304"/>
      <c r="AY626" s="304"/>
      <c r="AZ626" s="304"/>
      <c r="BA626" s="304"/>
      <c r="BB626" s="107"/>
      <c r="BC626" s="107"/>
      <c r="BD626" s="107"/>
      <c r="BE626" s="107"/>
      <c r="BF626" s="107"/>
      <c r="BG626" s="107"/>
      <c r="BH626" s="107"/>
      <c r="BI626" s="107"/>
      <c r="BJ626" s="107"/>
      <c r="BK626" s="107"/>
      <c r="BL626" s="107"/>
      <c r="BM626" s="107"/>
      <c r="BN626" s="107"/>
      <c r="BO626" s="107"/>
      <c r="BP626" s="107"/>
      <c r="BQ626" s="107"/>
      <c r="BR626" s="107"/>
    </row>
    <row r="627" customFormat="false" ht="12.75" hidden="false" customHeight="false" outlineLevel="0" collapsed="false">
      <c r="A627" s="100"/>
      <c r="B627" s="100"/>
      <c r="C627" s="100"/>
      <c r="D627" s="100"/>
      <c r="E627" s="100"/>
      <c r="F627" s="277"/>
      <c r="H627" s="277"/>
      <c r="I627" s="277"/>
      <c r="J627" s="69"/>
      <c r="K627" s="277"/>
      <c r="L627" s="277"/>
      <c r="M627" s="277"/>
      <c r="N627" s="277"/>
      <c r="O627" s="277"/>
      <c r="P627" s="277"/>
      <c r="Q627" s="277"/>
      <c r="R627" s="277"/>
      <c r="T627" s="277"/>
      <c r="U627" s="277"/>
      <c r="W627" s="277"/>
      <c r="Y627" s="107"/>
      <c r="Z627" s="107"/>
      <c r="AA627" s="107"/>
      <c r="AB627" s="107"/>
      <c r="AC627" s="107"/>
      <c r="AD627" s="233"/>
      <c r="AE627" s="107"/>
      <c r="AF627" s="107"/>
      <c r="AG627" s="107"/>
      <c r="AH627" s="107"/>
      <c r="AI627" s="107"/>
      <c r="AJ627" s="107"/>
      <c r="AK627" s="107"/>
      <c r="AL627" s="107"/>
      <c r="AM627" s="304"/>
      <c r="AN627" s="304"/>
      <c r="AO627" s="304"/>
      <c r="AP627" s="304"/>
      <c r="AQ627" s="304"/>
      <c r="AR627" s="304"/>
      <c r="AS627" s="304"/>
      <c r="AT627" s="304"/>
      <c r="AU627" s="304"/>
      <c r="AV627" s="304"/>
      <c r="AW627" s="304"/>
      <c r="AX627" s="304"/>
      <c r="AY627" s="304"/>
      <c r="AZ627" s="304"/>
      <c r="BA627" s="304"/>
      <c r="BB627" s="107"/>
      <c r="BC627" s="107"/>
      <c r="BD627" s="107"/>
      <c r="BE627" s="107"/>
      <c r="BF627" s="107"/>
      <c r="BG627" s="107"/>
      <c r="BH627" s="107"/>
      <c r="BI627" s="107"/>
      <c r="BJ627" s="107"/>
      <c r="BK627" s="107"/>
      <c r="BL627" s="107"/>
      <c r="BM627" s="107"/>
      <c r="BN627" s="107"/>
      <c r="BO627" s="107"/>
      <c r="BP627" s="107"/>
      <c r="BQ627" s="107"/>
      <c r="BR627" s="107"/>
    </row>
    <row r="628" customFormat="false" ht="12.75" hidden="false" customHeight="false" outlineLevel="0" collapsed="false">
      <c r="A628" s="100"/>
      <c r="B628" s="100"/>
      <c r="C628" s="100"/>
      <c r="D628" s="100"/>
      <c r="E628" s="100"/>
      <c r="F628" s="277"/>
      <c r="H628" s="277"/>
      <c r="I628" s="277"/>
      <c r="J628" s="69"/>
      <c r="K628" s="277"/>
      <c r="L628" s="277"/>
      <c r="M628" s="277"/>
      <c r="N628" s="277"/>
      <c r="O628" s="277"/>
      <c r="P628" s="277"/>
      <c r="Q628" s="277"/>
      <c r="R628" s="277"/>
      <c r="T628" s="277"/>
      <c r="U628" s="277"/>
      <c r="W628" s="277"/>
      <c r="Y628" s="107"/>
      <c r="Z628" s="107"/>
      <c r="AA628" s="107"/>
      <c r="AB628" s="107"/>
      <c r="AC628" s="107"/>
      <c r="AD628" s="233"/>
      <c r="AE628" s="107"/>
      <c r="AF628" s="107"/>
      <c r="AG628" s="107"/>
      <c r="AH628" s="107"/>
      <c r="AI628" s="107"/>
      <c r="AJ628" s="107"/>
      <c r="AK628" s="107"/>
      <c r="AL628" s="107"/>
      <c r="AM628" s="304"/>
      <c r="AN628" s="304"/>
      <c r="AO628" s="304"/>
      <c r="AP628" s="304"/>
      <c r="AQ628" s="304"/>
      <c r="AR628" s="304"/>
      <c r="AS628" s="304"/>
      <c r="AT628" s="304"/>
      <c r="AU628" s="304"/>
      <c r="AV628" s="304"/>
      <c r="AW628" s="304"/>
      <c r="AX628" s="304"/>
      <c r="AY628" s="304"/>
      <c r="AZ628" s="304"/>
      <c r="BA628" s="304"/>
      <c r="BB628" s="107"/>
      <c r="BC628" s="107"/>
      <c r="BD628" s="107"/>
      <c r="BE628" s="107"/>
      <c r="BF628" s="107"/>
      <c r="BG628" s="107"/>
      <c r="BH628" s="107"/>
      <c r="BI628" s="107"/>
      <c r="BJ628" s="107"/>
      <c r="BK628" s="107"/>
      <c r="BL628" s="107"/>
      <c r="BM628" s="107"/>
      <c r="BN628" s="107"/>
      <c r="BO628" s="107"/>
      <c r="BP628" s="107"/>
      <c r="BQ628" s="107"/>
      <c r="BR628" s="107"/>
    </row>
    <row r="629" customFormat="false" ht="12.75" hidden="false" customHeight="false" outlineLevel="0" collapsed="false">
      <c r="A629" s="100"/>
      <c r="B629" s="100"/>
      <c r="C629" s="100"/>
      <c r="D629" s="100"/>
      <c r="E629" s="100"/>
      <c r="F629" s="277"/>
      <c r="H629" s="277"/>
      <c r="I629" s="277"/>
      <c r="J629" s="69"/>
      <c r="K629" s="277"/>
      <c r="L629" s="277"/>
      <c r="M629" s="277"/>
      <c r="N629" s="277"/>
      <c r="O629" s="277"/>
      <c r="P629" s="277"/>
      <c r="Q629" s="277"/>
      <c r="R629" s="277"/>
      <c r="T629" s="277"/>
      <c r="U629" s="277"/>
      <c r="W629" s="277"/>
      <c r="Y629" s="107"/>
      <c r="Z629" s="107"/>
      <c r="AA629" s="107"/>
      <c r="AB629" s="107"/>
      <c r="AC629" s="107"/>
      <c r="AD629" s="233"/>
      <c r="AE629" s="107"/>
      <c r="AF629" s="107"/>
      <c r="AG629" s="107"/>
      <c r="AH629" s="107"/>
      <c r="AI629" s="107"/>
      <c r="AJ629" s="107"/>
      <c r="AK629" s="107"/>
      <c r="AL629" s="107"/>
      <c r="AM629" s="304"/>
      <c r="AN629" s="304"/>
      <c r="AO629" s="304"/>
      <c r="AP629" s="304"/>
      <c r="AQ629" s="304"/>
      <c r="AR629" s="304"/>
      <c r="AS629" s="304"/>
      <c r="AT629" s="304"/>
      <c r="AU629" s="304"/>
      <c r="AV629" s="304"/>
      <c r="AW629" s="304"/>
      <c r="AX629" s="304"/>
      <c r="AY629" s="304"/>
      <c r="AZ629" s="304"/>
      <c r="BA629" s="304"/>
      <c r="BB629" s="107"/>
      <c r="BC629" s="107"/>
      <c r="BD629" s="107"/>
      <c r="BE629" s="107"/>
      <c r="BF629" s="107"/>
      <c r="BG629" s="107"/>
      <c r="BH629" s="107"/>
      <c r="BI629" s="107"/>
      <c r="BJ629" s="107"/>
      <c r="BK629" s="107"/>
      <c r="BL629" s="107"/>
      <c r="BM629" s="107"/>
      <c r="BN629" s="107"/>
      <c r="BO629" s="107"/>
      <c r="BP629" s="107"/>
      <c r="BQ629" s="107"/>
      <c r="BR629" s="107"/>
    </row>
    <row r="630" customFormat="false" ht="12.75" hidden="false" customHeight="false" outlineLevel="0" collapsed="false">
      <c r="A630" s="100"/>
      <c r="B630" s="100"/>
      <c r="C630" s="100"/>
      <c r="D630" s="100"/>
      <c r="E630" s="100"/>
      <c r="F630" s="277"/>
      <c r="H630" s="277"/>
      <c r="I630" s="277"/>
      <c r="J630" s="69"/>
      <c r="K630" s="277"/>
      <c r="L630" s="277"/>
      <c r="M630" s="277"/>
      <c r="N630" s="277"/>
      <c r="O630" s="277"/>
      <c r="P630" s="277"/>
      <c r="Q630" s="277"/>
      <c r="R630" s="277"/>
      <c r="T630" s="277"/>
      <c r="U630" s="277"/>
      <c r="W630" s="277"/>
      <c r="Y630" s="107"/>
      <c r="Z630" s="107"/>
      <c r="AA630" s="107"/>
      <c r="AB630" s="107"/>
      <c r="AC630" s="107"/>
      <c r="AD630" s="233"/>
      <c r="AE630" s="107"/>
      <c r="AF630" s="107"/>
      <c r="AG630" s="107"/>
      <c r="AH630" s="107"/>
      <c r="AI630" s="107"/>
      <c r="AJ630" s="107"/>
      <c r="AK630" s="107"/>
      <c r="AL630" s="107"/>
      <c r="AM630" s="304"/>
      <c r="AN630" s="304"/>
      <c r="AO630" s="304"/>
      <c r="AP630" s="304"/>
      <c r="AQ630" s="304"/>
      <c r="AR630" s="304"/>
      <c r="AS630" s="304"/>
      <c r="AT630" s="304"/>
      <c r="AU630" s="304"/>
      <c r="AV630" s="304"/>
      <c r="AW630" s="304"/>
      <c r="AX630" s="304"/>
      <c r="AY630" s="304"/>
      <c r="AZ630" s="304"/>
      <c r="BA630" s="304"/>
      <c r="BB630" s="107"/>
      <c r="BC630" s="107"/>
      <c r="BD630" s="107"/>
      <c r="BE630" s="107"/>
      <c r="BF630" s="107"/>
      <c r="BG630" s="107"/>
      <c r="BH630" s="107"/>
      <c r="BI630" s="107"/>
      <c r="BJ630" s="107"/>
      <c r="BK630" s="107"/>
      <c r="BL630" s="107"/>
      <c r="BM630" s="107"/>
      <c r="BN630" s="107"/>
      <c r="BO630" s="107"/>
      <c r="BP630" s="107"/>
      <c r="BQ630" s="107"/>
      <c r="BR630" s="107"/>
    </row>
    <row r="631" customFormat="false" ht="12.75" hidden="false" customHeight="false" outlineLevel="0" collapsed="false">
      <c r="A631" s="100"/>
      <c r="B631" s="100"/>
      <c r="C631" s="100"/>
      <c r="D631" s="100"/>
      <c r="E631" s="100"/>
      <c r="F631" s="277"/>
      <c r="H631" s="277"/>
      <c r="I631" s="277"/>
      <c r="J631" s="69"/>
      <c r="K631" s="277"/>
      <c r="L631" s="277"/>
      <c r="M631" s="277"/>
      <c r="N631" s="277"/>
      <c r="O631" s="277"/>
      <c r="P631" s="277"/>
      <c r="Q631" s="277"/>
      <c r="R631" s="277"/>
      <c r="T631" s="277"/>
      <c r="U631" s="277"/>
      <c r="W631" s="277"/>
      <c r="Y631" s="107"/>
      <c r="Z631" s="107"/>
      <c r="AA631" s="107"/>
      <c r="AB631" s="107"/>
      <c r="AC631" s="107"/>
      <c r="AD631" s="233"/>
      <c r="AE631" s="107"/>
      <c r="AF631" s="107"/>
      <c r="AG631" s="107"/>
      <c r="AH631" s="107"/>
      <c r="AI631" s="107"/>
      <c r="AJ631" s="107"/>
      <c r="AK631" s="107"/>
      <c r="AL631" s="107"/>
      <c r="AM631" s="304"/>
      <c r="AN631" s="304"/>
      <c r="AO631" s="304"/>
      <c r="AP631" s="304"/>
      <c r="AQ631" s="304"/>
      <c r="AR631" s="304"/>
      <c r="AS631" s="304"/>
      <c r="AT631" s="304"/>
      <c r="AU631" s="304"/>
      <c r="AV631" s="304"/>
      <c r="AW631" s="304"/>
      <c r="AX631" s="304"/>
      <c r="AY631" s="304"/>
      <c r="AZ631" s="304"/>
      <c r="BA631" s="304"/>
      <c r="BB631" s="107"/>
      <c r="BC631" s="107"/>
      <c r="BD631" s="107"/>
      <c r="BE631" s="107"/>
      <c r="BF631" s="107"/>
      <c r="BG631" s="107"/>
      <c r="BH631" s="107"/>
      <c r="BI631" s="107"/>
      <c r="BJ631" s="107"/>
      <c r="BK631" s="107"/>
      <c r="BL631" s="107"/>
      <c r="BM631" s="107"/>
      <c r="BN631" s="107"/>
      <c r="BO631" s="107"/>
      <c r="BP631" s="107"/>
      <c r="BQ631" s="107"/>
      <c r="BR631" s="107"/>
    </row>
    <row r="632" customFormat="false" ht="12.75" hidden="false" customHeight="false" outlineLevel="0" collapsed="false">
      <c r="A632" s="100"/>
      <c r="B632" s="100"/>
      <c r="C632" s="100"/>
      <c r="D632" s="100"/>
      <c r="E632" s="100"/>
      <c r="F632" s="277"/>
      <c r="H632" s="277"/>
      <c r="I632" s="277"/>
      <c r="J632" s="69"/>
      <c r="K632" s="277"/>
      <c r="L632" s="277"/>
      <c r="M632" s="277"/>
      <c r="N632" s="277"/>
      <c r="O632" s="277"/>
      <c r="P632" s="277"/>
      <c r="Q632" s="277"/>
      <c r="R632" s="277"/>
      <c r="T632" s="277"/>
      <c r="U632" s="277"/>
      <c r="W632" s="277"/>
      <c r="Y632" s="107"/>
      <c r="Z632" s="107"/>
      <c r="AA632" s="107"/>
      <c r="AB632" s="107"/>
      <c r="AC632" s="107"/>
      <c r="AD632" s="233"/>
      <c r="AE632" s="107"/>
      <c r="AF632" s="107"/>
      <c r="AG632" s="107"/>
      <c r="AH632" s="107"/>
      <c r="AI632" s="107"/>
      <c r="AJ632" s="107"/>
      <c r="AK632" s="107"/>
      <c r="AL632" s="107"/>
      <c r="AM632" s="304"/>
      <c r="AN632" s="304"/>
      <c r="AO632" s="304"/>
      <c r="AP632" s="304"/>
      <c r="AQ632" s="304"/>
      <c r="AR632" s="304"/>
      <c r="AS632" s="304"/>
      <c r="AT632" s="304"/>
      <c r="AU632" s="304"/>
      <c r="AV632" s="304"/>
      <c r="AW632" s="304"/>
      <c r="AX632" s="304"/>
      <c r="AY632" s="304"/>
      <c r="AZ632" s="304"/>
      <c r="BA632" s="304"/>
      <c r="BB632" s="107"/>
      <c r="BC632" s="107"/>
      <c r="BD632" s="107"/>
      <c r="BE632" s="107"/>
      <c r="BF632" s="107"/>
      <c r="BG632" s="107"/>
      <c r="BH632" s="107"/>
      <c r="BI632" s="107"/>
      <c r="BJ632" s="107"/>
      <c r="BK632" s="107"/>
      <c r="BL632" s="107"/>
      <c r="BM632" s="107"/>
      <c r="BN632" s="107"/>
      <c r="BO632" s="107"/>
      <c r="BP632" s="107"/>
      <c r="BQ632" s="107"/>
      <c r="BR632" s="107"/>
    </row>
    <row r="633" customFormat="false" ht="12.75" hidden="false" customHeight="false" outlineLevel="0" collapsed="false">
      <c r="A633" s="100"/>
      <c r="B633" s="100"/>
      <c r="C633" s="100"/>
      <c r="D633" s="100"/>
      <c r="E633" s="100"/>
      <c r="F633" s="277"/>
      <c r="H633" s="277"/>
      <c r="I633" s="277"/>
      <c r="J633" s="69"/>
      <c r="K633" s="277"/>
      <c r="L633" s="277"/>
      <c r="M633" s="277"/>
      <c r="N633" s="277"/>
      <c r="O633" s="277"/>
      <c r="P633" s="277"/>
      <c r="Q633" s="277"/>
      <c r="R633" s="277"/>
      <c r="T633" s="277"/>
      <c r="U633" s="277"/>
      <c r="W633" s="277"/>
      <c r="Y633" s="107"/>
      <c r="Z633" s="107"/>
      <c r="AA633" s="107"/>
      <c r="AB633" s="107"/>
      <c r="AC633" s="107"/>
      <c r="AD633" s="233"/>
      <c r="AE633" s="107"/>
      <c r="AF633" s="107"/>
      <c r="AG633" s="107"/>
      <c r="AH633" s="107"/>
      <c r="AI633" s="107"/>
      <c r="AJ633" s="107"/>
      <c r="AK633" s="107"/>
      <c r="AL633" s="107"/>
      <c r="AM633" s="304"/>
      <c r="AN633" s="304"/>
      <c r="AO633" s="304"/>
      <c r="AP633" s="304"/>
      <c r="AQ633" s="304"/>
      <c r="AR633" s="304"/>
      <c r="AS633" s="304"/>
      <c r="AT633" s="304"/>
      <c r="AU633" s="304"/>
      <c r="AV633" s="304"/>
      <c r="AW633" s="304"/>
      <c r="AX633" s="304"/>
      <c r="AY633" s="304"/>
      <c r="AZ633" s="304"/>
      <c r="BA633" s="304"/>
      <c r="BB633" s="107"/>
      <c r="BC633" s="107"/>
      <c r="BD633" s="107"/>
      <c r="BE633" s="107"/>
      <c r="BF633" s="107"/>
      <c r="BG633" s="107"/>
      <c r="BH633" s="107"/>
      <c r="BI633" s="107"/>
      <c r="BJ633" s="107"/>
      <c r="BK633" s="107"/>
      <c r="BL633" s="107"/>
      <c r="BM633" s="107"/>
      <c r="BN633" s="107"/>
      <c r="BO633" s="107"/>
      <c r="BP633" s="107"/>
      <c r="BQ633" s="107"/>
      <c r="BR633" s="107"/>
    </row>
    <row r="634" customFormat="false" ht="12.75" hidden="false" customHeight="false" outlineLevel="0" collapsed="false">
      <c r="A634" s="100"/>
      <c r="B634" s="100"/>
      <c r="C634" s="100"/>
      <c r="D634" s="100"/>
      <c r="E634" s="100"/>
      <c r="F634" s="277"/>
      <c r="H634" s="277"/>
      <c r="I634" s="277"/>
      <c r="J634" s="69"/>
      <c r="K634" s="277"/>
      <c r="L634" s="277"/>
      <c r="M634" s="277"/>
      <c r="N634" s="277"/>
      <c r="O634" s="277"/>
      <c r="P634" s="277"/>
      <c r="Q634" s="277"/>
      <c r="R634" s="277"/>
      <c r="T634" s="277"/>
      <c r="U634" s="277"/>
      <c r="W634" s="277"/>
      <c r="Y634" s="107"/>
      <c r="Z634" s="107"/>
      <c r="AA634" s="107"/>
      <c r="AB634" s="107"/>
      <c r="AC634" s="107"/>
      <c r="AD634" s="233"/>
      <c r="AE634" s="107"/>
      <c r="AF634" s="107"/>
      <c r="AG634" s="107"/>
      <c r="AH634" s="107"/>
      <c r="AI634" s="107"/>
      <c r="AJ634" s="107"/>
      <c r="AK634" s="107"/>
      <c r="AL634" s="107"/>
      <c r="AM634" s="304"/>
      <c r="AN634" s="304"/>
      <c r="AO634" s="304"/>
      <c r="AP634" s="304"/>
      <c r="AQ634" s="304"/>
      <c r="AR634" s="304"/>
      <c r="AS634" s="304"/>
      <c r="AT634" s="304"/>
      <c r="AU634" s="304"/>
      <c r="AV634" s="304"/>
      <c r="AW634" s="304"/>
      <c r="AX634" s="304"/>
      <c r="AY634" s="304"/>
      <c r="AZ634" s="304"/>
      <c r="BA634" s="304"/>
      <c r="BB634" s="107"/>
      <c r="BC634" s="107"/>
      <c r="BD634" s="107"/>
      <c r="BE634" s="107"/>
      <c r="BF634" s="107"/>
      <c r="BG634" s="107"/>
      <c r="BH634" s="107"/>
      <c r="BI634" s="107"/>
      <c r="BJ634" s="107"/>
      <c r="BK634" s="107"/>
      <c r="BL634" s="107"/>
      <c r="BM634" s="107"/>
      <c r="BN634" s="107"/>
      <c r="BO634" s="107"/>
      <c r="BP634" s="107"/>
      <c r="BQ634" s="107"/>
      <c r="BR634" s="107"/>
    </row>
    <row r="635" customFormat="false" ht="12.75" hidden="false" customHeight="false" outlineLevel="0" collapsed="false">
      <c r="A635" s="100"/>
      <c r="B635" s="100"/>
      <c r="C635" s="100"/>
      <c r="D635" s="100"/>
      <c r="E635" s="100"/>
      <c r="F635" s="277"/>
      <c r="H635" s="277"/>
      <c r="I635" s="277"/>
      <c r="J635" s="69"/>
      <c r="K635" s="277"/>
      <c r="L635" s="277"/>
      <c r="M635" s="277"/>
      <c r="N635" s="277"/>
      <c r="O635" s="277"/>
      <c r="P635" s="277"/>
      <c r="Q635" s="277"/>
      <c r="R635" s="277"/>
      <c r="T635" s="277"/>
      <c r="U635" s="277"/>
      <c r="W635" s="277"/>
      <c r="Y635" s="107"/>
      <c r="Z635" s="107"/>
      <c r="AA635" s="107"/>
      <c r="AB635" s="107"/>
      <c r="AC635" s="107"/>
      <c r="AD635" s="233"/>
      <c r="AE635" s="107"/>
      <c r="AF635" s="107"/>
      <c r="AG635" s="107"/>
      <c r="AH635" s="107"/>
      <c r="AI635" s="107"/>
      <c r="AJ635" s="107"/>
      <c r="AK635" s="107"/>
      <c r="AL635" s="107"/>
      <c r="AM635" s="304"/>
      <c r="AN635" s="304"/>
      <c r="AO635" s="304"/>
      <c r="AP635" s="304"/>
      <c r="AQ635" s="304"/>
      <c r="AR635" s="304"/>
      <c r="AS635" s="304"/>
      <c r="AT635" s="304"/>
      <c r="AU635" s="304"/>
      <c r="AV635" s="304"/>
      <c r="AW635" s="304"/>
      <c r="AX635" s="304"/>
      <c r="AY635" s="304"/>
      <c r="AZ635" s="304"/>
      <c r="BA635" s="304"/>
      <c r="BB635" s="107"/>
      <c r="BC635" s="107"/>
      <c r="BD635" s="107"/>
      <c r="BE635" s="107"/>
      <c r="BF635" s="107"/>
      <c r="BG635" s="107"/>
      <c r="BH635" s="107"/>
      <c r="BI635" s="107"/>
      <c r="BJ635" s="107"/>
      <c r="BK635" s="107"/>
      <c r="BL635" s="107"/>
      <c r="BM635" s="107"/>
      <c r="BN635" s="107"/>
      <c r="BO635" s="107"/>
      <c r="BP635" s="107"/>
      <c r="BQ635" s="107"/>
      <c r="BR635" s="107"/>
    </row>
    <row r="636" customFormat="false" ht="12.75" hidden="false" customHeight="false" outlineLevel="0" collapsed="false">
      <c r="A636" s="100"/>
      <c r="B636" s="100"/>
      <c r="C636" s="100"/>
      <c r="D636" s="100"/>
      <c r="E636" s="100"/>
      <c r="F636" s="277"/>
      <c r="H636" s="277"/>
      <c r="I636" s="277"/>
      <c r="J636" s="69"/>
      <c r="K636" s="277"/>
      <c r="L636" s="277"/>
      <c r="M636" s="277"/>
      <c r="N636" s="277"/>
      <c r="O636" s="277"/>
      <c r="P636" s="277"/>
      <c r="Q636" s="277"/>
      <c r="R636" s="277"/>
      <c r="T636" s="277"/>
      <c r="U636" s="277"/>
      <c r="W636" s="277"/>
      <c r="Y636" s="107"/>
      <c r="Z636" s="107"/>
      <c r="AA636" s="107"/>
      <c r="AB636" s="107"/>
      <c r="AC636" s="107"/>
      <c r="AD636" s="233"/>
      <c r="AE636" s="107"/>
      <c r="AF636" s="107"/>
      <c r="AG636" s="107"/>
      <c r="AH636" s="107"/>
      <c r="AI636" s="107"/>
      <c r="AJ636" s="107"/>
      <c r="AK636" s="107"/>
      <c r="AL636" s="107"/>
      <c r="AM636" s="304"/>
      <c r="AN636" s="304"/>
      <c r="AO636" s="304"/>
      <c r="AP636" s="304"/>
      <c r="AQ636" s="304"/>
      <c r="AR636" s="304"/>
      <c r="AS636" s="304"/>
      <c r="AT636" s="304"/>
      <c r="AU636" s="304"/>
      <c r="AV636" s="304"/>
      <c r="AW636" s="304"/>
      <c r="AX636" s="304"/>
      <c r="AY636" s="304"/>
      <c r="AZ636" s="304"/>
      <c r="BA636" s="304"/>
      <c r="BB636" s="107"/>
      <c r="BC636" s="107"/>
      <c r="BD636" s="107"/>
      <c r="BE636" s="107"/>
      <c r="BF636" s="107"/>
      <c r="BG636" s="107"/>
      <c r="BH636" s="107"/>
      <c r="BI636" s="107"/>
      <c r="BJ636" s="107"/>
      <c r="BK636" s="107"/>
      <c r="BL636" s="107"/>
      <c r="BM636" s="107"/>
      <c r="BN636" s="107"/>
      <c r="BO636" s="107"/>
      <c r="BP636" s="107"/>
      <c r="BQ636" s="107"/>
      <c r="BR636" s="107"/>
    </row>
    <row r="637" customFormat="false" ht="12.75" hidden="false" customHeight="false" outlineLevel="0" collapsed="false">
      <c r="A637" s="100"/>
      <c r="B637" s="100"/>
      <c r="C637" s="100"/>
      <c r="D637" s="100"/>
      <c r="E637" s="100"/>
      <c r="F637" s="277"/>
      <c r="H637" s="277"/>
      <c r="I637" s="277"/>
      <c r="J637" s="69"/>
      <c r="K637" s="277"/>
      <c r="L637" s="277"/>
      <c r="M637" s="277"/>
      <c r="N637" s="277"/>
      <c r="O637" s="277"/>
      <c r="P637" s="277"/>
      <c r="Q637" s="277"/>
      <c r="R637" s="277"/>
      <c r="T637" s="277"/>
      <c r="U637" s="277"/>
      <c r="W637" s="277"/>
      <c r="Y637" s="107"/>
      <c r="Z637" s="107"/>
      <c r="AA637" s="107"/>
      <c r="AB637" s="107"/>
      <c r="AC637" s="107"/>
      <c r="AD637" s="233"/>
      <c r="AE637" s="107"/>
      <c r="AF637" s="107"/>
      <c r="AG637" s="107"/>
      <c r="AH637" s="107"/>
      <c r="AI637" s="107"/>
      <c r="AJ637" s="107"/>
      <c r="AK637" s="107"/>
      <c r="AL637" s="107"/>
      <c r="AM637" s="304"/>
      <c r="AN637" s="304"/>
      <c r="AO637" s="304"/>
      <c r="AP637" s="304"/>
      <c r="AQ637" s="304"/>
      <c r="AR637" s="304"/>
      <c r="AS637" s="304"/>
      <c r="AT637" s="304"/>
      <c r="AU637" s="304"/>
      <c r="AV637" s="304"/>
      <c r="AW637" s="304"/>
      <c r="AX637" s="304"/>
      <c r="AY637" s="304"/>
      <c r="AZ637" s="304"/>
      <c r="BA637" s="304"/>
      <c r="BB637" s="107"/>
      <c r="BC637" s="107"/>
      <c r="BD637" s="107"/>
      <c r="BE637" s="107"/>
      <c r="BF637" s="107"/>
      <c r="BG637" s="107"/>
      <c r="BH637" s="107"/>
      <c r="BI637" s="107"/>
      <c r="BJ637" s="107"/>
      <c r="BK637" s="107"/>
      <c r="BL637" s="107"/>
      <c r="BM637" s="107"/>
      <c r="BN637" s="107"/>
      <c r="BO637" s="107"/>
      <c r="BP637" s="107"/>
      <c r="BQ637" s="107"/>
      <c r="BR637" s="107"/>
    </row>
    <row r="638" customFormat="false" ht="12.75" hidden="false" customHeight="false" outlineLevel="0" collapsed="false">
      <c r="A638" s="100"/>
      <c r="B638" s="100"/>
      <c r="C638" s="100"/>
      <c r="D638" s="100"/>
      <c r="E638" s="100"/>
      <c r="F638" s="277"/>
      <c r="H638" s="277"/>
      <c r="I638" s="277"/>
      <c r="J638" s="69"/>
      <c r="K638" s="277"/>
      <c r="L638" s="277"/>
      <c r="M638" s="277"/>
      <c r="N638" s="277"/>
      <c r="O638" s="277"/>
      <c r="P638" s="277"/>
      <c r="Q638" s="277"/>
      <c r="R638" s="277"/>
      <c r="T638" s="277"/>
      <c r="U638" s="277"/>
      <c r="W638" s="277"/>
      <c r="Y638" s="107"/>
      <c r="Z638" s="107"/>
      <c r="AA638" s="107"/>
      <c r="AB638" s="107"/>
      <c r="AC638" s="107"/>
      <c r="AD638" s="233"/>
      <c r="AE638" s="107"/>
      <c r="AF638" s="107"/>
      <c r="AG638" s="107"/>
      <c r="AH638" s="107"/>
      <c r="AI638" s="107"/>
      <c r="AJ638" s="107"/>
      <c r="AK638" s="107"/>
      <c r="AL638" s="107"/>
      <c r="AM638" s="304"/>
      <c r="AN638" s="304"/>
      <c r="AO638" s="304"/>
      <c r="AP638" s="304"/>
      <c r="AQ638" s="304"/>
      <c r="AR638" s="304"/>
      <c r="AS638" s="304"/>
      <c r="AT638" s="304"/>
      <c r="AU638" s="304"/>
      <c r="AV638" s="304"/>
      <c r="AW638" s="304"/>
      <c r="AX638" s="304"/>
      <c r="AY638" s="304"/>
      <c r="AZ638" s="304"/>
      <c r="BA638" s="304"/>
      <c r="BB638" s="107"/>
      <c r="BC638" s="107"/>
      <c r="BD638" s="107"/>
      <c r="BE638" s="107"/>
      <c r="BF638" s="107"/>
      <c r="BG638" s="107"/>
      <c r="BH638" s="107"/>
      <c r="BI638" s="107"/>
      <c r="BJ638" s="107"/>
      <c r="BK638" s="107"/>
      <c r="BL638" s="107"/>
      <c r="BM638" s="107"/>
      <c r="BN638" s="107"/>
      <c r="BO638" s="107"/>
      <c r="BP638" s="107"/>
      <c r="BQ638" s="107"/>
      <c r="BR638" s="107"/>
    </row>
    <row r="639" customFormat="false" ht="12.75" hidden="false" customHeight="false" outlineLevel="0" collapsed="false">
      <c r="A639" s="100"/>
      <c r="B639" s="100"/>
      <c r="C639" s="100"/>
      <c r="D639" s="100"/>
      <c r="E639" s="100"/>
      <c r="F639" s="277"/>
      <c r="H639" s="277"/>
      <c r="I639" s="277"/>
      <c r="J639" s="69"/>
      <c r="K639" s="277"/>
      <c r="L639" s="277"/>
      <c r="M639" s="277"/>
      <c r="N639" s="277"/>
      <c r="O639" s="277"/>
      <c r="P639" s="277"/>
      <c r="Q639" s="277"/>
      <c r="R639" s="277"/>
      <c r="T639" s="277"/>
      <c r="U639" s="277"/>
      <c r="W639" s="277"/>
      <c r="Y639" s="107"/>
      <c r="Z639" s="107"/>
      <c r="AA639" s="107"/>
      <c r="AB639" s="107"/>
      <c r="AC639" s="107"/>
      <c r="AD639" s="233"/>
      <c r="AE639" s="107"/>
      <c r="AF639" s="107"/>
      <c r="AG639" s="107"/>
      <c r="AH639" s="107"/>
      <c r="AI639" s="107"/>
      <c r="AJ639" s="107"/>
      <c r="AK639" s="107"/>
      <c r="AL639" s="107"/>
      <c r="AM639" s="304"/>
      <c r="AN639" s="304"/>
      <c r="AO639" s="304"/>
      <c r="AP639" s="304"/>
      <c r="AQ639" s="304"/>
      <c r="AR639" s="304"/>
      <c r="AS639" s="304"/>
      <c r="AT639" s="304"/>
      <c r="AU639" s="304"/>
      <c r="AV639" s="304"/>
      <c r="AW639" s="304"/>
      <c r="AX639" s="304"/>
      <c r="AY639" s="304"/>
      <c r="AZ639" s="304"/>
      <c r="BA639" s="304"/>
      <c r="BB639" s="107"/>
      <c r="BC639" s="107"/>
      <c r="BD639" s="107"/>
      <c r="BE639" s="107"/>
      <c r="BF639" s="107"/>
      <c r="BG639" s="107"/>
      <c r="BH639" s="107"/>
      <c r="BI639" s="107"/>
      <c r="BJ639" s="107"/>
      <c r="BK639" s="107"/>
      <c r="BL639" s="107"/>
      <c r="BM639" s="107"/>
      <c r="BN639" s="107"/>
      <c r="BO639" s="107"/>
      <c r="BP639" s="107"/>
      <c r="BQ639" s="107"/>
      <c r="BR639" s="107"/>
    </row>
    <row r="640" customFormat="false" ht="12.75" hidden="false" customHeight="false" outlineLevel="0" collapsed="false">
      <c r="A640" s="100"/>
      <c r="B640" s="100"/>
      <c r="C640" s="100"/>
      <c r="D640" s="100"/>
      <c r="E640" s="100"/>
      <c r="F640" s="277"/>
      <c r="H640" s="277"/>
      <c r="I640" s="277"/>
      <c r="J640" s="69"/>
      <c r="K640" s="277"/>
      <c r="L640" s="277"/>
      <c r="M640" s="277"/>
      <c r="N640" s="277"/>
      <c r="O640" s="277"/>
      <c r="P640" s="277"/>
      <c r="Q640" s="277"/>
      <c r="R640" s="277"/>
      <c r="T640" s="277"/>
      <c r="U640" s="277"/>
      <c r="W640" s="277"/>
      <c r="Y640" s="107"/>
      <c r="Z640" s="107"/>
      <c r="AA640" s="107"/>
      <c r="AB640" s="107"/>
      <c r="AC640" s="107"/>
      <c r="AD640" s="233"/>
      <c r="AE640" s="107"/>
      <c r="AF640" s="107"/>
      <c r="AG640" s="107"/>
      <c r="AH640" s="107"/>
      <c r="AI640" s="107"/>
      <c r="AJ640" s="107"/>
      <c r="AK640" s="107"/>
      <c r="AL640" s="107"/>
      <c r="AM640" s="304"/>
      <c r="AN640" s="304"/>
      <c r="AO640" s="304"/>
      <c r="AP640" s="304"/>
      <c r="AQ640" s="304"/>
      <c r="AR640" s="304"/>
      <c r="AS640" s="304"/>
      <c r="AT640" s="304"/>
      <c r="AU640" s="304"/>
      <c r="AV640" s="304"/>
      <c r="AW640" s="304"/>
      <c r="AX640" s="304"/>
      <c r="AY640" s="304"/>
      <c r="AZ640" s="304"/>
      <c r="BA640" s="304"/>
      <c r="BB640" s="107"/>
      <c r="BC640" s="107"/>
      <c r="BD640" s="107"/>
      <c r="BE640" s="107"/>
      <c r="BF640" s="107"/>
      <c r="BG640" s="107"/>
      <c r="BH640" s="107"/>
      <c r="BI640" s="107"/>
      <c r="BJ640" s="107"/>
      <c r="BK640" s="107"/>
      <c r="BL640" s="107"/>
      <c r="BM640" s="107"/>
      <c r="BN640" s="107"/>
      <c r="BO640" s="107"/>
      <c r="BP640" s="107"/>
      <c r="BQ640" s="107"/>
      <c r="BR640" s="107"/>
    </row>
    <row r="641" customFormat="false" ht="12.75" hidden="false" customHeight="false" outlineLevel="0" collapsed="false">
      <c r="A641" s="100"/>
      <c r="B641" s="100"/>
      <c r="C641" s="100"/>
      <c r="D641" s="100"/>
      <c r="E641" s="100"/>
      <c r="F641" s="277"/>
      <c r="H641" s="277"/>
      <c r="I641" s="277"/>
      <c r="J641" s="69"/>
      <c r="K641" s="277"/>
      <c r="L641" s="277"/>
      <c r="M641" s="277"/>
      <c r="N641" s="277"/>
      <c r="O641" s="277"/>
      <c r="P641" s="277"/>
      <c r="Q641" s="277"/>
      <c r="R641" s="277"/>
      <c r="T641" s="277"/>
      <c r="U641" s="277"/>
      <c r="W641" s="277"/>
      <c r="Y641" s="107"/>
      <c r="Z641" s="107"/>
      <c r="AA641" s="107"/>
      <c r="AB641" s="107"/>
      <c r="AC641" s="107"/>
      <c r="AD641" s="233"/>
      <c r="AE641" s="107"/>
      <c r="AF641" s="107"/>
      <c r="AG641" s="107"/>
      <c r="AH641" s="107"/>
      <c r="AI641" s="107"/>
      <c r="AJ641" s="107"/>
      <c r="AK641" s="107"/>
      <c r="AL641" s="107"/>
      <c r="AM641" s="304"/>
      <c r="AN641" s="304"/>
      <c r="AO641" s="304"/>
      <c r="AP641" s="304"/>
      <c r="AQ641" s="304"/>
      <c r="AR641" s="304"/>
      <c r="AS641" s="304"/>
      <c r="AT641" s="304"/>
      <c r="AU641" s="304"/>
      <c r="AV641" s="304"/>
      <c r="AW641" s="304"/>
      <c r="AX641" s="304"/>
      <c r="AY641" s="304"/>
      <c r="AZ641" s="304"/>
      <c r="BA641" s="304"/>
      <c r="BB641" s="107"/>
      <c r="BC641" s="107"/>
      <c r="BD641" s="107"/>
      <c r="BE641" s="107"/>
      <c r="BF641" s="107"/>
      <c r="BG641" s="107"/>
      <c r="BH641" s="107"/>
      <c r="BI641" s="107"/>
      <c r="BJ641" s="107"/>
      <c r="BK641" s="107"/>
      <c r="BL641" s="107"/>
      <c r="BM641" s="107"/>
      <c r="BN641" s="107"/>
      <c r="BO641" s="107"/>
      <c r="BP641" s="107"/>
      <c r="BQ641" s="107"/>
      <c r="BR641" s="107"/>
    </row>
    <row r="642" customFormat="false" ht="12.75" hidden="false" customHeight="false" outlineLevel="0" collapsed="false">
      <c r="A642" s="100"/>
      <c r="B642" s="100"/>
      <c r="C642" s="100"/>
      <c r="D642" s="100"/>
      <c r="E642" s="100"/>
      <c r="F642" s="277"/>
      <c r="H642" s="277"/>
      <c r="I642" s="277"/>
      <c r="J642" s="69"/>
      <c r="K642" s="277"/>
      <c r="L642" s="277"/>
      <c r="M642" s="277"/>
      <c r="N642" s="277"/>
      <c r="O642" s="277"/>
      <c r="P642" s="277"/>
      <c r="Q642" s="277"/>
      <c r="R642" s="277"/>
      <c r="T642" s="277"/>
      <c r="U642" s="277"/>
      <c r="W642" s="277"/>
      <c r="Y642" s="107"/>
      <c r="Z642" s="107"/>
      <c r="AA642" s="107"/>
      <c r="AB642" s="107"/>
      <c r="AC642" s="107"/>
      <c r="AD642" s="233"/>
      <c r="AE642" s="107"/>
      <c r="AF642" s="107"/>
      <c r="AG642" s="107"/>
      <c r="AH642" s="107"/>
      <c r="AI642" s="107"/>
      <c r="AJ642" s="107"/>
      <c r="AK642" s="107"/>
      <c r="AL642" s="107"/>
      <c r="AM642" s="304"/>
      <c r="AN642" s="304"/>
      <c r="AO642" s="304"/>
      <c r="AP642" s="304"/>
      <c r="AQ642" s="304"/>
      <c r="AR642" s="304"/>
      <c r="AS642" s="304"/>
      <c r="AT642" s="304"/>
      <c r="AU642" s="304"/>
      <c r="AV642" s="304"/>
      <c r="AW642" s="304"/>
      <c r="AX642" s="304"/>
      <c r="AY642" s="304"/>
      <c r="AZ642" s="304"/>
      <c r="BA642" s="304"/>
      <c r="BB642" s="107"/>
      <c r="BC642" s="107"/>
      <c r="BD642" s="107"/>
      <c r="BE642" s="107"/>
      <c r="BF642" s="107"/>
      <c r="BG642" s="107"/>
      <c r="BH642" s="107"/>
      <c r="BI642" s="107"/>
      <c r="BJ642" s="107"/>
      <c r="BK642" s="107"/>
      <c r="BL642" s="107"/>
      <c r="BM642" s="107"/>
      <c r="BN642" s="107"/>
      <c r="BO642" s="107"/>
      <c r="BP642" s="107"/>
      <c r="BQ642" s="107"/>
      <c r="BR642" s="107"/>
    </row>
    <row r="643" customFormat="false" ht="12.75" hidden="false" customHeight="false" outlineLevel="0" collapsed="false">
      <c r="A643" s="100"/>
      <c r="B643" s="100"/>
      <c r="C643" s="100"/>
      <c r="D643" s="100"/>
      <c r="E643" s="100"/>
      <c r="F643" s="277"/>
      <c r="H643" s="277"/>
      <c r="I643" s="277"/>
      <c r="J643" s="69"/>
      <c r="K643" s="277"/>
      <c r="L643" s="277"/>
      <c r="M643" s="277"/>
      <c r="N643" s="277"/>
      <c r="O643" s="277"/>
      <c r="P643" s="277"/>
      <c r="Q643" s="277"/>
      <c r="R643" s="277"/>
      <c r="T643" s="277"/>
      <c r="U643" s="277"/>
      <c r="W643" s="277"/>
      <c r="Y643" s="107"/>
      <c r="Z643" s="107"/>
      <c r="AA643" s="107"/>
      <c r="AB643" s="107"/>
      <c r="AC643" s="107"/>
      <c r="AD643" s="233"/>
      <c r="AE643" s="107"/>
      <c r="AF643" s="107"/>
      <c r="AG643" s="107"/>
      <c r="AH643" s="107"/>
      <c r="AI643" s="107"/>
      <c r="AJ643" s="107"/>
      <c r="AK643" s="107"/>
      <c r="AL643" s="107"/>
      <c r="AM643" s="304"/>
      <c r="AN643" s="304"/>
      <c r="AO643" s="304"/>
      <c r="AP643" s="304"/>
      <c r="AQ643" s="304"/>
      <c r="AR643" s="304"/>
      <c r="AS643" s="304"/>
      <c r="AT643" s="304"/>
      <c r="AU643" s="304"/>
      <c r="AV643" s="304"/>
      <c r="AW643" s="304"/>
      <c r="AX643" s="304"/>
      <c r="AY643" s="304"/>
      <c r="AZ643" s="304"/>
      <c r="BA643" s="304"/>
      <c r="BB643" s="107"/>
      <c r="BC643" s="107"/>
      <c r="BD643" s="107"/>
      <c r="BE643" s="107"/>
      <c r="BF643" s="107"/>
      <c r="BG643" s="107"/>
      <c r="BH643" s="107"/>
      <c r="BI643" s="107"/>
      <c r="BJ643" s="107"/>
      <c r="BK643" s="107"/>
      <c r="BL643" s="107"/>
      <c r="BM643" s="107"/>
      <c r="BN643" s="107"/>
      <c r="BO643" s="107"/>
      <c r="BP643" s="107"/>
      <c r="BQ643" s="107"/>
      <c r="BR643" s="107"/>
    </row>
    <row r="644" customFormat="false" ht="12.75" hidden="false" customHeight="false" outlineLevel="0" collapsed="false">
      <c r="A644" s="100"/>
      <c r="B644" s="100"/>
      <c r="C644" s="100"/>
      <c r="D644" s="100"/>
      <c r="E644" s="100"/>
      <c r="F644" s="277"/>
      <c r="H644" s="277"/>
      <c r="I644" s="277"/>
      <c r="J644" s="69"/>
      <c r="K644" s="277"/>
      <c r="L644" s="277"/>
      <c r="M644" s="277"/>
      <c r="N644" s="277"/>
      <c r="O644" s="277"/>
      <c r="P644" s="277"/>
      <c r="Q644" s="277"/>
      <c r="R644" s="277"/>
      <c r="T644" s="277"/>
      <c r="U644" s="277"/>
      <c r="W644" s="277"/>
      <c r="Y644" s="107"/>
      <c r="Z644" s="107"/>
      <c r="AA644" s="107"/>
      <c r="AB644" s="107"/>
      <c r="AC644" s="107"/>
      <c r="AD644" s="233"/>
      <c r="AE644" s="107"/>
      <c r="AF644" s="107"/>
      <c r="AG644" s="107"/>
      <c r="AH644" s="107"/>
      <c r="AI644" s="107"/>
      <c r="AJ644" s="107"/>
      <c r="AK644" s="107"/>
      <c r="AL644" s="107"/>
      <c r="AM644" s="304"/>
      <c r="AN644" s="304"/>
      <c r="AO644" s="304"/>
      <c r="AP644" s="304"/>
      <c r="AQ644" s="304"/>
      <c r="AR644" s="304"/>
      <c r="AS644" s="304"/>
      <c r="AT644" s="304"/>
      <c r="AU644" s="304"/>
      <c r="AV644" s="304"/>
      <c r="AW644" s="304"/>
      <c r="AX644" s="304"/>
      <c r="AY644" s="304"/>
      <c r="AZ644" s="304"/>
      <c r="BA644" s="304"/>
      <c r="BB644" s="107"/>
      <c r="BC644" s="107"/>
      <c r="BD644" s="107"/>
      <c r="BE644" s="107"/>
      <c r="BF644" s="107"/>
      <c r="BG644" s="107"/>
      <c r="BH644" s="107"/>
      <c r="BI644" s="107"/>
      <c r="BJ644" s="107"/>
      <c r="BK644" s="107"/>
      <c r="BL644" s="107"/>
      <c r="BM644" s="107"/>
      <c r="BN644" s="107"/>
      <c r="BO644" s="107"/>
      <c r="BP644" s="107"/>
      <c r="BQ644" s="107"/>
      <c r="BR644" s="107"/>
    </row>
    <row r="645" customFormat="false" ht="12.75" hidden="false" customHeight="false" outlineLevel="0" collapsed="false">
      <c r="A645" s="100"/>
      <c r="B645" s="100"/>
      <c r="C645" s="100"/>
      <c r="D645" s="100"/>
      <c r="E645" s="100"/>
      <c r="F645" s="277"/>
      <c r="H645" s="277"/>
      <c r="I645" s="277"/>
      <c r="J645" s="69"/>
      <c r="K645" s="277"/>
      <c r="L645" s="277"/>
      <c r="M645" s="277"/>
      <c r="N645" s="277"/>
      <c r="O645" s="277"/>
      <c r="P645" s="277"/>
      <c r="Q645" s="277"/>
      <c r="R645" s="277"/>
      <c r="T645" s="277"/>
      <c r="U645" s="277"/>
      <c r="W645" s="277"/>
      <c r="Y645" s="107"/>
      <c r="Z645" s="107"/>
      <c r="AA645" s="107"/>
      <c r="AB645" s="107"/>
      <c r="AC645" s="107"/>
      <c r="AD645" s="233"/>
      <c r="AE645" s="107"/>
      <c r="AF645" s="107"/>
      <c r="AG645" s="107"/>
      <c r="AH645" s="107"/>
      <c r="AI645" s="107"/>
      <c r="AJ645" s="107"/>
      <c r="AK645" s="107"/>
      <c r="AL645" s="107"/>
      <c r="AM645" s="304"/>
      <c r="AN645" s="304"/>
      <c r="AO645" s="304"/>
      <c r="AP645" s="304"/>
      <c r="AQ645" s="304"/>
      <c r="AR645" s="304"/>
      <c r="AS645" s="304"/>
      <c r="AT645" s="304"/>
      <c r="AU645" s="304"/>
      <c r="AV645" s="304"/>
      <c r="AW645" s="304"/>
      <c r="AX645" s="304"/>
      <c r="AY645" s="304"/>
      <c r="AZ645" s="304"/>
      <c r="BA645" s="304"/>
      <c r="BB645" s="107"/>
      <c r="BC645" s="107"/>
      <c r="BD645" s="107"/>
      <c r="BE645" s="107"/>
      <c r="BF645" s="107"/>
      <c r="BG645" s="107"/>
      <c r="BH645" s="107"/>
      <c r="BI645" s="107"/>
      <c r="BJ645" s="107"/>
      <c r="BK645" s="107"/>
      <c r="BL645" s="107"/>
      <c r="BM645" s="107"/>
      <c r="BN645" s="107"/>
      <c r="BO645" s="107"/>
      <c r="BP645" s="107"/>
      <c r="BQ645" s="107"/>
      <c r="BR645" s="107"/>
    </row>
    <row r="646" customFormat="false" ht="12.75" hidden="false" customHeight="false" outlineLevel="0" collapsed="false">
      <c r="A646" s="100"/>
      <c r="B646" s="100"/>
      <c r="C646" s="100"/>
      <c r="D646" s="100"/>
      <c r="E646" s="100"/>
      <c r="F646" s="277"/>
      <c r="H646" s="277"/>
      <c r="I646" s="277"/>
      <c r="J646" s="69"/>
      <c r="K646" s="277"/>
      <c r="L646" s="277"/>
      <c r="M646" s="277"/>
      <c r="N646" s="277"/>
      <c r="O646" s="277"/>
      <c r="P646" s="277"/>
      <c r="Q646" s="277"/>
      <c r="R646" s="277"/>
      <c r="T646" s="277"/>
      <c r="U646" s="277"/>
      <c r="W646" s="277"/>
      <c r="Y646" s="107"/>
      <c r="Z646" s="107"/>
      <c r="AA646" s="107"/>
      <c r="AB646" s="107"/>
      <c r="AC646" s="107"/>
      <c r="AD646" s="233"/>
      <c r="AE646" s="107"/>
      <c r="AF646" s="107"/>
      <c r="AG646" s="107"/>
      <c r="AH646" s="107"/>
      <c r="AI646" s="107"/>
      <c r="AJ646" s="107"/>
      <c r="AK646" s="107"/>
      <c r="AL646" s="107"/>
      <c r="AM646" s="304"/>
      <c r="AN646" s="304"/>
      <c r="AO646" s="304"/>
      <c r="AP646" s="304"/>
      <c r="AQ646" s="304"/>
      <c r="AR646" s="304"/>
      <c r="AS646" s="304"/>
      <c r="AT646" s="304"/>
      <c r="AU646" s="304"/>
      <c r="AV646" s="304"/>
      <c r="AW646" s="304"/>
      <c r="AX646" s="304"/>
      <c r="AY646" s="304"/>
      <c r="AZ646" s="304"/>
      <c r="BA646" s="304"/>
      <c r="BB646" s="107"/>
      <c r="BC646" s="107"/>
      <c r="BD646" s="107"/>
      <c r="BE646" s="107"/>
      <c r="BF646" s="107"/>
      <c r="BG646" s="107"/>
      <c r="BH646" s="107"/>
      <c r="BI646" s="107"/>
      <c r="BJ646" s="107"/>
      <c r="BK646" s="107"/>
      <c r="BL646" s="107"/>
      <c r="BM646" s="107"/>
      <c r="BN646" s="107"/>
      <c r="BO646" s="107"/>
      <c r="BP646" s="107"/>
      <c r="BQ646" s="107"/>
      <c r="BR646" s="107"/>
    </row>
    <row r="647" customFormat="false" ht="12.75" hidden="false" customHeight="false" outlineLevel="0" collapsed="false">
      <c r="A647" s="100"/>
      <c r="B647" s="100"/>
      <c r="C647" s="100"/>
      <c r="D647" s="100"/>
      <c r="E647" s="100"/>
      <c r="F647" s="277"/>
      <c r="H647" s="277"/>
      <c r="I647" s="277"/>
      <c r="J647" s="69"/>
      <c r="K647" s="277"/>
      <c r="L647" s="277"/>
      <c r="M647" s="277"/>
      <c r="N647" s="277"/>
      <c r="O647" s="277"/>
      <c r="P647" s="277"/>
      <c r="Q647" s="277"/>
      <c r="R647" s="277"/>
      <c r="T647" s="277"/>
      <c r="U647" s="277"/>
      <c r="W647" s="277"/>
      <c r="Y647" s="107"/>
      <c r="Z647" s="107"/>
      <c r="AA647" s="107"/>
      <c r="AB647" s="107"/>
      <c r="AC647" s="107"/>
      <c r="AD647" s="233"/>
      <c r="AE647" s="107"/>
      <c r="AF647" s="107"/>
      <c r="AG647" s="107"/>
      <c r="AH647" s="107"/>
      <c r="AI647" s="107"/>
      <c r="AJ647" s="107"/>
      <c r="AK647" s="107"/>
      <c r="AL647" s="107"/>
      <c r="AM647" s="304"/>
      <c r="AN647" s="304"/>
      <c r="AO647" s="304"/>
      <c r="AP647" s="304"/>
      <c r="AQ647" s="304"/>
      <c r="AR647" s="304"/>
      <c r="AS647" s="304"/>
      <c r="AT647" s="304"/>
      <c r="AU647" s="304"/>
      <c r="AV647" s="304"/>
      <c r="AW647" s="304"/>
      <c r="AX647" s="304"/>
      <c r="AY647" s="304"/>
      <c r="AZ647" s="304"/>
      <c r="BA647" s="304"/>
      <c r="BB647" s="107"/>
      <c r="BC647" s="107"/>
      <c r="BD647" s="107"/>
      <c r="BE647" s="107"/>
      <c r="BF647" s="107"/>
      <c r="BG647" s="107"/>
      <c r="BH647" s="107"/>
      <c r="BI647" s="107"/>
      <c r="BJ647" s="107"/>
      <c r="BK647" s="107"/>
      <c r="BL647" s="107"/>
      <c r="BM647" s="107"/>
      <c r="BN647" s="107"/>
      <c r="BO647" s="107"/>
      <c r="BP647" s="107"/>
      <c r="BQ647" s="107"/>
      <c r="BR647" s="107"/>
    </row>
    <row r="648" customFormat="false" ht="12.75" hidden="false" customHeight="false" outlineLevel="0" collapsed="false">
      <c r="A648" s="100"/>
      <c r="B648" s="100"/>
      <c r="C648" s="100"/>
      <c r="D648" s="100"/>
      <c r="E648" s="100"/>
      <c r="F648" s="277"/>
      <c r="H648" s="277"/>
      <c r="I648" s="277"/>
      <c r="J648" s="69"/>
      <c r="K648" s="277"/>
      <c r="L648" s="277"/>
      <c r="M648" s="277"/>
      <c r="N648" s="277"/>
      <c r="O648" s="277"/>
      <c r="P648" s="277"/>
      <c r="Q648" s="277"/>
      <c r="R648" s="277"/>
      <c r="T648" s="277"/>
      <c r="U648" s="277"/>
      <c r="W648" s="277"/>
      <c r="Y648" s="107"/>
      <c r="Z648" s="107"/>
      <c r="AA648" s="107"/>
      <c r="AB648" s="107"/>
      <c r="AC648" s="107"/>
      <c r="AD648" s="233"/>
      <c r="AE648" s="107"/>
      <c r="AF648" s="107"/>
      <c r="AG648" s="107"/>
      <c r="AH648" s="107"/>
      <c r="AI648" s="107"/>
      <c r="AJ648" s="107"/>
      <c r="AK648" s="107"/>
      <c r="AL648" s="107"/>
      <c r="AM648" s="304"/>
      <c r="AN648" s="304"/>
      <c r="AO648" s="304"/>
      <c r="AP648" s="304"/>
      <c r="AQ648" s="304"/>
      <c r="AR648" s="304"/>
      <c r="AS648" s="304"/>
      <c r="AT648" s="304"/>
      <c r="AU648" s="304"/>
      <c r="AV648" s="304"/>
      <c r="AW648" s="304"/>
      <c r="AX648" s="304"/>
      <c r="AY648" s="304"/>
      <c r="AZ648" s="304"/>
      <c r="BA648" s="304"/>
      <c r="BB648" s="107"/>
      <c r="BC648" s="107"/>
      <c r="BD648" s="107"/>
      <c r="BE648" s="107"/>
      <c r="BF648" s="107"/>
      <c r="BG648" s="107"/>
      <c r="BH648" s="107"/>
      <c r="BI648" s="107"/>
      <c r="BJ648" s="107"/>
      <c r="BK648" s="107"/>
      <c r="BL648" s="107"/>
      <c r="BM648" s="107"/>
      <c r="BN648" s="107"/>
      <c r="BO648" s="107"/>
      <c r="BP648" s="107"/>
      <c r="BQ648" s="107"/>
      <c r="BR648" s="107"/>
    </row>
    <row r="649" customFormat="false" ht="12.75" hidden="false" customHeight="false" outlineLevel="0" collapsed="false">
      <c r="A649" s="100"/>
      <c r="B649" s="100"/>
      <c r="C649" s="100"/>
      <c r="D649" s="100"/>
      <c r="E649" s="100"/>
      <c r="F649" s="277"/>
      <c r="H649" s="277"/>
      <c r="I649" s="277"/>
      <c r="J649" s="69"/>
      <c r="K649" s="277"/>
      <c r="L649" s="277"/>
      <c r="M649" s="277"/>
      <c r="N649" s="277"/>
      <c r="O649" s="277"/>
      <c r="P649" s="277"/>
      <c r="Q649" s="277"/>
      <c r="R649" s="277"/>
      <c r="T649" s="277"/>
      <c r="U649" s="277"/>
      <c r="W649" s="277"/>
      <c r="Y649" s="107"/>
      <c r="Z649" s="107"/>
      <c r="AA649" s="107"/>
      <c r="AB649" s="107"/>
      <c r="AC649" s="107"/>
      <c r="AD649" s="233"/>
      <c r="AE649" s="107"/>
      <c r="AF649" s="107"/>
      <c r="AG649" s="107"/>
      <c r="AH649" s="107"/>
      <c r="AI649" s="107"/>
      <c r="AJ649" s="107"/>
      <c r="AK649" s="107"/>
      <c r="AL649" s="107"/>
      <c r="AM649" s="304"/>
      <c r="AN649" s="304"/>
      <c r="AO649" s="304"/>
      <c r="AP649" s="304"/>
      <c r="AQ649" s="304"/>
      <c r="AR649" s="304"/>
      <c r="AS649" s="304"/>
      <c r="AT649" s="304"/>
      <c r="AU649" s="304"/>
      <c r="AV649" s="304"/>
      <c r="AW649" s="304"/>
      <c r="AX649" s="304"/>
      <c r="AY649" s="304"/>
      <c r="AZ649" s="304"/>
      <c r="BA649" s="304"/>
      <c r="BB649" s="107"/>
      <c r="BC649" s="107"/>
      <c r="BD649" s="107"/>
      <c r="BE649" s="107"/>
      <c r="BF649" s="107"/>
      <c r="BG649" s="107"/>
      <c r="BH649" s="107"/>
      <c r="BI649" s="107"/>
      <c r="BJ649" s="107"/>
      <c r="BK649" s="107"/>
      <c r="BL649" s="107"/>
      <c r="BM649" s="107"/>
      <c r="BN649" s="107"/>
      <c r="BO649" s="107"/>
      <c r="BP649" s="107"/>
      <c r="BQ649" s="107"/>
      <c r="BR649" s="107"/>
    </row>
    <row r="650" customFormat="false" ht="12.75" hidden="false" customHeight="false" outlineLevel="0" collapsed="false">
      <c r="A650" s="100"/>
      <c r="B650" s="100"/>
      <c r="C650" s="100"/>
      <c r="D650" s="100"/>
      <c r="E650" s="100"/>
      <c r="F650" s="277"/>
      <c r="H650" s="277"/>
      <c r="I650" s="277"/>
      <c r="J650" s="69"/>
      <c r="K650" s="277"/>
      <c r="L650" s="277"/>
      <c r="M650" s="277"/>
      <c r="N650" s="277"/>
      <c r="O650" s="277"/>
      <c r="P650" s="277"/>
      <c r="Q650" s="277"/>
      <c r="R650" s="277"/>
      <c r="T650" s="277"/>
      <c r="U650" s="277"/>
      <c r="W650" s="277"/>
      <c r="Y650" s="107"/>
      <c r="Z650" s="107"/>
      <c r="AA650" s="107"/>
      <c r="AB650" s="107"/>
      <c r="AC650" s="107"/>
      <c r="AD650" s="233"/>
      <c r="AE650" s="107"/>
      <c r="AF650" s="107"/>
      <c r="AG650" s="107"/>
      <c r="AH650" s="107"/>
      <c r="AI650" s="107"/>
      <c r="AJ650" s="107"/>
      <c r="AK650" s="107"/>
      <c r="AL650" s="107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107"/>
      <c r="BC650" s="107"/>
      <c r="BD650" s="107"/>
      <c r="BE650" s="107"/>
      <c r="BF650" s="107"/>
      <c r="BG650" s="107"/>
      <c r="BH650" s="107"/>
      <c r="BI650" s="107"/>
      <c r="BJ650" s="107"/>
      <c r="BK650" s="107"/>
      <c r="BL650" s="107"/>
      <c r="BM650" s="107"/>
      <c r="BN650" s="107"/>
      <c r="BO650" s="107"/>
      <c r="BP650" s="107"/>
      <c r="BQ650" s="107"/>
      <c r="BR650" s="107"/>
    </row>
    <row r="651" customFormat="false" ht="12.75" hidden="false" customHeight="false" outlineLevel="0" collapsed="false">
      <c r="A651" s="100"/>
      <c r="B651" s="100"/>
      <c r="C651" s="100"/>
      <c r="D651" s="100"/>
      <c r="E651" s="100"/>
      <c r="F651" s="277"/>
      <c r="H651" s="277"/>
      <c r="I651" s="277"/>
      <c r="J651" s="69"/>
      <c r="K651" s="277"/>
      <c r="L651" s="277"/>
      <c r="M651" s="277"/>
      <c r="N651" s="277"/>
      <c r="O651" s="277"/>
      <c r="P651" s="277"/>
      <c r="Q651" s="277"/>
      <c r="R651" s="277"/>
      <c r="T651" s="277"/>
      <c r="U651" s="277"/>
      <c r="W651" s="277"/>
      <c r="Y651" s="107"/>
      <c r="Z651" s="107"/>
      <c r="AA651" s="107"/>
      <c r="AB651" s="107"/>
      <c r="AC651" s="107"/>
      <c r="AD651" s="233"/>
      <c r="AE651" s="107"/>
      <c r="AF651" s="107"/>
      <c r="AG651" s="107"/>
      <c r="AH651" s="107"/>
      <c r="AI651" s="107"/>
      <c r="AJ651" s="107"/>
      <c r="AK651" s="107"/>
      <c r="AL651" s="107"/>
      <c r="AM651" s="304"/>
      <c r="AN651" s="304"/>
      <c r="AO651" s="304"/>
      <c r="AP651" s="304"/>
      <c r="AQ651" s="304"/>
      <c r="AR651" s="304"/>
      <c r="AS651" s="304"/>
      <c r="AT651" s="304"/>
      <c r="AU651" s="304"/>
      <c r="AV651" s="304"/>
      <c r="AW651" s="304"/>
      <c r="AX651" s="304"/>
      <c r="AY651" s="304"/>
      <c r="AZ651" s="304"/>
      <c r="BA651" s="304"/>
      <c r="BB651" s="107"/>
      <c r="BC651" s="107"/>
      <c r="BD651" s="107"/>
      <c r="BE651" s="107"/>
      <c r="BF651" s="107"/>
      <c r="BG651" s="107"/>
      <c r="BH651" s="107"/>
      <c r="BI651" s="107"/>
      <c r="BJ651" s="107"/>
      <c r="BK651" s="107"/>
      <c r="BL651" s="107"/>
      <c r="BM651" s="107"/>
      <c r="BN651" s="107"/>
      <c r="BO651" s="107"/>
      <c r="BP651" s="107"/>
      <c r="BQ651" s="107"/>
      <c r="BR651" s="107"/>
    </row>
    <row r="652" customFormat="false" ht="12.75" hidden="false" customHeight="false" outlineLevel="0" collapsed="false">
      <c r="A652" s="100"/>
      <c r="B652" s="100"/>
      <c r="C652" s="100"/>
      <c r="D652" s="100"/>
      <c r="E652" s="100"/>
      <c r="F652" s="277"/>
      <c r="H652" s="277"/>
      <c r="I652" s="277"/>
      <c r="J652" s="69"/>
      <c r="K652" s="277"/>
      <c r="L652" s="277"/>
      <c r="M652" s="277"/>
      <c r="N652" s="277"/>
      <c r="O652" s="277"/>
      <c r="P652" s="277"/>
      <c r="Q652" s="277"/>
      <c r="R652" s="277"/>
      <c r="T652" s="277"/>
      <c r="U652" s="277"/>
      <c r="W652" s="277"/>
      <c r="Y652" s="107"/>
      <c r="Z652" s="107"/>
      <c r="AA652" s="107"/>
      <c r="AB652" s="107"/>
      <c r="AC652" s="107"/>
      <c r="AD652" s="233"/>
      <c r="AE652" s="107"/>
      <c r="AF652" s="107"/>
      <c r="AG652" s="107"/>
      <c r="AH652" s="107"/>
      <c r="AI652" s="107"/>
      <c r="AJ652" s="107"/>
      <c r="AK652" s="107"/>
      <c r="AL652" s="107"/>
      <c r="AM652" s="304"/>
      <c r="AN652" s="304"/>
      <c r="AO652" s="304"/>
      <c r="AP652" s="304"/>
      <c r="AQ652" s="304"/>
      <c r="AR652" s="304"/>
      <c r="AS652" s="304"/>
      <c r="AT652" s="304"/>
      <c r="AU652" s="304"/>
      <c r="AV652" s="304"/>
      <c r="AW652" s="304"/>
      <c r="AX652" s="304"/>
      <c r="AY652" s="304"/>
      <c r="AZ652" s="304"/>
      <c r="BA652" s="304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</row>
    <row r="653" customFormat="false" ht="12.75" hidden="false" customHeight="false" outlineLevel="0" collapsed="false">
      <c r="A653" s="100"/>
      <c r="B653" s="100"/>
      <c r="C653" s="100"/>
      <c r="D653" s="100"/>
      <c r="E653" s="100"/>
      <c r="F653" s="277"/>
      <c r="H653" s="277"/>
      <c r="I653" s="277"/>
      <c r="J653" s="69"/>
      <c r="K653" s="277"/>
      <c r="L653" s="277"/>
      <c r="M653" s="277"/>
      <c r="N653" s="277"/>
      <c r="O653" s="277"/>
      <c r="P653" s="277"/>
      <c r="Q653" s="277"/>
      <c r="R653" s="277"/>
      <c r="T653" s="277"/>
      <c r="U653" s="277"/>
      <c r="W653" s="277"/>
      <c r="Y653" s="107"/>
      <c r="Z653" s="107"/>
      <c r="AA653" s="107"/>
      <c r="AB653" s="107"/>
      <c r="AC653" s="107"/>
      <c r="AD653" s="233"/>
      <c r="AE653" s="107"/>
      <c r="AF653" s="107"/>
      <c r="AG653" s="107"/>
      <c r="AH653" s="107"/>
      <c r="AI653" s="107"/>
      <c r="AJ653" s="107"/>
      <c r="AK653" s="107"/>
      <c r="AL653" s="107"/>
      <c r="AM653" s="304"/>
      <c r="AN653" s="304"/>
      <c r="AO653" s="304"/>
      <c r="AP653" s="304"/>
      <c r="AQ653" s="304"/>
      <c r="AR653" s="304"/>
      <c r="AS653" s="304"/>
      <c r="AT653" s="304"/>
      <c r="AU653" s="304"/>
      <c r="AV653" s="304"/>
      <c r="AW653" s="304"/>
      <c r="AX653" s="304"/>
      <c r="AY653" s="304"/>
      <c r="AZ653" s="304"/>
      <c r="BA653" s="304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</row>
    <row r="654" customFormat="false" ht="12.75" hidden="false" customHeight="false" outlineLevel="0" collapsed="false">
      <c r="A654" s="100"/>
      <c r="B654" s="100"/>
      <c r="C654" s="100"/>
      <c r="D654" s="100"/>
      <c r="E654" s="100"/>
      <c r="F654" s="277"/>
      <c r="H654" s="277"/>
      <c r="I654" s="277"/>
      <c r="J654" s="69"/>
      <c r="K654" s="277"/>
      <c r="L654" s="277"/>
      <c r="M654" s="277"/>
      <c r="N654" s="277"/>
      <c r="O654" s="277"/>
      <c r="P654" s="277"/>
      <c r="Q654" s="277"/>
      <c r="R654" s="277"/>
      <c r="T654" s="277"/>
      <c r="U654" s="277"/>
      <c r="W654" s="277"/>
      <c r="Y654" s="107"/>
      <c r="Z654" s="107"/>
      <c r="AA654" s="107"/>
      <c r="AB654" s="107"/>
      <c r="AC654" s="107"/>
      <c r="AD654" s="233"/>
      <c r="AE654" s="107"/>
      <c r="AF654" s="107"/>
      <c r="AG654" s="107"/>
      <c r="AH654" s="107"/>
      <c r="AI654" s="107"/>
      <c r="AJ654" s="107"/>
      <c r="AK654" s="107"/>
      <c r="AL654" s="107"/>
      <c r="AM654" s="304"/>
      <c r="AN654" s="304"/>
      <c r="AO654" s="304"/>
      <c r="AP654" s="304"/>
      <c r="AQ654" s="304"/>
      <c r="AR654" s="304"/>
      <c r="AS654" s="304"/>
      <c r="AT654" s="304"/>
      <c r="AU654" s="304"/>
      <c r="AV654" s="304"/>
      <c r="AW654" s="304"/>
      <c r="AX654" s="304"/>
      <c r="AY654" s="304"/>
      <c r="AZ654" s="304"/>
      <c r="BA654" s="304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</row>
    <row r="655" customFormat="false" ht="12.75" hidden="false" customHeight="false" outlineLevel="0" collapsed="false">
      <c r="A655" s="100"/>
      <c r="B655" s="100"/>
      <c r="C655" s="100"/>
      <c r="D655" s="100"/>
      <c r="E655" s="100"/>
      <c r="F655" s="277"/>
      <c r="H655" s="277"/>
      <c r="I655" s="277"/>
      <c r="J655" s="69"/>
      <c r="K655" s="277"/>
      <c r="L655" s="277"/>
      <c r="M655" s="277"/>
      <c r="N655" s="277"/>
      <c r="O655" s="277"/>
      <c r="P655" s="277"/>
      <c r="Q655" s="277"/>
      <c r="R655" s="277"/>
      <c r="T655" s="277"/>
      <c r="U655" s="277"/>
      <c r="W655" s="277"/>
      <c r="Y655" s="107"/>
      <c r="Z655" s="107"/>
      <c r="AA655" s="107"/>
      <c r="AB655" s="107"/>
      <c r="AC655" s="107"/>
      <c r="AD655" s="233"/>
      <c r="AE655" s="107"/>
      <c r="AF655" s="107"/>
      <c r="AG655" s="107"/>
      <c r="AH655" s="107"/>
      <c r="AI655" s="107"/>
      <c r="AJ655" s="107"/>
      <c r="AK655" s="107"/>
      <c r="AL655" s="107"/>
      <c r="AM655" s="304"/>
      <c r="AN655" s="304"/>
      <c r="AO655" s="304"/>
      <c r="AP655" s="304"/>
      <c r="AQ655" s="304"/>
      <c r="AR655" s="304"/>
      <c r="AS655" s="304"/>
      <c r="AT655" s="304"/>
      <c r="AU655" s="304"/>
      <c r="AV655" s="304"/>
      <c r="AW655" s="304"/>
      <c r="AX655" s="304"/>
      <c r="AY655" s="304"/>
      <c r="AZ655" s="304"/>
      <c r="BA655" s="304"/>
      <c r="BB655" s="107"/>
      <c r="BC655" s="107"/>
      <c r="BD655" s="107"/>
      <c r="BE655" s="107"/>
      <c r="BF655" s="107"/>
      <c r="BG655" s="107"/>
      <c r="BH655" s="107"/>
      <c r="BI655" s="107"/>
      <c r="BJ655" s="107"/>
      <c r="BK655" s="107"/>
      <c r="BL655" s="107"/>
      <c r="BM655" s="107"/>
      <c r="BN655" s="107"/>
      <c r="BO655" s="107"/>
      <c r="BP655" s="107"/>
      <c r="BQ655" s="107"/>
      <c r="BR655" s="107"/>
    </row>
    <row r="656" customFormat="false" ht="12.75" hidden="false" customHeight="false" outlineLevel="0" collapsed="false">
      <c r="A656" s="100"/>
      <c r="B656" s="100"/>
      <c r="C656" s="100"/>
      <c r="D656" s="100"/>
      <c r="E656" s="100"/>
      <c r="F656" s="277"/>
      <c r="H656" s="277"/>
      <c r="I656" s="277"/>
      <c r="J656" s="69"/>
      <c r="K656" s="277"/>
      <c r="L656" s="277"/>
      <c r="M656" s="277"/>
      <c r="N656" s="277"/>
      <c r="O656" s="277"/>
      <c r="P656" s="277"/>
      <c r="Q656" s="277"/>
      <c r="R656" s="277"/>
      <c r="T656" s="277"/>
      <c r="U656" s="277"/>
      <c r="W656" s="277"/>
      <c r="Y656" s="107"/>
      <c r="Z656" s="107"/>
      <c r="AA656" s="107"/>
      <c r="AB656" s="107"/>
      <c r="AC656" s="107"/>
      <c r="AD656" s="233"/>
      <c r="AE656" s="107"/>
      <c r="AF656" s="107"/>
      <c r="AG656" s="107"/>
      <c r="AH656" s="107"/>
      <c r="AI656" s="107"/>
      <c r="AJ656" s="107"/>
      <c r="AK656" s="107"/>
      <c r="AL656" s="107"/>
      <c r="AM656" s="304"/>
      <c r="AN656" s="304"/>
      <c r="AO656" s="304"/>
      <c r="AP656" s="304"/>
      <c r="AQ656" s="304"/>
      <c r="AR656" s="304"/>
      <c r="AS656" s="304"/>
      <c r="AT656" s="304"/>
      <c r="AU656" s="304"/>
      <c r="AV656" s="304"/>
      <c r="AW656" s="304"/>
      <c r="AX656" s="304"/>
      <c r="AY656" s="304"/>
      <c r="AZ656" s="304"/>
      <c r="BA656" s="304"/>
      <c r="BB656" s="107"/>
      <c r="BC656" s="107"/>
      <c r="BD656" s="107"/>
      <c r="BE656" s="107"/>
      <c r="BF656" s="107"/>
      <c r="BG656" s="107"/>
      <c r="BH656" s="107"/>
      <c r="BI656" s="107"/>
      <c r="BJ656" s="107"/>
      <c r="BK656" s="107"/>
      <c r="BL656" s="107"/>
      <c r="BM656" s="107"/>
      <c r="BN656" s="107"/>
      <c r="BO656" s="107"/>
      <c r="BP656" s="107"/>
      <c r="BQ656" s="107"/>
      <c r="BR656" s="107"/>
    </row>
    <row r="657" customFormat="false" ht="12.75" hidden="false" customHeight="false" outlineLevel="0" collapsed="false">
      <c r="A657" s="100"/>
      <c r="B657" s="100"/>
      <c r="C657" s="100"/>
      <c r="D657" s="100"/>
      <c r="E657" s="100"/>
      <c r="F657" s="277"/>
      <c r="H657" s="277"/>
      <c r="I657" s="277"/>
      <c r="J657" s="69"/>
      <c r="K657" s="277"/>
      <c r="L657" s="277"/>
      <c r="M657" s="277"/>
      <c r="N657" s="277"/>
      <c r="O657" s="277"/>
      <c r="P657" s="277"/>
      <c r="Q657" s="277"/>
      <c r="R657" s="277"/>
      <c r="T657" s="277"/>
      <c r="U657" s="277"/>
      <c r="W657" s="277"/>
      <c r="Y657" s="107"/>
      <c r="Z657" s="107"/>
      <c r="AA657" s="107"/>
      <c r="AB657" s="107"/>
      <c r="AC657" s="107"/>
      <c r="AD657" s="233"/>
      <c r="AE657" s="107"/>
      <c r="AF657" s="107"/>
      <c r="AG657" s="107"/>
      <c r="AH657" s="107"/>
      <c r="AI657" s="107"/>
      <c r="AJ657" s="107"/>
      <c r="AK657" s="107"/>
      <c r="AL657" s="107"/>
      <c r="AM657" s="304"/>
      <c r="AN657" s="304"/>
      <c r="AO657" s="304"/>
      <c r="AP657" s="304"/>
      <c r="AQ657" s="304"/>
      <c r="AR657" s="304"/>
      <c r="AS657" s="304"/>
      <c r="AT657" s="304"/>
      <c r="AU657" s="304"/>
      <c r="AV657" s="304"/>
      <c r="AW657" s="304"/>
      <c r="AX657" s="304"/>
      <c r="AY657" s="304"/>
      <c r="AZ657" s="304"/>
      <c r="BA657" s="304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</row>
    <row r="658" customFormat="false" ht="12.75" hidden="false" customHeight="false" outlineLevel="0" collapsed="false">
      <c r="A658" s="100"/>
      <c r="B658" s="100"/>
      <c r="C658" s="100"/>
      <c r="D658" s="100"/>
      <c r="E658" s="100"/>
      <c r="F658" s="277"/>
      <c r="H658" s="277"/>
      <c r="I658" s="277"/>
      <c r="J658" s="69"/>
      <c r="K658" s="277"/>
      <c r="L658" s="277"/>
      <c r="M658" s="277"/>
      <c r="N658" s="277"/>
      <c r="O658" s="277"/>
      <c r="P658" s="277"/>
      <c r="Q658" s="277"/>
      <c r="R658" s="277"/>
      <c r="T658" s="277"/>
      <c r="U658" s="277"/>
      <c r="W658" s="277"/>
      <c r="Y658" s="107"/>
      <c r="Z658" s="107"/>
      <c r="AA658" s="107"/>
      <c r="AB658" s="107"/>
      <c r="AC658" s="107"/>
      <c r="AD658" s="233"/>
      <c r="AE658" s="107"/>
      <c r="AF658" s="107"/>
      <c r="AG658" s="107"/>
      <c r="AH658" s="107"/>
      <c r="AI658" s="107"/>
      <c r="AJ658" s="107"/>
      <c r="AK658" s="107"/>
      <c r="AL658" s="107"/>
      <c r="AM658" s="304"/>
      <c r="AN658" s="304"/>
      <c r="AO658" s="304"/>
      <c r="AP658" s="304"/>
      <c r="AQ658" s="304"/>
      <c r="AR658" s="304"/>
      <c r="AS658" s="304"/>
      <c r="AT658" s="304"/>
      <c r="AU658" s="304"/>
      <c r="AV658" s="304"/>
      <c r="AW658" s="304"/>
      <c r="AX658" s="304"/>
      <c r="AY658" s="304"/>
      <c r="AZ658" s="304"/>
      <c r="BA658" s="304"/>
      <c r="BB658" s="107"/>
      <c r="BC658" s="107"/>
      <c r="BD658" s="107"/>
      <c r="BE658" s="107"/>
      <c r="BF658" s="107"/>
      <c r="BG658" s="107"/>
      <c r="BH658" s="107"/>
      <c r="BI658" s="107"/>
      <c r="BJ658" s="107"/>
      <c r="BK658" s="107"/>
      <c r="BL658" s="107"/>
      <c r="BM658" s="107"/>
      <c r="BN658" s="107"/>
      <c r="BO658" s="107"/>
      <c r="BP658" s="107"/>
      <c r="BQ658" s="107"/>
      <c r="BR658" s="107"/>
    </row>
    <row r="659" customFormat="false" ht="12.75" hidden="false" customHeight="false" outlineLevel="0" collapsed="false">
      <c r="A659" s="100"/>
      <c r="B659" s="100"/>
      <c r="C659" s="100"/>
      <c r="D659" s="100"/>
      <c r="E659" s="100"/>
      <c r="F659" s="277"/>
      <c r="H659" s="277"/>
      <c r="I659" s="277"/>
      <c r="J659" s="69"/>
      <c r="K659" s="277"/>
      <c r="L659" s="277"/>
      <c r="M659" s="277"/>
      <c r="N659" s="277"/>
      <c r="O659" s="277"/>
      <c r="P659" s="277"/>
      <c r="Q659" s="277"/>
      <c r="R659" s="277"/>
      <c r="T659" s="277"/>
      <c r="U659" s="277"/>
      <c r="W659" s="277"/>
      <c r="Y659" s="107"/>
      <c r="Z659" s="107"/>
      <c r="AA659" s="107"/>
      <c r="AB659" s="107"/>
      <c r="AC659" s="107"/>
      <c r="AD659" s="233"/>
      <c r="AE659" s="107"/>
      <c r="AF659" s="107"/>
      <c r="AG659" s="107"/>
      <c r="AH659" s="107"/>
      <c r="AI659" s="107"/>
      <c r="AJ659" s="107"/>
      <c r="AK659" s="107"/>
      <c r="AL659" s="107"/>
      <c r="AM659" s="304"/>
      <c r="AN659" s="304"/>
      <c r="AO659" s="304"/>
      <c r="AP659" s="304"/>
      <c r="AQ659" s="304"/>
      <c r="AR659" s="304"/>
      <c r="AS659" s="304"/>
      <c r="AT659" s="304"/>
      <c r="AU659" s="304"/>
      <c r="AV659" s="304"/>
      <c r="AW659" s="304"/>
      <c r="AX659" s="304"/>
      <c r="AY659" s="304"/>
      <c r="AZ659" s="304"/>
      <c r="BA659" s="304"/>
      <c r="BB659" s="107"/>
      <c r="BC659" s="107"/>
      <c r="BD659" s="107"/>
      <c r="BE659" s="107"/>
      <c r="BF659" s="107"/>
      <c r="BG659" s="107"/>
      <c r="BH659" s="107"/>
      <c r="BI659" s="107"/>
      <c r="BJ659" s="107"/>
      <c r="BK659" s="107"/>
      <c r="BL659" s="107"/>
      <c r="BM659" s="107"/>
      <c r="BN659" s="107"/>
      <c r="BO659" s="107"/>
      <c r="BP659" s="107"/>
      <c r="BQ659" s="107"/>
      <c r="BR659" s="107"/>
    </row>
    <row r="660" customFormat="false" ht="12.75" hidden="false" customHeight="false" outlineLevel="0" collapsed="false">
      <c r="A660" s="100"/>
      <c r="B660" s="100"/>
      <c r="C660" s="100"/>
      <c r="D660" s="100"/>
      <c r="E660" s="100"/>
      <c r="F660" s="277"/>
      <c r="H660" s="277"/>
      <c r="I660" s="277"/>
      <c r="J660" s="69"/>
      <c r="K660" s="277"/>
      <c r="L660" s="277"/>
      <c r="M660" s="277"/>
      <c r="N660" s="277"/>
      <c r="O660" s="277"/>
      <c r="P660" s="277"/>
      <c r="Q660" s="277"/>
      <c r="R660" s="277"/>
      <c r="T660" s="277"/>
      <c r="U660" s="277"/>
      <c r="W660" s="277"/>
      <c r="Y660" s="107"/>
      <c r="Z660" s="107"/>
      <c r="AA660" s="107"/>
      <c r="AB660" s="107"/>
      <c r="AC660" s="107"/>
      <c r="AD660" s="233"/>
      <c r="AE660" s="107"/>
      <c r="AF660" s="107"/>
      <c r="AG660" s="107"/>
      <c r="AH660" s="107"/>
      <c r="AI660" s="107"/>
      <c r="AJ660" s="107"/>
      <c r="AK660" s="107"/>
      <c r="AL660" s="107"/>
      <c r="AM660" s="304"/>
      <c r="AN660" s="304"/>
      <c r="AO660" s="304"/>
      <c r="AP660" s="304"/>
      <c r="AQ660" s="304"/>
      <c r="AR660" s="304"/>
      <c r="AS660" s="304"/>
      <c r="AT660" s="304"/>
      <c r="AU660" s="304"/>
      <c r="AV660" s="304"/>
      <c r="AW660" s="304"/>
      <c r="AX660" s="304"/>
      <c r="AY660" s="304"/>
      <c r="AZ660" s="304"/>
      <c r="BA660" s="304"/>
      <c r="BB660" s="107"/>
      <c r="BC660" s="107"/>
      <c r="BD660" s="107"/>
      <c r="BE660" s="107"/>
      <c r="BF660" s="107"/>
      <c r="BG660" s="107"/>
      <c r="BH660" s="107"/>
      <c r="BI660" s="107"/>
      <c r="BJ660" s="107"/>
      <c r="BK660" s="107"/>
      <c r="BL660" s="107"/>
      <c r="BM660" s="107"/>
      <c r="BN660" s="107"/>
      <c r="BO660" s="107"/>
      <c r="BP660" s="107"/>
      <c r="BQ660" s="107"/>
      <c r="BR660" s="107"/>
    </row>
    <row r="661" customFormat="false" ht="12.75" hidden="false" customHeight="false" outlineLevel="0" collapsed="false">
      <c r="A661" s="100"/>
      <c r="B661" s="100"/>
      <c r="C661" s="100"/>
      <c r="D661" s="100"/>
      <c r="E661" s="100"/>
      <c r="F661" s="277"/>
      <c r="H661" s="277"/>
      <c r="I661" s="277"/>
      <c r="J661" s="69"/>
      <c r="K661" s="277"/>
      <c r="L661" s="277"/>
      <c r="M661" s="277"/>
      <c r="N661" s="277"/>
      <c r="O661" s="277"/>
      <c r="P661" s="277"/>
      <c r="Q661" s="277"/>
      <c r="R661" s="277"/>
      <c r="T661" s="277"/>
      <c r="U661" s="277"/>
      <c r="W661" s="277"/>
      <c r="Y661" s="107"/>
      <c r="Z661" s="107"/>
      <c r="AA661" s="107"/>
      <c r="AB661" s="107"/>
      <c r="AC661" s="107"/>
      <c r="AD661" s="233"/>
      <c r="AE661" s="107"/>
      <c r="AF661" s="107"/>
      <c r="AG661" s="107"/>
      <c r="AH661" s="107"/>
      <c r="AI661" s="107"/>
      <c r="AJ661" s="107"/>
      <c r="AK661" s="107"/>
      <c r="AL661" s="107"/>
      <c r="AM661" s="304"/>
      <c r="AN661" s="304"/>
      <c r="AO661" s="304"/>
      <c r="AP661" s="304"/>
      <c r="AQ661" s="304"/>
      <c r="AR661" s="304"/>
      <c r="AS661" s="304"/>
      <c r="AT661" s="304"/>
      <c r="AU661" s="304"/>
      <c r="AV661" s="304"/>
      <c r="AW661" s="304"/>
      <c r="AX661" s="304"/>
      <c r="AY661" s="304"/>
      <c r="AZ661" s="304"/>
      <c r="BA661" s="304"/>
      <c r="BB661" s="107"/>
      <c r="BC661" s="107"/>
      <c r="BD661" s="107"/>
      <c r="BE661" s="107"/>
      <c r="BF661" s="107"/>
      <c r="BG661" s="107"/>
      <c r="BH661" s="107"/>
      <c r="BI661" s="107"/>
      <c r="BJ661" s="107"/>
      <c r="BK661" s="107"/>
      <c r="BL661" s="107"/>
      <c r="BM661" s="107"/>
      <c r="BN661" s="107"/>
      <c r="BO661" s="107"/>
      <c r="BP661" s="107"/>
      <c r="BQ661" s="107"/>
      <c r="BR661" s="107"/>
    </row>
    <row r="662" customFormat="false" ht="12.75" hidden="false" customHeight="false" outlineLevel="0" collapsed="false">
      <c r="A662" s="100"/>
      <c r="B662" s="100"/>
      <c r="C662" s="100"/>
      <c r="D662" s="100"/>
      <c r="E662" s="100"/>
      <c r="F662" s="277"/>
      <c r="H662" s="277"/>
      <c r="I662" s="277"/>
      <c r="J662" s="69"/>
      <c r="K662" s="277"/>
      <c r="L662" s="277"/>
      <c r="M662" s="277"/>
      <c r="N662" s="277"/>
      <c r="O662" s="277"/>
      <c r="P662" s="277"/>
      <c r="Q662" s="277"/>
      <c r="R662" s="277"/>
      <c r="T662" s="277"/>
      <c r="U662" s="277"/>
      <c r="W662" s="277"/>
      <c r="Y662" s="107"/>
      <c r="Z662" s="107"/>
      <c r="AA662" s="107"/>
      <c r="AB662" s="107"/>
      <c r="AC662" s="107"/>
      <c r="AD662" s="233"/>
      <c r="AE662" s="107"/>
      <c r="AF662" s="107"/>
      <c r="AG662" s="107"/>
      <c r="AH662" s="107"/>
      <c r="AI662" s="107"/>
      <c r="AJ662" s="107"/>
      <c r="AK662" s="107"/>
      <c r="AL662" s="107"/>
      <c r="AM662" s="304"/>
      <c r="AN662" s="304"/>
      <c r="AO662" s="304"/>
      <c r="AP662" s="304"/>
      <c r="AQ662" s="304"/>
      <c r="AR662" s="304"/>
      <c r="AS662" s="304"/>
      <c r="AT662" s="304"/>
      <c r="AU662" s="304"/>
      <c r="AV662" s="304"/>
      <c r="AW662" s="304"/>
      <c r="AX662" s="304"/>
      <c r="AY662" s="304"/>
      <c r="AZ662" s="304"/>
      <c r="BA662" s="304"/>
      <c r="BB662" s="107"/>
      <c r="BC662" s="107"/>
      <c r="BD662" s="107"/>
      <c r="BE662" s="107"/>
      <c r="BF662" s="107"/>
      <c r="BG662" s="107"/>
      <c r="BH662" s="107"/>
      <c r="BI662" s="107"/>
      <c r="BJ662" s="107"/>
      <c r="BK662" s="107"/>
      <c r="BL662" s="107"/>
      <c r="BM662" s="107"/>
      <c r="BN662" s="107"/>
      <c r="BO662" s="107"/>
      <c r="BP662" s="107"/>
      <c r="BQ662" s="107"/>
      <c r="BR662" s="107"/>
    </row>
    <row r="663" customFormat="false" ht="12.75" hidden="false" customHeight="false" outlineLevel="0" collapsed="false">
      <c r="A663" s="100"/>
      <c r="B663" s="100"/>
      <c r="C663" s="100"/>
      <c r="D663" s="100"/>
      <c r="E663" s="100"/>
      <c r="F663" s="277"/>
      <c r="H663" s="277"/>
      <c r="I663" s="277"/>
      <c r="J663" s="69"/>
      <c r="K663" s="277"/>
      <c r="L663" s="277"/>
      <c r="M663" s="277"/>
      <c r="N663" s="277"/>
      <c r="O663" s="277"/>
      <c r="P663" s="277"/>
      <c r="Q663" s="277"/>
      <c r="R663" s="277"/>
      <c r="T663" s="277"/>
      <c r="U663" s="277"/>
      <c r="W663" s="277"/>
      <c r="Y663" s="107"/>
      <c r="Z663" s="107"/>
      <c r="AA663" s="107"/>
      <c r="AB663" s="107"/>
      <c r="AC663" s="107"/>
      <c r="AD663" s="233"/>
      <c r="AE663" s="107"/>
      <c r="AF663" s="107"/>
      <c r="AG663" s="107"/>
      <c r="AH663" s="107"/>
      <c r="AI663" s="107"/>
      <c r="AJ663" s="107"/>
      <c r="AK663" s="107"/>
      <c r="AL663" s="107"/>
      <c r="AM663" s="304"/>
      <c r="AN663" s="304"/>
      <c r="AO663" s="304"/>
      <c r="AP663" s="304"/>
      <c r="AQ663" s="304"/>
      <c r="AR663" s="304"/>
      <c r="AS663" s="304"/>
      <c r="AT663" s="304"/>
      <c r="AU663" s="304"/>
      <c r="AV663" s="304"/>
      <c r="AW663" s="304"/>
      <c r="AX663" s="304"/>
      <c r="AY663" s="304"/>
      <c r="AZ663" s="304"/>
      <c r="BA663" s="304"/>
      <c r="BB663" s="107"/>
      <c r="BC663" s="107"/>
      <c r="BD663" s="107"/>
      <c r="BE663" s="107"/>
      <c r="BF663" s="107"/>
      <c r="BG663" s="107"/>
      <c r="BH663" s="107"/>
      <c r="BI663" s="107"/>
      <c r="BJ663" s="107"/>
      <c r="BK663" s="107"/>
      <c r="BL663" s="107"/>
      <c r="BM663" s="107"/>
      <c r="BN663" s="107"/>
      <c r="BO663" s="107"/>
      <c r="BP663" s="107"/>
      <c r="BQ663" s="107"/>
      <c r="BR663" s="107"/>
    </row>
    <row r="664" customFormat="false" ht="12.75" hidden="false" customHeight="false" outlineLevel="0" collapsed="false">
      <c r="A664" s="100"/>
      <c r="B664" s="100"/>
      <c r="C664" s="100"/>
      <c r="D664" s="100"/>
      <c r="E664" s="100"/>
      <c r="F664" s="277"/>
      <c r="H664" s="277"/>
      <c r="I664" s="277"/>
      <c r="J664" s="69"/>
      <c r="K664" s="277"/>
      <c r="L664" s="277"/>
      <c r="M664" s="277"/>
      <c r="N664" s="277"/>
      <c r="O664" s="277"/>
      <c r="P664" s="277"/>
      <c r="Q664" s="277"/>
      <c r="R664" s="277"/>
      <c r="T664" s="277"/>
      <c r="U664" s="277"/>
      <c r="W664" s="277"/>
      <c r="Y664" s="107"/>
      <c r="Z664" s="107"/>
      <c r="AA664" s="107"/>
      <c r="AB664" s="107"/>
      <c r="AC664" s="107"/>
      <c r="AD664" s="233"/>
      <c r="AE664" s="107"/>
      <c r="AF664" s="107"/>
      <c r="AG664" s="107"/>
      <c r="AH664" s="107"/>
      <c r="AI664" s="107"/>
      <c r="AJ664" s="107"/>
      <c r="AK664" s="107"/>
      <c r="AL664" s="107"/>
      <c r="AM664" s="304"/>
      <c r="AN664" s="304"/>
      <c r="AO664" s="304"/>
      <c r="AP664" s="304"/>
      <c r="AQ664" s="304"/>
      <c r="AR664" s="304"/>
      <c r="AS664" s="304"/>
      <c r="AT664" s="304"/>
      <c r="AU664" s="304"/>
      <c r="AV664" s="304"/>
      <c r="AW664" s="304"/>
      <c r="AX664" s="304"/>
      <c r="AY664" s="304"/>
      <c r="AZ664" s="304"/>
      <c r="BA664" s="304"/>
      <c r="BB664" s="107"/>
      <c r="BC664" s="107"/>
      <c r="BD664" s="107"/>
      <c r="BE664" s="107"/>
      <c r="BF664" s="107"/>
      <c r="BG664" s="107"/>
      <c r="BH664" s="107"/>
      <c r="BI664" s="107"/>
      <c r="BJ664" s="107"/>
      <c r="BK664" s="107"/>
      <c r="BL664" s="107"/>
      <c r="BM664" s="107"/>
      <c r="BN664" s="107"/>
      <c r="BO664" s="107"/>
      <c r="BP664" s="107"/>
      <c r="BQ664" s="107"/>
      <c r="BR664" s="107"/>
    </row>
    <row r="665" customFormat="false" ht="12.75" hidden="false" customHeight="false" outlineLevel="0" collapsed="false">
      <c r="A665" s="100"/>
      <c r="B665" s="100"/>
      <c r="C665" s="100"/>
      <c r="D665" s="100"/>
      <c r="E665" s="100"/>
      <c r="F665" s="277"/>
      <c r="H665" s="277"/>
      <c r="I665" s="277"/>
      <c r="J665" s="69"/>
      <c r="K665" s="277"/>
      <c r="L665" s="277"/>
      <c r="M665" s="277"/>
      <c r="N665" s="277"/>
      <c r="O665" s="277"/>
      <c r="P665" s="277"/>
      <c r="Q665" s="277"/>
      <c r="R665" s="277"/>
      <c r="T665" s="277"/>
      <c r="U665" s="277"/>
      <c r="W665" s="277"/>
      <c r="Y665" s="107"/>
      <c r="Z665" s="107"/>
      <c r="AA665" s="107"/>
      <c r="AB665" s="107"/>
      <c r="AC665" s="107"/>
      <c r="AD665" s="233"/>
      <c r="AE665" s="107"/>
      <c r="AF665" s="107"/>
      <c r="AG665" s="107"/>
      <c r="AH665" s="107"/>
      <c r="AI665" s="107"/>
      <c r="AJ665" s="107"/>
      <c r="AK665" s="107"/>
      <c r="AL665" s="107"/>
      <c r="AM665" s="304"/>
      <c r="AN665" s="304"/>
      <c r="AO665" s="304"/>
      <c r="AP665" s="304"/>
      <c r="AQ665" s="304"/>
      <c r="AR665" s="304"/>
      <c r="AS665" s="304"/>
      <c r="AT665" s="304"/>
      <c r="AU665" s="304"/>
      <c r="AV665" s="304"/>
      <c r="AW665" s="304"/>
      <c r="AX665" s="304"/>
      <c r="AY665" s="304"/>
      <c r="AZ665" s="304"/>
      <c r="BA665" s="304"/>
      <c r="BB665" s="107"/>
      <c r="BC665" s="107"/>
      <c r="BD665" s="107"/>
      <c r="BE665" s="107"/>
      <c r="BF665" s="107"/>
      <c r="BG665" s="107"/>
      <c r="BH665" s="107"/>
      <c r="BI665" s="107"/>
      <c r="BJ665" s="107"/>
      <c r="BK665" s="107"/>
      <c r="BL665" s="107"/>
      <c r="BM665" s="107"/>
      <c r="BN665" s="107"/>
      <c r="BO665" s="107"/>
      <c r="BP665" s="107"/>
      <c r="BQ665" s="107"/>
      <c r="BR665" s="107"/>
    </row>
    <row r="666" customFormat="false" ht="12.75" hidden="false" customHeight="false" outlineLevel="0" collapsed="false">
      <c r="A666" s="100"/>
      <c r="B666" s="100"/>
      <c r="C666" s="100"/>
      <c r="D666" s="100"/>
      <c r="E666" s="100"/>
      <c r="F666" s="277"/>
      <c r="H666" s="277"/>
      <c r="I666" s="277"/>
      <c r="J666" s="69"/>
      <c r="K666" s="277"/>
      <c r="L666" s="277"/>
      <c r="M666" s="277"/>
      <c r="N666" s="277"/>
      <c r="O666" s="277"/>
      <c r="P666" s="277"/>
      <c r="Q666" s="277"/>
      <c r="R666" s="277"/>
      <c r="T666" s="277"/>
      <c r="U666" s="277"/>
      <c r="W666" s="277"/>
      <c r="Y666" s="107"/>
      <c r="Z666" s="107"/>
      <c r="AA666" s="107"/>
      <c r="AB666" s="107"/>
      <c r="AC666" s="107"/>
      <c r="AD666" s="233"/>
      <c r="AE666" s="107"/>
      <c r="AF666" s="107"/>
      <c r="AG666" s="107"/>
      <c r="AH666" s="107"/>
      <c r="AI666" s="107"/>
      <c r="AJ666" s="107"/>
      <c r="AK666" s="107"/>
      <c r="AL666" s="107"/>
      <c r="AM666" s="304"/>
      <c r="AN666" s="304"/>
      <c r="AO666" s="304"/>
      <c r="AP666" s="304"/>
      <c r="AQ666" s="304"/>
      <c r="AR666" s="304"/>
      <c r="AS666" s="304"/>
      <c r="AT666" s="304"/>
      <c r="AU666" s="304"/>
      <c r="AV666" s="304"/>
      <c r="AW666" s="304"/>
      <c r="AX666" s="304"/>
      <c r="AY666" s="304"/>
      <c r="AZ666" s="304"/>
      <c r="BA666" s="304"/>
      <c r="BB666" s="107"/>
      <c r="BC666" s="107"/>
      <c r="BD666" s="107"/>
      <c r="BE666" s="107"/>
      <c r="BF666" s="107"/>
      <c r="BG666" s="107"/>
      <c r="BH666" s="107"/>
      <c r="BI666" s="107"/>
      <c r="BJ666" s="107"/>
      <c r="BK666" s="107"/>
      <c r="BL666" s="107"/>
      <c r="BM666" s="107"/>
      <c r="BN666" s="107"/>
      <c r="BO666" s="107"/>
      <c r="BP666" s="107"/>
      <c r="BQ666" s="107"/>
      <c r="BR666" s="107"/>
    </row>
    <row r="667" customFormat="false" ht="12.75" hidden="false" customHeight="false" outlineLevel="0" collapsed="false">
      <c r="A667" s="100"/>
      <c r="B667" s="100"/>
      <c r="C667" s="100"/>
      <c r="D667" s="100"/>
      <c r="E667" s="100"/>
      <c r="F667" s="277"/>
      <c r="H667" s="277"/>
      <c r="I667" s="277"/>
      <c r="J667" s="69"/>
      <c r="K667" s="277"/>
      <c r="L667" s="277"/>
      <c r="M667" s="277"/>
      <c r="N667" s="277"/>
      <c r="O667" s="277"/>
      <c r="P667" s="277"/>
      <c r="Q667" s="277"/>
      <c r="R667" s="277"/>
      <c r="T667" s="277"/>
      <c r="U667" s="277"/>
      <c r="W667" s="277"/>
      <c r="Y667" s="107"/>
      <c r="Z667" s="107"/>
      <c r="AA667" s="107"/>
      <c r="AB667" s="107"/>
      <c r="AC667" s="107"/>
      <c r="AD667" s="233"/>
      <c r="AE667" s="107"/>
      <c r="AF667" s="107"/>
      <c r="AG667" s="107"/>
      <c r="AH667" s="107"/>
      <c r="AI667" s="107"/>
      <c r="AJ667" s="107"/>
      <c r="AK667" s="107"/>
      <c r="AL667" s="107"/>
      <c r="AM667" s="304"/>
      <c r="AN667" s="304"/>
      <c r="AO667" s="304"/>
      <c r="AP667" s="304"/>
      <c r="AQ667" s="304"/>
      <c r="AR667" s="304"/>
      <c r="AS667" s="304"/>
      <c r="AT667" s="304"/>
      <c r="AU667" s="304"/>
      <c r="AV667" s="304"/>
      <c r="AW667" s="304"/>
      <c r="AX667" s="304"/>
      <c r="AY667" s="304"/>
      <c r="AZ667" s="304"/>
      <c r="BA667" s="304"/>
      <c r="BB667" s="107"/>
      <c r="BC667" s="107"/>
      <c r="BD667" s="107"/>
      <c r="BE667" s="107"/>
      <c r="BF667" s="107"/>
      <c r="BG667" s="107"/>
      <c r="BH667" s="107"/>
      <c r="BI667" s="107"/>
      <c r="BJ667" s="107"/>
      <c r="BK667" s="107"/>
      <c r="BL667" s="107"/>
      <c r="BM667" s="107"/>
      <c r="BN667" s="107"/>
      <c r="BO667" s="107"/>
      <c r="BP667" s="107"/>
      <c r="BQ667" s="107"/>
      <c r="BR667" s="107"/>
    </row>
    <row r="668" customFormat="false" ht="12.75" hidden="false" customHeight="false" outlineLevel="0" collapsed="false">
      <c r="A668" s="100"/>
      <c r="B668" s="100"/>
      <c r="C668" s="100"/>
      <c r="D668" s="100"/>
      <c r="E668" s="100"/>
      <c r="F668" s="277"/>
      <c r="H668" s="277"/>
      <c r="I668" s="277"/>
      <c r="J668" s="69"/>
      <c r="K668" s="277"/>
      <c r="L668" s="277"/>
      <c r="M668" s="277"/>
      <c r="N668" s="277"/>
      <c r="O668" s="277"/>
      <c r="P668" s="277"/>
      <c r="Q668" s="277"/>
      <c r="R668" s="277"/>
      <c r="T668" s="277"/>
      <c r="U668" s="277"/>
      <c r="W668" s="277"/>
      <c r="Y668" s="107"/>
      <c r="Z668" s="107"/>
      <c r="AA668" s="107"/>
      <c r="AB668" s="107"/>
      <c r="AC668" s="107"/>
      <c r="AD668" s="233"/>
      <c r="AE668" s="107"/>
      <c r="AF668" s="107"/>
      <c r="AG668" s="107"/>
      <c r="AH668" s="107"/>
      <c r="AI668" s="107"/>
      <c r="AJ668" s="107"/>
      <c r="AK668" s="107"/>
      <c r="AL668" s="107"/>
      <c r="AM668" s="304"/>
      <c r="AN668" s="304"/>
      <c r="AO668" s="304"/>
      <c r="AP668" s="304"/>
      <c r="AQ668" s="304"/>
      <c r="AR668" s="304"/>
      <c r="AS668" s="304"/>
      <c r="AT668" s="304"/>
      <c r="AU668" s="304"/>
      <c r="AV668" s="304"/>
      <c r="AW668" s="304"/>
      <c r="AX668" s="304"/>
      <c r="AY668" s="304"/>
      <c r="AZ668" s="304"/>
      <c r="BA668" s="304"/>
      <c r="BB668" s="107"/>
      <c r="BC668" s="107"/>
      <c r="BD668" s="107"/>
      <c r="BE668" s="107"/>
      <c r="BF668" s="107"/>
      <c r="BG668" s="107"/>
      <c r="BH668" s="107"/>
      <c r="BI668" s="107"/>
      <c r="BJ668" s="107"/>
      <c r="BK668" s="107"/>
      <c r="BL668" s="107"/>
      <c r="BM668" s="107"/>
      <c r="BN668" s="107"/>
      <c r="BO668" s="107"/>
      <c r="BP668" s="107"/>
      <c r="BQ668" s="107"/>
      <c r="BR668" s="107"/>
    </row>
    <row r="669" customFormat="false" ht="12.75" hidden="false" customHeight="false" outlineLevel="0" collapsed="false">
      <c r="A669" s="100"/>
      <c r="B669" s="100"/>
      <c r="C669" s="100"/>
      <c r="D669" s="100"/>
      <c r="E669" s="100"/>
      <c r="F669" s="277"/>
      <c r="H669" s="277"/>
      <c r="I669" s="277"/>
      <c r="J669" s="69"/>
      <c r="K669" s="277"/>
      <c r="L669" s="277"/>
      <c r="M669" s="277"/>
      <c r="N669" s="277"/>
      <c r="O669" s="277"/>
      <c r="P669" s="277"/>
      <c r="Q669" s="277"/>
      <c r="R669" s="277"/>
      <c r="T669" s="277"/>
      <c r="U669" s="277"/>
      <c r="W669" s="277"/>
      <c r="Y669" s="107"/>
      <c r="Z669" s="107"/>
      <c r="AA669" s="107"/>
      <c r="AB669" s="107"/>
      <c r="AC669" s="107"/>
      <c r="AD669" s="233"/>
      <c r="AE669" s="107"/>
      <c r="AF669" s="107"/>
      <c r="AG669" s="107"/>
      <c r="AH669" s="107"/>
      <c r="AI669" s="107"/>
      <c r="AJ669" s="107"/>
      <c r="AK669" s="107"/>
      <c r="AL669" s="107"/>
      <c r="AM669" s="304"/>
      <c r="AN669" s="304"/>
      <c r="AO669" s="304"/>
      <c r="AP669" s="304"/>
      <c r="AQ669" s="304"/>
      <c r="AR669" s="304"/>
      <c r="AS669" s="304"/>
      <c r="AT669" s="304"/>
      <c r="AU669" s="304"/>
      <c r="AV669" s="304"/>
      <c r="AW669" s="304"/>
      <c r="AX669" s="304"/>
      <c r="AY669" s="304"/>
      <c r="AZ669" s="304"/>
      <c r="BA669" s="304"/>
      <c r="BB669" s="107"/>
      <c r="BC669" s="107"/>
      <c r="BD669" s="107"/>
      <c r="BE669" s="107"/>
      <c r="BF669" s="107"/>
      <c r="BG669" s="107"/>
      <c r="BH669" s="107"/>
      <c r="BI669" s="107"/>
      <c r="BJ669" s="107"/>
      <c r="BK669" s="107"/>
      <c r="BL669" s="107"/>
      <c r="BM669" s="107"/>
      <c r="BN669" s="107"/>
      <c r="BO669" s="107"/>
      <c r="BP669" s="107"/>
      <c r="BQ669" s="107"/>
      <c r="BR669" s="107"/>
    </row>
    <row r="670" customFormat="false" ht="12.75" hidden="false" customHeight="false" outlineLevel="0" collapsed="false">
      <c r="A670" s="100"/>
      <c r="B670" s="100"/>
      <c r="C670" s="100"/>
      <c r="D670" s="100"/>
      <c r="E670" s="100"/>
      <c r="F670" s="277"/>
      <c r="H670" s="277"/>
      <c r="I670" s="277"/>
      <c r="J670" s="69"/>
      <c r="K670" s="277"/>
      <c r="L670" s="277"/>
      <c r="M670" s="277"/>
      <c r="N670" s="277"/>
      <c r="O670" s="277"/>
      <c r="P670" s="277"/>
      <c r="Q670" s="277"/>
      <c r="R670" s="277"/>
      <c r="T670" s="277"/>
      <c r="U670" s="277"/>
      <c r="W670" s="277"/>
      <c r="Y670" s="107"/>
      <c r="Z670" s="107"/>
      <c r="AA670" s="107"/>
      <c r="AB670" s="107"/>
      <c r="AC670" s="107"/>
      <c r="AD670" s="233"/>
      <c r="AE670" s="107"/>
      <c r="AF670" s="107"/>
      <c r="AG670" s="107"/>
      <c r="AH670" s="107"/>
      <c r="AI670" s="107"/>
      <c r="AJ670" s="107"/>
      <c r="AK670" s="107"/>
      <c r="AL670" s="107"/>
      <c r="AM670" s="304"/>
      <c r="AN670" s="304"/>
      <c r="AO670" s="304"/>
      <c r="AP670" s="304"/>
      <c r="AQ670" s="304"/>
      <c r="AR670" s="304"/>
      <c r="AS670" s="304"/>
      <c r="AT670" s="304"/>
      <c r="AU670" s="304"/>
      <c r="AV670" s="304"/>
      <c r="AW670" s="304"/>
      <c r="AX670" s="304"/>
      <c r="AY670" s="304"/>
      <c r="AZ670" s="304"/>
      <c r="BA670" s="304"/>
      <c r="BB670" s="107"/>
      <c r="BC670" s="107"/>
      <c r="BD670" s="107"/>
      <c r="BE670" s="107"/>
      <c r="BF670" s="107"/>
      <c r="BG670" s="107"/>
      <c r="BH670" s="107"/>
      <c r="BI670" s="107"/>
      <c r="BJ670" s="107"/>
      <c r="BK670" s="107"/>
      <c r="BL670" s="107"/>
      <c r="BM670" s="107"/>
      <c r="BN670" s="107"/>
      <c r="BO670" s="107"/>
      <c r="BP670" s="107"/>
      <c r="BQ670" s="107"/>
      <c r="BR670" s="107"/>
    </row>
    <row r="671" customFormat="false" ht="12.75" hidden="false" customHeight="false" outlineLevel="0" collapsed="false">
      <c r="A671" s="100"/>
      <c r="B671" s="100"/>
      <c r="C671" s="100"/>
      <c r="D671" s="100"/>
      <c r="E671" s="100"/>
      <c r="F671" s="277"/>
      <c r="H671" s="277"/>
      <c r="I671" s="277"/>
      <c r="J671" s="69"/>
      <c r="K671" s="277"/>
      <c r="L671" s="277"/>
      <c r="M671" s="277"/>
      <c r="N671" s="277"/>
      <c r="O671" s="277"/>
      <c r="P671" s="277"/>
      <c r="Q671" s="277"/>
      <c r="R671" s="277"/>
      <c r="T671" s="277"/>
      <c r="U671" s="277"/>
      <c r="W671" s="277"/>
      <c r="Y671" s="107"/>
      <c r="Z671" s="107"/>
      <c r="AA671" s="107"/>
      <c r="AB671" s="107"/>
      <c r="AC671" s="107"/>
      <c r="AD671" s="233"/>
      <c r="AE671" s="107"/>
      <c r="AF671" s="107"/>
      <c r="AG671" s="107"/>
      <c r="AH671" s="107"/>
      <c r="AI671" s="107"/>
      <c r="AJ671" s="107"/>
      <c r="AK671" s="107"/>
      <c r="AL671" s="107"/>
      <c r="AM671" s="304"/>
      <c r="AN671" s="304"/>
      <c r="AO671" s="304"/>
      <c r="AP671" s="304"/>
      <c r="AQ671" s="304"/>
      <c r="AR671" s="304"/>
      <c r="AS671" s="304"/>
      <c r="AT671" s="304"/>
      <c r="AU671" s="304"/>
      <c r="AV671" s="304"/>
      <c r="AW671" s="304"/>
      <c r="AX671" s="304"/>
      <c r="AY671" s="304"/>
      <c r="AZ671" s="304"/>
      <c r="BA671" s="304"/>
      <c r="BB671" s="107"/>
      <c r="BC671" s="107"/>
      <c r="BD671" s="107"/>
      <c r="BE671" s="107"/>
      <c r="BF671" s="107"/>
      <c r="BG671" s="107"/>
      <c r="BH671" s="107"/>
      <c r="BI671" s="107"/>
      <c r="BJ671" s="107"/>
      <c r="BK671" s="107"/>
      <c r="BL671" s="107"/>
      <c r="BM671" s="107"/>
      <c r="BN671" s="107"/>
      <c r="BO671" s="107"/>
      <c r="BP671" s="107"/>
      <c r="BQ671" s="107"/>
      <c r="BR671" s="107"/>
    </row>
    <row r="672" customFormat="false" ht="12.75" hidden="false" customHeight="false" outlineLevel="0" collapsed="false">
      <c r="A672" s="100"/>
      <c r="B672" s="100"/>
      <c r="C672" s="100"/>
      <c r="D672" s="100"/>
      <c r="E672" s="100"/>
      <c r="F672" s="277"/>
      <c r="H672" s="277"/>
      <c r="I672" s="277"/>
      <c r="J672" s="69"/>
      <c r="K672" s="277"/>
      <c r="L672" s="277"/>
      <c r="M672" s="277"/>
      <c r="N672" s="277"/>
      <c r="O672" s="277"/>
      <c r="P672" s="277"/>
      <c r="Q672" s="277"/>
      <c r="R672" s="277"/>
      <c r="T672" s="277"/>
      <c r="U672" s="277"/>
      <c r="W672" s="277"/>
      <c r="Y672" s="107"/>
      <c r="Z672" s="107"/>
      <c r="AA672" s="107"/>
      <c r="AB672" s="107"/>
      <c r="AC672" s="107"/>
      <c r="AD672" s="233"/>
      <c r="AE672" s="107"/>
      <c r="AF672" s="107"/>
      <c r="AG672" s="107"/>
      <c r="AH672" s="107"/>
      <c r="AI672" s="107"/>
      <c r="AJ672" s="107"/>
      <c r="AK672" s="107"/>
      <c r="AL672" s="107"/>
      <c r="AM672" s="304"/>
      <c r="AN672" s="304"/>
      <c r="AO672" s="304"/>
      <c r="AP672" s="304"/>
      <c r="AQ672" s="304"/>
      <c r="AR672" s="304"/>
      <c r="AS672" s="304"/>
      <c r="AT672" s="304"/>
      <c r="AU672" s="304"/>
      <c r="AV672" s="304"/>
      <c r="AW672" s="304"/>
      <c r="AX672" s="304"/>
      <c r="AY672" s="304"/>
      <c r="AZ672" s="304"/>
      <c r="BA672" s="304"/>
      <c r="BB672" s="107"/>
      <c r="BC672" s="107"/>
      <c r="BD672" s="107"/>
      <c r="BE672" s="107"/>
      <c r="BF672" s="107"/>
      <c r="BG672" s="107"/>
      <c r="BH672" s="107"/>
      <c r="BI672" s="107"/>
      <c r="BJ672" s="107"/>
      <c r="BK672" s="107"/>
      <c r="BL672" s="107"/>
      <c r="BM672" s="107"/>
      <c r="BN672" s="107"/>
      <c r="BO672" s="107"/>
      <c r="BP672" s="107"/>
      <c r="BQ672" s="107"/>
      <c r="BR672" s="107"/>
    </row>
    <row r="673" customFormat="false" ht="12.75" hidden="false" customHeight="false" outlineLevel="0" collapsed="false">
      <c r="A673" s="100"/>
      <c r="B673" s="100"/>
      <c r="C673" s="100"/>
      <c r="D673" s="100"/>
      <c r="E673" s="100"/>
      <c r="F673" s="277"/>
      <c r="H673" s="277"/>
      <c r="I673" s="277"/>
      <c r="J673" s="69"/>
      <c r="K673" s="277"/>
      <c r="L673" s="277"/>
      <c r="M673" s="277"/>
      <c r="N673" s="277"/>
      <c r="O673" s="277"/>
      <c r="P673" s="277"/>
      <c r="Q673" s="277"/>
      <c r="R673" s="277"/>
      <c r="T673" s="277"/>
      <c r="U673" s="277"/>
      <c r="W673" s="277"/>
      <c r="Y673" s="107"/>
      <c r="Z673" s="107"/>
      <c r="AA673" s="107"/>
      <c r="AB673" s="107"/>
      <c r="AC673" s="107"/>
      <c r="AD673" s="233"/>
      <c r="AE673" s="107"/>
      <c r="AF673" s="107"/>
      <c r="AG673" s="107"/>
      <c r="AH673" s="107"/>
      <c r="AI673" s="107"/>
      <c r="AJ673" s="107"/>
      <c r="AK673" s="107"/>
      <c r="AL673" s="107"/>
      <c r="AM673" s="304"/>
      <c r="AN673" s="304"/>
      <c r="AO673" s="304"/>
      <c r="AP673" s="304"/>
      <c r="AQ673" s="304"/>
      <c r="AR673" s="304"/>
      <c r="AS673" s="304"/>
      <c r="AT673" s="304"/>
      <c r="AU673" s="304"/>
      <c r="AV673" s="304"/>
      <c r="AW673" s="304"/>
      <c r="AX673" s="304"/>
      <c r="AY673" s="304"/>
      <c r="AZ673" s="304"/>
      <c r="BA673" s="304"/>
      <c r="BB673" s="107"/>
      <c r="BC673" s="107"/>
      <c r="BD673" s="107"/>
      <c r="BE673" s="107"/>
      <c r="BF673" s="107"/>
      <c r="BG673" s="107"/>
      <c r="BH673" s="107"/>
      <c r="BI673" s="107"/>
      <c r="BJ673" s="107"/>
      <c r="BK673" s="107"/>
      <c r="BL673" s="107"/>
      <c r="BM673" s="107"/>
      <c r="BN673" s="107"/>
      <c r="BO673" s="107"/>
      <c r="BP673" s="107"/>
      <c r="BQ673" s="107"/>
      <c r="BR673" s="107"/>
    </row>
    <row r="674" customFormat="false" ht="12.75" hidden="false" customHeight="false" outlineLevel="0" collapsed="false">
      <c r="A674" s="100"/>
      <c r="B674" s="100"/>
      <c r="C674" s="100"/>
      <c r="D674" s="100"/>
      <c r="E674" s="100"/>
      <c r="F674" s="277"/>
      <c r="H674" s="277"/>
      <c r="I674" s="277"/>
      <c r="J674" s="69"/>
      <c r="K674" s="277"/>
      <c r="L674" s="277"/>
      <c r="M674" s="277"/>
      <c r="N674" s="277"/>
      <c r="O674" s="277"/>
      <c r="P674" s="277"/>
      <c r="Q674" s="277"/>
      <c r="R674" s="277"/>
      <c r="T674" s="277"/>
      <c r="U674" s="277"/>
      <c r="W674" s="277"/>
      <c r="Y674" s="107"/>
      <c r="Z674" s="107"/>
      <c r="AA674" s="107"/>
      <c r="AB674" s="107"/>
      <c r="AC674" s="107"/>
      <c r="AD674" s="233"/>
      <c r="AE674" s="107"/>
      <c r="AF674" s="107"/>
      <c r="AG674" s="107"/>
      <c r="AH674" s="107"/>
      <c r="AI674" s="107"/>
      <c r="AJ674" s="107"/>
      <c r="AK674" s="107"/>
      <c r="AL674" s="107"/>
      <c r="AM674" s="304"/>
      <c r="AN674" s="304"/>
      <c r="AO674" s="304"/>
      <c r="AP674" s="304"/>
      <c r="AQ674" s="304"/>
      <c r="AR674" s="304"/>
      <c r="AS674" s="304"/>
      <c r="AT674" s="304"/>
      <c r="AU674" s="304"/>
      <c r="AV674" s="304"/>
      <c r="AW674" s="304"/>
      <c r="AX674" s="304"/>
      <c r="AY674" s="304"/>
      <c r="AZ674" s="304"/>
      <c r="BA674" s="304"/>
      <c r="BB674" s="107"/>
      <c r="BC674" s="107"/>
      <c r="BD674" s="107"/>
      <c r="BE674" s="107"/>
      <c r="BF674" s="107"/>
      <c r="BG674" s="107"/>
      <c r="BH674" s="107"/>
      <c r="BI674" s="107"/>
      <c r="BJ674" s="107"/>
      <c r="BK674" s="107"/>
      <c r="BL674" s="107"/>
      <c r="BM674" s="107"/>
      <c r="BN674" s="107"/>
      <c r="BO674" s="107"/>
      <c r="BP674" s="107"/>
      <c r="BQ674" s="107"/>
      <c r="BR674" s="107"/>
    </row>
    <row r="675" customFormat="false" ht="12.75" hidden="false" customHeight="false" outlineLevel="0" collapsed="false">
      <c r="A675" s="100"/>
      <c r="B675" s="100"/>
      <c r="C675" s="100"/>
      <c r="D675" s="100"/>
      <c r="E675" s="100"/>
      <c r="F675" s="277"/>
      <c r="H675" s="277"/>
      <c r="I675" s="277"/>
      <c r="J675" s="69"/>
      <c r="K675" s="277"/>
      <c r="L675" s="277"/>
      <c r="M675" s="277"/>
      <c r="N675" s="277"/>
      <c r="O675" s="277"/>
      <c r="P675" s="277"/>
      <c r="Q675" s="277"/>
      <c r="R675" s="277"/>
      <c r="T675" s="277"/>
      <c r="U675" s="277"/>
      <c r="W675" s="277"/>
      <c r="Y675" s="107"/>
      <c r="Z675" s="107"/>
      <c r="AA675" s="107"/>
      <c r="AB675" s="107"/>
      <c r="AC675" s="107"/>
      <c r="AD675" s="233"/>
      <c r="AE675" s="107"/>
      <c r="AF675" s="107"/>
      <c r="AG675" s="107"/>
      <c r="AH675" s="107"/>
      <c r="AI675" s="107"/>
      <c r="AJ675" s="107"/>
      <c r="AK675" s="107"/>
      <c r="AL675" s="107"/>
      <c r="AM675" s="304"/>
      <c r="AN675" s="304"/>
      <c r="AO675" s="304"/>
      <c r="AP675" s="304"/>
      <c r="AQ675" s="304"/>
      <c r="AR675" s="304"/>
      <c r="AS675" s="304"/>
      <c r="AT675" s="304"/>
      <c r="AU675" s="304"/>
      <c r="AV675" s="304"/>
      <c r="AW675" s="304"/>
      <c r="AX675" s="304"/>
      <c r="AY675" s="304"/>
      <c r="AZ675" s="304"/>
      <c r="BA675" s="304"/>
      <c r="BB675" s="107"/>
      <c r="BC675" s="107"/>
      <c r="BD675" s="107"/>
      <c r="BE675" s="107"/>
      <c r="BF675" s="107"/>
      <c r="BG675" s="107"/>
      <c r="BH675" s="107"/>
      <c r="BI675" s="107"/>
      <c r="BJ675" s="107"/>
      <c r="BK675" s="107"/>
      <c r="BL675" s="107"/>
      <c r="BM675" s="107"/>
      <c r="BN675" s="107"/>
      <c r="BO675" s="107"/>
      <c r="BP675" s="107"/>
      <c r="BQ675" s="107"/>
      <c r="BR675" s="107"/>
    </row>
    <row r="676" customFormat="false" ht="12.75" hidden="false" customHeight="false" outlineLevel="0" collapsed="false">
      <c r="A676" s="100"/>
      <c r="B676" s="100"/>
      <c r="C676" s="100"/>
      <c r="D676" s="100"/>
      <c r="E676" s="100"/>
      <c r="F676" s="277"/>
      <c r="H676" s="277"/>
      <c r="I676" s="277"/>
      <c r="J676" s="69"/>
      <c r="K676" s="277"/>
      <c r="L676" s="277"/>
      <c r="M676" s="277"/>
      <c r="N676" s="277"/>
      <c r="O676" s="277"/>
      <c r="P676" s="277"/>
      <c r="Q676" s="277"/>
      <c r="R676" s="277"/>
      <c r="T676" s="277"/>
      <c r="U676" s="277"/>
      <c r="W676" s="277"/>
      <c r="Y676" s="107"/>
      <c r="Z676" s="107"/>
      <c r="AA676" s="107"/>
      <c r="AB676" s="107"/>
      <c r="AC676" s="107"/>
      <c r="AD676" s="233"/>
      <c r="AE676" s="107"/>
      <c r="AF676" s="107"/>
      <c r="AG676" s="107"/>
      <c r="AH676" s="107"/>
      <c r="AI676" s="107"/>
      <c r="AJ676" s="107"/>
      <c r="AK676" s="107"/>
      <c r="AL676" s="107"/>
      <c r="AM676" s="304"/>
      <c r="AN676" s="304"/>
      <c r="AO676" s="304"/>
      <c r="AP676" s="304"/>
      <c r="AQ676" s="304"/>
      <c r="AR676" s="304"/>
      <c r="AS676" s="304"/>
      <c r="AT676" s="304"/>
      <c r="AU676" s="304"/>
      <c r="AV676" s="304"/>
      <c r="AW676" s="304"/>
      <c r="AX676" s="304"/>
      <c r="AY676" s="304"/>
      <c r="AZ676" s="304"/>
      <c r="BA676" s="304"/>
      <c r="BB676" s="107"/>
      <c r="BC676" s="107"/>
      <c r="BD676" s="107"/>
      <c r="BE676" s="107"/>
      <c r="BF676" s="107"/>
      <c r="BG676" s="107"/>
      <c r="BH676" s="107"/>
      <c r="BI676" s="107"/>
      <c r="BJ676" s="107"/>
      <c r="BK676" s="107"/>
      <c r="BL676" s="107"/>
      <c r="BM676" s="107"/>
      <c r="BN676" s="107"/>
      <c r="BO676" s="107"/>
      <c r="BP676" s="107"/>
      <c r="BQ676" s="107"/>
      <c r="BR676" s="107"/>
    </row>
    <row r="677" customFormat="false" ht="12.75" hidden="false" customHeight="false" outlineLevel="0" collapsed="false">
      <c r="A677" s="100"/>
      <c r="B677" s="100"/>
      <c r="C677" s="100"/>
      <c r="D677" s="100"/>
      <c r="E677" s="100"/>
      <c r="F677" s="277"/>
      <c r="H677" s="277"/>
      <c r="I677" s="277"/>
      <c r="J677" s="69"/>
      <c r="K677" s="277"/>
      <c r="L677" s="277"/>
      <c r="M677" s="277"/>
      <c r="N677" s="277"/>
      <c r="O677" s="277"/>
      <c r="P677" s="277"/>
      <c r="Q677" s="277"/>
      <c r="R677" s="277"/>
      <c r="T677" s="277"/>
      <c r="U677" s="277"/>
      <c r="W677" s="277"/>
      <c r="Y677" s="107"/>
      <c r="Z677" s="107"/>
      <c r="AA677" s="107"/>
      <c r="AB677" s="107"/>
      <c r="AC677" s="107"/>
      <c r="AD677" s="233"/>
      <c r="AE677" s="107"/>
      <c r="AF677" s="107"/>
      <c r="AG677" s="107"/>
      <c r="AH677" s="107"/>
      <c r="AI677" s="107"/>
      <c r="AJ677" s="107"/>
      <c r="AK677" s="107"/>
      <c r="AL677" s="107"/>
      <c r="AM677" s="304"/>
      <c r="AN677" s="304"/>
      <c r="AO677" s="304"/>
      <c r="AP677" s="304"/>
      <c r="AQ677" s="304"/>
      <c r="AR677" s="304"/>
      <c r="AS677" s="304"/>
      <c r="AT677" s="304"/>
      <c r="AU677" s="304"/>
      <c r="AV677" s="304"/>
      <c r="AW677" s="304"/>
      <c r="AX677" s="304"/>
      <c r="AY677" s="304"/>
      <c r="AZ677" s="304"/>
      <c r="BA677" s="304"/>
      <c r="BB677" s="107"/>
      <c r="BC677" s="107"/>
      <c r="BD677" s="107"/>
      <c r="BE677" s="107"/>
      <c r="BF677" s="107"/>
      <c r="BG677" s="107"/>
      <c r="BH677" s="107"/>
      <c r="BI677" s="107"/>
      <c r="BJ677" s="107"/>
      <c r="BK677" s="107"/>
      <c r="BL677" s="107"/>
      <c r="BM677" s="107"/>
      <c r="BN677" s="107"/>
      <c r="BO677" s="107"/>
      <c r="BP677" s="107"/>
      <c r="BQ677" s="107"/>
      <c r="BR677" s="107"/>
    </row>
    <row r="678" customFormat="false" ht="12.75" hidden="false" customHeight="false" outlineLevel="0" collapsed="false">
      <c r="A678" s="100"/>
      <c r="B678" s="100"/>
      <c r="C678" s="100"/>
      <c r="D678" s="100"/>
      <c r="E678" s="100"/>
      <c r="F678" s="277"/>
      <c r="H678" s="277"/>
      <c r="I678" s="277"/>
      <c r="J678" s="69"/>
      <c r="K678" s="277"/>
      <c r="L678" s="277"/>
      <c r="M678" s="277"/>
      <c r="N678" s="277"/>
      <c r="O678" s="277"/>
      <c r="P678" s="277"/>
      <c r="Q678" s="277"/>
      <c r="R678" s="277"/>
      <c r="T678" s="277"/>
      <c r="U678" s="277"/>
      <c r="W678" s="277"/>
      <c r="Y678" s="107"/>
      <c r="Z678" s="107"/>
      <c r="AA678" s="107"/>
      <c r="AB678" s="107"/>
      <c r="AC678" s="107"/>
      <c r="AD678" s="233"/>
      <c r="AE678" s="107"/>
      <c r="AF678" s="107"/>
      <c r="AG678" s="107"/>
      <c r="AH678" s="107"/>
      <c r="AI678" s="107"/>
      <c r="AJ678" s="107"/>
      <c r="AK678" s="107"/>
      <c r="AL678" s="107"/>
      <c r="AM678" s="304"/>
      <c r="AN678" s="304"/>
      <c r="AO678" s="304"/>
      <c r="AP678" s="304"/>
      <c r="AQ678" s="304"/>
      <c r="AR678" s="304"/>
      <c r="AS678" s="304"/>
      <c r="AT678" s="304"/>
      <c r="AU678" s="304"/>
      <c r="AV678" s="304"/>
      <c r="AW678" s="304"/>
      <c r="AX678" s="304"/>
      <c r="AY678" s="304"/>
      <c r="AZ678" s="304"/>
      <c r="BA678" s="304"/>
      <c r="BB678" s="107"/>
      <c r="BC678" s="107"/>
      <c r="BD678" s="107"/>
      <c r="BE678" s="107"/>
      <c r="BF678" s="107"/>
      <c r="BG678" s="107"/>
      <c r="BH678" s="107"/>
      <c r="BI678" s="107"/>
      <c r="BJ678" s="107"/>
      <c r="BK678" s="107"/>
      <c r="BL678" s="107"/>
      <c r="BM678" s="107"/>
      <c r="BN678" s="107"/>
      <c r="BO678" s="107"/>
      <c r="BP678" s="107"/>
      <c r="BQ678" s="107"/>
      <c r="BR678" s="107"/>
    </row>
    <row r="679" customFormat="false" ht="12.75" hidden="false" customHeight="false" outlineLevel="0" collapsed="false">
      <c r="A679" s="100"/>
      <c r="B679" s="100"/>
      <c r="C679" s="100"/>
      <c r="D679" s="100"/>
      <c r="E679" s="100"/>
      <c r="F679" s="277"/>
      <c r="H679" s="277"/>
      <c r="I679" s="277"/>
      <c r="J679" s="69"/>
      <c r="K679" s="277"/>
      <c r="L679" s="277"/>
      <c r="M679" s="277"/>
      <c r="N679" s="277"/>
      <c r="O679" s="277"/>
      <c r="P679" s="277"/>
      <c r="Q679" s="277"/>
      <c r="R679" s="277"/>
      <c r="T679" s="277"/>
      <c r="U679" s="277"/>
      <c r="W679" s="277"/>
      <c r="Y679" s="107"/>
      <c r="Z679" s="107"/>
      <c r="AA679" s="107"/>
      <c r="AB679" s="107"/>
      <c r="AC679" s="107"/>
      <c r="AD679" s="233"/>
      <c r="AE679" s="107"/>
      <c r="AF679" s="107"/>
      <c r="AG679" s="107"/>
      <c r="AH679" s="107"/>
      <c r="AI679" s="107"/>
      <c r="AJ679" s="107"/>
      <c r="AK679" s="107"/>
      <c r="AL679" s="107"/>
      <c r="AM679" s="304"/>
      <c r="AN679" s="304"/>
      <c r="AO679" s="304"/>
      <c r="AP679" s="304"/>
      <c r="AQ679" s="304"/>
      <c r="AR679" s="304"/>
      <c r="AS679" s="304"/>
      <c r="AT679" s="304"/>
      <c r="AU679" s="304"/>
      <c r="AV679" s="304"/>
      <c r="AW679" s="304"/>
      <c r="AX679" s="304"/>
      <c r="AY679" s="304"/>
      <c r="AZ679" s="304"/>
      <c r="BA679" s="304"/>
      <c r="BB679" s="107"/>
      <c r="BC679" s="107"/>
      <c r="BD679" s="107"/>
      <c r="BE679" s="107"/>
      <c r="BF679" s="107"/>
      <c r="BG679" s="107"/>
      <c r="BH679" s="107"/>
      <c r="BI679" s="107"/>
      <c r="BJ679" s="107"/>
      <c r="BK679" s="107"/>
      <c r="BL679" s="107"/>
      <c r="BM679" s="107"/>
      <c r="BN679" s="107"/>
      <c r="BO679" s="107"/>
      <c r="BP679" s="107"/>
      <c r="BQ679" s="107"/>
      <c r="BR679" s="107"/>
    </row>
    <row r="680" customFormat="false" ht="12.75" hidden="false" customHeight="false" outlineLevel="0" collapsed="false">
      <c r="A680" s="100"/>
      <c r="B680" s="100"/>
      <c r="C680" s="100"/>
      <c r="D680" s="100"/>
      <c r="E680" s="100"/>
      <c r="F680" s="277"/>
      <c r="H680" s="277"/>
      <c r="I680" s="277"/>
      <c r="J680" s="69"/>
      <c r="K680" s="277"/>
      <c r="L680" s="277"/>
      <c r="M680" s="277"/>
      <c r="N680" s="277"/>
      <c r="O680" s="277"/>
      <c r="P680" s="277"/>
      <c r="Q680" s="277"/>
      <c r="R680" s="277"/>
      <c r="T680" s="277"/>
      <c r="U680" s="277"/>
      <c r="W680" s="277"/>
      <c r="Y680" s="107"/>
      <c r="Z680" s="107"/>
      <c r="AA680" s="107"/>
      <c r="AB680" s="107"/>
      <c r="AC680" s="107"/>
      <c r="AD680" s="233"/>
      <c r="AE680" s="107"/>
      <c r="AF680" s="107"/>
      <c r="AG680" s="107"/>
      <c r="AH680" s="107"/>
      <c r="AI680" s="107"/>
      <c r="AJ680" s="107"/>
      <c r="AK680" s="107"/>
      <c r="AL680" s="107"/>
      <c r="AM680" s="304"/>
      <c r="AN680" s="304"/>
      <c r="AO680" s="304"/>
      <c r="AP680" s="304"/>
      <c r="AQ680" s="304"/>
      <c r="AR680" s="304"/>
      <c r="AS680" s="304"/>
      <c r="AT680" s="304"/>
      <c r="AU680" s="304"/>
      <c r="AV680" s="304"/>
      <c r="AW680" s="304"/>
      <c r="AX680" s="304"/>
      <c r="AY680" s="304"/>
      <c r="AZ680" s="304"/>
      <c r="BA680" s="304"/>
      <c r="BB680" s="107"/>
      <c r="BC680" s="107"/>
      <c r="BD680" s="107"/>
      <c r="BE680" s="107"/>
      <c r="BF680" s="107"/>
      <c r="BG680" s="107"/>
      <c r="BH680" s="107"/>
      <c r="BI680" s="107"/>
      <c r="BJ680" s="107"/>
      <c r="BK680" s="107"/>
      <c r="BL680" s="107"/>
      <c r="BM680" s="107"/>
      <c r="BN680" s="107"/>
      <c r="BO680" s="107"/>
      <c r="BP680" s="107"/>
      <c r="BQ680" s="107"/>
      <c r="BR680" s="107"/>
    </row>
    <row r="681" customFormat="false" ht="12.75" hidden="false" customHeight="false" outlineLevel="0" collapsed="false">
      <c r="A681" s="100"/>
      <c r="B681" s="100"/>
      <c r="C681" s="100"/>
      <c r="D681" s="100"/>
      <c r="E681" s="100"/>
      <c r="F681" s="277"/>
      <c r="H681" s="277"/>
      <c r="I681" s="277"/>
      <c r="J681" s="69"/>
      <c r="K681" s="277"/>
      <c r="L681" s="277"/>
      <c r="M681" s="277"/>
      <c r="N681" s="277"/>
      <c r="O681" s="277"/>
      <c r="P681" s="277"/>
      <c r="Q681" s="277"/>
      <c r="R681" s="277"/>
      <c r="T681" s="277"/>
      <c r="U681" s="277"/>
      <c r="W681" s="277"/>
      <c r="Y681" s="107"/>
      <c r="Z681" s="107"/>
      <c r="AA681" s="107"/>
      <c r="AB681" s="107"/>
      <c r="AC681" s="107"/>
      <c r="AD681" s="233"/>
      <c r="AE681" s="107"/>
      <c r="AF681" s="107"/>
      <c r="AG681" s="107"/>
      <c r="AH681" s="107"/>
      <c r="AI681" s="107"/>
      <c r="AJ681" s="107"/>
      <c r="AK681" s="107"/>
      <c r="AL681" s="107"/>
      <c r="AM681" s="304"/>
      <c r="AN681" s="304"/>
      <c r="AO681" s="304"/>
      <c r="AP681" s="304"/>
      <c r="AQ681" s="304"/>
      <c r="AR681" s="304"/>
      <c r="AS681" s="304"/>
      <c r="AT681" s="304"/>
      <c r="AU681" s="304"/>
      <c r="AV681" s="304"/>
      <c r="AW681" s="304"/>
      <c r="AX681" s="304"/>
      <c r="AY681" s="304"/>
      <c r="AZ681" s="304"/>
      <c r="BA681" s="304"/>
      <c r="BB681" s="107"/>
      <c r="BC681" s="107"/>
      <c r="BD681" s="107"/>
      <c r="BE681" s="107"/>
      <c r="BF681" s="107"/>
      <c r="BG681" s="107"/>
      <c r="BH681" s="107"/>
      <c r="BI681" s="107"/>
      <c r="BJ681" s="107"/>
      <c r="BK681" s="107"/>
      <c r="BL681" s="107"/>
      <c r="BM681" s="107"/>
      <c r="BN681" s="107"/>
      <c r="BO681" s="107"/>
      <c r="BP681" s="107"/>
      <c r="BQ681" s="107"/>
      <c r="BR681" s="107"/>
    </row>
    <row r="682" customFormat="false" ht="12.75" hidden="false" customHeight="false" outlineLevel="0" collapsed="false">
      <c r="A682" s="100"/>
      <c r="B682" s="100"/>
      <c r="C682" s="100"/>
      <c r="D682" s="100"/>
      <c r="E682" s="100"/>
      <c r="F682" s="277"/>
      <c r="H682" s="277"/>
      <c r="I682" s="277"/>
      <c r="J682" s="69"/>
      <c r="K682" s="277"/>
      <c r="L682" s="277"/>
      <c r="M682" s="277"/>
      <c r="N682" s="277"/>
      <c r="O682" s="277"/>
      <c r="P682" s="277"/>
      <c r="Q682" s="277"/>
      <c r="R682" s="277"/>
      <c r="T682" s="277"/>
      <c r="U682" s="277"/>
      <c r="W682" s="277"/>
      <c r="Y682" s="107"/>
      <c r="Z682" s="107"/>
      <c r="AA682" s="107"/>
      <c r="AB682" s="107"/>
      <c r="AC682" s="107"/>
      <c r="AD682" s="233"/>
      <c r="AE682" s="107"/>
      <c r="AF682" s="107"/>
      <c r="AG682" s="107"/>
      <c r="AH682" s="107"/>
      <c r="AI682" s="107"/>
      <c r="AJ682" s="107"/>
      <c r="AK682" s="107"/>
      <c r="AL682" s="107"/>
      <c r="AM682" s="304"/>
      <c r="AN682" s="304"/>
      <c r="AO682" s="304"/>
      <c r="AP682" s="304"/>
      <c r="AQ682" s="304"/>
      <c r="AR682" s="304"/>
      <c r="AS682" s="304"/>
      <c r="AT682" s="304"/>
      <c r="AU682" s="304"/>
      <c r="AV682" s="304"/>
      <c r="AW682" s="304"/>
      <c r="AX682" s="304"/>
      <c r="AY682" s="304"/>
      <c r="AZ682" s="304"/>
      <c r="BA682" s="304"/>
      <c r="BB682" s="107"/>
      <c r="BC682" s="107"/>
      <c r="BD682" s="107"/>
      <c r="BE682" s="107"/>
      <c r="BF682" s="107"/>
      <c r="BG682" s="107"/>
      <c r="BH682" s="107"/>
      <c r="BI682" s="107"/>
      <c r="BJ682" s="107"/>
      <c r="BK682" s="107"/>
      <c r="BL682" s="107"/>
      <c r="BM682" s="107"/>
      <c r="BN682" s="107"/>
      <c r="BO682" s="107"/>
      <c r="BP682" s="107"/>
      <c r="BQ682" s="107"/>
      <c r="BR682" s="107"/>
    </row>
    <row r="683" customFormat="false" ht="12.75" hidden="false" customHeight="false" outlineLevel="0" collapsed="false">
      <c r="A683" s="100"/>
      <c r="B683" s="100"/>
      <c r="C683" s="100"/>
      <c r="D683" s="100"/>
      <c r="E683" s="100"/>
      <c r="F683" s="277"/>
      <c r="H683" s="277"/>
      <c r="I683" s="277"/>
      <c r="J683" s="69"/>
      <c r="K683" s="277"/>
      <c r="L683" s="277"/>
      <c r="M683" s="277"/>
      <c r="N683" s="277"/>
      <c r="O683" s="277"/>
      <c r="P683" s="277"/>
      <c r="Q683" s="277"/>
      <c r="R683" s="277"/>
      <c r="T683" s="277"/>
      <c r="U683" s="277"/>
      <c r="W683" s="277"/>
      <c r="Y683" s="107"/>
      <c r="Z683" s="107"/>
      <c r="AA683" s="107"/>
      <c r="AB683" s="107"/>
      <c r="AC683" s="107"/>
      <c r="AD683" s="233"/>
      <c r="AE683" s="107"/>
      <c r="AF683" s="107"/>
      <c r="AG683" s="107"/>
      <c r="AH683" s="107"/>
      <c r="AI683" s="107"/>
      <c r="AJ683" s="107"/>
      <c r="AK683" s="107"/>
      <c r="AL683" s="107"/>
      <c r="AM683" s="304"/>
      <c r="AN683" s="304"/>
      <c r="AO683" s="304"/>
      <c r="AP683" s="304"/>
      <c r="AQ683" s="304"/>
      <c r="AR683" s="304"/>
      <c r="AS683" s="304"/>
      <c r="AT683" s="304"/>
      <c r="AU683" s="304"/>
      <c r="AV683" s="304"/>
      <c r="AW683" s="304"/>
      <c r="AX683" s="304"/>
      <c r="AY683" s="304"/>
      <c r="AZ683" s="304"/>
      <c r="BA683" s="304"/>
      <c r="BB683" s="107"/>
      <c r="BC683" s="107"/>
      <c r="BD683" s="107"/>
      <c r="BE683" s="107"/>
      <c r="BF683" s="107"/>
      <c r="BG683" s="107"/>
      <c r="BH683" s="107"/>
      <c r="BI683" s="107"/>
      <c r="BJ683" s="107"/>
      <c r="BK683" s="107"/>
      <c r="BL683" s="107"/>
      <c r="BM683" s="107"/>
      <c r="BN683" s="107"/>
      <c r="BO683" s="107"/>
      <c r="BP683" s="107"/>
      <c r="BQ683" s="107"/>
      <c r="BR683" s="107"/>
    </row>
    <row r="684" customFormat="false" ht="12.75" hidden="false" customHeight="false" outlineLevel="0" collapsed="false">
      <c r="A684" s="100"/>
      <c r="B684" s="100"/>
      <c r="C684" s="100"/>
      <c r="D684" s="100"/>
      <c r="E684" s="100"/>
      <c r="F684" s="277"/>
      <c r="H684" s="277"/>
      <c r="I684" s="277"/>
      <c r="J684" s="69"/>
      <c r="K684" s="277"/>
      <c r="L684" s="277"/>
      <c r="M684" s="277"/>
      <c r="N684" s="277"/>
      <c r="O684" s="277"/>
      <c r="P684" s="277"/>
      <c r="Q684" s="277"/>
      <c r="R684" s="277"/>
      <c r="T684" s="277"/>
      <c r="U684" s="277"/>
      <c r="W684" s="277"/>
      <c r="Y684" s="107"/>
      <c r="Z684" s="107"/>
      <c r="AA684" s="107"/>
      <c r="AB684" s="107"/>
      <c r="AC684" s="107"/>
      <c r="AD684" s="233"/>
      <c r="AE684" s="107"/>
      <c r="AF684" s="107"/>
      <c r="AG684" s="107"/>
      <c r="AH684" s="107"/>
      <c r="AI684" s="107"/>
      <c r="AJ684" s="107"/>
      <c r="AK684" s="107"/>
      <c r="AL684" s="107"/>
      <c r="AM684" s="304"/>
      <c r="AN684" s="304"/>
      <c r="AO684" s="304"/>
      <c r="AP684" s="304"/>
      <c r="AQ684" s="304"/>
      <c r="AR684" s="304"/>
      <c r="AS684" s="304"/>
      <c r="AT684" s="304"/>
      <c r="AU684" s="304"/>
      <c r="AV684" s="304"/>
      <c r="AW684" s="304"/>
      <c r="AX684" s="304"/>
      <c r="AY684" s="304"/>
      <c r="AZ684" s="304"/>
      <c r="BA684" s="304"/>
      <c r="BB684" s="107"/>
      <c r="BC684" s="107"/>
      <c r="BD684" s="107"/>
      <c r="BE684" s="107"/>
      <c r="BF684" s="107"/>
      <c r="BG684" s="107"/>
      <c r="BH684" s="107"/>
      <c r="BI684" s="107"/>
      <c r="BJ684" s="107"/>
      <c r="BK684" s="107"/>
      <c r="BL684" s="107"/>
      <c r="BM684" s="107"/>
      <c r="BN684" s="107"/>
      <c r="BO684" s="107"/>
      <c r="BP684" s="107"/>
      <c r="BQ684" s="107"/>
      <c r="BR684" s="107"/>
    </row>
    <row r="685" customFormat="false" ht="12.75" hidden="false" customHeight="false" outlineLevel="0" collapsed="false">
      <c r="A685" s="100"/>
      <c r="B685" s="100"/>
      <c r="C685" s="100"/>
      <c r="D685" s="100"/>
      <c r="E685" s="100"/>
      <c r="F685" s="277"/>
      <c r="H685" s="277"/>
      <c r="I685" s="277"/>
      <c r="J685" s="69"/>
      <c r="K685" s="277"/>
      <c r="L685" s="277"/>
      <c r="M685" s="277"/>
      <c r="N685" s="277"/>
      <c r="O685" s="277"/>
      <c r="P685" s="277"/>
      <c r="Q685" s="277"/>
      <c r="R685" s="277"/>
      <c r="T685" s="277"/>
      <c r="U685" s="277"/>
      <c r="W685" s="277"/>
      <c r="Y685" s="107"/>
      <c r="Z685" s="107"/>
      <c r="AA685" s="107"/>
      <c r="AB685" s="107"/>
      <c r="AC685" s="107"/>
      <c r="AD685" s="233"/>
      <c r="AE685" s="107"/>
      <c r="AF685" s="107"/>
      <c r="AG685" s="107"/>
      <c r="AH685" s="107"/>
      <c r="AI685" s="107"/>
      <c r="AJ685" s="107"/>
      <c r="AK685" s="107"/>
      <c r="AL685" s="107"/>
      <c r="AM685" s="304"/>
      <c r="AN685" s="304"/>
      <c r="AO685" s="304"/>
      <c r="AP685" s="304"/>
      <c r="AQ685" s="304"/>
      <c r="AR685" s="304"/>
      <c r="AS685" s="304"/>
      <c r="AT685" s="304"/>
      <c r="AU685" s="304"/>
      <c r="AV685" s="304"/>
      <c r="AW685" s="304"/>
      <c r="AX685" s="304"/>
      <c r="AY685" s="304"/>
      <c r="AZ685" s="304"/>
      <c r="BA685" s="304"/>
      <c r="BB685" s="107"/>
      <c r="BC685" s="107"/>
      <c r="BD685" s="107"/>
      <c r="BE685" s="107"/>
      <c r="BF685" s="107"/>
      <c r="BG685" s="107"/>
      <c r="BH685" s="107"/>
      <c r="BI685" s="107"/>
      <c r="BJ685" s="107"/>
      <c r="BK685" s="107"/>
      <c r="BL685" s="107"/>
      <c r="BM685" s="107"/>
      <c r="BN685" s="107"/>
      <c r="BO685" s="107"/>
      <c r="BP685" s="107"/>
      <c r="BQ685" s="107"/>
      <c r="BR685" s="107"/>
    </row>
    <row r="686" customFormat="false" ht="12.75" hidden="false" customHeight="false" outlineLevel="0" collapsed="false">
      <c r="A686" s="100"/>
      <c r="B686" s="100"/>
      <c r="C686" s="100"/>
      <c r="D686" s="100"/>
      <c r="E686" s="100"/>
      <c r="F686" s="277"/>
      <c r="H686" s="277"/>
      <c r="I686" s="277"/>
      <c r="J686" s="69"/>
      <c r="K686" s="277"/>
      <c r="L686" s="277"/>
      <c r="M686" s="277"/>
      <c r="N686" s="277"/>
      <c r="O686" s="277"/>
      <c r="P686" s="277"/>
      <c r="Q686" s="277"/>
      <c r="R686" s="277"/>
      <c r="T686" s="277"/>
      <c r="U686" s="277"/>
      <c r="W686" s="277"/>
      <c r="Y686" s="107"/>
      <c r="Z686" s="107"/>
      <c r="AA686" s="107"/>
      <c r="AB686" s="107"/>
      <c r="AC686" s="107"/>
      <c r="AD686" s="233"/>
      <c r="AE686" s="107"/>
      <c r="AF686" s="107"/>
      <c r="AG686" s="107"/>
      <c r="AH686" s="107"/>
      <c r="AI686" s="107"/>
      <c r="AJ686" s="107"/>
      <c r="AK686" s="107"/>
      <c r="AL686" s="107"/>
      <c r="AM686" s="304"/>
      <c r="AN686" s="304"/>
      <c r="AO686" s="304"/>
      <c r="AP686" s="304"/>
      <c r="AQ686" s="304"/>
      <c r="AR686" s="304"/>
      <c r="AS686" s="304"/>
      <c r="AT686" s="304"/>
      <c r="AU686" s="304"/>
      <c r="AV686" s="304"/>
      <c r="AW686" s="304"/>
      <c r="AX686" s="304"/>
      <c r="AY686" s="304"/>
      <c r="AZ686" s="304"/>
      <c r="BA686" s="304"/>
      <c r="BB686" s="107"/>
      <c r="BC686" s="107"/>
      <c r="BD686" s="107"/>
      <c r="BE686" s="107"/>
      <c r="BF686" s="107"/>
      <c r="BG686" s="107"/>
      <c r="BH686" s="107"/>
      <c r="BI686" s="107"/>
      <c r="BJ686" s="107"/>
      <c r="BK686" s="107"/>
      <c r="BL686" s="107"/>
      <c r="BM686" s="107"/>
      <c r="BN686" s="107"/>
      <c r="BO686" s="107"/>
      <c r="BP686" s="107"/>
      <c r="BQ686" s="107"/>
      <c r="BR686" s="107"/>
    </row>
    <row r="687" customFormat="false" ht="12.75" hidden="false" customHeight="false" outlineLevel="0" collapsed="false">
      <c r="A687" s="100"/>
      <c r="B687" s="100"/>
      <c r="C687" s="100"/>
      <c r="D687" s="100"/>
      <c r="E687" s="100"/>
      <c r="F687" s="277"/>
      <c r="H687" s="277"/>
      <c r="I687" s="277"/>
      <c r="J687" s="69"/>
      <c r="K687" s="277"/>
      <c r="L687" s="277"/>
      <c r="M687" s="277"/>
      <c r="N687" s="277"/>
      <c r="O687" s="277"/>
      <c r="P687" s="277"/>
      <c r="Q687" s="277"/>
      <c r="R687" s="277"/>
      <c r="T687" s="277"/>
      <c r="U687" s="277"/>
      <c r="W687" s="277"/>
      <c r="Y687" s="107"/>
      <c r="Z687" s="107"/>
      <c r="AA687" s="107"/>
      <c r="AB687" s="107"/>
      <c r="AC687" s="107"/>
      <c r="AD687" s="233"/>
      <c r="AE687" s="107"/>
      <c r="AF687" s="107"/>
      <c r="AG687" s="107"/>
      <c r="AH687" s="107"/>
      <c r="AI687" s="107"/>
      <c r="AJ687" s="107"/>
      <c r="AK687" s="107"/>
      <c r="AL687" s="107"/>
      <c r="AM687" s="304"/>
      <c r="AN687" s="304"/>
      <c r="AO687" s="304"/>
      <c r="AP687" s="304"/>
      <c r="AQ687" s="304"/>
      <c r="AR687" s="304"/>
      <c r="AS687" s="304"/>
      <c r="AT687" s="304"/>
      <c r="AU687" s="304"/>
      <c r="AV687" s="304"/>
      <c r="AW687" s="304"/>
      <c r="AX687" s="304"/>
      <c r="AY687" s="304"/>
      <c r="AZ687" s="304"/>
      <c r="BA687" s="304"/>
      <c r="BB687" s="107"/>
      <c r="BC687" s="107"/>
      <c r="BD687" s="107"/>
      <c r="BE687" s="107"/>
      <c r="BF687" s="107"/>
      <c r="BG687" s="107"/>
      <c r="BH687" s="107"/>
      <c r="BI687" s="107"/>
      <c r="BJ687" s="107"/>
      <c r="BK687" s="107"/>
      <c r="BL687" s="107"/>
      <c r="BM687" s="107"/>
      <c r="BN687" s="107"/>
      <c r="BO687" s="107"/>
      <c r="BP687" s="107"/>
      <c r="BQ687" s="107"/>
      <c r="BR687" s="107"/>
    </row>
    <row r="688" customFormat="false" ht="12.75" hidden="false" customHeight="false" outlineLevel="0" collapsed="false">
      <c r="A688" s="100"/>
      <c r="B688" s="100"/>
      <c r="C688" s="100"/>
      <c r="D688" s="100"/>
      <c r="E688" s="100"/>
      <c r="F688" s="277"/>
      <c r="H688" s="277"/>
      <c r="I688" s="277"/>
      <c r="J688" s="69"/>
      <c r="K688" s="277"/>
      <c r="L688" s="277"/>
      <c r="M688" s="277"/>
      <c r="N688" s="277"/>
      <c r="O688" s="277"/>
      <c r="P688" s="277"/>
      <c r="Q688" s="277"/>
      <c r="R688" s="277"/>
      <c r="T688" s="277"/>
      <c r="U688" s="277"/>
      <c r="W688" s="277"/>
      <c r="Y688" s="107"/>
      <c r="Z688" s="107"/>
      <c r="AA688" s="107"/>
      <c r="AB688" s="107"/>
      <c r="AC688" s="107"/>
      <c r="AD688" s="233"/>
      <c r="AE688" s="107"/>
      <c r="AF688" s="107"/>
      <c r="AG688" s="107"/>
      <c r="AH688" s="107"/>
      <c r="AI688" s="107"/>
      <c r="AJ688" s="107"/>
      <c r="AK688" s="107"/>
      <c r="AL688" s="107"/>
      <c r="AM688" s="304"/>
      <c r="AN688" s="304"/>
      <c r="AO688" s="304"/>
      <c r="AP688" s="304"/>
      <c r="AQ688" s="304"/>
      <c r="AR688" s="304"/>
      <c r="AS688" s="304"/>
      <c r="AT688" s="304"/>
      <c r="AU688" s="304"/>
      <c r="AV688" s="304"/>
      <c r="AW688" s="304"/>
      <c r="AX688" s="304"/>
      <c r="AY688" s="304"/>
      <c r="AZ688" s="304"/>
      <c r="BA688" s="304"/>
      <c r="BB688" s="107"/>
      <c r="BC688" s="107"/>
      <c r="BD688" s="107"/>
      <c r="BE688" s="107"/>
      <c r="BF688" s="107"/>
      <c r="BG688" s="107"/>
      <c r="BH688" s="107"/>
      <c r="BI688" s="107"/>
      <c r="BJ688" s="107"/>
      <c r="BK688" s="107"/>
      <c r="BL688" s="107"/>
      <c r="BM688" s="107"/>
      <c r="BN688" s="107"/>
      <c r="BO688" s="107"/>
      <c r="BP688" s="107"/>
      <c r="BQ688" s="107"/>
      <c r="BR688" s="107"/>
    </row>
    <row r="689" customFormat="false" ht="12.75" hidden="false" customHeight="false" outlineLevel="0" collapsed="false">
      <c r="A689" s="100"/>
      <c r="B689" s="100"/>
      <c r="C689" s="100"/>
      <c r="D689" s="100"/>
      <c r="E689" s="100"/>
      <c r="F689" s="277"/>
      <c r="H689" s="277"/>
      <c r="I689" s="277"/>
      <c r="J689" s="69"/>
      <c r="K689" s="277"/>
      <c r="L689" s="277"/>
      <c r="M689" s="277"/>
      <c r="N689" s="277"/>
      <c r="O689" s="277"/>
      <c r="P689" s="277"/>
      <c r="Q689" s="277"/>
      <c r="R689" s="277"/>
      <c r="T689" s="277"/>
      <c r="U689" s="277"/>
      <c r="W689" s="277"/>
      <c r="Y689" s="107"/>
      <c r="Z689" s="107"/>
      <c r="AA689" s="107"/>
      <c r="AB689" s="107"/>
      <c r="AC689" s="107"/>
      <c r="AD689" s="233"/>
      <c r="AE689" s="107"/>
      <c r="AF689" s="107"/>
      <c r="AG689" s="107"/>
      <c r="AH689" s="107"/>
      <c r="AI689" s="107"/>
      <c r="AJ689" s="107"/>
      <c r="AK689" s="107"/>
      <c r="AL689" s="107"/>
      <c r="AM689" s="304"/>
      <c r="AN689" s="304"/>
      <c r="AO689" s="304"/>
      <c r="AP689" s="304"/>
      <c r="AQ689" s="304"/>
      <c r="AR689" s="304"/>
      <c r="AS689" s="304"/>
      <c r="AT689" s="304"/>
      <c r="AU689" s="304"/>
      <c r="AV689" s="304"/>
      <c r="AW689" s="304"/>
      <c r="AX689" s="304"/>
      <c r="AY689" s="304"/>
      <c r="AZ689" s="304"/>
      <c r="BA689" s="304"/>
      <c r="BB689" s="107"/>
      <c r="BC689" s="107"/>
      <c r="BD689" s="107"/>
      <c r="BE689" s="107"/>
      <c r="BF689" s="107"/>
      <c r="BG689" s="107"/>
      <c r="BH689" s="107"/>
      <c r="BI689" s="107"/>
      <c r="BJ689" s="107"/>
      <c r="BK689" s="107"/>
      <c r="BL689" s="107"/>
      <c r="BM689" s="107"/>
      <c r="BN689" s="107"/>
      <c r="BO689" s="107"/>
      <c r="BP689" s="107"/>
      <c r="BQ689" s="107"/>
      <c r="BR689" s="107"/>
    </row>
    <row r="690" customFormat="false" ht="12.75" hidden="false" customHeight="false" outlineLevel="0" collapsed="false">
      <c r="A690" s="100"/>
      <c r="B690" s="100"/>
      <c r="C690" s="100"/>
      <c r="D690" s="100"/>
      <c r="E690" s="100"/>
      <c r="F690" s="277"/>
      <c r="H690" s="277"/>
      <c r="I690" s="277"/>
      <c r="J690" s="69"/>
      <c r="K690" s="277"/>
      <c r="L690" s="277"/>
      <c r="M690" s="277"/>
      <c r="N690" s="277"/>
      <c r="O690" s="277"/>
      <c r="P690" s="277"/>
      <c r="Q690" s="277"/>
      <c r="R690" s="277"/>
      <c r="T690" s="277"/>
      <c r="U690" s="277"/>
      <c r="W690" s="277"/>
      <c r="Y690" s="107"/>
      <c r="Z690" s="107"/>
      <c r="AA690" s="107"/>
      <c r="AB690" s="107"/>
      <c r="AC690" s="107"/>
      <c r="AD690" s="233"/>
      <c r="AE690" s="107"/>
      <c r="AF690" s="107"/>
      <c r="AG690" s="107"/>
      <c r="AH690" s="107"/>
      <c r="AI690" s="107"/>
      <c r="AJ690" s="107"/>
      <c r="AK690" s="107"/>
      <c r="AL690" s="107"/>
      <c r="AM690" s="304"/>
      <c r="AN690" s="304"/>
      <c r="AO690" s="304"/>
      <c r="AP690" s="304"/>
      <c r="AQ690" s="304"/>
      <c r="AR690" s="304"/>
      <c r="AS690" s="304"/>
      <c r="AT690" s="304"/>
      <c r="AU690" s="304"/>
      <c r="AV690" s="304"/>
      <c r="AW690" s="304"/>
      <c r="AX690" s="304"/>
      <c r="AY690" s="304"/>
      <c r="AZ690" s="304"/>
      <c r="BA690" s="304"/>
      <c r="BB690" s="107"/>
      <c r="BC690" s="107"/>
      <c r="BD690" s="107"/>
      <c r="BE690" s="107"/>
      <c r="BF690" s="107"/>
      <c r="BG690" s="107"/>
      <c r="BH690" s="107"/>
      <c r="BI690" s="107"/>
      <c r="BJ690" s="107"/>
      <c r="BK690" s="107"/>
      <c r="BL690" s="107"/>
      <c r="BM690" s="107"/>
      <c r="BN690" s="107"/>
      <c r="BO690" s="107"/>
      <c r="BP690" s="107"/>
      <c r="BQ690" s="107"/>
      <c r="BR690" s="107"/>
    </row>
    <row r="691" customFormat="false" ht="12.75" hidden="false" customHeight="false" outlineLevel="0" collapsed="false">
      <c r="A691" s="100"/>
      <c r="B691" s="100"/>
      <c r="C691" s="100"/>
      <c r="D691" s="100"/>
      <c r="E691" s="100"/>
      <c r="F691" s="277"/>
      <c r="H691" s="277"/>
      <c r="I691" s="277"/>
      <c r="J691" s="69"/>
      <c r="K691" s="277"/>
      <c r="L691" s="277"/>
      <c r="M691" s="277"/>
      <c r="N691" s="277"/>
      <c r="O691" s="277"/>
      <c r="P691" s="277"/>
      <c r="Q691" s="277"/>
      <c r="R691" s="277"/>
      <c r="T691" s="277"/>
      <c r="U691" s="277"/>
      <c r="W691" s="277"/>
      <c r="Y691" s="107"/>
      <c r="Z691" s="107"/>
      <c r="AA691" s="107"/>
      <c r="AB691" s="107"/>
      <c r="AC691" s="107"/>
      <c r="AD691" s="233"/>
      <c r="AE691" s="107"/>
      <c r="AF691" s="107"/>
      <c r="AG691" s="107"/>
      <c r="AH691" s="107"/>
      <c r="AI691" s="107"/>
      <c r="AJ691" s="107"/>
      <c r="AK691" s="107"/>
      <c r="AL691" s="107"/>
      <c r="AM691" s="304"/>
      <c r="AN691" s="304"/>
      <c r="AO691" s="304"/>
      <c r="AP691" s="304"/>
      <c r="AQ691" s="304"/>
      <c r="AR691" s="304"/>
      <c r="AS691" s="304"/>
      <c r="AT691" s="304"/>
      <c r="AU691" s="304"/>
      <c r="AV691" s="304"/>
      <c r="AW691" s="304"/>
      <c r="AX691" s="304"/>
      <c r="AY691" s="304"/>
      <c r="AZ691" s="304"/>
      <c r="BA691" s="304"/>
      <c r="BB691" s="107"/>
      <c r="BC691" s="107"/>
      <c r="BD691" s="107"/>
      <c r="BE691" s="107"/>
      <c r="BF691" s="107"/>
      <c r="BG691" s="107"/>
      <c r="BH691" s="107"/>
      <c r="BI691" s="107"/>
      <c r="BJ691" s="107"/>
      <c r="BK691" s="107"/>
      <c r="BL691" s="107"/>
      <c r="BM691" s="107"/>
      <c r="BN691" s="107"/>
      <c r="BO691" s="107"/>
      <c r="BP691" s="107"/>
      <c r="BQ691" s="107"/>
      <c r="BR691" s="107"/>
    </row>
    <row r="692" customFormat="false" ht="12.75" hidden="false" customHeight="false" outlineLevel="0" collapsed="false">
      <c r="A692" s="100"/>
      <c r="B692" s="100"/>
      <c r="C692" s="100"/>
      <c r="D692" s="100"/>
      <c r="E692" s="100"/>
      <c r="F692" s="277"/>
      <c r="H692" s="277"/>
      <c r="I692" s="277"/>
      <c r="J692" s="69"/>
      <c r="K692" s="277"/>
      <c r="L692" s="277"/>
      <c r="M692" s="277"/>
      <c r="N692" s="277"/>
      <c r="O692" s="277"/>
      <c r="P692" s="277"/>
      <c r="Q692" s="277"/>
      <c r="R692" s="277"/>
      <c r="T692" s="277"/>
      <c r="U692" s="277"/>
      <c r="W692" s="277"/>
      <c r="Y692" s="107"/>
      <c r="Z692" s="107"/>
      <c r="AA692" s="107"/>
      <c r="AB692" s="107"/>
      <c r="AC692" s="107"/>
      <c r="AD692" s="233"/>
      <c r="AE692" s="107"/>
      <c r="AF692" s="107"/>
      <c r="AG692" s="107"/>
      <c r="AH692" s="107"/>
      <c r="AI692" s="107"/>
      <c r="AJ692" s="107"/>
      <c r="AK692" s="107"/>
      <c r="AL692" s="107"/>
      <c r="AM692" s="304"/>
      <c r="AN692" s="304"/>
      <c r="AO692" s="304"/>
      <c r="AP692" s="304"/>
      <c r="AQ692" s="304"/>
      <c r="AR692" s="304"/>
      <c r="AS692" s="304"/>
      <c r="AT692" s="304"/>
      <c r="AU692" s="304"/>
      <c r="AV692" s="304"/>
      <c r="AW692" s="304"/>
      <c r="AX692" s="304"/>
      <c r="AY692" s="304"/>
      <c r="AZ692" s="304"/>
      <c r="BA692" s="304"/>
      <c r="BB692" s="107"/>
      <c r="BC692" s="107"/>
      <c r="BD692" s="107"/>
      <c r="BE692" s="107"/>
      <c r="BF692" s="107"/>
      <c r="BG692" s="107"/>
      <c r="BH692" s="107"/>
      <c r="BI692" s="107"/>
      <c r="BJ692" s="107"/>
      <c r="BK692" s="107"/>
      <c r="BL692" s="107"/>
      <c r="BM692" s="107"/>
      <c r="BN692" s="107"/>
      <c r="BO692" s="107"/>
      <c r="BP692" s="107"/>
      <c r="BQ692" s="107"/>
      <c r="BR692" s="107"/>
    </row>
    <row r="693" customFormat="false" ht="12.75" hidden="false" customHeight="false" outlineLevel="0" collapsed="false">
      <c r="A693" s="100"/>
      <c r="B693" s="100"/>
      <c r="C693" s="100"/>
      <c r="D693" s="100"/>
      <c r="E693" s="100"/>
      <c r="F693" s="277"/>
      <c r="H693" s="277"/>
      <c r="I693" s="277"/>
      <c r="J693" s="69"/>
      <c r="K693" s="277"/>
      <c r="L693" s="277"/>
      <c r="M693" s="277"/>
      <c r="N693" s="277"/>
      <c r="O693" s="277"/>
      <c r="P693" s="277"/>
      <c r="Q693" s="277"/>
      <c r="R693" s="277"/>
      <c r="T693" s="277"/>
      <c r="U693" s="277"/>
      <c r="W693" s="277"/>
      <c r="Y693" s="107"/>
      <c r="Z693" s="107"/>
      <c r="AA693" s="107"/>
      <c r="AB693" s="107"/>
      <c r="AC693" s="107"/>
      <c r="AD693" s="233"/>
      <c r="AE693" s="107"/>
      <c r="AF693" s="107"/>
      <c r="AG693" s="107"/>
      <c r="AH693" s="107"/>
      <c r="AI693" s="107"/>
      <c r="AJ693" s="107"/>
      <c r="AK693" s="107"/>
      <c r="AL693" s="107"/>
      <c r="AM693" s="304"/>
      <c r="AN693" s="304"/>
      <c r="AO693" s="304"/>
      <c r="AP693" s="304"/>
      <c r="AQ693" s="304"/>
      <c r="AR693" s="304"/>
      <c r="AS693" s="304"/>
      <c r="AT693" s="304"/>
      <c r="AU693" s="304"/>
      <c r="AV693" s="304"/>
      <c r="AW693" s="304"/>
      <c r="AX693" s="304"/>
      <c r="AY693" s="304"/>
      <c r="AZ693" s="304"/>
      <c r="BA693" s="304"/>
      <c r="BB693" s="107"/>
      <c r="BC693" s="107"/>
      <c r="BD693" s="107"/>
      <c r="BE693" s="107"/>
      <c r="BF693" s="107"/>
      <c r="BG693" s="107"/>
      <c r="BH693" s="107"/>
      <c r="BI693" s="107"/>
      <c r="BJ693" s="107"/>
      <c r="BK693" s="107"/>
      <c r="BL693" s="107"/>
      <c r="BM693" s="107"/>
      <c r="BN693" s="107"/>
      <c r="BO693" s="107"/>
      <c r="BP693" s="107"/>
      <c r="BQ693" s="107"/>
      <c r="BR693" s="107"/>
    </row>
    <row r="694" customFormat="false" ht="12.75" hidden="false" customHeight="false" outlineLevel="0" collapsed="false">
      <c r="A694" s="100"/>
      <c r="B694" s="100"/>
      <c r="C694" s="100"/>
      <c r="D694" s="100"/>
      <c r="E694" s="100"/>
      <c r="F694" s="277"/>
      <c r="H694" s="277"/>
      <c r="I694" s="277"/>
      <c r="J694" s="69"/>
      <c r="K694" s="277"/>
      <c r="L694" s="277"/>
      <c r="M694" s="277"/>
      <c r="N694" s="277"/>
      <c r="O694" s="277"/>
      <c r="P694" s="277"/>
      <c r="Q694" s="277"/>
      <c r="R694" s="277"/>
      <c r="T694" s="277"/>
      <c r="U694" s="277"/>
      <c r="W694" s="277"/>
      <c r="Y694" s="107"/>
      <c r="Z694" s="107"/>
      <c r="AA694" s="107"/>
      <c r="AB694" s="107"/>
      <c r="AC694" s="107"/>
      <c r="AD694" s="233"/>
      <c r="AE694" s="107"/>
      <c r="AF694" s="107"/>
      <c r="AG694" s="107"/>
      <c r="AH694" s="107"/>
      <c r="AI694" s="107"/>
      <c r="AJ694" s="107"/>
      <c r="AK694" s="107"/>
      <c r="AL694" s="107"/>
      <c r="AM694" s="304"/>
      <c r="AN694" s="304"/>
      <c r="AO694" s="304"/>
      <c r="AP694" s="304"/>
      <c r="AQ694" s="304"/>
      <c r="AR694" s="304"/>
      <c r="AS694" s="304"/>
      <c r="AT694" s="304"/>
      <c r="AU694" s="304"/>
      <c r="AV694" s="304"/>
      <c r="AW694" s="304"/>
      <c r="AX694" s="304"/>
      <c r="AY694" s="304"/>
      <c r="AZ694" s="304"/>
      <c r="BA694" s="304"/>
      <c r="BB694" s="107"/>
      <c r="BC694" s="107"/>
      <c r="BD694" s="107"/>
      <c r="BE694" s="107"/>
      <c r="BF694" s="107"/>
      <c r="BG694" s="107"/>
      <c r="BH694" s="107"/>
      <c r="BI694" s="107"/>
      <c r="BJ694" s="107"/>
      <c r="BK694" s="107"/>
      <c r="BL694" s="107"/>
      <c r="BM694" s="107"/>
      <c r="BN694" s="107"/>
      <c r="BO694" s="107"/>
      <c r="BP694" s="107"/>
      <c r="BQ694" s="107"/>
      <c r="BR694" s="107"/>
    </row>
    <row r="695" customFormat="false" ht="12.75" hidden="false" customHeight="false" outlineLevel="0" collapsed="false">
      <c r="A695" s="100"/>
      <c r="B695" s="100"/>
      <c r="C695" s="100"/>
      <c r="D695" s="100"/>
      <c r="E695" s="100"/>
      <c r="F695" s="277"/>
      <c r="H695" s="277"/>
      <c r="I695" s="277"/>
      <c r="J695" s="69"/>
      <c r="K695" s="277"/>
      <c r="L695" s="277"/>
      <c r="M695" s="277"/>
      <c r="N695" s="277"/>
      <c r="O695" s="277"/>
      <c r="P695" s="277"/>
      <c r="Q695" s="277"/>
      <c r="R695" s="277"/>
      <c r="T695" s="277"/>
      <c r="U695" s="277"/>
      <c r="W695" s="277"/>
      <c r="Y695" s="107"/>
      <c r="Z695" s="107"/>
      <c r="AA695" s="107"/>
      <c r="AB695" s="107"/>
      <c r="AC695" s="107"/>
      <c r="AD695" s="233"/>
      <c r="AE695" s="107"/>
      <c r="AF695" s="107"/>
      <c r="AG695" s="107"/>
      <c r="AH695" s="107"/>
      <c r="AI695" s="107"/>
      <c r="AJ695" s="107"/>
      <c r="AK695" s="107"/>
      <c r="AL695" s="107"/>
      <c r="AM695" s="304"/>
      <c r="AN695" s="304"/>
      <c r="AO695" s="304"/>
      <c r="AP695" s="304"/>
      <c r="AQ695" s="304"/>
      <c r="AR695" s="304"/>
      <c r="AS695" s="304"/>
      <c r="AT695" s="304"/>
      <c r="AU695" s="304"/>
      <c r="AV695" s="304"/>
      <c r="AW695" s="304"/>
      <c r="AX695" s="304"/>
      <c r="AY695" s="304"/>
      <c r="AZ695" s="304"/>
      <c r="BA695" s="304"/>
      <c r="BB695" s="107"/>
      <c r="BC695" s="107"/>
      <c r="BD695" s="107"/>
      <c r="BE695" s="107"/>
      <c r="BF695" s="107"/>
      <c r="BG695" s="107"/>
      <c r="BH695" s="107"/>
      <c r="BI695" s="107"/>
      <c r="BJ695" s="107"/>
      <c r="BK695" s="107"/>
      <c r="BL695" s="107"/>
      <c r="BM695" s="107"/>
      <c r="BN695" s="107"/>
      <c r="BO695" s="107"/>
      <c r="BP695" s="107"/>
      <c r="BQ695" s="107"/>
      <c r="BR695" s="107"/>
    </row>
    <row r="696" customFormat="false" ht="12.75" hidden="false" customHeight="false" outlineLevel="0" collapsed="false">
      <c r="A696" s="100"/>
      <c r="B696" s="100"/>
      <c r="C696" s="100"/>
      <c r="D696" s="100"/>
      <c r="E696" s="100"/>
      <c r="F696" s="277"/>
      <c r="H696" s="277"/>
      <c r="I696" s="277"/>
      <c r="J696" s="69"/>
      <c r="K696" s="277"/>
      <c r="L696" s="277"/>
      <c r="M696" s="277"/>
      <c r="N696" s="277"/>
      <c r="O696" s="277"/>
      <c r="P696" s="277"/>
      <c r="Q696" s="277"/>
      <c r="R696" s="277"/>
      <c r="T696" s="277"/>
      <c r="U696" s="277"/>
      <c r="W696" s="277"/>
      <c r="Y696" s="107"/>
      <c r="Z696" s="107"/>
      <c r="AA696" s="107"/>
      <c r="AB696" s="107"/>
      <c r="AC696" s="107"/>
      <c r="AD696" s="233"/>
      <c r="AE696" s="107"/>
      <c r="AF696" s="107"/>
      <c r="AG696" s="107"/>
      <c r="AH696" s="107"/>
      <c r="AI696" s="107"/>
      <c r="AJ696" s="107"/>
      <c r="AK696" s="107"/>
      <c r="AL696" s="107"/>
      <c r="AM696" s="304"/>
      <c r="AN696" s="304"/>
      <c r="AO696" s="304"/>
      <c r="AP696" s="304"/>
      <c r="AQ696" s="304"/>
      <c r="AR696" s="304"/>
      <c r="AS696" s="304"/>
      <c r="AT696" s="304"/>
      <c r="AU696" s="304"/>
      <c r="AV696" s="304"/>
      <c r="AW696" s="304"/>
      <c r="AX696" s="304"/>
      <c r="AY696" s="304"/>
      <c r="AZ696" s="304"/>
      <c r="BA696" s="304"/>
      <c r="BB696" s="107"/>
      <c r="BC696" s="107"/>
      <c r="BD696" s="107"/>
      <c r="BE696" s="107"/>
      <c r="BF696" s="107"/>
      <c r="BG696" s="107"/>
      <c r="BH696" s="107"/>
      <c r="BI696" s="107"/>
      <c r="BJ696" s="107"/>
      <c r="BK696" s="107"/>
      <c r="BL696" s="107"/>
      <c r="BM696" s="107"/>
      <c r="BN696" s="107"/>
      <c r="BO696" s="107"/>
      <c r="BP696" s="107"/>
      <c r="BQ696" s="107"/>
      <c r="BR696" s="107"/>
    </row>
    <row r="697" customFormat="false" ht="12.75" hidden="false" customHeight="false" outlineLevel="0" collapsed="false">
      <c r="A697" s="100"/>
      <c r="B697" s="100"/>
      <c r="C697" s="100"/>
      <c r="D697" s="100"/>
      <c r="E697" s="100"/>
      <c r="F697" s="277"/>
      <c r="H697" s="277"/>
      <c r="I697" s="277"/>
      <c r="J697" s="69"/>
      <c r="K697" s="277"/>
      <c r="L697" s="277"/>
      <c r="M697" s="277"/>
      <c r="N697" s="277"/>
      <c r="O697" s="277"/>
      <c r="P697" s="277"/>
      <c r="Q697" s="277"/>
      <c r="R697" s="277"/>
      <c r="T697" s="277"/>
      <c r="U697" s="277"/>
      <c r="W697" s="277"/>
      <c r="Y697" s="107"/>
      <c r="Z697" s="107"/>
      <c r="AA697" s="107"/>
      <c r="AB697" s="107"/>
      <c r="AC697" s="107"/>
      <c r="AD697" s="233"/>
      <c r="AE697" s="107"/>
      <c r="AF697" s="107"/>
      <c r="AG697" s="107"/>
      <c r="AH697" s="107"/>
      <c r="AI697" s="107"/>
      <c r="AJ697" s="107"/>
      <c r="AK697" s="107"/>
      <c r="AL697" s="107"/>
      <c r="AM697" s="304"/>
      <c r="AN697" s="304"/>
      <c r="AO697" s="304"/>
      <c r="AP697" s="304"/>
      <c r="AQ697" s="304"/>
      <c r="AR697" s="304"/>
      <c r="AS697" s="304"/>
      <c r="AT697" s="304"/>
      <c r="AU697" s="304"/>
      <c r="AV697" s="304"/>
      <c r="AW697" s="304"/>
      <c r="AX697" s="304"/>
      <c r="AY697" s="304"/>
      <c r="AZ697" s="304"/>
      <c r="BA697" s="304"/>
      <c r="BB697" s="107"/>
      <c r="BC697" s="107"/>
      <c r="BD697" s="107"/>
      <c r="BE697" s="107"/>
      <c r="BF697" s="107"/>
      <c r="BG697" s="107"/>
      <c r="BH697" s="107"/>
      <c r="BI697" s="107"/>
      <c r="BJ697" s="107"/>
      <c r="BK697" s="107"/>
      <c r="BL697" s="107"/>
      <c r="BM697" s="107"/>
      <c r="BN697" s="107"/>
      <c r="BO697" s="107"/>
      <c r="BP697" s="107"/>
      <c r="BQ697" s="107"/>
      <c r="BR697" s="107"/>
    </row>
    <row r="698" customFormat="false" ht="12.75" hidden="false" customHeight="false" outlineLevel="0" collapsed="false">
      <c r="A698" s="100"/>
      <c r="B698" s="100"/>
      <c r="C698" s="100"/>
      <c r="D698" s="100"/>
      <c r="E698" s="100"/>
      <c r="F698" s="277"/>
      <c r="H698" s="277"/>
      <c r="I698" s="277"/>
      <c r="J698" s="69"/>
      <c r="K698" s="277"/>
      <c r="L698" s="277"/>
      <c r="M698" s="277"/>
      <c r="N698" s="277"/>
      <c r="O698" s="277"/>
      <c r="P698" s="277"/>
      <c r="Q698" s="277"/>
      <c r="R698" s="277"/>
      <c r="T698" s="277"/>
      <c r="U698" s="277"/>
      <c r="W698" s="277"/>
      <c r="Y698" s="107"/>
      <c r="Z698" s="107"/>
      <c r="AA698" s="107"/>
      <c r="AB698" s="107"/>
      <c r="AC698" s="107"/>
      <c r="AD698" s="233"/>
      <c r="AE698" s="107"/>
      <c r="AF698" s="107"/>
      <c r="AG698" s="107"/>
      <c r="AH698" s="107"/>
      <c r="AI698" s="107"/>
      <c r="AJ698" s="107"/>
      <c r="AK698" s="107"/>
      <c r="AL698" s="107"/>
      <c r="AM698" s="304"/>
      <c r="AN698" s="304"/>
      <c r="AO698" s="304"/>
      <c r="AP698" s="304"/>
      <c r="AQ698" s="304"/>
      <c r="AR698" s="304"/>
      <c r="AS698" s="304"/>
      <c r="AT698" s="304"/>
      <c r="AU698" s="304"/>
      <c r="AV698" s="304"/>
      <c r="AW698" s="304"/>
      <c r="AX698" s="304"/>
      <c r="AY698" s="304"/>
      <c r="AZ698" s="304"/>
      <c r="BA698" s="304"/>
      <c r="BB698" s="107"/>
      <c r="BC698" s="107"/>
      <c r="BD698" s="107"/>
      <c r="BE698" s="107"/>
      <c r="BF698" s="107"/>
      <c r="BG698" s="107"/>
      <c r="BH698" s="107"/>
      <c r="BI698" s="107"/>
      <c r="BJ698" s="107"/>
      <c r="BK698" s="107"/>
      <c r="BL698" s="107"/>
      <c r="BM698" s="107"/>
      <c r="BN698" s="107"/>
      <c r="BO698" s="107"/>
      <c r="BP698" s="107"/>
      <c r="BQ698" s="107"/>
      <c r="BR698" s="107"/>
    </row>
    <row r="699" customFormat="false" ht="12.75" hidden="false" customHeight="false" outlineLevel="0" collapsed="false">
      <c r="A699" s="100"/>
      <c r="B699" s="100"/>
      <c r="C699" s="100"/>
      <c r="D699" s="100"/>
      <c r="E699" s="100"/>
      <c r="F699" s="277"/>
      <c r="H699" s="277"/>
      <c r="I699" s="277"/>
      <c r="J699" s="69"/>
      <c r="K699" s="277"/>
      <c r="L699" s="277"/>
      <c r="M699" s="277"/>
      <c r="N699" s="277"/>
      <c r="O699" s="277"/>
      <c r="P699" s="277"/>
      <c r="Q699" s="277"/>
      <c r="R699" s="277"/>
      <c r="T699" s="277"/>
      <c r="U699" s="277"/>
      <c r="W699" s="277"/>
      <c r="Y699" s="107"/>
      <c r="Z699" s="107"/>
      <c r="AA699" s="107"/>
      <c r="AB699" s="107"/>
      <c r="AC699" s="107"/>
      <c r="AD699" s="233"/>
      <c r="AE699" s="107"/>
      <c r="AF699" s="107"/>
      <c r="AG699" s="107"/>
      <c r="AH699" s="107"/>
      <c r="AI699" s="107"/>
      <c r="AJ699" s="107"/>
      <c r="AK699" s="107"/>
      <c r="AL699" s="107"/>
      <c r="AM699" s="304"/>
      <c r="AN699" s="304"/>
      <c r="AO699" s="304"/>
      <c r="AP699" s="304"/>
      <c r="AQ699" s="304"/>
      <c r="AR699" s="304"/>
      <c r="AS699" s="304"/>
      <c r="AT699" s="304"/>
      <c r="AU699" s="304"/>
      <c r="AV699" s="304"/>
      <c r="AW699" s="304"/>
      <c r="AX699" s="304"/>
      <c r="AY699" s="304"/>
      <c r="AZ699" s="304"/>
      <c r="BA699" s="304"/>
      <c r="BB699" s="107"/>
      <c r="BC699" s="107"/>
      <c r="BD699" s="107"/>
      <c r="BE699" s="107"/>
      <c r="BF699" s="107"/>
      <c r="BG699" s="107"/>
      <c r="BH699" s="107"/>
      <c r="BI699" s="107"/>
      <c r="BJ699" s="107"/>
      <c r="BK699" s="107"/>
      <c r="BL699" s="107"/>
      <c r="BM699" s="107"/>
      <c r="BN699" s="107"/>
      <c r="BO699" s="107"/>
      <c r="BP699" s="107"/>
      <c r="BQ699" s="107"/>
      <c r="BR699" s="107"/>
    </row>
    <row r="700" customFormat="false" ht="12.75" hidden="false" customHeight="false" outlineLevel="0" collapsed="false">
      <c r="A700" s="100"/>
      <c r="B700" s="100"/>
      <c r="C700" s="100"/>
      <c r="D700" s="100"/>
      <c r="E700" s="100"/>
      <c r="F700" s="277"/>
      <c r="H700" s="277"/>
      <c r="I700" s="277"/>
      <c r="J700" s="69"/>
      <c r="K700" s="277"/>
      <c r="L700" s="277"/>
      <c r="M700" s="277"/>
      <c r="N700" s="277"/>
      <c r="O700" s="277"/>
      <c r="P700" s="277"/>
      <c r="Q700" s="277"/>
      <c r="R700" s="277"/>
      <c r="T700" s="277"/>
      <c r="U700" s="277"/>
      <c r="W700" s="277"/>
      <c r="Y700" s="107"/>
      <c r="Z700" s="107"/>
      <c r="AA700" s="107"/>
      <c r="AB700" s="107"/>
      <c r="AC700" s="107"/>
      <c r="AD700" s="233"/>
      <c r="AE700" s="107"/>
      <c r="AF700" s="107"/>
      <c r="AG700" s="107"/>
      <c r="AH700" s="107"/>
      <c r="AI700" s="107"/>
      <c r="AJ700" s="107"/>
      <c r="AK700" s="107"/>
      <c r="AL700" s="107"/>
      <c r="AM700" s="304"/>
      <c r="AN700" s="304"/>
      <c r="AO700" s="304"/>
      <c r="AP700" s="304"/>
      <c r="AQ700" s="304"/>
      <c r="AR700" s="304"/>
      <c r="AS700" s="304"/>
      <c r="AT700" s="304"/>
      <c r="AU700" s="304"/>
      <c r="AV700" s="304"/>
      <c r="AW700" s="304"/>
      <c r="AX700" s="304"/>
      <c r="AY700" s="304"/>
      <c r="AZ700" s="304"/>
      <c r="BA700" s="304"/>
      <c r="BB700" s="107"/>
      <c r="BC700" s="107"/>
      <c r="BD700" s="107"/>
      <c r="BE700" s="107"/>
      <c r="BF700" s="107"/>
      <c r="BG700" s="107"/>
      <c r="BH700" s="107"/>
      <c r="BI700" s="107"/>
      <c r="BJ700" s="107"/>
      <c r="BK700" s="107"/>
      <c r="BL700" s="107"/>
      <c r="BM700" s="107"/>
      <c r="BN700" s="107"/>
      <c r="BO700" s="107"/>
      <c r="BP700" s="107"/>
      <c r="BQ700" s="107"/>
      <c r="BR700" s="107"/>
    </row>
    <row r="701" customFormat="false" ht="12.75" hidden="false" customHeight="false" outlineLevel="0" collapsed="false">
      <c r="A701" s="100"/>
      <c r="B701" s="100"/>
      <c r="C701" s="100"/>
      <c r="D701" s="100"/>
      <c r="E701" s="100"/>
      <c r="F701" s="277"/>
      <c r="H701" s="277"/>
      <c r="I701" s="277"/>
      <c r="J701" s="69"/>
      <c r="K701" s="277"/>
      <c r="L701" s="277"/>
      <c r="M701" s="277"/>
      <c r="N701" s="277"/>
      <c r="O701" s="277"/>
      <c r="P701" s="277"/>
      <c r="Q701" s="277"/>
      <c r="R701" s="277"/>
      <c r="T701" s="277"/>
      <c r="U701" s="277"/>
      <c r="W701" s="277"/>
      <c r="Y701" s="107"/>
      <c r="Z701" s="107"/>
      <c r="AA701" s="107"/>
      <c r="AB701" s="107"/>
      <c r="AC701" s="107"/>
      <c r="AD701" s="233"/>
      <c r="AE701" s="107"/>
      <c r="AF701" s="107"/>
      <c r="AG701" s="107"/>
      <c r="AH701" s="107"/>
      <c r="AI701" s="107"/>
      <c r="AJ701" s="107"/>
      <c r="AK701" s="107"/>
      <c r="AL701" s="107"/>
      <c r="AM701" s="304"/>
      <c r="AN701" s="304"/>
      <c r="AO701" s="304"/>
      <c r="AP701" s="304"/>
      <c r="AQ701" s="304"/>
      <c r="AR701" s="304"/>
      <c r="AS701" s="304"/>
      <c r="AT701" s="304"/>
      <c r="AU701" s="304"/>
      <c r="AV701" s="304"/>
      <c r="AW701" s="304"/>
      <c r="AX701" s="304"/>
      <c r="AY701" s="304"/>
      <c r="AZ701" s="304"/>
      <c r="BA701" s="304"/>
      <c r="BB701" s="107"/>
      <c r="BC701" s="107"/>
      <c r="BD701" s="107"/>
      <c r="BE701" s="107"/>
      <c r="BF701" s="107"/>
      <c r="BG701" s="107"/>
      <c r="BH701" s="107"/>
      <c r="BI701" s="107"/>
      <c r="BJ701" s="107"/>
      <c r="BK701" s="107"/>
      <c r="BL701" s="107"/>
      <c r="BM701" s="107"/>
      <c r="BN701" s="107"/>
      <c r="BO701" s="107"/>
      <c r="BP701" s="107"/>
      <c r="BQ701" s="107"/>
      <c r="BR701" s="107"/>
    </row>
    <row r="702" customFormat="false" ht="12.75" hidden="false" customHeight="false" outlineLevel="0" collapsed="false">
      <c r="A702" s="100"/>
      <c r="B702" s="100"/>
      <c r="C702" s="100"/>
      <c r="D702" s="100"/>
      <c r="E702" s="100"/>
      <c r="F702" s="277"/>
      <c r="H702" s="277"/>
      <c r="I702" s="277"/>
      <c r="J702" s="69"/>
      <c r="K702" s="277"/>
      <c r="L702" s="277"/>
      <c r="M702" s="277"/>
      <c r="N702" s="277"/>
      <c r="O702" s="277"/>
      <c r="P702" s="277"/>
      <c r="Q702" s="277"/>
      <c r="R702" s="277"/>
      <c r="T702" s="277"/>
      <c r="U702" s="277"/>
      <c r="W702" s="277"/>
      <c r="Y702" s="107"/>
      <c r="Z702" s="107"/>
      <c r="AA702" s="107"/>
      <c r="AB702" s="107"/>
      <c r="AC702" s="107"/>
      <c r="AD702" s="233"/>
      <c r="AE702" s="107"/>
      <c r="AF702" s="107"/>
      <c r="AG702" s="107"/>
      <c r="AH702" s="107"/>
      <c r="AI702" s="107"/>
      <c r="AJ702" s="107"/>
      <c r="AK702" s="107"/>
      <c r="AL702" s="107"/>
      <c r="AM702" s="304"/>
      <c r="AN702" s="304"/>
      <c r="AO702" s="304"/>
      <c r="AP702" s="304"/>
      <c r="AQ702" s="304"/>
      <c r="AR702" s="304"/>
      <c r="AS702" s="304"/>
      <c r="AT702" s="304"/>
      <c r="AU702" s="304"/>
      <c r="AV702" s="304"/>
      <c r="AW702" s="304"/>
      <c r="AX702" s="304"/>
      <c r="AY702" s="304"/>
      <c r="AZ702" s="304"/>
      <c r="BA702" s="304"/>
      <c r="BB702" s="107"/>
      <c r="BC702" s="107"/>
      <c r="BD702" s="107"/>
      <c r="BE702" s="107"/>
      <c r="BF702" s="107"/>
      <c r="BG702" s="107"/>
      <c r="BH702" s="107"/>
      <c r="BI702" s="107"/>
      <c r="BJ702" s="107"/>
      <c r="BK702" s="107"/>
      <c r="BL702" s="107"/>
      <c r="BM702" s="107"/>
      <c r="BN702" s="107"/>
      <c r="BO702" s="107"/>
      <c r="BP702" s="107"/>
      <c r="BQ702" s="107"/>
      <c r="BR702" s="107"/>
    </row>
    <row r="703" customFormat="false" ht="12.75" hidden="false" customHeight="false" outlineLevel="0" collapsed="false">
      <c r="A703" s="100"/>
      <c r="B703" s="100"/>
      <c r="C703" s="100"/>
      <c r="D703" s="100"/>
      <c r="E703" s="100"/>
      <c r="F703" s="277"/>
      <c r="H703" s="277"/>
      <c r="I703" s="277"/>
      <c r="J703" s="69"/>
      <c r="K703" s="277"/>
      <c r="L703" s="277"/>
      <c r="M703" s="277"/>
      <c r="N703" s="277"/>
      <c r="O703" s="277"/>
      <c r="P703" s="277"/>
      <c r="Q703" s="277"/>
      <c r="R703" s="277"/>
      <c r="T703" s="277"/>
      <c r="U703" s="277"/>
      <c r="W703" s="277"/>
      <c r="Y703" s="107"/>
      <c r="Z703" s="107"/>
      <c r="AA703" s="107"/>
      <c r="AB703" s="107"/>
      <c r="AC703" s="107"/>
      <c r="AD703" s="233"/>
      <c r="AE703" s="107"/>
      <c r="AF703" s="107"/>
      <c r="AG703" s="107"/>
      <c r="AH703" s="107"/>
      <c r="AI703" s="107"/>
      <c r="AJ703" s="107"/>
      <c r="AK703" s="107"/>
      <c r="AL703" s="107"/>
      <c r="AM703" s="304"/>
      <c r="AN703" s="304"/>
      <c r="AO703" s="304"/>
      <c r="AP703" s="304"/>
      <c r="AQ703" s="304"/>
      <c r="AR703" s="304"/>
      <c r="AS703" s="304"/>
      <c r="AT703" s="304"/>
      <c r="AU703" s="304"/>
      <c r="AV703" s="304"/>
      <c r="AW703" s="304"/>
      <c r="AX703" s="304"/>
      <c r="AY703" s="304"/>
      <c r="AZ703" s="304"/>
      <c r="BA703" s="304"/>
      <c r="BB703" s="107"/>
      <c r="BC703" s="107"/>
      <c r="BD703" s="107"/>
      <c r="BE703" s="107"/>
      <c r="BF703" s="107"/>
      <c r="BG703" s="107"/>
      <c r="BH703" s="107"/>
      <c r="BI703" s="107"/>
      <c r="BJ703" s="107"/>
      <c r="BK703" s="107"/>
      <c r="BL703" s="107"/>
      <c r="BM703" s="107"/>
      <c r="BN703" s="107"/>
      <c r="BO703" s="107"/>
      <c r="BP703" s="107"/>
      <c r="BQ703" s="107"/>
      <c r="BR703" s="107"/>
    </row>
    <row r="704" customFormat="false" ht="12.75" hidden="false" customHeight="false" outlineLevel="0" collapsed="false">
      <c r="A704" s="100"/>
      <c r="B704" s="100"/>
      <c r="C704" s="100"/>
      <c r="D704" s="100"/>
      <c r="E704" s="100"/>
      <c r="F704" s="277"/>
      <c r="H704" s="277"/>
      <c r="I704" s="277"/>
      <c r="J704" s="69"/>
      <c r="K704" s="277"/>
      <c r="L704" s="277"/>
      <c r="M704" s="277"/>
      <c r="N704" s="277"/>
      <c r="O704" s="277"/>
      <c r="P704" s="277"/>
      <c r="Q704" s="277"/>
      <c r="R704" s="277"/>
      <c r="T704" s="277"/>
      <c r="U704" s="277"/>
      <c r="W704" s="277"/>
      <c r="Y704" s="107"/>
      <c r="Z704" s="107"/>
      <c r="AA704" s="107"/>
      <c r="AB704" s="107"/>
      <c r="AC704" s="107"/>
      <c r="AD704" s="233"/>
      <c r="AE704" s="107"/>
      <c r="AF704" s="107"/>
      <c r="AG704" s="107"/>
      <c r="AH704" s="107"/>
      <c r="AI704" s="107"/>
      <c r="AJ704" s="107"/>
      <c r="AK704" s="107"/>
      <c r="AL704" s="107"/>
      <c r="AM704" s="304"/>
      <c r="AN704" s="304"/>
      <c r="AO704" s="304"/>
      <c r="AP704" s="304"/>
      <c r="AQ704" s="304"/>
      <c r="AR704" s="304"/>
      <c r="AS704" s="304"/>
      <c r="AT704" s="304"/>
      <c r="AU704" s="304"/>
      <c r="AV704" s="304"/>
      <c r="AW704" s="304"/>
      <c r="AX704" s="304"/>
      <c r="AY704" s="304"/>
      <c r="AZ704" s="304"/>
      <c r="BA704" s="304"/>
      <c r="BB704" s="107"/>
      <c r="BC704" s="107"/>
      <c r="BD704" s="107"/>
      <c r="BE704" s="107"/>
      <c r="BF704" s="107"/>
      <c r="BG704" s="107"/>
      <c r="BH704" s="107"/>
      <c r="BI704" s="107"/>
      <c r="BJ704" s="107"/>
      <c r="BK704" s="107"/>
      <c r="BL704" s="107"/>
      <c r="BM704" s="107"/>
      <c r="BN704" s="107"/>
      <c r="BO704" s="107"/>
      <c r="BP704" s="107"/>
      <c r="BQ704" s="107"/>
      <c r="BR704" s="107"/>
    </row>
    <row r="705" customFormat="false" ht="12.75" hidden="false" customHeight="false" outlineLevel="0" collapsed="false">
      <c r="A705" s="100"/>
      <c r="B705" s="100"/>
      <c r="C705" s="100"/>
      <c r="D705" s="100"/>
      <c r="E705" s="100"/>
      <c r="F705" s="277"/>
      <c r="H705" s="277"/>
      <c r="I705" s="277"/>
      <c r="J705" s="69"/>
      <c r="K705" s="277"/>
      <c r="L705" s="277"/>
      <c r="M705" s="277"/>
      <c r="N705" s="277"/>
      <c r="O705" s="277"/>
      <c r="P705" s="277"/>
      <c r="Q705" s="277"/>
      <c r="R705" s="277"/>
      <c r="T705" s="277"/>
      <c r="U705" s="277"/>
      <c r="W705" s="277"/>
      <c r="Y705" s="107"/>
      <c r="Z705" s="107"/>
      <c r="AA705" s="107"/>
      <c r="AB705" s="107"/>
      <c r="AC705" s="107"/>
      <c r="AD705" s="233"/>
      <c r="AE705" s="107"/>
      <c r="AF705" s="107"/>
      <c r="AG705" s="107"/>
      <c r="AH705" s="107"/>
      <c r="AI705" s="107"/>
      <c r="AJ705" s="107"/>
      <c r="AK705" s="107"/>
      <c r="AL705" s="107"/>
      <c r="AM705" s="304"/>
      <c r="AN705" s="304"/>
      <c r="AO705" s="304"/>
      <c r="AP705" s="304"/>
      <c r="AQ705" s="304"/>
      <c r="AR705" s="304"/>
      <c r="AS705" s="304"/>
      <c r="AT705" s="304"/>
      <c r="AU705" s="304"/>
      <c r="AV705" s="304"/>
      <c r="AW705" s="304"/>
      <c r="AX705" s="304"/>
      <c r="AY705" s="304"/>
      <c r="AZ705" s="304"/>
      <c r="BA705" s="304"/>
      <c r="BB705" s="107"/>
      <c r="BC705" s="107"/>
      <c r="BD705" s="107"/>
      <c r="BE705" s="107"/>
      <c r="BF705" s="107"/>
      <c r="BG705" s="107"/>
      <c r="BH705" s="107"/>
      <c r="BI705" s="107"/>
      <c r="BJ705" s="107"/>
      <c r="BK705" s="107"/>
      <c r="BL705" s="107"/>
      <c r="BM705" s="107"/>
      <c r="BN705" s="107"/>
      <c r="BO705" s="107"/>
      <c r="BP705" s="107"/>
      <c r="BQ705" s="107"/>
      <c r="BR705" s="107"/>
    </row>
    <row r="706" customFormat="false" ht="12.75" hidden="false" customHeight="false" outlineLevel="0" collapsed="false">
      <c r="A706" s="100"/>
      <c r="B706" s="100"/>
      <c r="C706" s="100"/>
      <c r="D706" s="100"/>
      <c r="E706" s="100"/>
      <c r="F706" s="277"/>
      <c r="H706" s="277"/>
      <c r="I706" s="277"/>
      <c r="J706" s="69"/>
      <c r="K706" s="277"/>
      <c r="L706" s="277"/>
      <c r="M706" s="277"/>
      <c r="N706" s="277"/>
      <c r="O706" s="277"/>
      <c r="P706" s="277"/>
      <c r="Q706" s="277"/>
      <c r="R706" s="277"/>
      <c r="T706" s="277"/>
      <c r="U706" s="277"/>
      <c r="W706" s="277"/>
      <c r="Y706" s="107"/>
      <c r="Z706" s="107"/>
      <c r="AA706" s="107"/>
      <c r="AB706" s="107"/>
      <c r="AC706" s="107"/>
      <c r="AD706" s="233"/>
      <c r="AE706" s="107"/>
      <c r="AF706" s="107"/>
      <c r="AG706" s="107"/>
      <c r="AH706" s="107"/>
      <c r="AI706" s="107"/>
      <c r="AJ706" s="107"/>
      <c r="AK706" s="107"/>
      <c r="AL706" s="107"/>
      <c r="AM706" s="304"/>
      <c r="AN706" s="304"/>
      <c r="AO706" s="304"/>
      <c r="AP706" s="304"/>
      <c r="AQ706" s="304"/>
      <c r="AR706" s="304"/>
      <c r="AS706" s="304"/>
      <c r="AT706" s="304"/>
      <c r="AU706" s="304"/>
      <c r="AV706" s="304"/>
      <c r="AW706" s="304"/>
      <c r="AX706" s="304"/>
      <c r="AY706" s="304"/>
      <c r="AZ706" s="304"/>
      <c r="BA706" s="304"/>
      <c r="BB706" s="107"/>
      <c r="BC706" s="107"/>
      <c r="BD706" s="107"/>
      <c r="BE706" s="107"/>
      <c r="BF706" s="107"/>
      <c r="BG706" s="107"/>
      <c r="BH706" s="107"/>
      <c r="BI706" s="107"/>
      <c r="BJ706" s="107"/>
      <c r="BK706" s="107"/>
      <c r="BL706" s="107"/>
      <c r="BM706" s="107"/>
      <c r="BN706" s="107"/>
      <c r="BO706" s="107"/>
      <c r="BP706" s="107"/>
      <c r="BQ706" s="107"/>
      <c r="BR706" s="107"/>
    </row>
    <row r="707" customFormat="false" ht="12.75" hidden="false" customHeight="false" outlineLevel="0" collapsed="false">
      <c r="A707" s="100"/>
      <c r="B707" s="100"/>
      <c r="C707" s="100"/>
      <c r="D707" s="100"/>
      <c r="E707" s="100"/>
      <c r="F707" s="277"/>
      <c r="H707" s="277"/>
      <c r="I707" s="277"/>
      <c r="J707" s="69"/>
      <c r="K707" s="277"/>
      <c r="L707" s="277"/>
      <c r="M707" s="277"/>
      <c r="N707" s="277"/>
      <c r="O707" s="277"/>
      <c r="P707" s="277"/>
      <c r="Q707" s="277"/>
      <c r="R707" s="277"/>
      <c r="T707" s="277"/>
      <c r="U707" s="277"/>
      <c r="W707" s="277"/>
      <c r="Y707" s="107"/>
      <c r="Z707" s="107"/>
      <c r="AA707" s="107"/>
      <c r="AB707" s="107"/>
      <c r="AC707" s="107"/>
      <c r="AD707" s="233"/>
      <c r="AE707" s="107"/>
      <c r="AF707" s="107"/>
      <c r="AG707" s="107"/>
      <c r="AH707" s="107"/>
      <c r="AI707" s="107"/>
      <c r="AJ707" s="107"/>
      <c r="AK707" s="107"/>
      <c r="AL707" s="107"/>
      <c r="AM707" s="304"/>
      <c r="AN707" s="304"/>
      <c r="AO707" s="304"/>
      <c r="AP707" s="304"/>
      <c r="AQ707" s="304"/>
      <c r="AR707" s="304"/>
      <c r="AS707" s="304"/>
      <c r="AT707" s="304"/>
      <c r="AU707" s="304"/>
      <c r="AV707" s="304"/>
      <c r="AW707" s="304"/>
      <c r="AX707" s="304"/>
      <c r="AY707" s="304"/>
      <c r="AZ707" s="304"/>
      <c r="BA707" s="304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7"/>
      <c r="BM707" s="107"/>
      <c r="BN707" s="107"/>
      <c r="BO707" s="107"/>
      <c r="BP707" s="107"/>
      <c r="BQ707" s="107"/>
      <c r="BR707" s="107"/>
    </row>
    <row r="708" customFormat="false" ht="12.75" hidden="false" customHeight="false" outlineLevel="0" collapsed="false">
      <c r="A708" s="100"/>
      <c r="B708" s="100"/>
      <c r="C708" s="100"/>
      <c r="D708" s="100"/>
      <c r="E708" s="100"/>
      <c r="F708" s="277"/>
      <c r="H708" s="277"/>
      <c r="I708" s="277"/>
      <c r="J708" s="69"/>
      <c r="K708" s="277"/>
      <c r="L708" s="277"/>
      <c r="M708" s="277"/>
      <c r="N708" s="277"/>
      <c r="O708" s="277"/>
      <c r="P708" s="277"/>
      <c r="Q708" s="277"/>
      <c r="R708" s="277"/>
      <c r="T708" s="277"/>
      <c r="U708" s="277"/>
      <c r="W708" s="277"/>
      <c r="Y708" s="107"/>
      <c r="Z708" s="107"/>
      <c r="AA708" s="107"/>
      <c r="AB708" s="107"/>
      <c r="AC708" s="107"/>
      <c r="AD708" s="233"/>
      <c r="AE708" s="107"/>
      <c r="AF708" s="107"/>
      <c r="AG708" s="107"/>
      <c r="AH708" s="107"/>
      <c r="AI708" s="107"/>
      <c r="AJ708" s="107"/>
      <c r="AK708" s="107"/>
      <c r="AL708" s="107"/>
      <c r="AM708" s="304"/>
      <c r="AN708" s="304"/>
      <c r="AO708" s="304"/>
      <c r="AP708" s="304"/>
      <c r="AQ708" s="304"/>
      <c r="AR708" s="304"/>
      <c r="AS708" s="304"/>
      <c r="AT708" s="304"/>
      <c r="AU708" s="304"/>
      <c r="AV708" s="304"/>
      <c r="AW708" s="304"/>
      <c r="AX708" s="304"/>
      <c r="AY708" s="304"/>
      <c r="AZ708" s="304"/>
      <c r="BA708" s="304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7"/>
      <c r="BM708" s="107"/>
      <c r="BN708" s="107"/>
      <c r="BO708" s="107"/>
      <c r="BP708" s="107"/>
      <c r="BQ708" s="107"/>
      <c r="BR708" s="107"/>
    </row>
    <row r="709" customFormat="false" ht="12.75" hidden="false" customHeight="false" outlineLevel="0" collapsed="false">
      <c r="A709" s="100"/>
      <c r="B709" s="100"/>
      <c r="C709" s="100"/>
      <c r="D709" s="100"/>
      <c r="E709" s="100"/>
      <c r="F709" s="277"/>
      <c r="H709" s="277"/>
      <c r="I709" s="277"/>
      <c r="J709" s="69"/>
      <c r="K709" s="277"/>
      <c r="L709" s="277"/>
      <c r="M709" s="277"/>
      <c r="N709" s="277"/>
      <c r="O709" s="277"/>
      <c r="P709" s="277"/>
      <c r="Q709" s="277"/>
      <c r="R709" s="277"/>
      <c r="T709" s="277"/>
      <c r="U709" s="277"/>
      <c r="W709" s="277"/>
      <c r="Y709" s="107"/>
      <c r="Z709" s="107"/>
      <c r="AA709" s="107"/>
      <c r="AB709" s="107"/>
      <c r="AC709" s="107"/>
      <c r="AD709" s="233"/>
      <c r="AE709" s="107"/>
      <c r="AF709" s="107"/>
      <c r="AG709" s="107"/>
      <c r="AH709" s="107"/>
      <c r="AI709" s="107"/>
      <c r="AJ709" s="107"/>
      <c r="AK709" s="107"/>
      <c r="AL709" s="107"/>
      <c r="AM709" s="304"/>
      <c r="AN709" s="304"/>
      <c r="AO709" s="304"/>
      <c r="AP709" s="304"/>
      <c r="AQ709" s="304"/>
      <c r="AR709" s="304"/>
      <c r="AS709" s="304"/>
      <c r="AT709" s="304"/>
      <c r="AU709" s="304"/>
      <c r="AV709" s="304"/>
      <c r="AW709" s="304"/>
      <c r="AX709" s="304"/>
      <c r="AY709" s="304"/>
      <c r="AZ709" s="304"/>
      <c r="BA709" s="304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7"/>
      <c r="BM709" s="107"/>
      <c r="BN709" s="107"/>
      <c r="BO709" s="107"/>
      <c r="BP709" s="107"/>
      <c r="BQ709" s="107"/>
      <c r="BR709" s="107"/>
    </row>
    <row r="710" customFormat="false" ht="12.75" hidden="false" customHeight="false" outlineLevel="0" collapsed="false">
      <c r="A710" s="100"/>
      <c r="B710" s="100"/>
      <c r="C710" s="100"/>
      <c r="D710" s="100"/>
      <c r="E710" s="100"/>
      <c r="F710" s="277"/>
      <c r="H710" s="277"/>
      <c r="I710" s="277"/>
      <c r="J710" s="69"/>
      <c r="K710" s="277"/>
      <c r="L710" s="277"/>
      <c r="M710" s="277"/>
      <c r="N710" s="277"/>
      <c r="O710" s="277"/>
      <c r="P710" s="277"/>
      <c r="Q710" s="277"/>
      <c r="R710" s="277"/>
      <c r="T710" s="277"/>
      <c r="U710" s="277"/>
      <c r="W710" s="277"/>
      <c r="Y710" s="107"/>
      <c r="Z710" s="107"/>
      <c r="AA710" s="107"/>
      <c r="AB710" s="107"/>
      <c r="AC710" s="107"/>
      <c r="AD710" s="233"/>
      <c r="AE710" s="107"/>
      <c r="AF710" s="107"/>
      <c r="AG710" s="107"/>
      <c r="AH710" s="107"/>
      <c r="AI710" s="107"/>
      <c r="AJ710" s="107"/>
      <c r="AK710" s="107"/>
      <c r="AL710" s="107"/>
      <c r="AM710" s="304"/>
      <c r="AN710" s="304"/>
      <c r="AO710" s="304"/>
      <c r="AP710" s="304"/>
      <c r="AQ710" s="304"/>
      <c r="AR710" s="304"/>
      <c r="AS710" s="304"/>
      <c r="AT710" s="304"/>
      <c r="AU710" s="304"/>
      <c r="AV710" s="304"/>
      <c r="AW710" s="304"/>
      <c r="AX710" s="304"/>
      <c r="AY710" s="304"/>
      <c r="AZ710" s="304"/>
      <c r="BA710" s="304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7"/>
      <c r="BM710" s="107"/>
      <c r="BN710" s="107"/>
      <c r="BO710" s="107"/>
      <c r="BP710" s="107"/>
      <c r="BQ710" s="107"/>
      <c r="BR710" s="107"/>
    </row>
    <row r="711" customFormat="false" ht="12.75" hidden="false" customHeight="false" outlineLevel="0" collapsed="false">
      <c r="A711" s="100"/>
      <c r="B711" s="100"/>
      <c r="C711" s="100"/>
      <c r="D711" s="100"/>
      <c r="E711" s="100"/>
      <c r="F711" s="277"/>
      <c r="H711" s="277"/>
      <c r="I711" s="277"/>
      <c r="J711" s="69"/>
      <c r="K711" s="277"/>
      <c r="L711" s="277"/>
      <c r="M711" s="277"/>
      <c r="N711" s="277"/>
      <c r="O711" s="277"/>
      <c r="P711" s="277"/>
      <c r="Q711" s="277"/>
      <c r="R711" s="277"/>
      <c r="T711" s="277"/>
      <c r="U711" s="277"/>
      <c r="W711" s="277"/>
      <c r="Y711" s="107"/>
      <c r="Z711" s="107"/>
      <c r="AA711" s="107"/>
      <c r="AB711" s="107"/>
      <c r="AC711" s="107"/>
      <c r="AD711" s="233"/>
      <c r="AE711" s="107"/>
      <c r="AF711" s="107"/>
      <c r="AG711" s="107"/>
      <c r="AH711" s="107"/>
      <c r="AI711" s="107"/>
      <c r="AJ711" s="107"/>
      <c r="AK711" s="107"/>
      <c r="AL711" s="107"/>
      <c r="AM711" s="304"/>
      <c r="AN711" s="304"/>
      <c r="AO711" s="304"/>
      <c r="AP711" s="304"/>
      <c r="AQ711" s="304"/>
      <c r="AR711" s="304"/>
      <c r="AS711" s="304"/>
      <c r="AT711" s="304"/>
      <c r="AU711" s="304"/>
      <c r="AV711" s="304"/>
      <c r="AW711" s="304"/>
      <c r="AX711" s="304"/>
      <c r="AY711" s="304"/>
      <c r="AZ711" s="304"/>
      <c r="BA711" s="304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7"/>
      <c r="BM711" s="107"/>
      <c r="BN711" s="107"/>
      <c r="BO711" s="107"/>
      <c r="BP711" s="107"/>
      <c r="BQ711" s="107"/>
      <c r="BR711" s="107"/>
    </row>
    <row r="712" customFormat="false" ht="12.75" hidden="false" customHeight="false" outlineLevel="0" collapsed="false">
      <c r="A712" s="100"/>
      <c r="B712" s="100"/>
      <c r="C712" s="100"/>
      <c r="D712" s="100"/>
      <c r="E712" s="100"/>
      <c r="F712" s="277"/>
      <c r="H712" s="277"/>
      <c r="I712" s="277"/>
      <c r="J712" s="69"/>
      <c r="K712" s="277"/>
      <c r="L712" s="277"/>
      <c r="M712" s="277"/>
      <c r="N712" s="277"/>
      <c r="O712" s="277"/>
      <c r="P712" s="277"/>
      <c r="Q712" s="277"/>
      <c r="R712" s="277"/>
      <c r="T712" s="277"/>
      <c r="U712" s="277"/>
      <c r="W712" s="277"/>
      <c r="Y712" s="107"/>
      <c r="Z712" s="107"/>
      <c r="AA712" s="107"/>
      <c r="AB712" s="107"/>
      <c r="AC712" s="107"/>
      <c r="AD712" s="233"/>
      <c r="AE712" s="107"/>
      <c r="AF712" s="107"/>
      <c r="AG712" s="107"/>
      <c r="AH712" s="107"/>
      <c r="AI712" s="107"/>
      <c r="AJ712" s="107"/>
      <c r="AK712" s="107"/>
      <c r="AL712" s="107"/>
      <c r="AM712" s="304"/>
      <c r="AN712" s="304"/>
      <c r="AO712" s="304"/>
      <c r="AP712" s="304"/>
      <c r="AQ712" s="304"/>
      <c r="AR712" s="304"/>
      <c r="AS712" s="304"/>
      <c r="AT712" s="304"/>
      <c r="AU712" s="304"/>
      <c r="AV712" s="304"/>
      <c r="AW712" s="304"/>
      <c r="AX712" s="304"/>
      <c r="AY712" s="304"/>
      <c r="AZ712" s="304"/>
      <c r="BA712" s="304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7"/>
      <c r="BM712" s="107"/>
      <c r="BN712" s="107"/>
      <c r="BO712" s="107"/>
      <c r="BP712" s="107"/>
      <c r="BQ712" s="107"/>
      <c r="BR712" s="107"/>
    </row>
    <row r="713" customFormat="false" ht="12.75" hidden="false" customHeight="false" outlineLevel="0" collapsed="false">
      <c r="A713" s="100"/>
      <c r="B713" s="100"/>
      <c r="C713" s="100"/>
      <c r="D713" s="100"/>
      <c r="E713" s="100"/>
      <c r="F713" s="277"/>
      <c r="H713" s="277"/>
      <c r="I713" s="277"/>
      <c r="J713" s="69"/>
      <c r="K713" s="277"/>
      <c r="L713" s="277"/>
      <c r="M713" s="277"/>
      <c r="N713" s="277"/>
      <c r="O713" s="277"/>
      <c r="P713" s="277"/>
      <c r="Q713" s="277"/>
      <c r="R713" s="277"/>
      <c r="T713" s="277"/>
      <c r="U713" s="277"/>
      <c r="W713" s="277"/>
      <c r="Y713" s="107"/>
      <c r="Z713" s="107"/>
      <c r="AA713" s="107"/>
      <c r="AB713" s="107"/>
      <c r="AC713" s="107"/>
      <c r="AD713" s="233"/>
      <c r="AE713" s="107"/>
      <c r="AF713" s="107"/>
      <c r="AG713" s="107"/>
      <c r="AH713" s="107"/>
      <c r="AI713" s="107"/>
      <c r="AJ713" s="107"/>
      <c r="AK713" s="107"/>
      <c r="AL713" s="107"/>
      <c r="AM713" s="304"/>
      <c r="AN713" s="304"/>
      <c r="AO713" s="304"/>
      <c r="AP713" s="304"/>
      <c r="AQ713" s="304"/>
      <c r="AR713" s="304"/>
      <c r="AS713" s="304"/>
      <c r="AT713" s="304"/>
      <c r="AU713" s="304"/>
      <c r="AV713" s="304"/>
      <c r="AW713" s="304"/>
      <c r="AX713" s="304"/>
      <c r="AY713" s="304"/>
      <c r="AZ713" s="304"/>
      <c r="BA713" s="304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7"/>
      <c r="BM713" s="107"/>
      <c r="BN713" s="107"/>
      <c r="BO713" s="107"/>
      <c r="BP713" s="107"/>
      <c r="BQ713" s="107"/>
      <c r="BR713" s="107"/>
    </row>
    <row r="714" customFormat="false" ht="12.75" hidden="false" customHeight="false" outlineLevel="0" collapsed="false">
      <c r="A714" s="100"/>
      <c r="B714" s="100"/>
      <c r="C714" s="100"/>
      <c r="D714" s="100"/>
      <c r="E714" s="100"/>
      <c r="F714" s="277"/>
      <c r="H714" s="277"/>
      <c r="I714" s="277"/>
      <c r="J714" s="69"/>
      <c r="K714" s="277"/>
      <c r="L714" s="277"/>
      <c r="M714" s="277"/>
      <c r="N714" s="277"/>
      <c r="O714" s="277"/>
      <c r="P714" s="277"/>
      <c r="Q714" s="277"/>
      <c r="R714" s="277"/>
      <c r="T714" s="277"/>
      <c r="U714" s="277"/>
      <c r="W714" s="277"/>
      <c r="Y714" s="107"/>
      <c r="Z714" s="107"/>
      <c r="AA714" s="107"/>
      <c r="AB714" s="107"/>
      <c r="AC714" s="107"/>
      <c r="AD714" s="233"/>
      <c r="AE714" s="107"/>
      <c r="AF714" s="107"/>
      <c r="AG714" s="107"/>
      <c r="AH714" s="107"/>
      <c r="AI714" s="107"/>
      <c r="AJ714" s="107"/>
      <c r="AK714" s="107"/>
      <c r="AL714" s="107"/>
      <c r="AM714" s="304"/>
      <c r="AN714" s="304"/>
      <c r="AO714" s="304"/>
      <c r="AP714" s="304"/>
      <c r="AQ714" s="304"/>
      <c r="AR714" s="304"/>
      <c r="AS714" s="304"/>
      <c r="AT714" s="304"/>
      <c r="AU714" s="304"/>
      <c r="AV714" s="304"/>
      <c r="AW714" s="304"/>
      <c r="AX714" s="304"/>
      <c r="AY714" s="304"/>
      <c r="AZ714" s="304"/>
      <c r="BA714" s="304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7"/>
      <c r="BM714" s="107"/>
      <c r="BN714" s="107"/>
      <c r="BO714" s="107"/>
      <c r="BP714" s="107"/>
      <c r="BQ714" s="107"/>
      <c r="BR714" s="107"/>
    </row>
    <row r="715" customFormat="false" ht="12.75" hidden="false" customHeight="false" outlineLevel="0" collapsed="false">
      <c r="A715" s="100"/>
      <c r="B715" s="100"/>
      <c r="C715" s="100"/>
      <c r="D715" s="100"/>
      <c r="E715" s="100"/>
      <c r="F715" s="277"/>
      <c r="H715" s="277"/>
      <c r="I715" s="277"/>
      <c r="J715" s="69"/>
      <c r="K715" s="277"/>
      <c r="L715" s="277"/>
      <c r="M715" s="277"/>
      <c r="N715" s="277"/>
      <c r="O715" s="277"/>
      <c r="P715" s="277"/>
      <c r="Q715" s="277"/>
      <c r="R715" s="277"/>
      <c r="T715" s="277"/>
      <c r="U715" s="277"/>
      <c r="W715" s="277"/>
      <c r="Y715" s="107"/>
      <c r="Z715" s="107"/>
      <c r="AA715" s="107"/>
      <c r="AB715" s="107"/>
      <c r="AC715" s="107"/>
      <c r="AD715" s="233"/>
      <c r="AE715" s="107"/>
      <c r="AF715" s="107"/>
      <c r="AG715" s="107"/>
      <c r="AH715" s="107"/>
      <c r="AI715" s="107"/>
      <c r="AJ715" s="107"/>
      <c r="AK715" s="107"/>
      <c r="AL715" s="107"/>
      <c r="AM715" s="304"/>
      <c r="AN715" s="304"/>
      <c r="AO715" s="304"/>
      <c r="AP715" s="304"/>
      <c r="AQ715" s="304"/>
      <c r="AR715" s="304"/>
      <c r="AS715" s="304"/>
      <c r="AT715" s="304"/>
      <c r="AU715" s="304"/>
      <c r="AV715" s="304"/>
      <c r="AW715" s="304"/>
      <c r="AX715" s="304"/>
      <c r="AY715" s="304"/>
      <c r="AZ715" s="304"/>
      <c r="BA715" s="304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7"/>
      <c r="BM715" s="107"/>
      <c r="BN715" s="107"/>
      <c r="BO715" s="107"/>
      <c r="BP715" s="107"/>
      <c r="BQ715" s="107"/>
      <c r="BR715" s="107"/>
    </row>
    <row r="716" customFormat="false" ht="12.75" hidden="false" customHeight="false" outlineLevel="0" collapsed="false">
      <c r="A716" s="100"/>
      <c r="B716" s="100"/>
      <c r="C716" s="100"/>
      <c r="D716" s="100"/>
      <c r="E716" s="100"/>
      <c r="F716" s="277"/>
      <c r="H716" s="277"/>
      <c r="I716" s="277"/>
      <c r="J716" s="69"/>
      <c r="K716" s="277"/>
      <c r="L716" s="277"/>
      <c r="M716" s="277"/>
      <c r="N716" s="277"/>
      <c r="O716" s="277"/>
      <c r="P716" s="277"/>
      <c r="Q716" s="277"/>
      <c r="R716" s="277"/>
      <c r="T716" s="277"/>
      <c r="U716" s="277"/>
      <c r="W716" s="277"/>
      <c r="Y716" s="107"/>
      <c r="Z716" s="107"/>
      <c r="AA716" s="107"/>
      <c r="AB716" s="107"/>
      <c r="AC716" s="107"/>
      <c r="AD716" s="233"/>
      <c r="AE716" s="107"/>
      <c r="AF716" s="107"/>
      <c r="AG716" s="107"/>
      <c r="AH716" s="107"/>
      <c r="AI716" s="107"/>
      <c r="AJ716" s="107"/>
      <c r="AK716" s="107"/>
      <c r="AL716" s="107"/>
      <c r="AM716" s="304"/>
      <c r="AN716" s="304"/>
      <c r="AO716" s="304"/>
      <c r="AP716" s="304"/>
      <c r="AQ716" s="304"/>
      <c r="AR716" s="304"/>
      <c r="AS716" s="304"/>
      <c r="AT716" s="304"/>
      <c r="AU716" s="304"/>
      <c r="AV716" s="304"/>
      <c r="AW716" s="304"/>
      <c r="AX716" s="304"/>
      <c r="AY716" s="304"/>
      <c r="AZ716" s="304"/>
      <c r="BA716" s="304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7"/>
      <c r="BM716" s="107"/>
      <c r="BN716" s="107"/>
      <c r="BO716" s="107"/>
      <c r="BP716" s="107"/>
      <c r="BQ716" s="107"/>
      <c r="BR716" s="107"/>
    </row>
    <row r="717" customFormat="false" ht="12.75" hidden="false" customHeight="false" outlineLevel="0" collapsed="false">
      <c r="A717" s="100"/>
      <c r="B717" s="100"/>
      <c r="C717" s="100"/>
      <c r="D717" s="100"/>
      <c r="E717" s="100"/>
      <c r="F717" s="277"/>
      <c r="H717" s="277"/>
      <c r="I717" s="277"/>
      <c r="J717" s="69"/>
      <c r="K717" s="277"/>
      <c r="L717" s="277"/>
      <c r="M717" s="277"/>
      <c r="N717" s="277"/>
      <c r="O717" s="277"/>
      <c r="P717" s="277"/>
      <c r="Q717" s="277"/>
      <c r="R717" s="277"/>
      <c r="T717" s="277"/>
      <c r="U717" s="277"/>
      <c r="W717" s="277"/>
      <c r="Y717" s="107"/>
      <c r="Z717" s="107"/>
      <c r="AA717" s="107"/>
      <c r="AB717" s="107"/>
      <c r="AC717" s="107"/>
      <c r="AD717" s="233"/>
      <c r="AE717" s="107"/>
      <c r="AF717" s="107"/>
      <c r="AG717" s="107"/>
      <c r="AH717" s="107"/>
      <c r="AI717" s="107"/>
      <c r="AJ717" s="107"/>
      <c r="AK717" s="107"/>
      <c r="AL717" s="107"/>
      <c r="AM717" s="304"/>
      <c r="AN717" s="304"/>
      <c r="AO717" s="304"/>
      <c r="AP717" s="304"/>
      <c r="AQ717" s="304"/>
      <c r="AR717" s="304"/>
      <c r="AS717" s="304"/>
      <c r="AT717" s="304"/>
      <c r="AU717" s="304"/>
      <c r="AV717" s="304"/>
      <c r="AW717" s="304"/>
      <c r="AX717" s="304"/>
      <c r="AY717" s="304"/>
      <c r="AZ717" s="304"/>
      <c r="BA717" s="304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7"/>
      <c r="BM717" s="107"/>
      <c r="BN717" s="107"/>
      <c r="BO717" s="107"/>
      <c r="BP717" s="107"/>
      <c r="BQ717" s="107"/>
      <c r="BR717" s="107"/>
    </row>
    <row r="718" customFormat="false" ht="12.75" hidden="false" customHeight="false" outlineLevel="0" collapsed="false">
      <c r="A718" s="100"/>
      <c r="B718" s="100"/>
      <c r="C718" s="100"/>
      <c r="D718" s="100"/>
      <c r="E718" s="100"/>
      <c r="F718" s="277"/>
      <c r="H718" s="277"/>
      <c r="I718" s="277"/>
      <c r="J718" s="69"/>
      <c r="K718" s="277"/>
      <c r="L718" s="277"/>
      <c r="M718" s="277"/>
      <c r="N718" s="277"/>
      <c r="O718" s="277"/>
      <c r="P718" s="277"/>
      <c r="Q718" s="277"/>
      <c r="R718" s="277"/>
      <c r="T718" s="277"/>
      <c r="U718" s="277"/>
      <c r="W718" s="277"/>
      <c r="Y718" s="107"/>
      <c r="Z718" s="107"/>
      <c r="AA718" s="107"/>
      <c r="AB718" s="107"/>
      <c r="AC718" s="107"/>
      <c r="AD718" s="233"/>
      <c r="AE718" s="107"/>
      <c r="AF718" s="107"/>
      <c r="AG718" s="107"/>
      <c r="AH718" s="107"/>
      <c r="AI718" s="107"/>
      <c r="AJ718" s="107"/>
      <c r="AK718" s="107"/>
      <c r="AL718" s="107"/>
      <c r="AM718" s="304"/>
      <c r="AN718" s="304"/>
      <c r="AO718" s="304"/>
      <c r="AP718" s="304"/>
      <c r="AQ718" s="304"/>
      <c r="AR718" s="304"/>
      <c r="AS718" s="304"/>
      <c r="AT718" s="304"/>
      <c r="AU718" s="304"/>
      <c r="AV718" s="304"/>
      <c r="AW718" s="304"/>
      <c r="AX718" s="304"/>
      <c r="AY718" s="304"/>
      <c r="AZ718" s="304"/>
      <c r="BA718" s="304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7"/>
      <c r="BM718" s="107"/>
      <c r="BN718" s="107"/>
      <c r="BO718" s="107"/>
      <c r="BP718" s="107"/>
      <c r="BQ718" s="107"/>
      <c r="BR718" s="107"/>
    </row>
    <row r="719" customFormat="false" ht="12.75" hidden="false" customHeight="false" outlineLevel="0" collapsed="false">
      <c r="A719" s="100"/>
      <c r="B719" s="100"/>
      <c r="C719" s="100"/>
      <c r="D719" s="100"/>
      <c r="E719" s="100"/>
      <c r="F719" s="277"/>
      <c r="H719" s="277"/>
      <c r="I719" s="277"/>
      <c r="J719" s="69"/>
      <c r="K719" s="277"/>
      <c r="L719" s="277"/>
      <c r="M719" s="277"/>
      <c r="N719" s="277"/>
      <c r="O719" s="277"/>
      <c r="P719" s="277"/>
      <c r="Q719" s="277"/>
      <c r="R719" s="277"/>
      <c r="T719" s="277"/>
      <c r="U719" s="277"/>
      <c r="W719" s="277"/>
      <c r="Y719" s="107"/>
      <c r="Z719" s="107"/>
      <c r="AA719" s="107"/>
      <c r="AB719" s="107"/>
      <c r="AC719" s="107"/>
      <c r="AD719" s="233"/>
      <c r="AE719" s="107"/>
      <c r="AF719" s="107"/>
      <c r="AG719" s="107"/>
      <c r="AH719" s="107"/>
      <c r="AI719" s="107"/>
      <c r="AJ719" s="107"/>
      <c r="AK719" s="107"/>
      <c r="AL719" s="107"/>
      <c r="AM719" s="304"/>
      <c r="AN719" s="304"/>
      <c r="AO719" s="304"/>
      <c r="AP719" s="304"/>
      <c r="AQ719" s="304"/>
      <c r="AR719" s="304"/>
      <c r="AS719" s="304"/>
      <c r="AT719" s="304"/>
      <c r="AU719" s="304"/>
      <c r="AV719" s="304"/>
      <c r="AW719" s="304"/>
      <c r="AX719" s="304"/>
      <c r="AY719" s="304"/>
      <c r="AZ719" s="304"/>
      <c r="BA719" s="304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7"/>
      <c r="BM719" s="107"/>
      <c r="BN719" s="107"/>
      <c r="BO719" s="107"/>
      <c r="BP719" s="107"/>
      <c r="BQ719" s="107"/>
      <c r="BR719" s="107"/>
    </row>
    <row r="720" customFormat="false" ht="12.75" hidden="false" customHeight="false" outlineLevel="0" collapsed="false">
      <c r="A720" s="100"/>
      <c r="B720" s="100"/>
      <c r="C720" s="100"/>
      <c r="D720" s="100"/>
      <c r="E720" s="100"/>
      <c r="F720" s="277"/>
      <c r="H720" s="277"/>
      <c r="I720" s="277"/>
      <c r="J720" s="69"/>
      <c r="K720" s="277"/>
      <c r="L720" s="277"/>
      <c r="M720" s="277"/>
      <c r="N720" s="277"/>
      <c r="O720" s="277"/>
      <c r="P720" s="277"/>
      <c r="Q720" s="277"/>
      <c r="R720" s="277"/>
      <c r="T720" s="277"/>
      <c r="U720" s="277"/>
      <c r="W720" s="277"/>
      <c r="Y720" s="107"/>
      <c r="Z720" s="107"/>
      <c r="AA720" s="107"/>
      <c r="AB720" s="107"/>
      <c r="AC720" s="107"/>
      <c r="AD720" s="233"/>
      <c r="AE720" s="107"/>
      <c r="AF720" s="107"/>
      <c r="AG720" s="107"/>
      <c r="AH720" s="107"/>
      <c r="AI720" s="107"/>
      <c r="AJ720" s="107"/>
      <c r="AK720" s="107"/>
      <c r="AL720" s="107"/>
      <c r="AM720" s="304"/>
      <c r="AN720" s="304"/>
      <c r="AO720" s="304"/>
      <c r="AP720" s="304"/>
      <c r="AQ720" s="304"/>
      <c r="AR720" s="304"/>
      <c r="AS720" s="304"/>
      <c r="AT720" s="304"/>
      <c r="AU720" s="304"/>
      <c r="AV720" s="304"/>
      <c r="AW720" s="304"/>
      <c r="AX720" s="304"/>
      <c r="AY720" s="304"/>
      <c r="AZ720" s="304"/>
      <c r="BA720" s="304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7"/>
      <c r="BM720" s="107"/>
      <c r="BN720" s="107"/>
      <c r="BO720" s="107"/>
      <c r="BP720" s="107"/>
      <c r="BQ720" s="107"/>
      <c r="BR720" s="107"/>
    </row>
    <row r="721" customFormat="false" ht="12.75" hidden="false" customHeight="false" outlineLevel="0" collapsed="false">
      <c r="A721" s="100"/>
      <c r="B721" s="100"/>
      <c r="C721" s="100"/>
      <c r="D721" s="100"/>
      <c r="E721" s="100"/>
      <c r="F721" s="277"/>
      <c r="H721" s="277"/>
      <c r="I721" s="277"/>
      <c r="J721" s="69"/>
      <c r="K721" s="277"/>
      <c r="L721" s="277"/>
      <c r="M721" s="277"/>
      <c r="N721" s="277"/>
      <c r="O721" s="277"/>
      <c r="P721" s="277"/>
      <c r="Q721" s="277"/>
      <c r="R721" s="277"/>
      <c r="T721" s="277"/>
      <c r="U721" s="277"/>
      <c r="W721" s="277"/>
      <c r="Y721" s="107"/>
      <c r="Z721" s="107"/>
      <c r="AA721" s="107"/>
      <c r="AB721" s="107"/>
      <c r="AC721" s="107"/>
      <c r="AD721" s="233"/>
      <c r="AE721" s="107"/>
      <c r="AF721" s="107"/>
      <c r="AG721" s="107"/>
      <c r="AH721" s="107"/>
      <c r="AI721" s="107"/>
      <c r="AJ721" s="107"/>
      <c r="AK721" s="107"/>
      <c r="AL721" s="107"/>
      <c r="AM721" s="304"/>
      <c r="AN721" s="304"/>
      <c r="AO721" s="304"/>
      <c r="AP721" s="304"/>
      <c r="AQ721" s="304"/>
      <c r="AR721" s="304"/>
      <c r="AS721" s="304"/>
      <c r="AT721" s="304"/>
      <c r="AU721" s="304"/>
      <c r="AV721" s="304"/>
      <c r="AW721" s="304"/>
      <c r="AX721" s="304"/>
      <c r="AY721" s="304"/>
      <c r="AZ721" s="304"/>
      <c r="BA721" s="304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7"/>
      <c r="BM721" s="107"/>
      <c r="BN721" s="107"/>
      <c r="BO721" s="107"/>
      <c r="BP721" s="107"/>
      <c r="BQ721" s="107"/>
      <c r="BR721" s="107"/>
    </row>
    <row r="722" customFormat="false" ht="12.75" hidden="false" customHeight="false" outlineLevel="0" collapsed="false">
      <c r="A722" s="100"/>
      <c r="B722" s="100"/>
      <c r="C722" s="100"/>
      <c r="D722" s="100"/>
      <c r="E722" s="100"/>
      <c r="F722" s="277"/>
      <c r="H722" s="277"/>
      <c r="I722" s="277"/>
      <c r="J722" s="69"/>
      <c r="K722" s="277"/>
      <c r="L722" s="277"/>
      <c r="M722" s="277"/>
      <c r="N722" s="277"/>
      <c r="O722" s="277"/>
      <c r="P722" s="277"/>
      <c r="Q722" s="277"/>
      <c r="R722" s="277"/>
      <c r="T722" s="277"/>
      <c r="U722" s="277"/>
      <c r="W722" s="277"/>
      <c r="Y722" s="107"/>
      <c r="Z722" s="107"/>
      <c r="AA722" s="107"/>
      <c r="AB722" s="107"/>
      <c r="AC722" s="107"/>
      <c r="AD722" s="233"/>
      <c r="AE722" s="107"/>
      <c r="AF722" s="107"/>
      <c r="AG722" s="107"/>
      <c r="AH722" s="107"/>
      <c r="AI722" s="107"/>
      <c r="AJ722" s="107"/>
      <c r="AK722" s="107"/>
      <c r="AL722" s="107"/>
      <c r="AM722" s="304"/>
      <c r="AN722" s="304"/>
      <c r="AO722" s="304"/>
      <c r="AP722" s="304"/>
      <c r="AQ722" s="304"/>
      <c r="AR722" s="304"/>
      <c r="AS722" s="304"/>
      <c r="AT722" s="304"/>
      <c r="AU722" s="304"/>
      <c r="AV722" s="304"/>
      <c r="AW722" s="304"/>
      <c r="AX722" s="304"/>
      <c r="AY722" s="304"/>
      <c r="AZ722" s="304"/>
      <c r="BA722" s="304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7"/>
      <c r="BM722" s="107"/>
      <c r="BN722" s="107"/>
      <c r="BO722" s="107"/>
      <c r="BP722" s="107"/>
      <c r="BQ722" s="107"/>
      <c r="BR722" s="107"/>
    </row>
    <row r="723" customFormat="false" ht="12.75" hidden="false" customHeight="false" outlineLevel="0" collapsed="false">
      <c r="A723" s="100"/>
      <c r="B723" s="100"/>
      <c r="C723" s="100"/>
      <c r="D723" s="100"/>
      <c r="E723" s="100"/>
      <c r="F723" s="277"/>
      <c r="H723" s="277"/>
      <c r="I723" s="277"/>
      <c r="J723" s="69"/>
      <c r="K723" s="277"/>
      <c r="L723" s="277"/>
      <c r="M723" s="277"/>
      <c r="N723" s="277"/>
      <c r="O723" s="277"/>
      <c r="P723" s="277"/>
      <c r="Q723" s="277"/>
      <c r="R723" s="277"/>
      <c r="T723" s="277"/>
      <c r="U723" s="277"/>
      <c r="W723" s="277"/>
      <c r="Y723" s="107"/>
      <c r="Z723" s="107"/>
      <c r="AA723" s="107"/>
      <c r="AB723" s="107"/>
      <c r="AC723" s="107"/>
      <c r="AD723" s="233"/>
      <c r="AE723" s="107"/>
      <c r="AF723" s="107"/>
      <c r="AG723" s="107"/>
      <c r="AH723" s="107"/>
      <c r="AI723" s="107"/>
      <c r="AJ723" s="107"/>
      <c r="AK723" s="107"/>
      <c r="AL723" s="107"/>
      <c r="AM723" s="304"/>
      <c r="AN723" s="304"/>
      <c r="AO723" s="304"/>
      <c r="AP723" s="304"/>
      <c r="AQ723" s="304"/>
      <c r="AR723" s="304"/>
      <c r="AS723" s="304"/>
      <c r="AT723" s="304"/>
      <c r="AU723" s="304"/>
      <c r="AV723" s="304"/>
      <c r="AW723" s="304"/>
      <c r="AX723" s="304"/>
      <c r="AY723" s="304"/>
      <c r="AZ723" s="304"/>
      <c r="BA723" s="304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7"/>
      <c r="BM723" s="107"/>
      <c r="BN723" s="107"/>
      <c r="BO723" s="107"/>
      <c r="BP723" s="107"/>
      <c r="BQ723" s="107"/>
      <c r="BR723" s="107"/>
    </row>
    <row r="724" customFormat="false" ht="12.75" hidden="false" customHeight="false" outlineLevel="0" collapsed="false">
      <c r="A724" s="100"/>
      <c r="B724" s="100"/>
      <c r="C724" s="100"/>
      <c r="D724" s="100"/>
      <c r="E724" s="100"/>
      <c r="F724" s="277"/>
      <c r="H724" s="277"/>
      <c r="I724" s="277"/>
      <c r="J724" s="69"/>
      <c r="K724" s="277"/>
      <c r="L724" s="277"/>
      <c r="M724" s="277"/>
      <c r="N724" s="277"/>
      <c r="O724" s="277"/>
      <c r="P724" s="277"/>
      <c r="Q724" s="277"/>
      <c r="R724" s="277"/>
      <c r="T724" s="277"/>
      <c r="U724" s="277"/>
      <c r="W724" s="277"/>
      <c r="Y724" s="107"/>
      <c r="Z724" s="107"/>
      <c r="AA724" s="107"/>
      <c r="AB724" s="107"/>
      <c r="AC724" s="107"/>
      <c r="AD724" s="233"/>
      <c r="AE724" s="107"/>
      <c r="AF724" s="107"/>
      <c r="AG724" s="107"/>
      <c r="AH724" s="107"/>
      <c r="AI724" s="107"/>
      <c r="AJ724" s="107"/>
      <c r="AK724" s="107"/>
      <c r="AL724" s="107"/>
      <c r="AM724" s="304"/>
      <c r="AN724" s="304"/>
      <c r="AO724" s="304"/>
      <c r="AP724" s="304"/>
      <c r="AQ724" s="304"/>
      <c r="AR724" s="304"/>
      <c r="AS724" s="304"/>
      <c r="AT724" s="304"/>
      <c r="AU724" s="304"/>
      <c r="AV724" s="304"/>
      <c r="AW724" s="304"/>
      <c r="AX724" s="304"/>
      <c r="AY724" s="304"/>
      <c r="AZ724" s="304"/>
      <c r="BA724" s="304"/>
      <c r="BB724" s="107"/>
      <c r="BC724" s="107"/>
      <c r="BD724" s="107"/>
      <c r="BE724" s="107"/>
      <c r="BF724" s="107"/>
      <c r="BG724" s="107"/>
      <c r="BH724" s="107"/>
      <c r="BI724" s="107"/>
      <c r="BJ724" s="107"/>
      <c r="BK724" s="107"/>
      <c r="BL724" s="107"/>
      <c r="BM724" s="107"/>
      <c r="BN724" s="107"/>
      <c r="BO724" s="107"/>
      <c r="BP724" s="107"/>
      <c r="BQ724" s="107"/>
      <c r="BR724" s="107"/>
    </row>
    <row r="725" customFormat="false" ht="12.75" hidden="false" customHeight="false" outlineLevel="0" collapsed="false">
      <c r="A725" s="100"/>
      <c r="B725" s="100"/>
      <c r="C725" s="100"/>
      <c r="D725" s="100"/>
      <c r="E725" s="100"/>
      <c r="F725" s="277"/>
      <c r="H725" s="277"/>
      <c r="I725" s="277"/>
      <c r="J725" s="69"/>
      <c r="K725" s="277"/>
      <c r="L725" s="277"/>
      <c r="M725" s="277"/>
      <c r="N725" s="277"/>
      <c r="O725" s="277"/>
      <c r="P725" s="277"/>
      <c r="Q725" s="277"/>
      <c r="R725" s="277"/>
      <c r="T725" s="277"/>
      <c r="U725" s="277"/>
      <c r="W725" s="277"/>
      <c r="Y725" s="107"/>
      <c r="Z725" s="107"/>
      <c r="AA725" s="107"/>
      <c r="AB725" s="107"/>
      <c r="AC725" s="107"/>
      <c r="AD725" s="233"/>
      <c r="AE725" s="107"/>
      <c r="AF725" s="107"/>
      <c r="AG725" s="107"/>
      <c r="AH725" s="107"/>
      <c r="AI725" s="107"/>
      <c r="AJ725" s="107"/>
      <c r="AK725" s="107"/>
      <c r="AL725" s="107"/>
      <c r="AM725" s="304"/>
      <c r="AN725" s="304"/>
      <c r="AO725" s="304"/>
      <c r="AP725" s="304"/>
      <c r="AQ725" s="304"/>
      <c r="AR725" s="304"/>
      <c r="AS725" s="304"/>
      <c r="AT725" s="304"/>
      <c r="AU725" s="304"/>
      <c r="AV725" s="304"/>
      <c r="AW725" s="304"/>
      <c r="AX725" s="304"/>
      <c r="AY725" s="304"/>
      <c r="AZ725" s="304"/>
      <c r="BA725" s="304"/>
      <c r="BB725" s="107"/>
      <c r="BC725" s="107"/>
      <c r="BD725" s="107"/>
      <c r="BE725" s="107"/>
      <c r="BF725" s="107"/>
      <c r="BG725" s="107"/>
      <c r="BH725" s="107"/>
      <c r="BI725" s="107"/>
      <c r="BJ725" s="107"/>
      <c r="BK725" s="107"/>
      <c r="BL725" s="107"/>
      <c r="BM725" s="107"/>
      <c r="BN725" s="107"/>
      <c r="BO725" s="107"/>
      <c r="BP725" s="107"/>
      <c r="BQ725" s="107"/>
      <c r="BR725" s="107"/>
    </row>
    <row r="726" customFormat="false" ht="12.75" hidden="false" customHeight="false" outlineLevel="0" collapsed="false">
      <c r="A726" s="100"/>
      <c r="B726" s="100"/>
      <c r="C726" s="100"/>
      <c r="D726" s="100"/>
      <c r="E726" s="100"/>
      <c r="F726" s="277"/>
      <c r="H726" s="277"/>
      <c r="I726" s="277"/>
      <c r="J726" s="69"/>
      <c r="K726" s="277"/>
      <c r="L726" s="277"/>
      <c r="M726" s="277"/>
      <c r="N726" s="277"/>
      <c r="O726" s="277"/>
      <c r="P726" s="277"/>
      <c r="Q726" s="277"/>
      <c r="R726" s="277"/>
      <c r="T726" s="277"/>
      <c r="U726" s="277"/>
      <c r="W726" s="277"/>
      <c r="Y726" s="107"/>
      <c r="Z726" s="107"/>
      <c r="AA726" s="107"/>
      <c r="AB726" s="107"/>
      <c r="AC726" s="107"/>
      <c r="AD726" s="233"/>
      <c r="AE726" s="107"/>
      <c r="AF726" s="107"/>
      <c r="AG726" s="107"/>
      <c r="AH726" s="107"/>
      <c r="AI726" s="107"/>
      <c r="AJ726" s="107"/>
      <c r="AK726" s="107"/>
      <c r="AL726" s="107"/>
      <c r="AM726" s="304"/>
      <c r="AN726" s="304"/>
      <c r="AO726" s="304"/>
      <c r="AP726" s="304"/>
      <c r="AQ726" s="304"/>
      <c r="AR726" s="304"/>
      <c r="AS726" s="304"/>
      <c r="AT726" s="304"/>
      <c r="AU726" s="304"/>
      <c r="AV726" s="304"/>
      <c r="AW726" s="304"/>
      <c r="AX726" s="304"/>
      <c r="AY726" s="304"/>
      <c r="AZ726" s="304"/>
      <c r="BA726" s="304"/>
      <c r="BB726" s="107"/>
      <c r="BC726" s="107"/>
      <c r="BD726" s="107"/>
      <c r="BE726" s="107"/>
      <c r="BF726" s="107"/>
      <c r="BG726" s="107"/>
      <c r="BH726" s="107"/>
      <c r="BI726" s="107"/>
      <c r="BJ726" s="107"/>
      <c r="BK726" s="107"/>
      <c r="BL726" s="107"/>
      <c r="BM726" s="107"/>
      <c r="BN726" s="107"/>
      <c r="BO726" s="107"/>
      <c r="BP726" s="107"/>
      <c r="BQ726" s="107"/>
      <c r="BR726" s="107"/>
    </row>
    <row r="727" customFormat="false" ht="12.75" hidden="false" customHeight="false" outlineLevel="0" collapsed="false">
      <c r="A727" s="100"/>
      <c r="B727" s="100"/>
      <c r="C727" s="100"/>
      <c r="D727" s="100"/>
      <c r="E727" s="100"/>
      <c r="F727" s="277"/>
      <c r="H727" s="277"/>
      <c r="I727" s="277"/>
      <c r="J727" s="69"/>
      <c r="K727" s="277"/>
      <c r="L727" s="277"/>
      <c r="M727" s="277"/>
      <c r="N727" s="277"/>
      <c r="O727" s="277"/>
      <c r="P727" s="277"/>
      <c r="Q727" s="277"/>
      <c r="R727" s="277"/>
      <c r="T727" s="277"/>
      <c r="U727" s="277"/>
      <c r="W727" s="277"/>
      <c r="Y727" s="107"/>
      <c r="Z727" s="107"/>
      <c r="AA727" s="107"/>
      <c r="AB727" s="107"/>
      <c r="AC727" s="107"/>
      <c r="AD727" s="233"/>
      <c r="AE727" s="107"/>
      <c r="AF727" s="107"/>
      <c r="AG727" s="107"/>
      <c r="AH727" s="107"/>
      <c r="AI727" s="107"/>
      <c r="AJ727" s="107"/>
      <c r="AK727" s="107"/>
      <c r="AL727" s="107"/>
      <c r="AM727" s="304"/>
      <c r="AN727" s="304"/>
      <c r="AO727" s="304"/>
      <c r="AP727" s="304"/>
      <c r="AQ727" s="304"/>
      <c r="AR727" s="304"/>
      <c r="AS727" s="304"/>
      <c r="AT727" s="304"/>
      <c r="AU727" s="304"/>
      <c r="AV727" s="304"/>
      <c r="AW727" s="304"/>
      <c r="AX727" s="304"/>
      <c r="AY727" s="304"/>
      <c r="AZ727" s="304"/>
      <c r="BA727" s="304"/>
      <c r="BB727" s="107"/>
      <c r="BC727" s="107"/>
      <c r="BD727" s="107"/>
      <c r="BE727" s="107"/>
      <c r="BF727" s="107"/>
      <c r="BG727" s="107"/>
      <c r="BH727" s="107"/>
      <c r="BI727" s="107"/>
      <c r="BJ727" s="107"/>
      <c r="BK727" s="107"/>
      <c r="BL727" s="107"/>
      <c r="BM727" s="107"/>
      <c r="BN727" s="107"/>
      <c r="BO727" s="107"/>
      <c r="BP727" s="107"/>
      <c r="BQ727" s="107"/>
      <c r="BR727" s="107"/>
    </row>
    <row r="728" customFormat="false" ht="12.75" hidden="false" customHeight="false" outlineLevel="0" collapsed="false">
      <c r="A728" s="100"/>
      <c r="B728" s="100"/>
      <c r="C728" s="100"/>
      <c r="D728" s="100"/>
      <c r="E728" s="100"/>
      <c r="F728" s="277"/>
      <c r="H728" s="277"/>
      <c r="I728" s="277"/>
      <c r="J728" s="69"/>
      <c r="K728" s="277"/>
      <c r="L728" s="277"/>
      <c r="M728" s="277"/>
      <c r="N728" s="277"/>
      <c r="O728" s="277"/>
      <c r="P728" s="277"/>
      <c r="Q728" s="277"/>
      <c r="R728" s="277"/>
      <c r="T728" s="277"/>
      <c r="U728" s="277"/>
      <c r="W728" s="277"/>
      <c r="Y728" s="107"/>
      <c r="Z728" s="107"/>
      <c r="AA728" s="107"/>
      <c r="AB728" s="107"/>
      <c r="AC728" s="107"/>
      <c r="AD728" s="233"/>
      <c r="AE728" s="107"/>
      <c r="AF728" s="107"/>
      <c r="AG728" s="107"/>
      <c r="AH728" s="107"/>
      <c r="AI728" s="107"/>
      <c r="AJ728" s="107"/>
      <c r="AK728" s="107"/>
      <c r="AL728" s="107"/>
      <c r="AM728" s="304"/>
      <c r="AN728" s="304"/>
      <c r="AO728" s="304"/>
      <c r="AP728" s="304"/>
      <c r="AQ728" s="304"/>
      <c r="AR728" s="304"/>
      <c r="AS728" s="304"/>
      <c r="AT728" s="304"/>
      <c r="AU728" s="304"/>
      <c r="AV728" s="304"/>
      <c r="AW728" s="304"/>
      <c r="AX728" s="304"/>
      <c r="AY728" s="304"/>
      <c r="AZ728" s="304"/>
      <c r="BA728" s="304"/>
      <c r="BB728" s="107"/>
      <c r="BC728" s="107"/>
      <c r="BD728" s="107"/>
      <c r="BE728" s="107"/>
      <c r="BF728" s="107"/>
      <c r="BG728" s="107"/>
      <c r="BH728" s="107"/>
      <c r="BI728" s="107"/>
      <c r="BJ728" s="107"/>
      <c r="BK728" s="107"/>
      <c r="BL728" s="107"/>
      <c r="BM728" s="107"/>
      <c r="BN728" s="107"/>
      <c r="BO728" s="107"/>
      <c r="BP728" s="107"/>
      <c r="BQ728" s="107"/>
      <c r="BR728" s="107"/>
    </row>
    <row r="729" customFormat="false" ht="12.75" hidden="false" customHeight="false" outlineLevel="0" collapsed="false">
      <c r="A729" s="100"/>
      <c r="B729" s="100"/>
      <c r="C729" s="100"/>
      <c r="D729" s="100"/>
      <c r="E729" s="100"/>
      <c r="F729" s="277"/>
      <c r="H729" s="277"/>
      <c r="I729" s="277"/>
      <c r="J729" s="69"/>
      <c r="K729" s="277"/>
      <c r="L729" s="277"/>
      <c r="M729" s="277"/>
      <c r="N729" s="277"/>
      <c r="O729" s="277"/>
      <c r="P729" s="277"/>
      <c r="Q729" s="277"/>
      <c r="R729" s="277"/>
      <c r="T729" s="277"/>
      <c r="U729" s="277"/>
      <c r="W729" s="277"/>
      <c r="Y729" s="107"/>
      <c r="Z729" s="107"/>
      <c r="AA729" s="107"/>
      <c r="AB729" s="107"/>
      <c r="AC729" s="107"/>
      <c r="AD729" s="233"/>
      <c r="AE729" s="107"/>
      <c r="AF729" s="107"/>
      <c r="AG729" s="107"/>
      <c r="AH729" s="107"/>
      <c r="AI729" s="107"/>
      <c r="AJ729" s="107"/>
      <c r="AK729" s="107"/>
      <c r="AL729" s="107"/>
      <c r="AM729" s="304"/>
      <c r="AN729" s="304"/>
      <c r="AO729" s="304"/>
      <c r="AP729" s="304"/>
      <c r="AQ729" s="304"/>
      <c r="AR729" s="304"/>
      <c r="AS729" s="304"/>
      <c r="AT729" s="304"/>
      <c r="AU729" s="304"/>
      <c r="AV729" s="304"/>
      <c r="AW729" s="304"/>
      <c r="AX729" s="304"/>
      <c r="AY729" s="304"/>
      <c r="AZ729" s="304"/>
      <c r="BA729" s="304"/>
      <c r="BB729" s="107"/>
      <c r="BC729" s="107"/>
      <c r="BD729" s="107"/>
      <c r="BE729" s="107"/>
      <c r="BF729" s="107"/>
      <c r="BG729" s="107"/>
      <c r="BH729" s="107"/>
      <c r="BI729" s="107"/>
      <c r="BJ729" s="107"/>
      <c r="BK729" s="107"/>
      <c r="BL729" s="107"/>
      <c r="BM729" s="107"/>
      <c r="BN729" s="107"/>
      <c r="BO729" s="107"/>
      <c r="BP729" s="107"/>
      <c r="BQ729" s="107"/>
      <c r="BR729" s="107"/>
    </row>
    <row r="730" customFormat="false" ht="12.75" hidden="false" customHeight="false" outlineLevel="0" collapsed="false">
      <c r="A730" s="100"/>
      <c r="B730" s="100"/>
      <c r="C730" s="100"/>
      <c r="D730" s="100"/>
      <c r="E730" s="100"/>
      <c r="F730" s="277"/>
      <c r="H730" s="277"/>
      <c r="I730" s="277"/>
      <c r="J730" s="69"/>
      <c r="K730" s="277"/>
      <c r="L730" s="277"/>
      <c r="M730" s="277"/>
      <c r="N730" s="277"/>
      <c r="O730" s="277"/>
      <c r="P730" s="277"/>
      <c r="Q730" s="277"/>
      <c r="R730" s="277"/>
      <c r="T730" s="277"/>
      <c r="U730" s="277"/>
      <c r="W730" s="277"/>
      <c r="Y730" s="107"/>
      <c r="Z730" s="107"/>
      <c r="AA730" s="107"/>
      <c r="AB730" s="107"/>
      <c r="AC730" s="107"/>
      <c r="AD730" s="233"/>
      <c r="AE730" s="107"/>
      <c r="AF730" s="107"/>
      <c r="AG730" s="107"/>
      <c r="AH730" s="107"/>
      <c r="AI730" s="107"/>
      <c r="AJ730" s="107"/>
      <c r="AK730" s="107"/>
      <c r="AL730" s="107"/>
      <c r="AM730" s="304"/>
      <c r="AN730" s="304"/>
      <c r="AO730" s="304"/>
      <c r="AP730" s="304"/>
      <c r="AQ730" s="304"/>
      <c r="AR730" s="304"/>
      <c r="AS730" s="304"/>
      <c r="AT730" s="304"/>
      <c r="AU730" s="304"/>
      <c r="AV730" s="304"/>
      <c r="AW730" s="304"/>
      <c r="AX730" s="304"/>
      <c r="AY730" s="304"/>
      <c r="AZ730" s="304"/>
      <c r="BA730" s="304"/>
      <c r="BB730" s="107"/>
      <c r="BC730" s="107"/>
      <c r="BD730" s="107"/>
      <c r="BE730" s="107"/>
      <c r="BF730" s="107"/>
      <c r="BG730" s="107"/>
      <c r="BH730" s="107"/>
      <c r="BI730" s="107"/>
      <c r="BJ730" s="107"/>
      <c r="BK730" s="107"/>
      <c r="BL730" s="107"/>
      <c r="BM730" s="107"/>
      <c r="BN730" s="107"/>
      <c r="BO730" s="107"/>
      <c r="BP730" s="107"/>
      <c r="BQ730" s="107"/>
      <c r="BR730" s="107"/>
    </row>
    <row r="731" customFormat="false" ht="12.75" hidden="false" customHeight="false" outlineLevel="0" collapsed="false">
      <c r="A731" s="100"/>
      <c r="B731" s="100"/>
      <c r="C731" s="100"/>
      <c r="D731" s="100"/>
      <c r="E731" s="100"/>
      <c r="F731" s="277"/>
      <c r="H731" s="277"/>
      <c r="I731" s="277"/>
      <c r="J731" s="69"/>
      <c r="K731" s="277"/>
      <c r="L731" s="277"/>
      <c r="M731" s="277"/>
      <c r="N731" s="277"/>
      <c r="O731" s="277"/>
      <c r="P731" s="277"/>
      <c r="Q731" s="277"/>
      <c r="R731" s="277"/>
      <c r="T731" s="277"/>
      <c r="U731" s="277"/>
      <c r="W731" s="277"/>
      <c r="Y731" s="107"/>
      <c r="Z731" s="107"/>
      <c r="AA731" s="107"/>
      <c r="AB731" s="107"/>
      <c r="AC731" s="107"/>
      <c r="AD731" s="233"/>
      <c r="AE731" s="107"/>
      <c r="AF731" s="107"/>
      <c r="AG731" s="107"/>
      <c r="AH731" s="107"/>
      <c r="AI731" s="107"/>
      <c r="AJ731" s="107"/>
      <c r="AK731" s="107"/>
      <c r="AL731" s="107"/>
      <c r="AM731" s="304"/>
      <c r="AN731" s="304"/>
      <c r="AO731" s="304"/>
      <c r="AP731" s="304"/>
      <c r="AQ731" s="304"/>
      <c r="AR731" s="304"/>
      <c r="AS731" s="304"/>
      <c r="AT731" s="304"/>
      <c r="AU731" s="304"/>
      <c r="AV731" s="304"/>
      <c r="AW731" s="304"/>
      <c r="AX731" s="304"/>
      <c r="AY731" s="304"/>
      <c r="AZ731" s="304"/>
      <c r="BA731" s="304"/>
      <c r="BB731" s="107"/>
      <c r="BC731" s="107"/>
      <c r="BD731" s="107"/>
      <c r="BE731" s="107"/>
      <c r="BF731" s="107"/>
      <c r="BG731" s="107"/>
      <c r="BH731" s="107"/>
      <c r="BI731" s="107"/>
      <c r="BJ731" s="107"/>
      <c r="BK731" s="107"/>
      <c r="BL731" s="107"/>
      <c r="BM731" s="107"/>
      <c r="BN731" s="107"/>
      <c r="BO731" s="107"/>
      <c r="BP731" s="107"/>
      <c r="BQ731" s="107"/>
      <c r="BR731" s="107"/>
    </row>
    <row r="732" customFormat="false" ht="12.75" hidden="false" customHeight="false" outlineLevel="0" collapsed="false">
      <c r="A732" s="100"/>
      <c r="B732" s="100"/>
      <c r="C732" s="100"/>
      <c r="D732" s="100"/>
      <c r="E732" s="100"/>
      <c r="F732" s="277"/>
      <c r="H732" s="277"/>
      <c r="I732" s="277"/>
      <c r="J732" s="69"/>
      <c r="K732" s="277"/>
      <c r="L732" s="277"/>
      <c r="M732" s="277"/>
      <c r="N732" s="277"/>
      <c r="O732" s="277"/>
      <c r="P732" s="277"/>
      <c r="Q732" s="277"/>
      <c r="R732" s="277"/>
      <c r="T732" s="277"/>
      <c r="U732" s="277"/>
      <c r="W732" s="277"/>
      <c r="Y732" s="107"/>
      <c r="Z732" s="107"/>
      <c r="AA732" s="107"/>
      <c r="AB732" s="107"/>
      <c r="AC732" s="107"/>
      <c r="AD732" s="233"/>
      <c r="AE732" s="107"/>
      <c r="AF732" s="107"/>
      <c r="AG732" s="107"/>
      <c r="AH732" s="107"/>
      <c r="AI732" s="107"/>
      <c r="AJ732" s="107"/>
      <c r="AK732" s="107"/>
      <c r="AL732" s="107"/>
      <c r="AM732" s="304"/>
      <c r="AN732" s="304"/>
      <c r="AO732" s="304"/>
      <c r="AP732" s="304"/>
      <c r="AQ732" s="304"/>
      <c r="AR732" s="304"/>
      <c r="AS732" s="304"/>
      <c r="AT732" s="304"/>
      <c r="AU732" s="304"/>
      <c r="AV732" s="304"/>
      <c r="AW732" s="304"/>
      <c r="AX732" s="304"/>
      <c r="AY732" s="304"/>
      <c r="AZ732" s="304"/>
      <c r="BA732" s="304"/>
      <c r="BB732" s="107"/>
      <c r="BC732" s="107"/>
      <c r="BD732" s="107"/>
      <c r="BE732" s="107"/>
      <c r="BF732" s="107"/>
      <c r="BG732" s="107"/>
      <c r="BH732" s="107"/>
      <c r="BI732" s="107"/>
      <c r="BJ732" s="107"/>
      <c r="BK732" s="107"/>
      <c r="BL732" s="107"/>
      <c r="BM732" s="107"/>
      <c r="BN732" s="107"/>
      <c r="BO732" s="107"/>
      <c r="BP732" s="107"/>
      <c r="BQ732" s="107"/>
      <c r="BR732" s="107"/>
    </row>
    <row r="733" customFormat="false" ht="12.75" hidden="false" customHeight="false" outlineLevel="0" collapsed="false">
      <c r="A733" s="100"/>
      <c r="B733" s="100"/>
      <c r="C733" s="100"/>
      <c r="D733" s="100"/>
      <c r="E733" s="100"/>
      <c r="F733" s="277"/>
      <c r="H733" s="277"/>
      <c r="I733" s="277"/>
      <c r="J733" s="69"/>
      <c r="K733" s="277"/>
      <c r="L733" s="277"/>
      <c r="M733" s="277"/>
      <c r="N733" s="277"/>
      <c r="O733" s="277"/>
      <c r="P733" s="277"/>
      <c r="Q733" s="277"/>
      <c r="R733" s="277"/>
      <c r="T733" s="277"/>
      <c r="U733" s="277"/>
      <c r="W733" s="277"/>
      <c r="Y733" s="107"/>
      <c r="Z733" s="107"/>
      <c r="AA733" s="107"/>
      <c r="AB733" s="107"/>
      <c r="AC733" s="107"/>
      <c r="AD733" s="233"/>
      <c r="AE733" s="107"/>
      <c r="AF733" s="107"/>
      <c r="AG733" s="107"/>
      <c r="AH733" s="107"/>
      <c r="AI733" s="107"/>
      <c r="AJ733" s="107"/>
      <c r="AK733" s="107"/>
      <c r="AL733" s="107"/>
      <c r="AM733" s="304"/>
      <c r="AN733" s="304"/>
      <c r="AO733" s="304"/>
      <c r="AP733" s="304"/>
      <c r="AQ733" s="304"/>
      <c r="AR733" s="304"/>
      <c r="AS733" s="304"/>
      <c r="AT733" s="304"/>
      <c r="AU733" s="304"/>
      <c r="AV733" s="304"/>
      <c r="AW733" s="304"/>
      <c r="AX733" s="304"/>
      <c r="AY733" s="304"/>
      <c r="AZ733" s="304"/>
      <c r="BA733" s="304"/>
      <c r="BB733" s="107"/>
      <c r="BC733" s="107"/>
      <c r="BD733" s="107"/>
      <c r="BE733" s="107"/>
      <c r="BF733" s="107"/>
      <c r="BG733" s="107"/>
      <c r="BH733" s="107"/>
      <c r="BI733" s="107"/>
      <c r="BJ733" s="107"/>
      <c r="BK733" s="107"/>
      <c r="BL733" s="107"/>
      <c r="BM733" s="107"/>
      <c r="BN733" s="107"/>
      <c r="BO733" s="107"/>
      <c r="BP733" s="107"/>
      <c r="BQ733" s="107"/>
      <c r="BR733" s="107"/>
    </row>
    <row r="734" customFormat="false" ht="12.75" hidden="false" customHeight="false" outlineLevel="0" collapsed="false">
      <c r="A734" s="100"/>
      <c r="B734" s="100"/>
      <c r="C734" s="100"/>
      <c r="D734" s="100"/>
      <c r="E734" s="100"/>
      <c r="F734" s="277"/>
      <c r="H734" s="277"/>
      <c r="I734" s="277"/>
      <c r="J734" s="69"/>
      <c r="K734" s="277"/>
      <c r="L734" s="277"/>
      <c r="M734" s="277"/>
      <c r="N734" s="277"/>
      <c r="O734" s="277"/>
      <c r="P734" s="277"/>
      <c r="Q734" s="277"/>
      <c r="R734" s="277"/>
      <c r="T734" s="277"/>
      <c r="U734" s="277"/>
      <c r="W734" s="277"/>
      <c r="Y734" s="107"/>
      <c r="Z734" s="107"/>
      <c r="AA734" s="107"/>
      <c r="AB734" s="107"/>
      <c r="AC734" s="107"/>
      <c r="AD734" s="233"/>
      <c r="AE734" s="107"/>
      <c r="AF734" s="107"/>
      <c r="AG734" s="107"/>
      <c r="AH734" s="107"/>
      <c r="AI734" s="107"/>
      <c r="AJ734" s="107"/>
      <c r="AK734" s="107"/>
      <c r="AL734" s="107"/>
      <c r="AM734" s="304"/>
      <c r="AN734" s="304"/>
      <c r="AO734" s="304"/>
      <c r="AP734" s="304"/>
      <c r="AQ734" s="304"/>
      <c r="AR734" s="304"/>
      <c r="AS734" s="304"/>
      <c r="AT734" s="304"/>
      <c r="AU734" s="304"/>
      <c r="AV734" s="304"/>
      <c r="AW734" s="304"/>
      <c r="AX734" s="304"/>
      <c r="AY734" s="304"/>
      <c r="AZ734" s="304"/>
      <c r="BA734" s="304"/>
      <c r="BB734" s="107"/>
      <c r="BC734" s="107"/>
      <c r="BD734" s="107"/>
      <c r="BE734" s="107"/>
      <c r="BF734" s="107"/>
      <c r="BG734" s="107"/>
      <c r="BH734" s="107"/>
      <c r="BI734" s="107"/>
      <c r="BJ734" s="107"/>
      <c r="BK734" s="107"/>
      <c r="BL734" s="107"/>
      <c r="BM734" s="107"/>
      <c r="BN734" s="107"/>
      <c r="BO734" s="107"/>
      <c r="BP734" s="107"/>
      <c r="BQ734" s="107"/>
      <c r="BR734" s="107"/>
    </row>
    <row r="735" customFormat="false" ht="12.75" hidden="false" customHeight="false" outlineLevel="0" collapsed="false">
      <c r="A735" s="100"/>
      <c r="B735" s="100"/>
      <c r="C735" s="100"/>
      <c r="D735" s="100"/>
      <c r="E735" s="100"/>
      <c r="F735" s="277"/>
      <c r="H735" s="277"/>
      <c r="I735" s="277"/>
      <c r="J735" s="69"/>
      <c r="K735" s="277"/>
      <c r="L735" s="277"/>
      <c r="M735" s="277"/>
      <c r="N735" s="277"/>
      <c r="O735" s="277"/>
      <c r="P735" s="277"/>
      <c r="Q735" s="277"/>
      <c r="R735" s="277"/>
      <c r="T735" s="277"/>
      <c r="U735" s="277"/>
      <c r="W735" s="277"/>
      <c r="Y735" s="107"/>
      <c r="Z735" s="107"/>
      <c r="AA735" s="107"/>
      <c r="AB735" s="107"/>
      <c r="AC735" s="107"/>
      <c r="AD735" s="233"/>
      <c r="AE735" s="107"/>
      <c r="AF735" s="107"/>
      <c r="AG735" s="107"/>
      <c r="AH735" s="107"/>
      <c r="AI735" s="107"/>
      <c r="AJ735" s="107"/>
      <c r="AK735" s="107"/>
      <c r="AL735" s="107"/>
      <c r="AM735" s="304"/>
      <c r="AN735" s="304"/>
      <c r="AO735" s="304"/>
      <c r="AP735" s="304"/>
      <c r="AQ735" s="304"/>
      <c r="AR735" s="304"/>
      <c r="AS735" s="304"/>
      <c r="AT735" s="304"/>
      <c r="AU735" s="304"/>
      <c r="AV735" s="304"/>
      <c r="AW735" s="304"/>
      <c r="AX735" s="304"/>
      <c r="AY735" s="304"/>
      <c r="AZ735" s="304"/>
      <c r="BA735" s="304"/>
      <c r="BB735" s="107"/>
      <c r="BC735" s="107"/>
      <c r="BD735" s="107"/>
      <c r="BE735" s="107"/>
      <c r="BF735" s="107"/>
      <c r="BG735" s="107"/>
      <c r="BH735" s="107"/>
      <c r="BI735" s="107"/>
      <c r="BJ735" s="107"/>
      <c r="BK735" s="107"/>
      <c r="BL735" s="107"/>
      <c r="BM735" s="107"/>
      <c r="BN735" s="107"/>
      <c r="BO735" s="107"/>
      <c r="BP735" s="107"/>
      <c r="BQ735" s="107"/>
      <c r="BR735" s="107"/>
    </row>
    <row r="736" customFormat="false" ht="12.75" hidden="false" customHeight="false" outlineLevel="0" collapsed="false">
      <c r="A736" s="100"/>
      <c r="B736" s="100"/>
      <c r="C736" s="100"/>
      <c r="D736" s="100"/>
      <c r="E736" s="100"/>
      <c r="F736" s="277"/>
      <c r="H736" s="277"/>
      <c r="I736" s="277"/>
      <c r="J736" s="69"/>
      <c r="K736" s="277"/>
      <c r="L736" s="277"/>
      <c r="M736" s="277"/>
      <c r="N736" s="277"/>
      <c r="O736" s="277"/>
      <c r="P736" s="277"/>
      <c r="Q736" s="277"/>
      <c r="R736" s="277"/>
      <c r="T736" s="277"/>
      <c r="U736" s="277"/>
      <c r="W736" s="277"/>
      <c r="Y736" s="107"/>
      <c r="Z736" s="107"/>
      <c r="AA736" s="107"/>
      <c r="AB736" s="107"/>
      <c r="AC736" s="107"/>
      <c r="AD736" s="233"/>
      <c r="AE736" s="107"/>
      <c r="AF736" s="107"/>
      <c r="AG736" s="107"/>
      <c r="AH736" s="107"/>
      <c r="AI736" s="107"/>
      <c r="AJ736" s="107"/>
      <c r="AK736" s="107"/>
      <c r="AL736" s="107"/>
      <c r="AM736" s="304"/>
      <c r="AN736" s="304"/>
      <c r="AO736" s="304"/>
      <c r="AP736" s="304"/>
      <c r="AQ736" s="304"/>
      <c r="AR736" s="304"/>
      <c r="AS736" s="304"/>
      <c r="AT736" s="304"/>
      <c r="AU736" s="304"/>
      <c r="AV736" s="304"/>
      <c r="AW736" s="304"/>
      <c r="AX736" s="304"/>
      <c r="AY736" s="304"/>
      <c r="AZ736" s="304"/>
      <c r="BA736" s="304"/>
      <c r="BB736" s="107"/>
      <c r="BC736" s="107"/>
      <c r="BD736" s="107"/>
      <c r="BE736" s="107"/>
      <c r="BF736" s="107"/>
      <c r="BG736" s="107"/>
      <c r="BH736" s="107"/>
      <c r="BI736" s="107"/>
      <c r="BJ736" s="107"/>
      <c r="BK736" s="107"/>
      <c r="BL736" s="107"/>
      <c r="BM736" s="107"/>
      <c r="BN736" s="107"/>
      <c r="BO736" s="107"/>
      <c r="BP736" s="107"/>
      <c r="BQ736" s="107"/>
      <c r="BR736" s="107"/>
    </row>
    <row r="737" customFormat="false" ht="12.75" hidden="false" customHeight="false" outlineLevel="0" collapsed="false">
      <c r="A737" s="100"/>
      <c r="B737" s="100"/>
      <c r="C737" s="100"/>
      <c r="D737" s="100"/>
      <c r="E737" s="100"/>
      <c r="F737" s="277"/>
      <c r="H737" s="277"/>
      <c r="I737" s="277"/>
      <c r="J737" s="69"/>
      <c r="K737" s="277"/>
      <c r="L737" s="277"/>
      <c r="M737" s="277"/>
      <c r="N737" s="277"/>
      <c r="O737" s="277"/>
      <c r="P737" s="277"/>
      <c r="Q737" s="277"/>
      <c r="R737" s="277"/>
      <c r="T737" s="277"/>
      <c r="U737" s="277"/>
      <c r="W737" s="277"/>
      <c r="Y737" s="107"/>
      <c r="Z737" s="107"/>
      <c r="AA737" s="107"/>
      <c r="AB737" s="107"/>
      <c r="AC737" s="107"/>
      <c r="AD737" s="233"/>
      <c r="AE737" s="107"/>
      <c r="AF737" s="107"/>
      <c r="AG737" s="107"/>
      <c r="AH737" s="107"/>
      <c r="AI737" s="107"/>
      <c r="AJ737" s="107"/>
      <c r="AK737" s="107"/>
      <c r="AL737" s="107"/>
      <c r="AM737" s="304"/>
      <c r="AN737" s="304"/>
      <c r="AO737" s="304"/>
      <c r="AP737" s="304"/>
      <c r="AQ737" s="304"/>
      <c r="AR737" s="304"/>
      <c r="AS737" s="304"/>
      <c r="AT737" s="304"/>
      <c r="AU737" s="304"/>
      <c r="AV737" s="304"/>
      <c r="AW737" s="304"/>
      <c r="AX737" s="304"/>
      <c r="AY737" s="304"/>
      <c r="AZ737" s="304"/>
      <c r="BA737" s="304"/>
      <c r="BB737" s="107"/>
      <c r="BC737" s="107"/>
      <c r="BD737" s="107"/>
      <c r="BE737" s="107"/>
      <c r="BF737" s="107"/>
      <c r="BG737" s="107"/>
      <c r="BH737" s="107"/>
      <c r="BI737" s="107"/>
      <c r="BJ737" s="107"/>
      <c r="BK737" s="107"/>
      <c r="BL737" s="107"/>
      <c r="BM737" s="107"/>
      <c r="BN737" s="107"/>
      <c r="BO737" s="107"/>
      <c r="BP737" s="107"/>
      <c r="BQ737" s="107"/>
      <c r="BR737" s="107"/>
    </row>
    <row r="738" customFormat="false" ht="12.75" hidden="false" customHeight="false" outlineLevel="0" collapsed="false">
      <c r="A738" s="100"/>
      <c r="B738" s="100"/>
      <c r="C738" s="100"/>
      <c r="D738" s="100"/>
      <c r="E738" s="100"/>
      <c r="F738" s="277"/>
      <c r="H738" s="277"/>
      <c r="I738" s="277"/>
      <c r="J738" s="69"/>
      <c r="K738" s="277"/>
      <c r="L738" s="277"/>
      <c r="M738" s="277"/>
      <c r="N738" s="277"/>
      <c r="O738" s="277"/>
      <c r="P738" s="277"/>
      <c r="Q738" s="277"/>
      <c r="R738" s="277"/>
      <c r="T738" s="277"/>
      <c r="U738" s="277"/>
      <c r="W738" s="277"/>
      <c r="Y738" s="107"/>
      <c r="Z738" s="107"/>
      <c r="AA738" s="107"/>
      <c r="AB738" s="107"/>
      <c r="AC738" s="107"/>
      <c r="AD738" s="233"/>
      <c r="AE738" s="107"/>
      <c r="AF738" s="107"/>
      <c r="AG738" s="107"/>
      <c r="AH738" s="107"/>
      <c r="AI738" s="107"/>
      <c r="AJ738" s="107"/>
      <c r="AK738" s="107"/>
      <c r="AL738" s="107"/>
      <c r="AM738" s="304"/>
      <c r="AN738" s="304"/>
      <c r="AO738" s="304"/>
      <c r="AP738" s="304"/>
      <c r="AQ738" s="304"/>
      <c r="AR738" s="304"/>
      <c r="AS738" s="304"/>
      <c r="AT738" s="304"/>
      <c r="AU738" s="304"/>
      <c r="AV738" s="304"/>
      <c r="AW738" s="304"/>
      <c r="AX738" s="304"/>
      <c r="AY738" s="304"/>
      <c r="AZ738" s="304"/>
      <c r="BA738" s="304"/>
      <c r="BB738" s="107"/>
      <c r="BC738" s="107"/>
      <c r="BD738" s="107"/>
      <c r="BE738" s="107"/>
      <c r="BF738" s="107"/>
      <c r="BG738" s="107"/>
      <c r="BH738" s="107"/>
      <c r="BI738" s="107"/>
      <c r="BJ738" s="107"/>
      <c r="BK738" s="107"/>
      <c r="BL738" s="107"/>
      <c r="BM738" s="107"/>
      <c r="BN738" s="107"/>
      <c r="BO738" s="107"/>
      <c r="BP738" s="107"/>
      <c r="BQ738" s="107"/>
      <c r="BR738" s="107"/>
    </row>
    <row r="739" customFormat="false" ht="12.75" hidden="false" customHeight="false" outlineLevel="0" collapsed="false">
      <c r="A739" s="100"/>
      <c r="B739" s="100"/>
      <c r="C739" s="100"/>
      <c r="D739" s="100"/>
      <c r="E739" s="100"/>
      <c r="F739" s="277"/>
      <c r="H739" s="277"/>
      <c r="I739" s="277"/>
      <c r="J739" s="69"/>
      <c r="K739" s="277"/>
      <c r="L739" s="277"/>
      <c r="M739" s="277"/>
      <c r="N739" s="277"/>
      <c r="O739" s="277"/>
      <c r="P739" s="277"/>
      <c r="Q739" s="277"/>
      <c r="R739" s="277"/>
      <c r="T739" s="277"/>
      <c r="U739" s="277"/>
      <c r="W739" s="277"/>
      <c r="Y739" s="107"/>
      <c r="Z739" s="107"/>
      <c r="AA739" s="107"/>
      <c r="AB739" s="107"/>
      <c r="AC739" s="107"/>
      <c r="AD739" s="233"/>
      <c r="AE739" s="107"/>
      <c r="AF739" s="107"/>
      <c r="AG739" s="107"/>
      <c r="AH739" s="107"/>
      <c r="AI739" s="107"/>
      <c r="AJ739" s="107"/>
      <c r="AK739" s="107"/>
      <c r="AL739" s="107"/>
      <c r="AM739" s="304"/>
      <c r="AN739" s="304"/>
      <c r="AO739" s="304"/>
      <c r="AP739" s="304"/>
      <c r="AQ739" s="304"/>
      <c r="AR739" s="304"/>
      <c r="AS739" s="304"/>
      <c r="AT739" s="304"/>
      <c r="AU739" s="304"/>
      <c r="AV739" s="304"/>
      <c r="AW739" s="304"/>
      <c r="AX739" s="304"/>
      <c r="AY739" s="304"/>
      <c r="AZ739" s="304"/>
      <c r="BA739" s="304"/>
      <c r="BB739" s="107"/>
      <c r="BC739" s="107"/>
      <c r="BD739" s="107"/>
      <c r="BE739" s="107"/>
      <c r="BF739" s="107"/>
      <c r="BG739" s="107"/>
      <c r="BH739" s="107"/>
      <c r="BI739" s="107"/>
      <c r="BJ739" s="107"/>
      <c r="BK739" s="107"/>
      <c r="BL739" s="107"/>
      <c r="BM739" s="107"/>
      <c r="BN739" s="107"/>
      <c r="BO739" s="107"/>
      <c r="BP739" s="107"/>
      <c r="BQ739" s="107"/>
      <c r="BR739" s="107"/>
    </row>
    <row r="740" customFormat="false" ht="12.75" hidden="false" customHeight="false" outlineLevel="0" collapsed="false">
      <c r="A740" s="100"/>
      <c r="B740" s="100"/>
      <c r="C740" s="100"/>
      <c r="D740" s="100"/>
      <c r="E740" s="100"/>
      <c r="F740" s="277"/>
      <c r="H740" s="277"/>
      <c r="I740" s="277"/>
      <c r="J740" s="69"/>
      <c r="K740" s="277"/>
      <c r="L740" s="277"/>
      <c r="M740" s="277"/>
      <c r="N740" s="277"/>
      <c r="O740" s="277"/>
      <c r="P740" s="277"/>
      <c r="Q740" s="277"/>
      <c r="R740" s="277"/>
      <c r="T740" s="277"/>
      <c r="U740" s="277"/>
      <c r="W740" s="277"/>
      <c r="Y740" s="107"/>
      <c r="Z740" s="107"/>
      <c r="AA740" s="107"/>
      <c r="AB740" s="107"/>
      <c r="AC740" s="107"/>
      <c r="AD740" s="233"/>
      <c r="AE740" s="107"/>
      <c r="AF740" s="107"/>
      <c r="AG740" s="107"/>
      <c r="AH740" s="107"/>
      <c r="AI740" s="107"/>
      <c r="AJ740" s="107"/>
      <c r="AK740" s="107"/>
      <c r="AL740" s="107"/>
      <c r="AM740" s="304"/>
      <c r="AN740" s="304"/>
      <c r="AO740" s="304"/>
      <c r="AP740" s="304"/>
      <c r="AQ740" s="304"/>
      <c r="AR740" s="304"/>
      <c r="AS740" s="304"/>
      <c r="AT740" s="304"/>
      <c r="AU740" s="304"/>
      <c r="AV740" s="304"/>
      <c r="AW740" s="304"/>
      <c r="AX740" s="304"/>
      <c r="AY740" s="304"/>
      <c r="AZ740" s="304"/>
      <c r="BA740" s="304"/>
      <c r="BB740" s="107"/>
      <c r="BC740" s="107"/>
      <c r="BD740" s="107"/>
      <c r="BE740" s="107"/>
      <c r="BF740" s="107"/>
      <c r="BG740" s="107"/>
      <c r="BH740" s="107"/>
      <c r="BI740" s="107"/>
      <c r="BJ740" s="107"/>
      <c r="BK740" s="107"/>
      <c r="BL740" s="107"/>
      <c r="BM740" s="107"/>
      <c r="BN740" s="107"/>
      <c r="BO740" s="107"/>
      <c r="BP740" s="107"/>
      <c r="BQ740" s="107"/>
      <c r="BR740" s="107"/>
    </row>
    <row r="741" customFormat="false" ht="12.75" hidden="false" customHeight="false" outlineLevel="0" collapsed="false">
      <c r="A741" s="100"/>
      <c r="B741" s="100"/>
      <c r="C741" s="100"/>
      <c r="D741" s="100"/>
      <c r="E741" s="100"/>
      <c r="F741" s="277"/>
      <c r="H741" s="277"/>
      <c r="I741" s="277"/>
      <c r="J741" s="69"/>
      <c r="K741" s="277"/>
      <c r="L741" s="277"/>
      <c r="M741" s="277"/>
      <c r="N741" s="277"/>
      <c r="O741" s="277"/>
      <c r="P741" s="277"/>
      <c r="Q741" s="277"/>
      <c r="R741" s="277"/>
      <c r="T741" s="277"/>
      <c r="U741" s="277"/>
      <c r="W741" s="277"/>
      <c r="Y741" s="107"/>
      <c r="Z741" s="107"/>
      <c r="AA741" s="107"/>
      <c r="AB741" s="107"/>
      <c r="AC741" s="107"/>
      <c r="AD741" s="233"/>
      <c r="AE741" s="107"/>
      <c r="AF741" s="107"/>
      <c r="AG741" s="107"/>
      <c r="AH741" s="107"/>
      <c r="AI741" s="107"/>
      <c r="AJ741" s="107"/>
      <c r="AK741" s="107"/>
      <c r="AL741" s="107"/>
      <c r="AM741" s="304"/>
      <c r="AN741" s="304"/>
      <c r="AO741" s="304"/>
      <c r="AP741" s="304"/>
      <c r="AQ741" s="304"/>
      <c r="AR741" s="304"/>
      <c r="AS741" s="304"/>
      <c r="AT741" s="304"/>
      <c r="AU741" s="304"/>
      <c r="AV741" s="304"/>
      <c r="AW741" s="304"/>
      <c r="AX741" s="304"/>
      <c r="AY741" s="304"/>
      <c r="AZ741" s="304"/>
      <c r="BA741" s="304"/>
      <c r="BB741" s="107"/>
      <c r="BC741" s="107"/>
      <c r="BD741" s="107"/>
      <c r="BE741" s="107"/>
      <c r="BF741" s="107"/>
      <c r="BG741" s="107"/>
      <c r="BH741" s="107"/>
      <c r="BI741" s="107"/>
      <c r="BJ741" s="107"/>
      <c r="BK741" s="107"/>
      <c r="BL741" s="107"/>
      <c r="BM741" s="107"/>
      <c r="BN741" s="107"/>
      <c r="BO741" s="107"/>
      <c r="BP741" s="107"/>
      <c r="BQ741" s="107"/>
      <c r="BR741" s="107"/>
    </row>
    <row r="742" customFormat="false" ht="12.75" hidden="false" customHeight="false" outlineLevel="0" collapsed="false">
      <c r="A742" s="100"/>
      <c r="B742" s="100"/>
      <c r="C742" s="100"/>
      <c r="D742" s="100"/>
      <c r="E742" s="100"/>
      <c r="F742" s="277"/>
      <c r="H742" s="277"/>
      <c r="I742" s="277"/>
      <c r="J742" s="69"/>
      <c r="K742" s="277"/>
      <c r="L742" s="277"/>
      <c r="M742" s="277"/>
      <c r="N742" s="277"/>
      <c r="O742" s="277"/>
      <c r="P742" s="277"/>
      <c r="Q742" s="277"/>
      <c r="R742" s="277"/>
      <c r="T742" s="277"/>
      <c r="U742" s="277"/>
      <c r="W742" s="277"/>
      <c r="Y742" s="107"/>
      <c r="Z742" s="107"/>
      <c r="AA742" s="107"/>
      <c r="AB742" s="107"/>
      <c r="AC742" s="107"/>
      <c r="AD742" s="233"/>
      <c r="AE742" s="107"/>
      <c r="AF742" s="107"/>
      <c r="AG742" s="107"/>
      <c r="AH742" s="107"/>
      <c r="AI742" s="107"/>
      <c r="AJ742" s="107"/>
      <c r="AK742" s="107"/>
      <c r="AL742" s="107"/>
      <c r="AM742" s="304"/>
      <c r="AN742" s="304"/>
      <c r="AO742" s="304"/>
      <c r="AP742" s="304"/>
      <c r="AQ742" s="304"/>
      <c r="AR742" s="304"/>
      <c r="AS742" s="304"/>
      <c r="AT742" s="304"/>
      <c r="AU742" s="304"/>
      <c r="AV742" s="304"/>
      <c r="AW742" s="304"/>
      <c r="AX742" s="304"/>
      <c r="AY742" s="304"/>
      <c r="AZ742" s="304"/>
      <c r="BA742" s="304"/>
      <c r="BB742" s="107"/>
      <c r="BC742" s="107"/>
      <c r="BD742" s="107"/>
      <c r="BE742" s="107"/>
      <c r="BF742" s="107"/>
      <c r="BG742" s="107"/>
      <c r="BH742" s="107"/>
      <c r="BI742" s="107"/>
      <c r="BJ742" s="107"/>
      <c r="BK742" s="107"/>
      <c r="BL742" s="107"/>
      <c r="BM742" s="107"/>
      <c r="BN742" s="107"/>
      <c r="BO742" s="107"/>
      <c r="BP742" s="107"/>
      <c r="BQ742" s="107"/>
      <c r="BR742" s="107"/>
    </row>
    <row r="743" customFormat="false" ht="12.75" hidden="false" customHeight="false" outlineLevel="0" collapsed="false">
      <c r="A743" s="100"/>
      <c r="B743" s="100"/>
      <c r="C743" s="100"/>
      <c r="D743" s="100"/>
      <c r="E743" s="100"/>
      <c r="F743" s="277"/>
      <c r="H743" s="277"/>
      <c r="I743" s="277"/>
      <c r="J743" s="69"/>
      <c r="K743" s="277"/>
      <c r="L743" s="277"/>
      <c r="M743" s="277"/>
      <c r="N743" s="277"/>
      <c r="O743" s="277"/>
      <c r="P743" s="277"/>
      <c r="Q743" s="277"/>
      <c r="R743" s="277"/>
      <c r="T743" s="277"/>
      <c r="U743" s="277"/>
      <c r="W743" s="277"/>
      <c r="Y743" s="107"/>
      <c r="Z743" s="107"/>
      <c r="AA743" s="107"/>
      <c r="AB743" s="107"/>
      <c r="AC743" s="107"/>
      <c r="AD743" s="233"/>
      <c r="AE743" s="107"/>
      <c r="AF743" s="107"/>
      <c r="AG743" s="107"/>
      <c r="AH743" s="107"/>
      <c r="AI743" s="107"/>
      <c r="AJ743" s="107"/>
      <c r="AK743" s="107"/>
      <c r="AL743" s="107"/>
      <c r="AM743" s="304"/>
      <c r="AN743" s="304"/>
      <c r="AO743" s="304"/>
      <c r="AP743" s="304"/>
      <c r="AQ743" s="304"/>
      <c r="AR743" s="304"/>
      <c r="AS743" s="304"/>
      <c r="AT743" s="304"/>
      <c r="AU743" s="304"/>
      <c r="AV743" s="304"/>
      <c r="AW743" s="304"/>
      <c r="AX743" s="304"/>
      <c r="AY743" s="304"/>
      <c r="AZ743" s="304"/>
      <c r="BA743" s="304"/>
      <c r="BB743" s="107"/>
      <c r="BC743" s="107"/>
      <c r="BD743" s="107"/>
      <c r="BE743" s="107"/>
      <c r="BF743" s="107"/>
      <c r="BG743" s="107"/>
      <c r="BH743" s="107"/>
      <c r="BI743" s="107"/>
      <c r="BJ743" s="107"/>
      <c r="BK743" s="107"/>
      <c r="BL743" s="107"/>
      <c r="BM743" s="107"/>
      <c r="BN743" s="107"/>
      <c r="BO743" s="107"/>
      <c r="BP743" s="107"/>
      <c r="BQ743" s="107"/>
      <c r="BR743" s="107"/>
    </row>
    <row r="744" customFormat="false" ht="12.75" hidden="false" customHeight="false" outlineLevel="0" collapsed="false">
      <c r="A744" s="100"/>
      <c r="B744" s="100"/>
      <c r="C744" s="100"/>
      <c r="D744" s="100"/>
      <c r="E744" s="100"/>
      <c r="F744" s="277"/>
      <c r="H744" s="277"/>
      <c r="I744" s="277"/>
      <c r="J744" s="69"/>
      <c r="K744" s="277"/>
      <c r="L744" s="277"/>
      <c r="M744" s="277"/>
      <c r="N744" s="277"/>
      <c r="O744" s="277"/>
      <c r="P744" s="277"/>
      <c r="Q744" s="277"/>
      <c r="R744" s="277"/>
      <c r="T744" s="277"/>
      <c r="U744" s="277"/>
      <c r="W744" s="277"/>
      <c r="Y744" s="107"/>
      <c r="Z744" s="107"/>
      <c r="AA744" s="107"/>
      <c r="AB744" s="107"/>
      <c r="AC744" s="107"/>
      <c r="AD744" s="233"/>
      <c r="AE744" s="107"/>
      <c r="AF744" s="107"/>
      <c r="AG744" s="107"/>
      <c r="AH744" s="107"/>
      <c r="AI744" s="107"/>
      <c r="AJ744" s="107"/>
      <c r="AK744" s="107"/>
      <c r="AL744" s="107"/>
      <c r="AM744" s="304"/>
      <c r="AN744" s="304"/>
      <c r="AO744" s="304"/>
      <c r="AP744" s="304"/>
      <c r="AQ744" s="304"/>
      <c r="AR744" s="304"/>
      <c r="AS744" s="304"/>
      <c r="AT744" s="304"/>
      <c r="AU744" s="304"/>
      <c r="AV744" s="304"/>
      <c r="AW744" s="304"/>
      <c r="AX744" s="304"/>
      <c r="AY744" s="304"/>
      <c r="AZ744" s="304"/>
      <c r="BA744" s="304"/>
      <c r="BB744" s="107"/>
      <c r="BC744" s="107"/>
      <c r="BD744" s="107"/>
      <c r="BE744" s="107"/>
      <c r="BF744" s="107"/>
      <c r="BG744" s="107"/>
      <c r="BH744" s="107"/>
      <c r="BI744" s="107"/>
      <c r="BJ744" s="107"/>
      <c r="BK744" s="107"/>
      <c r="BL744" s="107"/>
      <c r="BM744" s="107"/>
      <c r="BN744" s="107"/>
      <c r="BO744" s="107"/>
      <c r="BP744" s="107"/>
      <c r="BQ744" s="107"/>
      <c r="BR744" s="107"/>
    </row>
    <row r="745" customFormat="false" ht="12.75" hidden="false" customHeight="false" outlineLevel="0" collapsed="false">
      <c r="A745" s="100"/>
      <c r="B745" s="100"/>
      <c r="C745" s="100"/>
      <c r="D745" s="100"/>
      <c r="E745" s="100"/>
      <c r="F745" s="277"/>
      <c r="H745" s="277"/>
      <c r="I745" s="277"/>
      <c r="J745" s="69"/>
      <c r="K745" s="277"/>
      <c r="L745" s="277"/>
      <c r="M745" s="277"/>
      <c r="N745" s="277"/>
      <c r="O745" s="277"/>
      <c r="P745" s="277"/>
      <c r="Q745" s="277"/>
      <c r="R745" s="277"/>
      <c r="T745" s="277"/>
      <c r="U745" s="277"/>
      <c r="W745" s="277"/>
      <c r="Y745" s="107"/>
      <c r="Z745" s="107"/>
      <c r="AA745" s="107"/>
      <c r="AB745" s="107"/>
      <c r="AC745" s="107"/>
      <c r="AD745" s="233"/>
      <c r="AE745" s="107"/>
      <c r="AF745" s="107"/>
      <c r="AG745" s="107"/>
      <c r="AH745" s="107"/>
      <c r="AI745" s="107"/>
      <c r="AJ745" s="107"/>
      <c r="AK745" s="107"/>
      <c r="AL745" s="107"/>
      <c r="AM745" s="304"/>
      <c r="AN745" s="304"/>
      <c r="AO745" s="304"/>
      <c r="AP745" s="304"/>
      <c r="AQ745" s="304"/>
      <c r="AR745" s="304"/>
      <c r="AS745" s="304"/>
      <c r="AT745" s="304"/>
      <c r="AU745" s="304"/>
      <c r="AV745" s="304"/>
      <c r="AW745" s="304"/>
      <c r="AX745" s="304"/>
      <c r="AY745" s="304"/>
      <c r="AZ745" s="304"/>
      <c r="BA745" s="304"/>
      <c r="BB745" s="107"/>
      <c r="BC745" s="107"/>
      <c r="BD745" s="107"/>
      <c r="BE745" s="107"/>
      <c r="BF745" s="107"/>
      <c r="BG745" s="107"/>
      <c r="BH745" s="107"/>
      <c r="BI745" s="107"/>
      <c r="BJ745" s="107"/>
      <c r="BK745" s="107"/>
      <c r="BL745" s="107"/>
      <c r="BM745" s="107"/>
      <c r="BN745" s="107"/>
      <c r="BO745" s="107"/>
      <c r="BP745" s="107"/>
      <c r="BQ745" s="107"/>
      <c r="BR745" s="107"/>
    </row>
    <row r="746" customFormat="false" ht="12.75" hidden="false" customHeight="false" outlineLevel="0" collapsed="false">
      <c r="A746" s="100"/>
      <c r="B746" s="100"/>
      <c r="C746" s="100"/>
      <c r="D746" s="100"/>
      <c r="E746" s="100"/>
      <c r="F746" s="277"/>
      <c r="H746" s="277"/>
      <c r="I746" s="277"/>
      <c r="J746" s="69"/>
      <c r="K746" s="277"/>
      <c r="L746" s="277"/>
      <c r="M746" s="277"/>
      <c r="N746" s="277"/>
      <c r="O746" s="277"/>
      <c r="P746" s="277"/>
      <c r="Q746" s="277"/>
      <c r="R746" s="277"/>
      <c r="T746" s="277"/>
      <c r="U746" s="277"/>
      <c r="W746" s="277"/>
      <c r="Y746" s="107"/>
      <c r="Z746" s="107"/>
      <c r="AA746" s="107"/>
      <c r="AB746" s="107"/>
      <c r="AC746" s="107"/>
      <c r="AD746" s="233"/>
      <c r="AE746" s="107"/>
      <c r="AF746" s="107"/>
      <c r="AG746" s="107"/>
      <c r="AH746" s="107"/>
      <c r="AI746" s="107"/>
      <c r="AJ746" s="107"/>
      <c r="AK746" s="107"/>
      <c r="AL746" s="107"/>
      <c r="AM746" s="304"/>
      <c r="AN746" s="304"/>
      <c r="AO746" s="304"/>
      <c r="AP746" s="304"/>
      <c r="AQ746" s="304"/>
      <c r="AR746" s="304"/>
      <c r="AS746" s="304"/>
      <c r="AT746" s="304"/>
      <c r="AU746" s="304"/>
      <c r="AV746" s="304"/>
      <c r="AW746" s="304"/>
      <c r="AX746" s="304"/>
      <c r="AY746" s="304"/>
      <c r="AZ746" s="304"/>
      <c r="BA746" s="304"/>
      <c r="BB746" s="107"/>
      <c r="BC746" s="107"/>
      <c r="BD746" s="107"/>
      <c r="BE746" s="107"/>
      <c r="BF746" s="107"/>
      <c r="BG746" s="107"/>
      <c r="BH746" s="107"/>
      <c r="BI746" s="107"/>
      <c r="BJ746" s="107"/>
      <c r="BK746" s="107"/>
      <c r="BL746" s="107"/>
      <c r="BM746" s="107"/>
      <c r="BN746" s="107"/>
      <c r="BO746" s="107"/>
      <c r="BP746" s="107"/>
      <c r="BQ746" s="107"/>
      <c r="BR746" s="107"/>
    </row>
    <row r="747" customFormat="false" ht="12.75" hidden="false" customHeight="false" outlineLevel="0" collapsed="false">
      <c r="A747" s="100"/>
      <c r="B747" s="100"/>
      <c r="C747" s="100"/>
      <c r="D747" s="100"/>
      <c r="E747" s="100"/>
      <c r="F747" s="277"/>
      <c r="H747" s="277"/>
      <c r="I747" s="277"/>
      <c r="J747" s="69"/>
      <c r="K747" s="277"/>
      <c r="L747" s="277"/>
      <c r="M747" s="277"/>
      <c r="N747" s="277"/>
      <c r="O747" s="277"/>
      <c r="P747" s="277"/>
      <c r="Q747" s="277"/>
      <c r="R747" s="277"/>
      <c r="T747" s="277"/>
      <c r="U747" s="277"/>
      <c r="W747" s="277"/>
      <c r="Y747" s="107"/>
      <c r="Z747" s="107"/>
      <c r="AA747" s="107"/>
      <c r="AB747" s="107"/>
      <c r="AC747" s="107"/>
      <c r="AD747" s="233"/>
      <c r="AE747" s="107"/>
      <c r="AF747" s="107"/>
      <c r="AG747" s="107"/>
      <c r="AH747" s="107"/>
      <c r="AI747" s="107"/>
      <c r="AJ747" s="107"/>
      <c r="AK747" s="107"/>
      <c r="AL747" s="107"/>
      <c r="AM747" s="304"/>
      <c r="AN747" s="304"/>
      <c r="AO747" s="304"/>
      <c r="AP747" s="304"/>
      <c r="AQ747" s="304"/>
      <c r="AR747" s="304"/>
      <c r="AS747" s="304"/>
      <c r="AT747" s="304"/>
      <c r="AU747" s="304"/>
      <c r="AV747" s="304"/>
      <c r="AW747" s="304"/>
      <c r="AX747" s="304"/>
      <c r="AY747" s="304"/>
      <c r="AZ747" s="304"/>
      <c r="BA747" s="304"/>
      <c r="BB747" s="107"/>
      <c r="BC747" s="107"/>
      <c r="BD747" s="107"/>
      <c r="BE747" s="107"/>
      <c r="BF747" s="107"/>
      <c r="BG747" s="107"/>
      <c r="BH747" s="107"/>
      <c r="BI747" s="107"/>
      <c r="BJ747" s="107"/>
      <c r="BK747" s="107"/>
      <c r="BL747" s="107"/>
      <c r="BM747" s="107"/>
      <c r="BN747" s="107"/>
      <c r="BO747" s="107"/>
      <c r="BP747" s="107"/>
      <c r="BQ747" s="107"/>
      <c r="BR747" s="107"/>
    </row>
    <row r="748" customFormat="false" ht="12.75" hidden="false" customHeight="false" outlineLevel="0" collapsed="false">
      <c r="A748" s="100"/>
      <c r="B748" s="100"/>
      <c r="C748" s="100"/>
      <c r="D748" s="100"/>
      <c r="E748" s="100"/>
      <c r="F748" s="277"/>
      <c r="H748" s="277"/>
      <c r="I748" s="277"/>
      <c r="J748" s="69"/>
      <c r="K748" s="277"/>
      <c r="L748" s="277"/>
      <c r="M748" s="277"/>
      <c r="N748" s="277"/>
      <c r="O748" s="277"/>
      <c r="P748" s="277"/>
      <c r="Q748" s="277"/>
      <c r="R748" s="277"/>
      <c r="T748" s="277"/>
      <c r="U748" s="277"/>
      <c r="W748" s="277"/>
      <c r="Y748" s="107"/>
      <c r="Z748" s="107"/>
      <c r="AA748" s="107"/>
      <c r="AB748" s="107"/>
      <c r="AC748" s="107"/>
      <c r="AD748" s="233"/>
      <c r="AE748" s="107"/>
      <c r="AF748" s="107"/>
      <c r="AG748" s="107"/>
      <c r="AH748" s="107"/>
      <c r="AI748" s="107"/>
      <c r="AJ748" s="107"/>
      <c r="AK748" s="107"/>
      <c r="AL748" s="107"/>
      <c r="AM748" s="304"/>
      <c r="AN748" s="304"/>
      <c r="AO748" s="304"/>
      <c r="AP748" s="304"/>
      <c r="AQ748" s="304"/>
      <c r="AR748" s="304"/>
      <c r="AS748" s="304"/>
      <c r="AT748" s="304"/>
      <c r="AU748" s="304"/>
      <c r="AV748" s="304"/>
      <c r="AW748" s="304"/>
      <c r="AX748" s="304"/>
      <c r="AY748" s="304"/>
      <c r="AZ748" s="304"/>
      <c r="BA748" s="304"/>
      <c r="BB748" s="107"/>
      <c r="BC748" s="107"/>
      <c r="BD748" s="107"/>
      <c r="BE748" s="107"/>
      <c r="BF748" s="107"/>
      <c r="BG748" s="107"/>
      <c r="BH748" s="107"/>
      <c r="BI748" s="107"/>
      <c r="BJ748" s="107"/>
      <c r="BK748" s="107"/>
      <c r="BL748" s="107"/>
      <c r="BM748" s="107"/>
      <c r="BN748" s="107"/>
      <c r="BO748" s="107"/>
      <c r="BP748" s="107"/>
      <c r="BQ748" s="107"/>
      <c r="BR748" s="107"/>
    </row>
    <row r="749" customFormat="false" ht="12.75" hidden="false" customHeight="false" outlineLevel="0" collapsed="false">
      <c r="A749" s="100"/>
      <c r="B749" s="100"/>
      <c r="C749" s="100"/>
      <c r="D749" s="100"/>
      <c r="E749" s="100"/>
      <c r="F749" s="277"/>
      <c r="H749" s="277"/>
      <c r="I749" s="277"/>
      <c r="J749" s="69"/>
      <c r="K749" s="277"/>
      <c r="L749" s="277"/>
      <c r="M749" s="277"/>
      <c r="N749" s="277"/>
      <c r="O749" s="277"/>
      <c r="P749" s="277"/>
      <c r="Q749" s="277"/>
      <c r="R749" s="277"/>
      <c r="T749" s="277"/>
      <c r="U749" s="277"/>
      <c r="W749" s="277"/>
      <c r="Y749" s="107"/>
      <c r="Z749" s="107"/>
      <c r="AA749" s="107"/>
      <c r="AB749" s="107"/>
      <c r="AC749" s="107"/>
      <c r="AD749" s="233"/>
      <c r="AE749" s="107"/>
      <c r="AF749" s="107"/>
      <c r="AG749" s="107"/>
      <c r="AH749" s="107"/>
      <c r="AI749" s="107"/>
      <c r="AJ749" s="107"/>
      <c r="AK749" s="107"/>
      <c r="AL749" s="107"/>
      <c r="AM749" s="304"/>
      <c r="AN749" s="304"/>
      <c r="AO749" s="304"/>
      <c r="AP749" s="304"/>
      <c r="AQ749" s="304"/>
      <c r="AR749" s="304"/>
      <c r="AS749" s="304"/>
      <c r="AT749" s="304"/>
      <c r="AU749" s="304"/>
      <c r="AV749" s="304"/>
      <c r="AW749" s="304"/>
      <c r="AX749" s="304"/>
      <c r="AY749" s="304"/>
      <c r="AZ749" s="304"/>
      <c r="BA749" s="304"/>
      <c r="BB749" s="107"/>
      <c r="BC749" s="107"/>
      <c r="BD749" s="107"/>
      <c r="BE749" s="107"/>
      <c r="BF749" s="107"/>
      <c r="BG749" s="107"/>
      <c r="BH749" s="107"/>
      <c r="BI749" s="107"/>
      <c r="BJ749" s="107"/>
      <c r="BK749" s="107"/>
      <c r="BL749" s="107"/>
      <c r="BM749" s="107"/>
      <c r="BN749" s="107"/>
      <c r="BO749" s="107"/>
      <c r="BP749" s="107"/>
      <c r="BQ749" s="107"/>
      <c r="BR749" s="107"/>
    </row>
    <row r="750" customFormat="false" ht="12.75" hidden="false" customHeight="false" outlineLevel="0" collapsed="false">
      <c r="A750" s="100"/>
      <c r="B750" s="100"/>
      <c r="C750" s="100"/>
      <c r="D750" s="100"/>
      <c r="E750" s="100"/>
      <c r="F750" s="277"/>
      <c r="H750" s="277"/>
      <c r="I750" s="277"/>
      <c r="J750" s="69"/>
      <c r="K750" s="277"/>
      <c r="L750" s="277"/>
      <c r="M750" s="277"/>
      <c r="N750" s="277"/>
      <c r="O750" s="277"/>
      <c r="P750" s="277"/>
      <c r="Q750" s="277"/>
      <c r="R750" s="277"/>
      <c r="T750" s="277"/>
      <c r="U750" s="277"/>
      <c r="W750" s="277"/>
      <c r="Y750" s="107"/>
      <c r="Z750" s="107"/>
      <c r="AA750" s="107"/>
      <c r="AB750" s="107"/>
      <c r="AC750" s="107"/>
      <c r="AD750" s="233"/>
      <c r="AE750" s="107"/>
      <c r="AF750" s="107"/>
      <c r="AG750" s="107"/>
      <c r="AH750" s="107"/>
      <c r="AI750" s="107"/>
      <c r="AJ750" s="107"/>
      <c r="AK750" s="107"/>
      <c r="AL750" s="107"/>
      <c r="AM750" s="304"/>
      <c r="AN750" s="304"/>
      <c r="AO750" s="304"/>
      <c r="AP750" s="304"/>
      <c r="AQ750" s="304"/>
      <c r="AR750" s="304"/>
      <c r="AS750" s="304"/>
      <c r="AT750" s="304"/>
      <c r="AU750" s="304"/>
      <c r="AV750" s="304"/>
      <c r="AW750" s="304"/>
      <c r="AX750" s="304"/>
      <c r="AY750" s="304"/>
      <c r="AZ750" s="304"/>
      <c r="BA750" s="304"/>
      <c r="BB750" s="107"/>
      <c r="BC750" s="107"/>
      <c r="BD750" s="107"/>
      <c r="BE750" s="107"/>
      <c r="BF750" s="107"/>
      <c r="BG750" s="107"/>
      <c r="BH750" s="107"/>
      <c r="BI750" s="107"/>
      <c r="BJ750" s="107"/>
      <c r="BK750" s="107"/>
      <c r="BL750" s="107"/>
      <c r="BM750" s="107"/>
      <c r="BN750" s="107"/>
      <c r="BO750" s="107"/>
      <c r="BP750" s="107"/>
      <c r="BQ750" s="107"/>
      <c r="BR750" s="107"/>
    </row>
    <row r="751" customFormat="false" ht="12.75" hidden="false" customHeight="false" outlineLevel="0" collapsed="false">
      <c r="A751" s="100"/>
      <c r="B751" s="100"/>
      <c r="C751" s="100"/>
      <c r="D751" s="100"/>
      <c r="E751" s="100"/>
      <c r="F751" s="277"/>
      <c r="H751" s="277"/>
      <c r="I751" s="277"/>
      <c r="J751" s="69"/>
      <c r="K751" s="277"/>
      <c r="L751" s="277"/>
      <c r="M751" s="277"/>
      <c r="N751" s="277"/>
      <c r="O751" s="277"/>
      <c r="P751" s="277"/>
      <c r="Q751" s="277"/>
      <c r="R751" s="277"/>
      <c r="T751" s="277"/>
      <c r="U751" s="277"/>
      <c r="W751" s="277"/>
      <c r="Y751" s="107"/>
      <c r="Z751" s="107"/>
      <c r="AA751" s="107"/>
      <c r="AB751" s="107"/>
      <c r="AC751" s="107"/>
      <c r="AD751" s="233"/>
      <c r="AE751" s="107"/>
      <c r="AF751" s="107"/>
      <c r="AG751" s="107"/>
      <c r="AH751" s="107"/>
      <c r="AI751" s="107"/>
      <c r="AJ751" s="107"/>
      <c r="AK751" s="107"/>
      <c r="AL751" s="107"/>
      <c r="AM751" s="304"/>
      <c r="AN751" s="304"/>
      <c r="AO751" s="304"/>
      <c r="AP751" s="304"/>
      <c r="AQ751" s="304"/>
      <c r="AR751" s="304"/>
      <c r="AS751" s="304"/>
      <c r="AT751" s="304"/>
      <c r="AU751" s="304"/>
      <c r="AV751" s="304"/>
      <c r="AW751" s="304"/>
      <c r="AX751" s="304"/>
      <c r="AY751" s="304"/>
      <c r="AZ751" s="304"/>
      <c r="BA751" s="304"/>
      <c r="BB751" s="107"/>
      <c r="BC751" s="107"/>
      <c r="BD751" s="107"/>
      <c r="BE751" s="107"/>
      <c r="BF751" s="107"/>
      <c r="BG751" s="107"/>
      <c r="BH751" s="107"/>
      <c r="BI751" s="107"/>
      <c r="BJ751" s="107"/>
      <c r="BK751" s="107"/>
      <c r="BL751" s="107"/>
      <c r="BM751" s="107"/>
      <c r="BN751" s="107"/>
      <c r="BO751" s="107"/>
      <c r="BP751" s="107"/>
      <c r="BQ751" s="107"/>
      <c r="BR751" s="107"/>
    </row>
    <row r="752" customFormat="false" ht="12.75" hidden="false" customHeight="false" outlineLevel="0" collapsed="false">
      <c r="A752" s="100"/>
      <c r="B752" s="100"/>
      <c r="C752" s="100"/>
      <c r="D752" s="100"/>
      <c r="E752" s="100"/>
      <c r="F752" s="277"/>
      <c r="H752" s="277"/>
      <c r="I752" s="277"/>
      <c r="J752" s="69"/>
      <c r="K752" s="277"/>
      <c r="L752" s="277"/>
      <c r="M752" s="277"/>
      <c r="N752" s="277"/>
      <c r="O752" s="277"/>
      <c r="P752" s="277"/>
      <c r="Q752" s="277"/>
      <c r="R752" s="277"/>
      <c r="T752" s="277"/>
      <c r="U752" s="277"/>
      <c r="W752" s="277"/>
      <c r="Y752" s="107"/>
      <c r="Z752" s="107"/>
      <c r="AA752" s="107"/>
      <c r="AB752" s="107"/>
      <c r="AC752" s="107"/>
      <c r="AD752" s="233"/>
      <c r="AE752" s="107"/>
      <c r="AF752" s="107"/>
      <c r="AG752" s="107"/>
      <c r="AH752" s="107"/>
      <c r="AI752" s="107"/>
      <c r="AJ752" s="107"/>
      <c r="AK752" s="107"/>
      <c r="AL752" s="107"/>
      <c r="AM752" s="304"/>
      <c r="AN752" s="304"/>
      <c r="AO752" s="304"/>
      <c r="AP752" s="304"/>
      <c r="AQ752" s="304"/>
      <c r="AR752" s="304"/>
      <c r="AS752" s="304"/>
      <c r="AT752" s="304"/>
      <c r="AU752" s="304"/>
      <c r="AV752" s="304"/>
      <c r="AW752" s="304"/>
      <c r="AX752" s="304"/>
      <c r="AY752" s="304"/>
      <c r="AZ752" s="304"/>
      <c r="BA752" s="304"/>
      <c r="BB752" s="107"/>
      <c r="BC752" s="107"/>
      <c r="BD752" s="107"/>
      <c r="BE752" s="107"/>
      <c r="BF752" s="107"/>
      <c r="BG752" s="107"/>
      <c r="BH752" s="107"/>
      <c r="BI752" s="107"/>
      <c r="BJ752" s="107"/>
      <c r="BK752" s="107"/>
      <c r="BL752" s="107"/>
      <c r="BM752" s="107"/>
      <c r="BN752" s="107"/>
      <c r="BO752" s="107"/>
      <c r="BP752" s="107"/>
      <c r="BQ752" s="107"/>
      <c r="BR752" s="107"/>
    </row>
    <row r="753" customFormat="false" ht="12.75" hidden="false" customHeight="false" outlineLevel="0" collapsed="false">
      <c r="A753" s="100"/>
      <c r="B753" s="100"/>
      <c r="C753" s="100"/>
      <c r="D753" s="100"/>
      <c r="E753" s="100"/>
      <c r="F753" s="277"/>
      <c r="H753" s="277"/>
      <c r="I753" s="277"/>
      <c r="J753" s="69"/>
      <c r="K753" s="277"/>
      <c r="L753" s="277"/>
      <c r="M753" s="277"/>
      <c r="N753" s="277"/>
      <c r="O753" s="277"/>
      <c r="P753" s="277"/>
      <c r="Q753" s="277"/>
      <c r="R753" s="277"/>
      <c r="T753" s="277"/>
      <c r="U753" s="277"/>
      <c r="W753" s="277"/>
      <c r="Y753" s="107"/>
      <c r="Z753" s="107"/>
      <c r="AA753" s="107"/>
      <c r="AB753" s="107"/>
      <c r="AC753" s="107"/>
      <c r="AD753" s="233"/>
      <c r="AE753" s="107"/>
      <c r="AF753" s="107"/>
      <c r="AG753" s="107"/>
      <c r="AH753" s="107"/>
      <c r="AI753" s="107"/>
      <c r="AJ753" s="107"/>
      <c r="AK753" s="107"/>
      <c r="AL753" s="107"/>
      <c r="AM753" s="304"/>
      <c r="AN753" s="304"/>
      <c r="AO753" s="304"/>
      <c r="AP753" s="304"/>
      <c r="AQ753" s="304"/>
      <c r="AR753" s="304"/>
      <c r="AS753" s="304"/>
      <c r="AT753" s="304"/>
      <c r="AU753" s="304"/>
      <c r="AV753" s="304"/>
      <c r="AW753" s="304"/>
      <c r="AX753" s="304"/>
      <c r="AY753" s="304"/>
      <c r="AZ753" s="304"/>
      <c r="BA753" s="304"/>
      <c r="BB753" s="107"/>
      <c r="BC753" s="107"/>
      <c r="BD753" s="107"/>
      <c r="BE753" s="107"/>
      <c r="BF753" s="107"/>
      <c r="BG753" s="107"/>
      <c r="BH753" s="107"/>
      <c r="BI753" s="107"/>
      <c r="BJ753" s="107"/>
      <c r="BK753" s="107"/>
      <c r="BL753" s="107"/>
      <c r="BM753" s="107"/>
      <c r="BN753" s="107"/>
      <c r="BO753" s="107"/>
      <c r="BP753" s="107"/>
      <c r="BQ753" s="107"/>
      <c r="BR753" s="107"/>
    </row>
    <row r="754" customFormat="false" ht="12.75" hidden="false" customHeight="false" outlineLevel="0" collapsed="false">
      <c r="A754" s="100"/>
      <c r="B754" s="100"/>
      <c r="C754" s="100"/>
      <c r="D754" s="100"/>
      <c r="E754" s="100"/>
      <c r="F754" s="277"/>
      <c r="H754" s="277"/>
      <c r="I754" s="277"/>
      <c r="J754" s="69"/>
      <c r="K754" s="277"/>
      <c r="L754" s="277"/>
      <c r="M754" s="277"/>
      <c r="N754" s="277"/>
      <c r="O754" s="277"/>
      <c r="P754" s="277"/>
      <c r="Q754" s="277"/>
      <c r="R754" s="277"/>
      <c r="T754" s="277"/>
      <c r="U754" s="277"/>
      <c r="W754" s="277"/>
      <c r="Y754" s="107"/>
      <c r="Z754" s="107"/>
      <c r="AA754" s="107"/>
      <c r="AB754" s="107"/>
      <c r="AC754" s="107"/>
      <c r="AD754" s="233"/>
      <c r="AE754" s="107"/>
      <c r="AF754" s="107"/>
      <c r="AG754" s="107"/>
      <c r="AH754" s="107"/>
      <c r="AI754" s="107"/>
      <c r="AJ754" s="107"/>
      <c r="AK754" s="107"/>
      <c r="AL754" s="107"/>
      <c r="AM754" s="304"/>
      <c r="AN754" s="304"/>
      <c r="AO754" s="304"/>
      <c r="AP754" s="304"/>
      <c r="AQ754" s="304"/>
      <c r="AR754" s="304"/>
      <c r="AS754" s="304"/>
      <c r="AT754" s="304"/>
      <c r="AU754" s="304"/>
      <c r="AV754" s="304"/>
      <c r="AW754" s="304"/>
      <c r="AX754" s="304"/>
      <c r="AY754" s="304"/>
      <c r="AZ754" s="304"/>
      <c r="BA754" s="304"/>
      <c r="BB754" s="107"/>
      <c r="BC754" s="107"/>
      <c r="BD754" s="107"/>
      <c r="BE754" s="107"/>
      <c r="BF754" s="107"/>
      <c r="BG754" s="107"/>
      <c r="BH754" s="107"/>
      <c r="BI754" s="107"/>
      <c r="BJ754" s="107"/>
      <c r="BK754" s="107"/>
      <c r="BL754" s="107"/>
      <c r="BM754" s="107"/>
      <c r="BN754" s="107"/>
      <c r="BO754" s="107"/>
      <c r="BP754" s="107"/>
      <c r="BQ754" s="107"/>
      <c r="BR754" s="107"/>
    </row>
    <row r="755" customFormat="false" ht="12.75" hidden="false" customHeight="false" outlineLevel="0" collapsed="false">
      <c r="A755" s="100"/>
      <c r="B755" s="100"/>
      <c r="C755" s="100"/>
      <c r="D755" s="100"/>
      <c r="E755" s="100"/>
      <c r="F755" s="277"/>
      <c r="H755" s="277"/>
      <c r="I755" s="277"/>
      <c r="J755" s="69"/>
      <c r="K755" s="277"/>
      <c r="L755" s="277"/>
      <c r="M755" s="277"/>
      <c r="N755" s="277"/>
      <c r="O755" s="277"/>
      <c r="P755" s="277"/>
      <c r="Q755" s="277"/>
      <c r="R755" s="277"/>
      <c r="T755" s="277"/>
      <c r="U755" s="277"/>
      <c r="W755" s="277"/>
      <c r="Y755" s="107"/>
      <c r="Z755" s="107"/>
      <c r="AA755" s="107"/>
      <c r="AB755" s="107"/>
      <c r="AC755" s="107"/>
      <c r="AD755" s="233"/>
      <c r="AE755" s="107"/>
      <c r="AF755" s="107"/>
      <c r="AG755" s="107"/>
      <c r="AH755" s="107"/>
      <c r="AI755" s="107"/>
      <c r="AJ755" s="107"/>
      <c r="AK755" s="107"/>
      <c r="AL755" s="107"/>
      <c r="AM755" s="304"/>
      <c r="AN755" s="304"/>
      <c r="AO755" s="304"/>
      <c r="AP755" s="304"/>
      <c r="AQ755" s="304"/>
      <c r="AR755" s="304"/>
      <c r="AS755" s="304"/>
      <c r="AT755" s="304"/>
      <c r="AU755" s="304"/>
      <c r="AV755" s="304"/>
      <c r="AW755" s="304"/>
      <c r="AX755" s="304"/>
      <c r="AY755" s="304"/>
      <c r="AZ755" s="304"/>
      <c r="BA755" s="304"/>
      <c r="BB755" s="107"/>
      <c r="BC755" s="107"/>
      <c r="BD755" s="107"/>
      <c r="BE755" s="107"/>
      <c r="BF755" s="107"/>
      <c r="BG755" s="107"/>
      <c r="BH755" s="107"/>
      <c r="BI755" s="107"/>
      <c r="BJ755" s="107"/>
      <c r="BK755" s="107"/>
      <c r="BL755" s="107"/>
      <c r="BM755" s="107"/>
      <c r="BN755" s="107"/>
      <c r="BO755" s="107"/>
      <c r="BP755" s="107"/>
      <c r="BQ755" s="107"/>
      <c r="BR755" s="107"/>
    </row>
    <row r="756" customFormat="false" ht="12.75" hidden="false" customHeight="false" outlineLevel="0" collapsed="false">
      <c r="A756" s="100"/>
      <c r="B756" s="100"/>
      <c r="C756" s="100"/>
      <c r="D756" s="100"/>
      <c r="E756" s="100"/>
      <c r="F756" s="277"/>
      <c r="H756" s="277"/>
      <c r="I756" s="277"/>
      <c r="J756" s="277"/>
      <c r="K756" s="277"/>
      <c r="L756" s="277"/>
      <c r="M756" s="277"/>
      <c r="N756" s="277"/>
      <c r="O756" s="277"/>
      <c r="P756" s="277"/>
      <c r="Q756" s="277"/>
      <c r="R756" s="277"/>
      <c r="T756" s="277"/>
      <c r="U756" s="277"/>
      <c r="W756" s="277"/>
      <c r="Y756" s="107"/>
      <c r="Z756" s="107"/>
      <c r="AA756" s="107"/>
      <c r="AB756" s="107"/>
      <c r="AC756" s="107"/>
      <c r="AD756" s="233"/>
      <c r="AE756" s="107"/>
      <c r="AF756" s="107"/>
      <c r="AG756" s="107"/>
      <c r="AH756" s="107"/>
      <c r="AI756" s="107"/>
      <c r="AJ756" s="107"/>
      <c r="AK756" s="107"/>
      <c r="AL756" s="107"/>
      <c r="AM756" s="304"/>
      <c r="AN756" s="304"/>
      <c r="AO756" s="304"/>
      <c r="AP756" s="304"/>
      <c r="AQ756" s="304"/>
      <c r="AR756" s="304"/>
      <c r="AS756" s="304"/>
      <c r="AT756" s="304"/>
      <c r="AU756" s="304"/>
      <c r="AV756" s="304"/>
      <c r="AW756" s="304"/>
      <c r="AX756" s="304"/>
      <c r="AY756" s="304"/>
      <c r="AZ756" s="304"/>
      <c r="BA756" s="304"/>
      <c r="BB756" s="107"/>
      <c r="BC756" s="107"/>
      <c r="BD756" s="107"/>
      <c r="BE756" s="107"/>
      <c r="BF756" s="107"/>
      <c r="BG756" s="107"/>
      <c r="BH756" s="107"/>
      <c r="BI756" s="107"/>
      <c r="BJ756" s="107"/>
      <c r="BK756" s="107"/>
      <c r="BL756" s="107"/>
      <c r="BM756" s="107"/>
      <c r="BN756" s="107"/>
      <c r="BO756" s="107"/>
      <c r="BP756" s="107"/>
      <c r="BQ756" s="107"/>
      <c r="BR756" s="107"/>
    </row>
    <row r="757" customFormat="false" ht="12.75" hidden="false" customHeight="false" outlineLevel="0" collapsed="false">
      <c r="A757" s="100"/>
      <c r="B757" s="100"/>
      <c r="C757" s="100"/>
      <c r="D757" s="100"/>
      <c r="E757" s="100"/>
      <c r="F757" s="277"/>
      <c r="H757" s="277"/>
      <c r="I757" s="277"/>
      <c r="J757" s="277"/>
      <c r="K757" s="277"/>
      <c r="L757" s="277"/>
      <c r="M757" s="277"/>
      <c r="N757" s="277"/>
      <c r="O757" s="277"/>
      <c r="P757" s="277"/>
      <c r="Q757" s="277"/>
      <c r="R757" s="277"/>
      <c r="T757" s="277"/>
      <c r="U757" s="277"/>
      <c r="W757" s="277"/>
      <c r="Y757" s="107"/>
      <c r="Z757" s="107"/>
      <c r="AA757" s="107"/>
      <c r="AB757" s="107"/>
      <c r="AC757" s="107"/>
      <c r="AD757" s="233"/>
      <c r="AE757" s="107"/>
      <c r="AF757" s="107"/>
      <c r="AG757" s="107"/>
      <c r="AH757" s="107"/>
      <c r="AI757" s="107"/>
      <c r="AJ757" s="107"/>
      <c r="AK757" s="107"/>
      <c r="AL757" s="107"/>
      <c r="AM757" s="304"/>
      <c r="AN757" s="304"/>
      <c r="AO757" s="304"/>
      <c r="AP757" s="304"/>
      <c r="AQ757" s="304"/>
      <c r="AR757" s="304"/>
      <c r="AS757" s="304"/>
      <c r="AT757" s="304"/>
      <c r="AU757" s="304"/>
      <c r="AV757" s="304"/>
      <c r="AW757" s="304"/>
      <c r="AX757" s="304"/>
      <c r="AY757" s="304"/>
      <c r="AZ757" s="304"/>
      <c r="BA757" s="304"/>
      <c r="BB757" s="107"/>
      <c r="BC757" s="107"/>
      <c r="BD757" s="107"/>
      <c r="BE757" s="107"/>
      <c r="BF757" s="107"/>
      <c r="BG757" s="107"/>
      <c r="BH757" s="107"/>
      <c r="BI757" s="107"/>
      <c r="BJ757" s="107"/>
      <c r="BK757" s="107"/>
      <c r="BL757" s="107"/>
      <c r="BM757" s="107"/>
      <c r="BN757" s="107"/>
      <c r="BO757" s="107"/>
      <c r="BP757" s="107"/>
      <c r="BQ757" s="107"/>
      <c r="BR757" s="107"/>
    </row>
    <row r="758" customFormat="false" ht="12.75" hidden="false" customHeight="false" outlineLevel="0" collapsed="false">
      <c r="A758" s="100"/>
      <c r="B758" s="100"/>
      <c r="C758" s="100"/>
      <c r="D758" s="100"/>
      <c r="E758" s="100"/>
      <c r="F758" s="277"/>
      <c r="H758" s="277"/>
      <c r="I758" s="277"/>
      <c r="J758" s="277"/>
      <c r="K758" s="277"/>
      <c r="L758" s="277"/>
      <c r="M758" s="277"/>
      <c r="N758" s="277"/>
      <c r="O758" s="277"/>
      <c r="P758" s="277"/>
      <c r="Q758" s="277"/>
      <c r="R758" s="277"/>
      <c r="T758" s="277"/>
      <c r="U758" s="277"/>
      <c r="W758" s="277"/>
      <c r="Y758" s="107"/>
      <c r="Z758" s="107"/>
      <c r="AA758" s="107"/>
      <c r="AB758" s="107"/>
      <c r="AC758" s="107"/>
      <c r="AD758" s="233"/>
      <c r="AE758" s="107"/>
      <c r="AF758" s="107"/>
      <c r="AG758" s="107"/>
      <c r="AH758" s="107"/>
      <c r="AI758" s="107"/>
      <c r="AJ758" s="107"/>
      <c r="AK758" s="107"/>
      <c r="AL758" s="107"/>
      <c r="AM758" s="304"/>
      <c r="AN758" s="304"/>
      <c r="AO758" s="304"/>
      <c r="AP758" s="304"/>
      <c r="AQ758" s="304"/>
      <c r="AR758" s="304"/>
      <c r="AS758" s="304"/>
      <c r="AT758" s="304"/>
      <c r="AU758" s="304"/>
      <c r="AV758" s="304"/>
      <c r="AW758" s="304"/>
      <c r="AX758" s="304"/>
      <c r="AY758" s="304"/>
      <c r="AZ758" s="304"/>
      <c r="BA758" s="304"/>
      <c r="BB758" s="107"/>
      <c r="BC758" s="107"/>
      <c r="BD758" s="107"/>
      <c r="BE758" s="107"/>
      <c r="BF758" s="107"/>
      <c r="BG758" s="107"/>
      <c r="BH758" s="107"/>
      <c r="BI758" s="107"/>
      <c r="BJ758" s="107"/>
      <c r="BK758" s="107"/>
      <c r="BL758" s="107"/>
      <c r="BM758" s="107"/>
      <c r="BN758" s="107"/>
      <c r="BO758" s="107"/>
      <c r="BP758" s="107"/>
      <c r="BQ758" s="107"/>
      <c r="BR758" s="107"/>
    </row>
    <row r="759" customFormat="false" ht="12.75" hidden="false" customHeight="false" outlineLevel="0" collapsed="false">
      <c r="A759" s="100"/>
      <c r="B759" s="100"/>
      <c r="C759" s="100"/>
      <c r="D759" s="100"/>
      <c r="E759" s="100"/>
      <c r="F759" s="277"/>
      <c r="H759" s="277"/>
      <c r="I759" s="277"/>
      <c r="J759" s="277"/>
      <c r="K759" s="277"/>
      <c r="L759" s="277"/>
      <c r="M759" s="277"/>
      <c r="N759" s="277"/>
      <c r="O759" s="277"/>
      <c r="P759" s="277"/>
      <c r="Q759" s="277"/>
      <c r="R759" s="277"/>
      <c r="T759" s="277"/>
      <c r="U759" s="277"/>
      <c r="W759" s="277"/>
      <c r="Y759" s="107"/>
      <c r="Z759" s="107"/>
      <c r="AA759" s="107"/>
      <c r="AB759" s="107"/>
      <c r="AC759" s="107"/>
      <c r="AD759" s="233"/>
      <c r="AE759" s="107"/>
      <c r="AF759" s="107"/>
      <c r="AG759" s="107"/>
      <c r="AH759" s="107"/>
      <c r="AI759" s="107"/>
      <c r="AJ759" s="107"/>
      <c r="AK759" s="107"/>
      <c r="AL759" s="107"/>
      <c r="AM759" s="304"/>
      <c r="AN759" s="304"/>
      <c r="AO759" s="304"/>
      <c r="AP759" s="304"/>
      <c r="AQ759" s="304"/>
      <c r="AR759" s="304"/>
      <c r="AS759" s="304"/>
      <c r="AT759" s="304"/>
      <c r="AU759" s="304"/>
      <c r="AV759" s="304"/>
      <c r="AW759" s="304"/>
      <c r="AX759" s="304"/>
      <c r="AY759" s="304"/>
      <c r="AZ759" s="304"/>
      <c r="BA759" s="304"/>
      <c r="BB759" s="107"/>
      <c r="BC759" s="107"/>
      <c r="BD759" s="107"/>
      <c r="BE759" s="107"/>
      <c r="BF759" s="107"/>
      <c r="BG759" s="107"/>
      <c r="BH759" s="107"/>
      <c r="BI759" s="107"/>
      <c r="BJ759" s="107"/>
      <c r="BK759" s="107"/>
      <c r="BL759" s="107"/>
      <c r="BM759" s="107"/>
      <c r="BN759" s="107"/>
      <c r="BO759" s="107"/>
      <c r="BP759" s="107"/>
      <c r="BQ759" s="107"/>
      <c r="BR759" s="107"/>
    </row>
    <row r="760" customFormat="false" ht="12.75" hidden="false" customHeight="false" outlineLevel="0" collapsed="false">
      <c r="A760" s="100"/>
      <c r="B760" s="100"/>
      <c r="C760" s="100"/>
      <c r="D760" s="100"/>
      <c r="E760" s="100"/>
      <c r="F760" s="277"/>
      <c r="H760" s="277"/>
      <c r="I760" s="277"/>
      <c r="J760" s="277"/>
      <c r="K760" s="277"/>
      <c r="L760" s="277"/>
      <c r="M760" s="277"/>
      <c r="N760" s="277"/>
      <c r="O760" s="277"/>
      <c r="P760" s="277"/>
      <c r="Q760" s="277"/>
      <c r="R760" s="277"/>
      <c r="T760" s="277"/>
      <c r="U760" s="277"/>
      <c r="W760" s="277"/>
      <c r="Y760" s="107"/>
      <c r="Z760" s="107"/>
      <c r="AA760" s="107"/>
      <c r="AB760" s="107"/>
      <c r="AC760" s="107"/>
      <c r="AD760" s="233"/>
      <c r="AE760" s="107"/>
      <c r="AF760" s="107"/>
      <c r="AG760" s="107"/>
      <c r="AH760" s="107"/>
      <c r="AI760" s="107"/>
      <c r="AJ760" s="107"/>
      <c r="AK760" s="107"/>
      <c r="AL760" s="107"/>
      <c r="AM760" s="304"/>
      <c r="AN760" s="304"/>
      <c r="AO760" s="304"/>
      <c r="AP760" s="304"/>
      <c r="AQ760" s="304"/>
      <c r="AR760" s="304"/>
      <c r="AS760" s="304"/>
      <c r="AT760" s="304"/>
      <c r="AU760" s="304"/>
      <c r="AV760" s="304"/>
      <c r="AW760" s="304"/>
      <c r="AX760" s="304"/>
      <c r="AY760" s="304"/>
      <c r="AZ760" s="304"/>
      <c r="BA760" s="304"/>
      <c r="BB760" s="107"/>
      <c r="BC760" s="107"/>
      <c r="BD760" s="107"/>
      <c r="BE760" s="107"/>
      <c r="BF760" s="107"/>
      <c r="BG760" s="107"/>
      <c r="BH760" s="107"/>
      <c r="BI760" s="107"/>
      <c r="BJ760" s="107"/>
      <c r="BK760" s="107"/>
      <c r="BL760" s="107"/>
      <c r="BM760" s="107"/>
      <c r="BN760" s="107"/>
      <c r="BO760" s="107"/>
      <c r="BP760" s="107"/>
      <c r="BQ760" s="107"/>
      <c r="BR760" s="107"/>
    </row>
    <row r="761" customFormat="false" ht="12.75" hidden="false" customHeight="false" outlineLevel="0" collapsed="false">
      <c r="A761" s="100"/>
      <c r="B761" s="100"/>
      <c r="C761" s="100"/>
      <c r="D761" s="100"/>
      <c r="E761" s="100"/>
      <c r="F761" s="277"/>
      <c r="H761" s="277"/>
      <c r="I761" s="277"/>
      <c r="J761" s="277"/>
      <c r="K761" s="277"/>
      <c r="L761" s="277"/>
      <c r="M761" s="277"/>
      <c r="N761" s="277"/>
      <c r="O761" s="277"/>
      <c r="P761" s="277"/>
      <c r="Q761" s="277"/>
      <c r="R761" s="277"/>
      <c r="T761" s="277"/>
      <c r="U761" s="277"/>
      <c r="W761" s="277"/>
      <c r="Y761" s="107"/>
      <c r="Z761" s="107"/>
      <c r="AA761" s="107"/>
      <c r="AB761" s="107"/>
      <c r="AC761" s="107"/>
      <c r="AD761" s="233"/>
      <c r="AE761" s="107"/>
      <c r="AF761" s="107"/>
      <c r="AG761" s="107"/>
      <c r="AH761" s="107"/>
      <c r="AI761" s="107"/>
      <c r="AJ761" s="107"/>
      <c r="AK761" s="107"/>
      <c r="AL761" s="107"/>
      <c r="AM761" s="304"/>
      <c r="AN761" s="304"/>
      <c r="AO761" s="304"/>
      <c r="AP761" s="304"/>
      <c r="AQ761" s="304"/>
      <c r="AR761" s="304"/>
      <c r="AS761" s="304"/>
      <c r="AT761" s="304"/>
      <c r="AU761" s="304"/>
      <c r="AV761" s="304"/>
      <c r="AW761" s="304"/>
      <c r="AX761" s="304"/>
      <c r="AY761" s="304"/>
      <c r="AZ761" s="304"/>
      <c r="BA761" s="304"/>
      <c r="BB761" s="107"/>
      <c r="BC761" s="107"/>
      <c r="BD761" s="107"/>
      <c r="BE761" s="107"/>
      <c r="BF761" s="107"/>
      <c r="BG761" s="107"/>
      <c r="BH761" s="107"/>
      <c r="BI761" s="107"/>
      <c r="BJ761" s="107"/>
      <c r="BK761" s="107"/>
      <c r="BL761" s="107"/>
      <c r="BM761" s="107"/>
      <c r="BN761" s="107"/>
      <c r="BO761" s="107"/>
      <c r="BP761" s="107"/>
      <c r="BQ761" s="107"/>
      <c r="BR761" s="107"/>
    </row>
    <row r="762" customFormat="false" ht="12.75" hidden="false" customHeight="false" outlineLevel="0" collapsed="false">
      <c r="A762" s="100"/>
      <c r="B762" s="100"/>
      <c r="C762" s="100"/>
      <c r="D762" s="100"/>
      <c r="E762" s="100"/>
      <c r="F762" s="277"/>
      <c r="H762" s="277"/>
      <c r="I762" s="277"/>
      <c r="J762" s="277"/>
      <c r="K762" s="277"/>
      <c r="L762" s="277"/>
      <c r="M762" s="277"/>
      <c r="N762" s="277"/>
      <c r="O762" s="277"/>
      <c r="P762" s="277"/>
      <c r="Q762" s="277"/>
      <c r="R762" s="277"/>
      <c r="T762" s="277"/>
      <c r="U762" s="277"/>
      <c r="W762" s="277"/>
      <c r="Y762" s="107"/>
      <c r="Z762" s="107"/>
      <c r="AA762" s="107"/>
      <c r="AB762" s="107"/>
      <c r="AC762" s="107"/>
      <c r="AD762" s="233"/>
      <c r="AE762" s="107"/>
      <c r="AF762" s="107"/>
      <c r="AG762" s="107"/>
      <c r="AH762" s="107"/>
      <c r="AI762" s="107"/>
      <c r="AJ762" s="107"/>
      <c r="AK762" s="107"/>
      <c r="AL762" s="107"/>
      <c r="AM762" s="304"/>
      <c r="AN762" s="304"/>
      <c r="AO762" s="304"/>
      <c r="AP762" s="304"/>
      <c r="AQ762" s="304"/>
      <c r="AR762" s="304"/>
      <c r="AS762" s="304"/>
      <c r="AT762" s="304"/>
      <c r="AU762" s="304"/>
      <c r="AV762" s="304"/>
      <c r="AW762" s="304"/>
      <c r="AX762" s="304"/>
      <c r="AY762" s="304"/>
      <c r="AZ762" s="304"/>
      <c r="BA762" s="304"/>
      <c r="BB762" s="107"/>
      <c r="BC762" s="107"/>
      <c r="BD762" s="107"/>
      <c r="BE762" s="107"/>
      <c r="BF762" s="107"/>
      <c r="BG762" s="107"/>
      <c r="BH762" s="107"/>
      <c r="BI762" s="107"/>
      <c r="BJ762" s="107"/>
      <c r="BK762" s="107"/>
      <c r="BL762" s="107"/>
      <c r="BM762" s="107"/>
      <c r="BN762" s="107"/>
      <c r="BO762" s="107"/>
      <c r="BP762" s="107"/>
      <c r="BQ762" s="107"/>
      <c r="BR762" s="107"/>
    </row>
    <row r="763" customFormat="false" ht="12.75" hidden="false" customHeight="false" outlineLevel="0" collapsed="false">
      <c r="A763" s="100"/>
      <c r="B763" s="100"/>
      <c r="C763" s="100"/>
      <c r="D763" s="100"/>
      <c r="E763" s="100"/>
      <c r="F763" s="277"/>
      <c r="H763" s="277"/>
      <c r="I763" s="277"/>
      <c r="J763" s="277"/>
      <c r="K763" s="277"/>
      <c r="L763" s="277"/>
      <c r="M763" s="277"/>
      <c r="N763" s="277"/>
      <c r="O763" s="277"/>
      <c r="P763" s="277"/>
      <c r="Q763" s="277"/>
      <c r="R763" s="277"/>
      <c r="T763" s="277"/>
      <c r="U763" s="277"/>
      <c r="W763" s="277"/>
      <c r="Y763" s="107"/>
      <c r="Z763" s="107"/>
      <c r="AA763" s="107"/>
      <c r="AB763" s="107"/>
      <c r="AC763" s="107"/>
      <c r="AD763" s="233"/>
      <c r="AE763" s="107"/>
      <c r="AF763" s="107"/>
      <c r="AG763" s="107"/>
      <c r="AH763" s="107"/>
      <c r="AI763" s="107"/>
      <c r="AJ763" s="107"/>
      <c r="AK763" s="107"/>
      <c r="AL763" s="107"/>
      <c r="AM763" s="304"/>
      <c r="AN763" s="304"/>
      <c r="AO763" s="304"/>
      <c r="AP763" s="304"/>
      <c r="AQ763" s="304"/>
      <c r="AR763" s="304"/>
      <c r="AS763" s="304"/>
      <c r="AT763" s="304"/>
      <c r="AU763" s="304"/>
      <c r="AV763" s="304"/>
      <c r="AW763" s="304"/>
      <c r="AX763" s="304"/>
      <c r="AY763" s="304"/>
      <c r="AZ763" s="304"/>
      <c r="BA763" s="304"/>
      <c r="BB763" s="107"/>
      <c r="BC763" s="107"/>
      <c r="BD763" s="107"/>
      <c r="BE763" s="107"/>
      <c r="BF763" s="107"/>
      <c r="BG763" s="107"/>
      <c r="BH763" s="107"/>
      <c r="BI763" s="107"/>
      <c r="BJ763" s="107"/>
      <c r="BK763" s="107"/>
      <c r="BL763" s="107"/>
      <c r="BM763" s="107"/>
      <c r="BN763" s="107"/>
      <c r="BO763" s="107"/>
      <c r="BP763" s="107"/>
      <c r="BQ763" s="107"/>
      <c r="BR763" s="107"/>
    </row>
    <row r="764" customFormat="false" ht="12.75" hidden="false" customHeight="false" outlineLevel="0" collapsed="false">
      <c r="A764" s="100"/>
      <c r="B764" s="100"/>
      <c r="C764" s="100"/>
      <c r="D764" s="100"/>
      <c r="E764" s="100"/>
      <c r="F764" s="277"/>
      <c r="H764" s="277"/>
      <c r="I764" s="277"/>
      <c r="J764" s="277"/>
      <c r="K764" s="277"/>
      <c r="L764" s="277"/>
      <c r="M764" s="277"/>
      <c r="N764" s="277"/>
      <c r="O764" s="277"/>
      <c r="P764" s="277"/>
      <c r="Q764" s="277"/>
      <c r="R764" s="277"/>
      <c r="T764" s="277"/>
      <c r="U764" s="277"/>
      <c r="W764" s="277"/>
      <c r="Y764" s="107"/>
      <c r="Z764" s="107"/>
      <c r="AA764" s="107"/>
      <c r="AB764" s="107"/>
      <c r="AC764" s="107"/>
      <c r="AD764" s="233"/>
      <c r="AE764" s="107"/>
      <c r="AF764" s="107"/>
      <c r="AG764" s="107"/>
      <c r="AH764" s="107"/>
      <c r="AI764" s="107"/>
      <c r="AJ764" s="107"/>
      <c r="AK764" s="107"/>
      <c r="AL764" s="107"/>
      <c r="AM764" s="304"/>
      <c r="AN764" s="304"/>
      <c r="AO764" s="304"/>
      <c r="AP764" s="304"/>
      <c r="AQ764" s="304"/>
      <c r="AR764" s="304"/>
      <c r="AS764" s="304"/>
      <c r="AT764" s="304"/>
      <c r="AU764" s="304"/>
      <c r="AV764" s="304"/>
      <c r="AW764" s="304"/>
      <c r="AX764" s="304"/>
      <c r="AY764" s="304"/>
      <c r="AZ764" s="304"/>
      <c r="BA764" s="304"/>
      <c r="BB764" s="107"/>
      <c r="BC764" s="107"/>
      <c r="BD764" s="107"/>
      <c r="BE764" s="107"/>
      <c r="BF764" s="107"/>
      <c r="BG764" s="107"/>
      <c r="BH764" s="107"/>
      <c r="BI764" s="107"/>
      <c r="BJ764" s="107"/>
      <c r="BK764" s="107"/>
      <c r="BL764" s="107"/>
      <c r="BM764" s="107"/>
      <c r="BN764" s="107"/>
      <c r="BO764" s="107"/>
      <c r="BP764" s="107"/>
      <c r="BQ764" s="107"/>
      <c r="BR764" s="107"/>
    </row>
    <row r="765" customFormat="false" ht="12.75" hidden="false" customHeight="false" outlineLevel="0" collapsed="false">
      <c r="A765" s="100"/>
      <c r="B765" s="100"/>
      <c r="C765" s="100"/>
      <c r="D765" s="100"/>
      <c r="E765" s="100"/>
      <c r="F765" s="277"/>
      <c r="H765" s="277"/>
      <c r="I765" s="277"/>
      <c r="J765" s="277"/>
      <c r="K765" s="277"/>
      <c r="L765" s="277"/>
      <c r="M765" s="277"/>
      <c r="N765" s="277"/>
      <c r="O765" s="277"/>
      <c r="P765" s="277"/>
      <c r="Q765" s="277"/>
      <c r="R765" s="277"/>
      <c r="T765" s="277"/>
      <c r="U765" s="277"/>
      <c r="W765" s="277"/>
      <c r="Y765" s="107"/>
      <c r="Z765" s="107"/>
      <c r="AA765" s="107"/>
      <c r="AB765" s="107"/>
      <c r="AC765" s="107"/>
      <c r="AD765" s="233"/>
      <c r="AE765" s="107"/>
      <c r="AF765" s="107"/>
      <c r="AG765" s="107"/>
      <c r="AH765" s="107"/>
      <c r="AI765" s="107"/>
      <c r="AJ765" s="107"/>
      <c r="AK765" s="107"/>
      <c r="AL765" s="107"/>
      <c r="AM765" s="304"/>
      <c r="AN765" s="304"/>
      <c r="AO765" s="304"/>
      <c r="AP765" s="304"/>
      <c r="AQ765" s="304"/>
      <c r="AR765" s="304"/>
      <c r="AS765" s="304"/>
      <c r="AT765" s="304"/>
      <c r="AU765" s="304"/>
      <c r="AV765" s="304"/>
      <c r="AW765" s="304"/>
      <c r="AX765" s="304"/>
      <c r="AY765" s="304"/>
      <c r="AZ765" s="304"/>
      <c r="BA765" s="304"/>
      <c r="BB765" s="107"/>
      <c r="BC765" s="107"/>
      <c r="BD765" s="107"/>
      <c r="BE765" s="107"/>
      <c r="BF765" s="107"/>
      <c r="BG765" s="107"/>
      <c r="BH765" s="107"/>
      <c r="BI765" s="107"/>
      <c r="BJ765" s="107"/>
      <c r="BK765" s="107"/>
      <c r="BL765" s="107"/>
      <c r="BM765" s="107"/>
      <c r="BN765" s="107"/>
      <c r="BO765" s="107"/>
      <c r="BP765" s="107"/>
      <c r="BQ765" s="107"/>
      <c r="BR765" s="107"/>
    </row>
    <row r="766" customFormat="false" ht="12.75" hidden="false" customHeight="false" outlineLevel="0" collapsed="false">
      <c r="A766" s="100"/>
      <c r="B766" s="100"/>
      <c r="C766" s="100"/>
      <c r="D766" s="100"/>
      <c r="E766" s="100"/>
      <c r="F766" s="277"/>
      <c r="H766" s="277"/>
      <c r="I766" s="277"/>
      <c r="J766" s="277"/>
      <c r="K766" s="277"/>
      <c r="L766" s="277"/>
      <c r="M766" s="277"/>
      <c r="N766" s="277"/>
      <c r="O766" s="277"/>
      <c r="P766" s="277"/>
      <c r="Q766" s="277"/>
      <c r="R766" s="277"/>
      <c r="T766" s="277"/>
      <c r="U766" s="277"/>
      <c r="W766" s="277"/>
      <c r="Y766" s="107"/>
      <c r="Z766" s="107"/>
      <c r="AA766" s="107"/>
      <c r="AB766" s="107"/>
      <c r="AC766" s="107"/>
      <c r="AD766" s="233"/>
      <c r="AE766" s="107"/>
      <c r="AF766" s="107"/>
      <c r="AG766" s="107"/>
      <c r="AH766" s="107"/>
      <c r="AI766" s="107"/>
      <c r="AJ766" s="107"/>
      <c r="AK766" s="107"/>
      <c r="AL766" s="107"/>
      <c r="AM766" s="304"/>
      <c r="AN766" s="304"/>
      <c r="AO766" s="304"/>
      <c r="AP766" s="304"/>
      <c r="AQ766" s="304"/>
      <c r="AR766" s="304"/>
      <c r="AS766" s="304"/>
      <c r="AT766" s="304"/>
      <c r="AU766" s="304"/>
      <c r="AV766" s="304"/>
      <c r="AW766" s="304"/>
      <c r="AX766" s="304"/>
      <c r="AY766" s="304"/>
      <c r="AZ766" s="304"/>
      <c r="BA766" s="304"/>
      <c r="BB766" s="107"/>
      <c r="BC766" s="107"/>
      <c r="BD766" s="107"/>
      <c r="BE766" s="107"/>
      <c r="BF766" s="107"/>
      <c r="BG766" s="107"/>
      <c r="BH766" s="107"/>
      <c r="BI766" s="107"/>
      <c r="BJ766" s="107"/>
      <c r="BK766" s="107"/>
      <c r="BL766" s="107"/>
      <c r="BM766" s="107"/>
      <c r="BN766" s="107"/>
      <c r="BO766" s="107"/>
      <c r="BP766" s="107"/>
      <c r="BQ766" s="107"/>
      <c r="BR766" s="107"/>
    </row>
    <row r="767" customFormat="false" ht="12.75" hidden="false" customHeight="false" outlineLevel="0" collapsed="false">
      <c r="A767" s="100"/>
      <c r="B767" s="100"/>
      <c r="C767" s="100"/>
      <c r="D767" s="100"/>
      <c r="E767" s="100"/>
      <c r="F767" s="277"/>
      <c r="H767" s="277"/>
      <c r="I767" s="277"/>
      <c r="J767" s="277"/>
      <c r="K767" s="277"/>
      <c r="L767" s="277"/>
      <c r="M767" s="277"/>
      <c r="N767" s="277"/>
      <c r="O767" s="277"/>
      <c r="P767" s="277"/>
      <c r="Q767" s="277"/>
      <c r="R767" s="277"/>
      <c r="T767" s="277"/>
      <c r="U767" s="277"/>
      <c r="W767" s="277"/>
      <c r="Y767" s="107"/>
      <c r="Z767" s="107"/>
      <c r="AA767" s="107"/>
      <c r="AB767" s="107"/>
      <c r="AC767" s="107"/>
      <c r="AD767" s="233"/>
      <c r="AE767" s="107"/>
      <c r="AF767" s="107"/>
      <c r="AG767" s="107"/>
      <c r="AH767" s="107"/>
      <c r="AI767" s="107"/>
      <c r="AJ767" s="107"/>
      <c r="AK767" s="107"/>
      <c r="AL767" s="107"/>
      <c r="AM767" s="304"/>
      <c r="AN767" s="304"/>
      <c r="AO767" s="304"/>
      <c r="AP767" s="304"/>
      <c r="AQ767" s="304"/>
      <c r="AR767" s="304"/>
      <c r="AS767" s="304"/>
      <c r="AT767" s="304"/>
      <c r="AU767" s="304"/>
      <c r="AV767" s="304"/>
      <c r="AW767" s="304"/>
      <c r="AX767" s="304"/>
      <c r="AY767" s="304"/>
      <c r="AZ767" s="304"/>
      <c r="BA767" s="304"/>
      <c r="BB767" s="107"/>
      <c r="BC767" s="107"/>
      <c r="BD767" s="107"/>
      <c r="BE767" s="107"/>
      <c r="BF767" s="107"/>
      <c r="BG767" s="107"/>
      <c r="BH767" s="107"/>
      <c r="BI767" s="107"/>
      <c r="BJ767" s="107"/>
      <c r="BK767" s="107"/>
      <c r="BL767" s="107"/>
      <c r="BM767" s="107"/>
      <c r="BN767" s="107"/>
      <c r="BO767" s="107"/>
      <c r="BP767" s="107"/>
      <c r="BQ767" s="107"/>
      <c r="BR767" s="107"/>
    </row>
    <row r="768" customFormat="false" ht="12.75" hidden="false" customHeight="false" outlineLevel="0" collapsed="false">
      <c r="A768" s="100"/>
      <c r="B768" s="100"/>
      <c r="C768" s="100"/>
      <c r="D768" s="100"/>
      <c r="E768" s="100"/>
      <c r="F768" s="277"/>
      <c r="H768" s="277"/>
      <c r="I768" s="277"/>
      <c r="J768" s="277"/>
      <c r="K768" s="277"/>
      <c r="L768" s="277"/>
      <c r="M768" s="277"/>
      <c r="N768" s="277"/>
      <c r="O768" s="277"/>
      <c r="P768" s="277"/>
      <c r="Q768" s="277"/>
      <c r="R768" s="277"/>
      <c r="T768" s="277"/>
      <c r="U768" s="277"/>
      <c r="W768" s="277"/>
      <c r="Y768" s="107"/>
      <c r="Z768" s="107"/>
      <c r="AA768" s="107"/>
      <c r="AB768" s="107"/>
      <c r="AC768" s="107"/>
      <c r="AD768" s="233"/>
      <c r="AE768" s="107"/>
      <c r="AF768" s="107"/>
      <c r="AG768" s="107"/>
      <c r="AH768" s="107"/>
      <c r="AI768" s="107"/>
      <c r="AJ768" s="107"/>
      <c r="AK768" s="107"/>
      <c r="AL768" s="107"/>
      <c r="AM768" s="304"/>
      <c r="AN768" s="304"/>
      <c r="AO768" s="304"/>
      <c r="AP768" s="304"/>
      <c r="AQ768" s="304"/>
      <c r="AR768" s="304"/>
      <c r="AS768" s="304"/>
      <c r="AT768" s="304"/>
      <c r="AU768" s="304"/>
      <c r="AV768" s="304"/>
      <c r="AW768" s="304"/>
      <c r="AX768" s="304"/>
      <c r="AY768" s="304"/>
      <c r="AZ768" s="304"/>
      <c r="BA768" s="304"/>
      <c r="BB768" s="107"/>
      <c r="BC768" s="107"/>
      <c r="BD768" s="107"/>
      <c r="BE768" s="107"/>
      <c r="BF768" s="107"/>
      <c r="BG768" s="107"/>
      <c r="BH768" s="107"/>
      <c r="BI768" s="107"/>
      <c r="BJ768" s="107"/>
      <c r="BK768" s="107"/>
      <c r="BL768" s="107"/>
      <c r="BM768" s="107"/>
      <c r="BN768" s="107"/>
      <c r="BO768" s="107"/>
      <c r="BP768" s="107"/>
      <c r="BQ768" s="107"/>
      <c r="BR768" s="107"/>
    </row>
    <row r="769" customFormat="false" ht="12.75" hidden="false" customHeight="false" outlineLevel="0" collapsed="false">
      <c r="A769" s="100"/>
      <c r="B769" s="100"/>
      <c r="C769" s="100"/>
      <c r="D769" s="100"/>
      <c r="E769" s="100"/>
      <c r="F769" s="277"/>
      <c r="H769" s="277"/>
      <c r="I769" s="277"/>
      <c r="J769" s="277"/>
      <c r="K769" s="277"/>
      <c r="L769" s="277"/>
      <c r="M769" s="277"/>
      <c r="N769" s="277"/>
      <c r="O769" s="277"/>
      <c r="P769" s="277"/>
      <c r="Q769" s="277"/>
      <c r="R769" s="277"/>
      <c r="T769" s="277"/>
      <c r="U769" s="277"/>
      <c r="W769" s="277"/>
      <c r="Y769" s="107"/>
      <c r="Z769" s="107"/>
      <c r="AA769" s="107"/>
      <c r="AB769" s="107"/>
      <c r="AC769" s="107"/>
      <c r="AD769" s="233"/>
      <c r="AE769" s="107"/>
      <c r="AF769" s="107"/>
      <c r="AG769" s="107"/>
      <c r="AH769" s="107"/>
      <c r="AI769" s="107"/>
      <c r="AJ769" s="107"/>
      <c r="AK769" s="107"/>
      <c r="AL769" s="107"/>
      <c r="AM769" s="304"/>
      <c r="AN769" s="304"/>
      <c r="AO769" s="304"/>
      <c r="AP769" s="304"/>
      <c r="AQ769" s="304"/>
      <c r="AR769" s="304"/>
      <c r="AS769" s="304"/>
      <c r="AT769" s="304"/>
      <c r="AU769" s="304"/>
      <c r="AV769" s="304"/>
      <c r="AW769" s="304"/>
      <c r="AX769" s="304"/>
      <c r="AY769" s="304"/>
      <c r="AZ769" s="304"/>
      <c r="BA769" s="304"/>
      <c r="BB769" s="107"/>
      <c r="BC769" s="107"/>
      <c r="BD769" s="107"/>
      <c r="BE769" s="107"/>
      <c r="BF769" s="107"/>
      <c r="BG769" s="107"/>
      <c r="BH769" s="107"/>
      <c r="BI769" s="107"/>
      <c r="BJ769" s="107"/>
      <c r="BK769" s="107"/>
      <c r="BL769" s="107"/>
      <c r="BM769" s="107"/>
      <c r="BN769" s="107"/>
      <c r="BO769" s="107"/>
      <c r="BP769" s="107"/>
      <c r="BQ769" s="107"/>
      <c r="BR769" s="107"/>
    </row>
    <row r="770" customFormat="false" ht="12.75" hidden="false" customHeight="false" outlineLevel="0" collapsed="false">
      <c r="A770" s="100"/>
      <c r="B770" s="100"/>
      <c r="C770" s="100"/>
      <c r="D770" s="100"/>
      <c r="E770" s="100"/>
      <c r="F770" s="277"/>
      <c r="H770" s="277"/>
      <c r="I770" s="277"/>
      <c r="J770" s="277"/>
      <c r="K770" s="277"/>
      <c r="L770" s="277"/>
      <c r="M770" s="277"/>
      <c r="N770" s="277"/>
      <c r="O770" s="277"/>
      <c r="P770" s="277"/>
      <c r="Q770" s="277"/>
      <c r="R770" s="277"/>
      <c r="T770" s="277"/>
      <c r="U770" s="277"/>
      <c r="W770" s="277"/>
      <c r="Y770" s="107"/>
      <c r="Z770" s="107"/>
      <c r="AA770" s="107"/>
      <c r="AB770" s="107"/>
      <c r="AC770" s="107"/>
      <c r="AD770" s="233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7"/>
      <c r="AV770" s="107"/>
      <c r="AW770" s="107"/>
      <c r="AX770" s="107"/>
      <c r="AY770" s="107"/>
      <c r="AZ770" s="107"/>
      <c r="BA770" s="107"/>
      <c r="BB770" s="107"/>
      <c r="BC770" s="107"/>
      <c r="BD770" s="107"/>
      <c r="BE770" s="107"/>
      <c r="BF770" s="107"/>
      <c r="BG770" s="107"/>
      <c r="BH770" s="107"/>
      <c r="BI770" s="107"/>
      <c r="BJ770" s="107"/>
      <c r="BK770" s="107"/>
      <c r="BL770" s="107"/>
      <c r="BM770" s="107"/>
      <c r="BN770" s="107"/>
      <c r="BO770" s="107"/>
      <c r="BP770" s="107"/>
      <c r="BQ770" s="107"/>
      <c r="BR770" s="107"/>
    </row>
    <row r="771" customFormat="false" ht="12.75" hidden="false" customHeight="false" outlineLevel="0" collapsed="false">
      <c r="A771" s="100"/>
      <c r="B771" s="100"/>
      <c r="C771" s="100"/>
      <c r="D771" s="100"/>
      <c r="E771" s="100"/>
      <c r="F771" s="277"/>
      <c r="H771" s="277"/>
      <c r="I771" s="277"/>
      <c r="J771" s="277"/>
      <c r="K771" s="277"/>
      <c r="L771" s="277"/>
      <c r="M771" s="277"/>
      <c r="N771" s="277"/>
      <c r="O771" s="277"/>
      <c r="P771" s="277"/>
      <c r="Q771" s="277"/>
      <c r="R771" s="277"/>
      <c r="T771" s="277"/>
      <c r="U771" s="277"/>
      <c r="W771" s="277"/>
      <c r="Y771" s="107"/>
      <c r="Z771" s="107"/>
      <c r="AA771" s="107"/>
      <c r="AB771" s="107"/>
      <c r="AC771" s="107"/>
      <c r="AD771" s="233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7"/>
      <c r="AV771" s="107"/>
      <c r="AW771" s="107"/>
      <c r="AX771" s="107"/>
      <c r="AY771" s="107"/>
      <c r="AZ771" s="107"/>
      <c r="BA771" s="107"/>
      <c r="BB771" s="107"/>
      <c r="BC771" s="107"/>
      <c r="BD771" s="107"/>
      <c r="BE771" s="107"/>
      <c r="BF771" s="107"/>
      <c r="BG771" s="107"/>
      <c r="BH771" s="107"/>
      <c r="BI771" s="107"/>
      <c r="BJ771" s="107"/>
      <c r="BK771" s="107"/>
      <c r="BL771" s="107"/>
      <c r="BM771" s="107"/>
      <c r="BN771" s="107"/>
      <c r="BO771" s="107"/>
      <c r="BP771" s="107"/>
      <c r="BQ771" s="107"/>
      <c r="BR771" s="107"/>
    </row>
    <row r="772" customFormat="false" ht="12.75" hidden="false" customHeight="false" outlineLevel="0" collapsed="false">
      <c r="A772" s="100"/>
      <c r="B772" s="100"/>
      <c r="C772" s="100"/>
      <c r="D772" s="100"/>
      <c r="E772" s="100"/>
      <c r="F772" s="277"/>
      <c r="H772" s="277"/>
      <c r="I772" s="277"/>
      <c r="J772" s="277"/>
      <c r="K772" s="277"/>
      <c r="L772" s="277"/>
      <c r="M772" s="277"/>
      <c r="N772" s="277"/>
      <c r="O772" s="277"/>
      <c r="P772" s="277"/>
      <c r="Q772" s="277"/>
      <c r="R772" s="277"/>
      <c r="T772" s="277"/>
      <c r="U772" s="277"/>
      <c r="W772" s="277"/>
      <c r="Y772" s="107"/>
      <c r="Z772" s="107"/>
      <c r="AA772" s="107"/>
      <c r="AB772" s="107"/>
      <c r="AC772" s="107"/>
      <c r="AD772" s="233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7"/>
      <c r="AV772" s="107"/>
      <c r="AW772" s="107"/>
      <c r="AX772" s="107"/>
      <c r="AY772" s="107"/>
      <c r="AZ772" s="107"/>
      <c r="BA772" s="107"/>
      <c r="BB772" s="107"/>
      <c r="BC772" s="107"/>
      <c r="BD772" s="107"/>
      <c r="BE772" s="107"/>
      <c r="BF772" s="107"/>
      <c r="BG772" s="107"/>
      <c r="BH772" s="107"/>
      <c r="BI772" s="107"/>
      <c r="BJ772" s="107"/>
      <c r="BK772" s="107"/>
      <c r="BL772" s="107"/>
      <c r="BM772" s="107"/>
      <c r="BN772" s="107"/>
      <c r="BO772" s="107"/>
      <c r="BP772" s="107"/>
      <c r="BQ772" s="107"/>
      <c r="BR772" s="107"/>
    </row>
    <row r="773" customFormat="false" ht="12.75" hidden="false" customHeight="false" outlineLevel="0" collapsed="false">
      <c r="A773" s="100"/>
      <c r="B773" s="100"/>
      <c r="C773" s="100"/>
      <c r="D773" s="100"/>
      <c r="E773" s="100"/>
      <c r="F773" s="277"/>
      <c r="H773" s="277"/>
      <c r="I773" s="277"/>
      <c r="J773" s="277"/>
      <c r="K773" s="277"/>
      <c r="L773" s="277"/>
      <c r="M773" s="277"/>
      <c r="N773" s="277"/>
      <c r="O773" s="277"/>
      <c r="P773" s="277"/>
      <c r="Q773" s="277"/>
      <c r="R773" s="277"/>
      <c r="T773" s="277"/>
      <c r="U773" s="277"/>
      <c r="W773" s="277"/>
      <c r="Y773" s="107"/>
      <c r="Z773" s="107"/>
      <c r="AA773" s="107"/>
      <c r="AB773" s="107"/>
      <c r="AC773" s="107"/>
      <c r="AD773" s="233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7"/>
      <c r="AV773" s="107"/>
      <c r="AW773" s="107"/>
      <c r="AX773" s="107"/>
      <c r="AY773" s="107"/>
      <c r="AZ773" s="107"/>
      <c r="BA773" s="107"/>
      <c r="BB773" s="107"/>
      <c r="BC773" s="107"/>
      <c r="BD773" s="107"/>
      <c r="BE773" s="107"/>
      <c r="BF773" s="107"/>
      <c r="BG773" s="107"/>
      <c r="BH773" s="107"/>
      <c r="BI773" s="107"/>
      <c r="BJ773" s="107"/>
      <c r="BK773" s="107"/>
      <c r="BL773" s="107"/>
      <c r="BM773" s="107"/>
      <c r="BN773" s="107"/>
      <c r="BO773" s="107"/>
      <c r="BP773" s="107"/>
      <c r="BQ773" s="107"/>
      <c r="BR773" s="107"/>
    </row>
    <row r="774" customFormat="false" ht="12.75" hidden="false" customHeight="false" outlineLevel="0" collapsed="false">
      <c r="A774" s="100"/>
      <c r="B774" s="100"/>
      <c r="C774" s="100"/>
      <c r="D774" s="100"/>
      <c r="E774" s="100"/>
      <c r="F774" s="277"/>
      <c r="H774" s="277"/>
      <c r="I774" s="277"/>
      <c r="J774" s="277"/>
      <c r="K774" s="277"/>
      <c r="L774" s="277"/>
      <c r="M774" s="277"/>
      <c r="N774" s="277"/>
      <c r="O774" s="277"/>
      <c r="P774" s="277"/>
      <c r="Q774" s="277"/>
      <c r="R774" s="277"/>
      <c r="T774" s="277"/>
      <c r="U774" s="277"/>
      <c r="W774" s="277"/>
      <c r="Y774" s="107"/>
      <c r="Z774" s="107"/>
      <c r="AA774" s="107"/>
      <c r="AB774" s="107"/>
      <c r="AC774" s="107"/>
      <c r="AD774" s="233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7"/>
      <c r="AV774" s="107"/>
      <c r="AW774" s="107"/>
      <c r="AX774" s="107"/>
      <c r="AY774" s="107"/>
      <c r="AZ774" s="107"/>
      <c r="BA774" s="107"/>
      <c r="BB774" s="107"/>
      <c r="BC774" s="107"/>
      <c r="BD774" s="107"/>
      <c r="BE774" s="107"/>
      <c r="BF774" s="107"/>
      <c r="BG774" s="107"/>
      <c r="BH774" s="107"/>
      <c r="BI774" s="107"/>
      <c r="BJ774" s="107"/>
      <c r="BK774" s="107"/>
      <c r="BL774" s="107"/>
      <c r="BM774" s="107"/>
      <c r="BN774" s="107"/>
      <c r="BO774" s="107"/>
      <c r="BP774" s="107"/>
      <c r="BQ774" s="107"/>
      <c r="BR774" s="107"/>
    </row>
    <row r="775" customFormat="false" ht="12.75" hidden="false" customHeight="false" outlineLevel="0" collapsed="false">
      <c r="A775" s="100"/>
      <c r="B775" s="100"/>
      <c r="C775" s="100"/>
      <c r="D775" s="100"/>
      <c r="E775" s="100"/>
      <c r="F775" s="277"/>
      <c r="H775" s="277"/>
      <c r="I775" s="277"/>
      <c r="J775" s="277"/>
      <c r="K775" s="277"/>
      <c r="L775" s="277"/>
      <c r="M775" s="277"/>
      <c r="N775" s="277"/>
      <c r="O775" s="277"/>
      <c r="P775" s="277"/>
      <c r="Q775" s="277"/>
      <c r="R775" s="277"/>
      <c r="T775" s="277"/>
      <c r="U775" s="277"/>
      <c r="W775" s="277"/>
      <c r="Y775" s="107"/>
      <c r="Z775" s="107"/>
      <c r="AA775" s="107"/>
      <c r="AB775" s="107"/>
      <c r="AC775" s="107"/>
      <c r="AD775" s="233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7"/>
      <c r="AV775" s="107"/>
      <c r="AW775" s="107"/>
      <c r="AX775" s="107"/>
      <c r="AY775" s="107"/>
      <c r="AZ775" s="107"/>
      <c r="BA775" s="107"/>
      <c r="BB775" s="107"/>
      <c r="BC775" s="107"/>
      <c r="BD775" s="107"/>
      <c r="BE775" s="107"/>
      <c r="BF775" s="107"/>
      <c r="BG775" s="107"/>
      <c r="BH775" s="107"/>
      <c r="BI775" s="107"/>
      <c r="BJ775" s="107"/>
      <c r="BK775" s="107"/>
      <c r="BL775" s="107"/>
      <c r="BM775" s="107"/>
      <c r="BN775" s="107"/>
      <c r="BO775" s="107"/>
      <c r="BP775" s="107"/>
      <c r="BQ775" s="107"/>
      <c r="BR775" s="107"/>
    </row>
    <row r="776" customFormat="false" ht="12.75" hidden="false" customHeight="false" outlineLevel="0" collapsed="false">
      <c r="A776" s="100"/>
      <c r="B776" s="100"/>
      <c r="C776" s="100"/>
      <c r="D776" s="100"/>
      <c r="E776" s="100"/>
      <c r="F776" s="277"/>
      <c r="H776" s="277"/>
      <c r="I776" s="277"/>
      <c r="J776" s="277"/>
      <c r="K776" s="277"/>
      <c r="L776" s="277"/>
      <c r="M776" s="277"/>
      <c r="N776" s="277"/>
      <c r="O776" s="277"/>
      <c r="P776" s="277"/>
      <c r="Q776" s="277"/>
      <c r="R776" s="277"/>
      <c r="T776" s="277"/>
      <c r="U776" s="277"/>
      <c r="W776" s="277"/>
      <c r="Y776" s="107"/>
      <c r="Z776" s="107"/>
      <c r="AA776" s="107"/>
      <c r="AB776" s="107"/>
      <c r="AC776" s="107"/>
      <c r="AD776" s="233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7"/>
      <c r="AV776" s="107"/>
      <c r="AW776" s="107"/>
      <c r="AX776" s="107"/>
      <c r="AY776" s="107"/>
      <c r="AZ776" s="107"/>
      <c r="BA776" s="107"/>
      <c r="BB776" s="107"/>
      <c r="BC776" s="107"/>
      <c r="BD776" s="107"/>
      <c r="BE776" s="107"/>
      <c r="BF776" s="107"/>
      <c r="BG776" s="107"/>
      <c r="BH776" s="107"/>
      <c r="BI776" s="107"/>
      <c r="BJ776" s="107"/>
      <c r="BK776" s="107"/>
      <c r="BL776" s="107"/>
      <c r="BM776" s="107"/>
      <c r="BN776" s="107"/>
      <c r="BO776" s="107"/>
      <c r="BP776" s="107"/>
      <c r="BQ776" s="107"/>
      <c r="BR776" s="107"/>
    </row>
    <row r="777" customFormat="false" ht="12.75" hidden="false" customHeight="false" outlineLevel="0" collapsed="false">
      <c r="A777" s="100"/>
      <c r="B777" s="100"/>
      <c r="C777" s="100"/>
      <c r="D777" s="100"/>
      <c r="E777" s="100"/>
      <c r="F777" s="277"/>
      <c r="H777" s="277"/>
      <c r="I777" s="277"/>
      <c r="J777" s="277"/>
      <c r="K777" s="277"/>
      <c r="L777" s="277"/>
      <c r="M777" s="277"/>
      <c r="N777" s="277"/>
      <c r="O777" s="277"/>
      <c r="P777" s="277"/>
      <c r="Q777" s="277"/>
      <c r="R777" s="277"/>
      <c r="T777" s="277"/>
      <c r="U777" s="277"/>
      <c r="W777" s="277"/>
      <c r="Y777" s="107"/>
      <c r="Z777" s="107"/>
      <c r="AA777" s="107"/>
      <c r="AB777" s="107"/>
      <c r="AC777" s="107"/>
      <c r="AD777" s="233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7"/>
      <c r="AV777" s="107"/>
      <c r="AW777" s="107"/>
      <c r="AX777" s="107"/>
      <c r="AY777" s="107"/>
      <c r="AZ777" s="107"/>
      <c r="BA777" s="107"/>
      <c r="BB777" s="107"/>
      <c r="BC777" s="107"/>
      <c r="BD777" s="107"/>
      <c r="BE777" s="107"/>
      <c r="BF777" s="107"/>
      <c r="BG777" s="107"/>
      <c r="BH777" s="107"/>
      <c r="BI777" s="107"/>
      <c r="BJ777" s="107"/>
      <c r="BK777" s="107"/>
      <c r="BL777" s="107"/>
      <c r="BM777" s="107"/>
      <c r="BN777" s="107"/>
      <c r="BO777" s="107"/>
      <c r="BP777" s="107"/>
      <c r="BQ777" s="107"/>
      <c r="BR777" s="107"/>
    </row>
    <row r="778" customFormat="false" ht="12.75" hidden="false" customHeight="false" outlineLevel="0" collapsed="false">
      <c r="A778" s="100"/>
      <c r="B778" s="100"/>
      <c r="C778" s="100"/>
      <c r="D778" s="100"/>
      <c r="E778" s="100"/>
      <c r="F778" s="277"/>
      <c r="H778" s="277"/>
      <c r="I778" s="277"/>
      <c r="J778" s="277"/>
      <c r="K778" s="277"/>
      <c r="L778" s="277"/>
      <c r="M778" s="277"/>
      <c r="N778" s="277"/>
      <c r="O778" s="277"/>
      <c r="P778" s="277"/>
      <c r="Q778" s="277"/>
      <c r="R778" s="277"/>
      <c r="T778" s="277"/>
      <c r="U778" s="277"/>
      <c r="W778" s="277"/>
      <c r="Y778" s="107"/>
      <c r="Z778" s="107"/>
      <c r="AA778" s="107"/>
      <c r="AB778" s="107"/>
      <c r="AC778" s="107"/>
      <c r="AD778" s="233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7"/>
      <c r="AV778" s="107"/>
      <c r="AW778" s="107"/>
      <c r="AX778" s="107"/>
      <c r="AY778" s="107"/>
      <c r="AZ778" s="107"/>
      <c r="BA778" s="107"/>
      <c r="BB778" s="107"/>
      <c r="BC778" s="107"/>
      <c r="BD778" s="107"/>
      <c r="BE778" s="107"/>
      <c r="BF778" s="107"/>
      <c r="BG778" s="107"/>
      <c r="BH778" s="107"/>
      <c r="BI778" s="107"/>
      <c r="BJ778" s="107"/>
      <c r="BK778" s="107"/>
      <c r="BL778" s="107"/>
      <c r="BM778" s="107"/>
      <c r="BN778" s="107"/>
      <c r="BO778" s="107"/>
      <c r="BP778" s="107"/>
      <c r="BQ778" s="107"/>
      <c r="BR778" s="107"/>
    </row>
    <row r="779" customFormat="false" ht="12.75" hidden="false" customHeight="false" outlineLevel="0" collapsed="false">
      <c r="A779" s="100"/>
      <c r="B779" s="100"/>
      <c r="C779" s="100"/>
      <c r="D779" s="100"/>
      <c r="E779" s="100"/>
      <c r="F779" s="277"/>
      <c r="H779" s="277"/>
      <c r="I779" s="277"/>
      <c r="J779" s="277"/>
      <c r="K779" s="277"/>
      <c r="L779" s="277"/>
      <c r="M779" s="277"/>
      <c r="N779" s="277"/>
      <c r="O779" s="277"/>
      <c r="P779" s="277"/>
      <c r="Q779" s="277"/>
      <c r="R779" s="277"/>
      <c r="T779" s="277"/>
      <c r="U779" s="277"/>
      <c r="W779" s="277"/>
      <c r="Y779" s="107"/>
      <c r="Z779" s="107"/>
      <c r="AA779" s="107"/>
      <c r="AB779" s="107"/>
      <c r="AC779" s="107"/>
      <c r="AD779" s="233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7"/>
      <c r="AV779" s="107"/>
      <c r="AW779" s="107"/>
      <c r="AX779" s="107"/>
      <c r="AY779" s="107"/>
      <c r="AZ779" s="107"/>
      <c r="BA779" s="107"/>
      <c r="BB779" s="107"/>
      <c r="BC779" s="107"/>
      <c r="BD779" s="107"/>
      <c r="BE779" s="107"/>
      <c r="BF779" s="107"/>
      <c r="BG779" s="107"/>
      <c r="BH779" s="107"/>
      <c r="BI779" s="107"/>
      <c r="BJ779" s="107"/>
      <c r="BK779" s="107"/>
      <c r="BL779" s="107"/>
      <c r="BM779" s="107"/>
      <c r="BN779" s="107"/>
      <c r="BO779" s="107"/>
      <c r="BP779" s="107"/>
      <c r="BQ779" s="107"/>
      <c r="BR779" s="107"/>
    </row>
    <row r="780" customFormat="false" ht="12.75" hidden="false" customHeight="false" outlineLevel="0" collapsed="false">
      <c r="A780" s="100"/>
      <c r="B780" s="100"/>
      <c r="C780" s="100"/>
      <c r="D780" s="100"/>
      <c r="E780" s="100"/>
      <c r="F780" s="277"/>
      <c r="H780" s="277"/>
      <c r="I780" s="277"/>
      <c r="J780" s="277"/>
      <c r="K780" s="277"/>
      <c r="L780" s="277"/>
      <c r="M780" s="277"/>
      <c r="N780" s="277"/>
      <c r="O780" s="277"/>
      <c r="P780" s="277"/>
      <c r="Q780" s="277"/>
      <c r="R780" s="277"/>
      <c r="T780" s="277"/>
      <c r="U780" s="277"/>
      <c r="W780" s="277"/>
      <c r="Y780" s="107"/>
      <c r="Z780" s="107"/>
      <c r="AA780" s="107"/>
      <c r="AB780" s="107"/>
      <c r="AC780" s="107"/>
      <c r="AD780" s="233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7"/>
      <c r="AV780" s="107"/>
      <c r="AW780" s="107"/>
      <c r="AX780" s="107"/>
      <c r="AY780" s="107"/>
      <c r="AZ780" s="107"/>
      <c r="BA780" s="107"/>
      <c r="BB780" s="107"/>
      <c r="BC780" s="107"/>
      <c r="BD780" s="107"/>
      <c r="BE780" s="107"/>
      <c r="BF780" s="107"/>
      <c r="BG780" s="107"/>
      <c r="BH780" s="107"/>
      <c r="BI780" s="107"/>
      <c r="BJ780" s="107"/>
      <c r="BK780" s="107"/>
      <c r="BL780" s="107"/>
      <c r="BM780" s="107"/>
      <c r="BN780" s="107"/>
      <c r="BO780" s="107"/>
      <c r="BP780" s="107"/>
      <c r="BQ780" s="107"/>
      <c r="BR780" s="107"/>
    </row>
    <row r="781" customFormat="false" ht="12.75" hidden="false" customHeight="false" outlineLevel="0" collapsed="false">
      <c r="A781" s="100"/>
      <c r="B781" s="100"/>
      <c r="C781" s="100"/>
      <c r="D781" s="100"/>
      <c r="E781" s="100"/>
      <c r="F781" s="277"/>
      <c r="H781" s="277"/>
      <c r="I781" s="277"/>
      <c r="J781" s="277"/>
      <c r="K781" s="277"/>
      <c r="L781" s="277"/>
      <c r="M781" s="277"/>
      <c r="N781" s="277"/>
      <c r="O781" s="277"/>
      <c r="P781" s="277"/>
      <c r="Q781" s="277"/>
      <c r="R781" s="277"/>
      <c r="T781" s="277"/>
      <c r="U781" s="277"/>
      <c r="W781" s="277"/>
      <c r="Y781" s="107"/>
      <c r="Z781" s="107"/>
      <c r="AA781" s="107"/>
      <c r="AB781" s="107"/>
      <c r="AC781" s="107"/>
      <c r="AD781" s="233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7"/>
      <c r="AV781" s="107"/>
      <c r="AW781" s="107"/>
      <c r="AX781" s="107"/>
      <c r="AY781" s="107"/>
      <c r="AZ781" s="107"/>
      <c r="BA781" s="107"/>
      <c r="BB781" s="107"/>
      <c r="BC781" s="107"/>
      <c r="BD781" s="107"/>
      <c r="BE781" s="107"/>
      <c r="BF781" s="107"/>
      <c r="BG781" s="107"/>
      <c r="BH781" s="107"/>
      <c r="BI781" s="107"/>
      <c r="BJ781" s="107"/>
      <c r="BK781" s="107"/>
      <c r="BL781" s="107"/>
      <c r="BM781" s="107"/>
      <c r="BN781" s="107"/>
      <c r="BO781" s="107"/>
      <c r="BP781" s="107"/>
      <c r="BQ781" s="107"/>
      <c r="BR781" s="107"/>
    </row>
    <row r="782" customFormat="false" ht="12.75" hidden="false" customHeight="false" outlineLevel="0" collapsed="false">
      <c r="A782" s="100"/>
      <c r="B782" s="100"/>
      <c r="C782" s="100"/>
      <c r="D782" s="100"/>
      <c r="E782" s="100"/>
      <c r="F782" s="277"/>
      <c r="H782" s="277"/>
      <c r="I782" s="277"/>
      <c r="J782" s="277"/>
      <c r="K782" s="277"/>
      <c r="L782" s="277"/>
      <c r="M782" s="277"/>
      <c r="N782" s="277"/>
      <c r="O782" s="277"/>
      <c r="P782" s="277"/>
      <c r="Q782" s="277"/>
      <c r="R782" s="277"/>
      <c r="T782" s="277"/>
      <c r="U782" s="277"/>
      <c r="W782" s="277"/>
      <c r="Y782" s="107"/>
      <c r="Z782" s="107"/>
      <c r="AA782" s="107"/>
      <c r="AB782" s="107"/>
      <c r="AC782" s="107"/>
      <c r="AD782" s="233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7"/>
      <c r="AV782" s="107"/>
      <c r="AW782" s="107"/>
      <c r="AX782" s="107"/>
      <c r="AY782" s="107"/>
      <c r="AZ782" s="107"/>
      <c r="BA782" s="107"/>
      <c r="BB782" s="107"/>
      <c r="BC782" s="107"/>
      <c r="BD782" s="107"/>
      <c r="BE782" s="107"/>
      <c r="BF782" s="107"/>
      <c r="BG782" s="107"/>
      <c r="BH782" s="107"/>
      <c r="BI782" s="107"/>
      <c r="BJ782" s="107"/>
      <c r="BK782" s="107"/>
      <c r="BL782" s="107"/>
      <c r="BM782" s="107"/>
      <c r="BN782" s="107"/>
      <c r="BO782" s="107"/>
      <c r="BP782" s="107"/>
      <c r="BQ782" s="107"/>
      <c r="BR782" s="107"/>
    </row>
    <row r="783" customFormat="false" ht="12.75" hidden="false" customHeight="false" outlineLevel="0" collapsed="false">
      <c r="A783" s="100"/>
      <c r="B783" s="100"/>
      <c r="C783" s="100"/>
      <c r="D783" s="100"/>
      <c r="E783" s="100"/>
      <c r="F783" s="277"/>
      <c r="H783" s="277"/>
      <c r="I783" s="277"/>
      <c r="J783" s="277"/>
      <c r="K783" s="277"/>
      <c r="L783" s="277"/>
      <c r="M783" s="277"/>
      <c r="N783" s="277"/>
      <c r="O783" s="277"/>
      <c r="P783" s="277"/>
      <c r="Q783" s="277"/>
      <c r="R783" s="277"/>
      <c r="T783" s="277"/>
      <c r="U783" s="277"/>
      <c r="W783" s="277"/>
      <c r="Y783" s="107"/>
      <c r="Z783" s="107"/>
      <c r="AA783" s="107"/>
      <c r="AB783" s="107"/>
      <c r="AC783" s="107"/>
      <c r="AD783" s="233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7"/>
      <c r="AV783" s="107"/>
      <c r="AW783" s="107"/>
      <c r="AX783" s="107"/>
      <c r="AY783" s="107"/>
      <c r="AZ783" s="107"/>
      <c r="BA783" s="107"/>
      <c r="BB783" s="107"/>
      <c r="BC783" s="107"/>
      <c r="BD783" s="107"/>
      <c r="BE783" s="107"/>
      <c r="BF783" s="107"/>
      <c r="BG783" s="107"/>
      <c r="BH783" s="107"/>
      <c r="BI783" s="107"/>
      <c r="BJ783" s="107"/>
      <c r="BK783" s="107"/>
      <c r="BL783" s="107"/>
      <c r="BM783" s="107"/>
      <c r="BN783" s="107"/>
      <c r="BO783" s="107"/>
      <c r="BP783" s="107"/>
      <c r="BQ783" s="107"/>
      <c r="BR783" s="107"/>
    </row>
    <row r="784" customFormat="false" ht="12.75" hidden="false" customHeight="false" outlineLevel="0" collapsed="false">
      <c r="A784" s="100"/>
      <c r="B784" s="100"/>
      <c r="C784" s="100"/>
      <c r="D784" s="100"/>
      <c r="E784" s="100"/>
      <c r="F784" s="277"/>
      <c r="H784" s="277"/>
      <c r="I784" s="277"/>
      <c r="J784" s="277"/>
      <c r="K784" s="277"/>
      <c r="L784" s="277"/>
      <c r="M784" s="277"/>
      <c r="N784" s="277"/>
      <c r="O784" s="277"/>
      <c r="P784" s="277"/>
      <c r="Q784" s="277"/>
      <c r="R784" s="277"/>
      <c r="T784" s="277"/>
      <c r="U784" s="277"/>
      <c r="W784" s="277"/>
      <c r="Y784" s="107"/>
      <c r="Z784" s="107"/>
      <c r="AA784" s="107"/>
      <c r="AB784" s="107"/>
      <c r="AC784" s="107"/>
      <c r="AD784" s="233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7"/>
      <c r="AV784" s="107"/>
      <c r="AW784" s="107"/>
      <c r="AX784" s="107"/>
      <c r="AY784" s="107"/>
      <c r="AZ784" s="107"/>
      <c r="BA784" s="107"/>
      <c r="BB784" s="107"/>
      <c r="BC784" s="107"/>
      <c r="BD784" s="107"/>
      <c r="BE784" s="107"/>
      <c r="BF784" s="107"/>
      <c r="BG784" s="107"/>
      <c r="BH784" s="107"/>
      <c r="BI784" s="107"/>
      <c r="BJ784" s="107"/>
      <c r="BK784" s="107"/>
      <c r="BL784" s="107"/>
      <c r="BM784" s="107"/>
      <c r="BN784" s="107"/>
      <c r="BO784" s="107"/>
      <c r="BP784" s="107"/>
      <c r="BQ784" s="107"/>
      <c r="BR784" s="107"/>
    </row>
    <row r="785" customFormat="false" ht="12.75" hidden="false" customHeight="false" outlineLevel="0" collapsed="false">
      <c r="A785" s="100"/>
      <c r="B785" s="100"/>
      <c r="C785" s="100"/>
      <c r="D785" s="100"/>
      <c r="E785" s="100"/>
      <c r="F785" s="277"/>
      <c r="H785" s="277"/>
      <c r="I785" s="277"/>
      <c r="J785" s="277"/>
      <c r="K785" s="277"/>
      <c r="L785" s="277"/>
      <c r="M785" s="277"/>
      <c r="N785" s="277"/>
      <c r="O785" s="277"/>
      <c r="P785" s="277"/>
      <c r="Q785" s="277"/>
      <c r="R785" s="277"/>
      <c r="T785" s="277"/>
      <c r="U785" s="277"/>
      <c r="W785" s="277"/>
      <c r="Y785" s="107"/>
      <c r="Z785" s="107"/>
      <c r="AA785" s="107"/>
      <c r="AB785" s="107"/>
      <c r="AC785" s="107"/>
      <c r="AD785" s="233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7"/>
      <c r="AV785" s="107"/>
      <c r="AW785" s="107"/>
      <c r="AX785" s="107"/>
      <c r="AY785" s="107"/>
      <c r="AZ785" s="107"/>
      <c r="BA785" s="107"/>
      <c r="BB785" s="107"/>
      <c r="BC785" s="107"/>
      <c r="BD785" s="107"/>
      <c r="BE785" s="107"/>
      <c r="BF785" s="107"/>
      <c r="BG785" s="107"/>
      <c r="BH785" s="107"/>
      <c r="BI785" s="107"/>
      <c r="BJ785" s="107"/>
      <c r="BK785" s="107"/>
      <c r="BL785" s="107"/>
      <c r="BM785" s="107"/>
      <c r="BN785" s="107"/>
      <c r="BO785" s="107"/>
      <c r="BP785" s="107"/>
      <c r="BQ785" s="107"/>
      <c r="BR785" s="107"/>
    </row>
    <row r="786" customFormat="false" ht="12.75" hidden="false" customHeight="false" outlineLevel="0" collapsed="false">
      <c r="A786" s="100"/>
      <c r="B786" s="100"/>
      <c r="C786" s="100"/>
      <c r="D786" s="100"/>
      <c r="E786" s="100"/>
      <c r="F786" s="277"/>
      <c r="H786" s="277"/>
      <c r="I786" s="277"/>
      <c r="J786" s="277"/>
      <c r="K786" s="277"/>
      <c r="L786" s="277"/>
      <c r="M786" s="277"/>
      <c r="N786" s="277"/>
      <c r="O786" s="277"/>
      <c r="P786" s="277"/>
      <c r="Q786" s="277"/>
      <c r="R786" s="277"/>
      <c r="T786" s="277"/>
      <c r="U786" s="277"/>
      <c r="W786" s="277"/>
      <c r="Y786" s="107"/>
      <c r="Z786" s="107"/>
      <c r="AA786" s="107"/>
      <c r="AB786" s="107"/>
      <c r="AC786" s="107"/>
      <c r="AD786" s="233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7"/>
      <c r="AV786" s="107"/>
      <c r="AW786" s="107"/>
      <c r="AX786" s="107"/>
      <c r="AY786" s="107"/>
      <c r="AZ786" s="107"/>
      <c r="BA786" s="107"/>
      <c r="BB786" s="107"/>
      <c r="BC786" s="107"/>
      <c r="BD786" s="107"/>
      <c r="BE786" s="107"/>
      <c r="BF786" s="107"/>
      <c r="BG786" s="107"/>
      <c r="BH786" s="107"/>
      <c r="BI786" s="107"/>
      <c r="BJ786" s="107"/>
      <c r="BK786" s="107"/>
      <c r="BL786" s="107"/>
      <c r="BM786" s="107"/>
      <c r="BN786" s="107"/>
      <c r="BO786" s="107"/>
      <c r="BP786" s="107"/>
      <c r="BQ786" s="107"/>
      <c r="BR786" s="107"/>
    </row>
    <row r="787" customFormat="false" ht="12.75" hidden="false" customHeight="false" outlineLevel="0" collapsed="false">
      <c r="A787" s="100"/>
      <c r="B787" s="100"/>
      <c r="C787" s="100"/>
      <c r="D787" s="100"/>
      <c r="E787" s="100"/>
      <c r="F787" s="277"/>
      <c r="H787" s="277"/>
      <c r="I787" s="277"/>
      <c r="J787" s="277"/>
      <c r="K787" s="277"/>
      <c r="L787" s="277"/>
      <c r="M787" s="277"/>
      <c r="N787" s="277"/>
      <c r="O787" s="277"/>
      <c r="P787" s="277"/>
      <c r="Q787" s="277"/>
      <c r="R787" s="277"/>
      <c r="T787" s="277"/>
      <c r="U787" s="277"/>
      <c r="W787" s="277"/>
      <c r="Y787" s="107"/>
      <c r="Z787" s="107"/>
      <c r="AA787" s="107"/>
      <c r="AB787" s="107"/>
      <c r="AC787" s="107"/>
      <c r="AD787" s="233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7"/>
      <c r="AV787" s="107"/>
      <c r="AW787" s="107"/>
      <c r="AX787" s="107"/>
      <c r="AY787" s="107"/>
      <c r="AZ787" s="107"/>
      <c r="BA787" s="107"/>
      <c r="BB787" s="107"/>
      <c r="BC787" s="107"/>
      <c r="BD787" s="107"/>
      <c r="BE787" s="107"/>
      <c r="BF787" s="107"/>
      <c r="BG787" s="107"/>
      <c r="BH787" s="107"/>
      <c r="BI787" s="107"/>
      <c r="BJ787" s="107"/>
      <c r="BK787" s="107"/>
      <c r="BL787" s="107"/>
      <c r="BM787" s="107"/>
      <c r="BN787" s="107"/>
      <c r="BO787" s="107"/>
      <c r="BP787" s="107"/>
      <c r="BQ787" s="107"/>
      <c r="BR787" s="107"/>
    </row>
    <row r="788" customFormat="false" ht="12.75" hidden="false" customHeight="false" outlineLevel="0" collapsed="false">
      <c r="A788" s="100"/>
      <c r="B788" s="100"/>
      <c r="C788" s="100"/>
      <c r="D788" s="100"/>
      <c r="E788" s="100"/>
      <c r="F788" s="277"/>
      <c r="H788" s="277"/>
      <c r="I788" s="277"/>
      <c r="J788" s="277"/>
      <c r="K788" s="277"/>
      <c r="L788" s="277"/>
      <c r="M788" s="277"/>
      <c r="N788" s="277"/>
      <c r="O788" s="277"/>
      <c r="P788" s="277"/>
      <c r="Q788" s="277"/>
      <c r="R788" s="277"/>
      <c r="T788" s="277"/>
      <c r="U788" s="277"/>
      <c r="W788" s="277"/>
      <c r="Y788" s="107"/>
      <c r="Z788" s="107"/>
      <c r="AA788" s="107"/>
      <c r="AB788" s="107"/>
      <c r="AC788" s="107"/>
      <c r="AD788" s="233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7"/>
      <c r="AV788" s="107"/>
      <c r="AW788" s="107"/>
      <c r="AX788" s="107"/>
      <c r="AY788" s="107"/>
      <c r="AZ788" s="107"/>
      <c r="BA788" s="107"/>
      <c r="BB788" s="107"/>
      <c r="BC788" s="107"/>
      <c r="BD788" s="107"/>
      <c r="BE788" s="107"/>
      <c r="BF788" s="107"/>
      <c r="BG788" s="107"/>
      <c r="BH788" s="107"/>
      <c r="BI788" s="107"/>
      <c r="BJ788" s="107"/>
      <c r="BK788" s="107"/>
      <c r="BL788" s="107"/>
      <c r="BM788" s="107"/>
      <c r="BN788" s="107"/>
      <c r="BO788" s="107"/>
      <c r="BP788" s="107"/>
      <c r="BQ788" s="107"/>
      <c r="BR788" s="107"/>
    </row>
    <row r="789" customFormat="false" ht="12.75" hidden="false" customHeight="false" outlineLevel="0" collapsed="false">
      <c r="A789" s="100"/>
      <c r="B789" s="100"/>
      <c r="C789" s="100"/>
      <c r="D789" s="100"/>
      <c r="E789" s="100"/>
      <c r="F789" s="277"/>
      <c r="H789" s="277"/>
      <c r="I789" s="277"/>
      <c r="J789" s="277"/>
      <c r="K789" s="277"/>
      <c r="L789" s="277"/>
      <c r="M789" s="277"/>
      <c r="N789" s="277"/>
      <c r="O789" s="277"/>
      <c r="P789" s="277"/>
      <c r="Q789" s="277"/>
      <c r="R789" s="277"/>
      <c r="T789" s="277"/>
      <c r="U789" s="277"/>
      <c r="W789" s="277"/>
      <c r="Y789" s="107"/>
      <c r="Z789" s="107"/>
      <c r="AA789" s="107"/>
      <c r="AB789" s="107"/>
      <c r="AC789" s="107"/>
      <c r="AD789" s="233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7"/>
      <c r="AV789" s="107"/>
      <c r="AW789" s="107"/>
      <c r="AX789" s="107"/>
      <c r="AY789" s="107"/>
      <c r="AZ789" s="107"/>
      <c r="BA789" s="107"/>
      <c r="BB789" s="107"/>
      <c r="BC789" s="107"/>
      <c r="BD789" s="107"/>
      <c r="BE789" s="107"/>
      <c r="BF789" s="107"/>
      <c r="BG789" s="107"/>
      <c r="BH789" s="107"/>
      <c r="BI789" s="107"/>
      <c r="BJ789" s="107"/>
      <c r="BK789" s="107"/>
      <c r="BL789" s="107"/>
      <c r="BM789" s="107"/>
      <c r="BN789" s="107"/>
      <c r="BO789" s="107"/>
      <c r="BP789" s="107"/>
      <c r="BQ789" s="107"/>
      <c r="BR789" s="107"/>
    </row>
    <row r="790" customFormat="false" ht="12.75" hidden="false" customHeight="false" outlineLevel="0" collapsed="false">
      <c r="A790" s="100"/>
      <c r="B790" s="100"/>
      <c r="C790" s="100"/>
      <c r="D790" s="100"/>
      <c r="E790" s="100"/>
      <c r="F790" s="277"/>
      <c r="H790" s="277"/>
      <c r="I790" s="277"/>
      <c r="J790" s="277"/>
      <c r="K790" s="277"/>
      <c r="L790" s="277"/>
      <c r="M790" s="277"/>
      <c r="N790" s="277"/>
      <c r="O790" s="277"/>
      <c r="P790" s="277"/>
      <c r="Q790" s="277"/>
      <c r="R790" s="277"/>
      <c r="T790" s="277"/>
      <c r="U790" s="277"/>
      <c r="W790" s="277"/>
      <c r="Y790" s="107"/>
      <c r="Z790" s="107"/>
      <c r="AA790" s="107"/>
      <c r="AB790" s="107"/>
      <c r="AC790" s="107"/>
      <c r="AD790" s="233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7"/>
      <c r="AV790" s="107"/>
      <c r="AW790" s="107"/>
      <c r="AX790" s="107"/>
      <c r="AY790" s="107"/>
      <c r="AZ790" s="107"/>
      <c r="BA790" s="107"/>
      <c r="BB790" s="107"/>
      <c r="BC790" s="107"/>
      <c r="BD790" s="107"/>
      <c r="BE790" s="107"/>
      <c r="BF790" s="107"/>
      <c r="BG790" s="107"/>
      <c r="BH790" s="107"/>
      <c r="BI790" s="107"/>
      <c r="BJ790" s="107"/>
      <c r="BK790" s="107"/>
      <c r="BL790" s="107"/>
      <c r="BM790" s="107"/>
      <c r="BN790" s="107"/>
      <c r="BO790" s="107"/>
      <c r="BP790" s="107"/>
      <c r="BQ790" s="107"/>
      <c r="BR790" s="107"/>
    </row>
    <row r="791" customFormat="false" ht="12.75" hidden="false" customHeight="false" outlineLevel="0" collapsed="false">
      <c r="A791" s="100"/>
      <c r="B791" s="100"/>
      <c r="C791" s="100"/>
      <c r="D791" s="100"/>
      <c r="E791" s="100"/>
      <c r="F791" s="277"/>
      <c r="H791" s="277"/>
      <c r="I791" s="277"/>
      <c r="J791" s="277"/>
      <c r="K791" s="277"/>
      <c r="L791" s="277"/>
      <c r="M791" s="277"/>
      <c r="N791" s="277"/>
      <c r="O791" s="277"/>
      <c r="P791" s="277"/>
      <c r="Q791" s="277"/>
      <c r="R791" s="277"/>
      <c r="T791" s="277"/>
      <c r="U791" s="277"/>
      <c r="W791" s="277"/>
      <c r="Y791" s="107"/>
      <c r="Z791" s="107"/>
      <c r="AA791" s="107"/>
      <c r="AB791" s="107"/>
      <c r="AC791" s="107"/>
      <c r="AD791" s="233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7"/>
      <c r="AV791" s="107"/>
      <c r="AW791" s="107"/>
      <c r="AX791" s="107"/>
      <c r="AY791" s="107"/>
      <c r="AZ791" s="107"/>
      <c r="BA791" s="107"/>
      <c r="BB791" s="107"/>
      <c r="BC791" s="107"/>
      <c r="BD791" s="107"/>
      <c r="BE791" s="107"/>
      <c r="BF791" s="107"/>
      <c r="BG791" s="107"/>
      <c r="BH791" s="107"/>
      <c r="BI791" s="107"/>
      <c r="BJ791" s="107"/>
      <c r="BK791" s="107"/>
      <c r="BL791" s="107"/>
      <c r="BM791" s="107"/>
      <c r="BN791" s="107"/>
      <c r="BO791" s="107"/>
      <c r="BP791" s="107"/>
      <c r="BQ791" s="107"/>
      <c r="BR791" s="107"/>
    </row>
    <row r="792" customFormat="false" ht="12.75" hidden="false" customHeight="false" outlineLevel="0" collapsed="false">
      <c r="A792" s="100"/>
      <c r="B792" s="100"/>
      <c r="C792" s="100"/>
      <c r="D792" s="100"/>
      <c r="E792" s="100"/>
      <c r="F792" s="277"/>
      <c r="H792" s="277"/>
      <c r="I792" s="277"/>
      <c r="J792" s="277"/>
      <c r="K792" s="277"/>
      <c r="L792" s="277"/>
      <c r="M792" s="277"/>
      <c r="N792" s="277"/>
      <c r="O792" s="277"/>
      <c r="P792" s="277"/>
      <c r="Q792" s="277"/>
      <c r="R792" s="277"/>
      <c r="T792" s="277"/>
      <c r="U792" s="277"/>
      <c r="W792" s="277"/>
      <c r="Y792" s="107"/>
      <c r="Z792" s="107"/>
      <c r="AA792" s="107"/>
      <c r="AB792" s="107"/>
      <c r="AC792" s="107"/>
      <c r="AD792" s="233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7"/>
      <c r="AV792" s="107"/>
      <c r="AW792" s="107"/>
      <c r="AX792" s="107"/>
      <c r="AY792" s="107"/>
      <c r="AZ792" s="107"/>
      <c r="BA792" s="107"/>
      <c r="BB792" s="107"/>
      <c r="BC792" s="107"/>
      <c r="BD792" s="107"/>
      <c r="BE792" s="107"/>
      <c r="BF792" s="107"/>
      <c r="BG792" s="107"/>
      <c r="BH792" s="107"/>
      <c r="BI792" s="107"/>
      <c r="BJ792" s="107"/>
      <c r="BK792" s="107"/>
      <c r="BL792" s="107"/>
      <c r="BM792" s="107"/>
      <c r="BN792" s="107"/>
      <c r="BO792" s="107"/>
      <c r="BP792" s="107"/>
      <c r="BQ792" s="107"/>
      <c r="BR792" s="107"/>
    </row>
    <row r="793" customFormat="false" ht="12.75" hidden="false" customHeight="false" outlineLevel="0" collapsed="false">
      <c r="A793" s="100"/>
      <c r="B793" s="100"/>
      <c r="C793" s="100"/>
      <c r="D793" s="100"/>
      <c r="E793" s="100"/>
      <c r="F793" s="277"/>
      <c r="H793" s="277"/>
      <c r="I793" s="277"/>
      <c r="J793" s="277"/>
      <c r="K793" s="277"/>
      <c r="L793" s="277"/>
      <c r="M793" s="277"/>
      <c r="N793" s="277"/>
      <c r="O793" s="277"/>
      <c r="P793" s="277"/>
      <c r="Q793" s="277"/>
      <c r="R793" s="277"/>
      <c r="T793" s="277"/>
      <c r="U793" s="277"/>
      <c r="W793" s="277"/>
      <c r="Y793" s="107"/>
      <c r="Z793" s="107"/>
      <c r="AA793" s="107"/>
      <c r="AB793" s="107"/>
      <c r="AC793" s="107"/>
      <c r="AD793" s="233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7"/>
      <c r="AV793" s="107"/>
      <c r="AW793" s="107"/>
      <c r="AX793" s="107"/>
      <c r="AY793" s="107"/>
      <c r="AZ793" s="107"/>
      <c r="BA793" s="107"/>
      <c r="BB793" s="107"/>
      <c r="BC793" s="107"/>
      <c r="BD793" s="107"/>
      <c r="BE793" s="107"/>
      <c r="BF793" s="107"/>
      <c r="BG793" s="107"/>
      <c r="BH793" s="107"/>
      <c r="BI793" s="107"/>
      <c r="BJ793" s="107"/>
      <c r="BK793" s="107"/>
      <c r="BL793" s="107"/>
      <c r="BM793" s="107"/>
      <c r="BN793" s="107"/>
      <c r="BO793" s="107"/>
      <c r="BP793" s="107"/>
      <c r="BQ793" s="107"/>
      <c r="BR793" s="107"/>
    </row>
    <row r="794" customFormat="false" ht="12.75" hidden="false" customHeight="false" outlineLevel="0" collapsed="false">
      <c r="A794" s="100"/>
      <c r="B794" s="100"/>
      <c r="C794" s="100"/>
      <c r="D794" s="100"/>
      <c r="E794" s="100"/>
      <c r="F794" s="277"/>
      <c r="H794" s="277"/>
      <c r="I794" s="277"/>
      <c r="J794" s="277"/>
      <c r="K794" s="277"/>
      <c r="L794" s="277"/>
      <c r="M794" s="277"/>
      <c r="N794" s="277"/>
      <c r="O794" s="277"/>
      <c r="P794" s="277"/>
      <c r="Q794" s="277"/>
      <c r="R794" s="277"/>
      <c r="T794" s="277"/>
      <c r="U794" s="277"/>
      <c r="W794" s="277"/>
      <c r="Y794" s="107"/>
      <c r="Z794" s="107"/>
      <c r="AA794" s="107"/>
      <c r="AB794" s="107"/>
      <c r="AC794" s="107"/>
      <c r="AD794" s="233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7"/>
      <c r="AV794" s="107"/>
      <c r="AW794" s="107"/>
      <c r="AX794" s="107"/>
      <c r="AY794" s="107"/>
      <c r="AZ794" s="107"/>
      <c r="BA794" s="107"/>
      <c r="BB794" s="107"/>
      <c r="BC794" s="107"/>
      <c r="BD794" s="107"/>
      <c r="BE794" s="107"/>
      <c r="BF794" s="107"/>
      <c r="BG794" s="107"/>
      <c r="BH794" s="107"/>
      <c r="BI794" s="107"/>
      <c r="BJ794" s="107"/>
      <c r="BK794" s="107"/>
      <c r="BL794" s="107"/>
      <c r="BM794" s="107"/>
      <c r="BN794" s="107"/>
      <c r="BO794" s="107"/>
      <c r="BP794" s="107"/>
      <c r="BQ794" s="107"/>
      <c r="BR794" s="107"/>
    </row>
    <row r="795" customFormat="false" ht="12.75" hidden="false" customHeight="false" outlineLevel="0" collapsed="false">
      <c r="A795" s="100"/>
      <c r="B795" s="100"/>
      <c r="C795" s="100"/>
      <c r="D795" s="100"/>
      <c r="E795" s="100"/>
      <c r="F795" s="277"/>
      <c r="H795" s="277"/>
      <c r="I795" s="277"/>
      <c r="J795" s="277"/>
      <c r="K795" s="277"/>
      <c r="L795" s="277"/>
      <c r="M795" s="277"/>
      <c r="N795" s="277"/>
      <c r="O795" s="277"/>
      <c r="P795" s="277"/>
      <c r="Q795" s="277"/>
      <c r="R795" s="277"/>
      <c r="T795" s="277"/>
      <c r="U795" s="277"/>
      <c r="W795" s="277"/>
      <c r="Y795" s="107"/>
      <c r="Z795" s="107"/>
      <c r="AA795" s="107"/>
      <c r="AB795" s="107"/>
      <c r="AC795" s="107"/>
      <c r="AD795" s="233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7"/>
      <c r="AV795" s="107"/>
      <c r="AW795" s="107"/>
      <c r="AX795" s="107"/>
      <c r="AY795" s="107"/>
      <c r="AZ795" s="107"/>
      <c r="BA795" s="107"/>
      <c r="BB795" s="107"/>
      <c r="BC795" s="107"/>
      <c r="BD795" s="107"/>
      <c r="BE795" s="107"/>
      <c r="BF795" s="107"/>
      <c r="BG795" s="107"/>
      <c r="BH795" s="107"/>
      <c r="BI795" s="107"/>
      <c r="BJ795" s="107"/>
      <c r="BK795" s="107"/>
      <c r="BL795" s="107"/>
      <c r="BM795" s="107"/>
      <c r="BN795" s="107"/>
      <c r="BO795" s="107"/>
      <c r="BP795" s="107"/>
      <c r="BQ795" s="107"/>
      <c r="BR795" s="107"/>
    </row>
    <row r="796" customFormat="false" ht="12.75" hidden="false" customHeight="false" outlineLevel="0" collapsed="false">
      <c r="A796" s="100"/>
      <c r="B796" s="100"/>
      <c r="C796" s="100"/>
      <c r="D796" s="100"/>
      <c r="E796" s="100"/>
      <c r="F796" s="277"/>
      <c r="H796" s="277"/>
      <c r="I796" s="277"/>
      <c r="J796" s="277"/>
      <c r="K796" s="277"/>
      <c r="L796" s="277"/>
      <c r="M796" s="277"/>
      <c r="N796" s="277"/>
      <c r="O796" s="277"/>
      <c r="P796" s="277"/>
      <c r="Q796" s="277"/>
      <c r="R796" s="277"/>
      <c r="T796" s="277"/>
      <c r="U796" s="277"/>
      <c r="W796" s="277"/>
      <c r="Y796" s="107"/>
      <c r="Z796" s="107"/>
      <c r="AA796" s="107"/>
      <c r="AB796" s="107"/>
      <c r="AC796" s="107"/>
      <c r="AD796" s="233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7"/>
      <c r="AV796" s="107"/>
      <c r="AW796" s="107"/>
      <c r="AX796" s="107"/>
      <c r="AY796" s="107"/>
      <c r="AZ796" s="107"/>
      <c r="BA796" s="107"/>
      <c r="BB796" s="107"/>
      <c r="BC796" s="107"/>
      <c r="BD796" s="107"/>
      <c r="BE796" s="107"/>
      <c r="BF796" s="107"/>
      <c r="BG796" s="107"/>
      <c r="BH796" s="107"/>
      <c r="BI796" s="107"/>
      <c r="BJ796" s="107"/>
      <c r="BK796" s="107"/>
      <c r="BL796" s="107"/>
      <c r="BM796" s="107"/>
      <c r="BN796" s="107"/>
      <c r="BO796" s="107"/>
      <c r="BP796" s="107"/>
      <c r="BQ796" s="107"/>
      <c r="BR796" s="107"/>
    </row>
    <row r="797" customFormat="false" ht="12.75" hidden="false" customHeight="false" outlineLevel="0" collapsed="false">
      <c r="A797" s="100"/>
      <c r="B797" s="100"/>
      <c r="C797" s="100"/>
      <c r="D797" s="100"/>
      <c r="E797" s="100"/>
      <c r="F797" s="277"/>
      <c r="H797" s="277"/>
      <c r="I797" s="277"/>
      <c r="J797" s="277"/>
      <c r="K797" s="277"/>
      <c r="L797" s="277"/>
      <c r="M797" s="277"/>
      <c r="N797" s="277"/>
      <c r="O797" s="277"/>
      <c r="P797" s="277"/>
      <c r="Q797" s="277"/>
      <c r="R797" s="277"/>
      <c r="T797" s="277"/>
      <c r="U797" s="277"/>
      <c r="W797" s="277"/>
      <c r="Y797" s="107"/>
      <c r="Z797" s="107"/>
      <c r="AA797" s="107"/>
      <c r="AB797" s="107"/>
      <c r="AC797" s="107"/>
      <c r="AD797" s="233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7"/>
      <c r="AV797" s="107"/>
      <c r="AW797" s="107"/>
      <c r="AX797" s="107"/>
      <c r="AY797" s="107"/>
      <c r="AZ797" s="107"/>
      <c r="BA797" s="107"/>
      <c r="BB797" s="107"/>
      <c r="BC797" s="107"/>
      <c r="BD797" s="107"/>
      <c r="BE797" s="107"/>
      <c r="BF797" s="107"/>
      <c r="BG797" s="107"/>
      <c r="BH797" s="107"/>
      <c r="BI797" s="107"/>
      <c r="BJ797" s="107"/>
      <c r="BK797" s="107"/>
      <c r="BL797" s="107"/>
      <c r="BM797" s="107"/>
      <c r="BN797" s="107"/>
      <c r="BO797" s="107"/>
      <c r="BP797" s="107"/>
      <c r="BQ797" s="107"/>
      <c r="BR797" s="107"/>
    </row>
    <row r="798" customFormat="false" ht="12.75" hidden="false" customHeight="false" outlineLevel="0" collapsed="false">
      <c r="A798" s="100"/>
      <c r="B798" s="100"/>
      <c r="C798" s="100"/>
      <c r="D798" s="100"/>
      <c r="E798" s="100"/>
      <c r="F798" s="277"/>
      <c r="H798" s="277"/>
      <c r="I798" s="277"/>
      <c r="J798" s="277"/>
      <c r="K798" s="277"/>
      <c r="L798" s="277"/>
      <c r="M798" s="277"/>
      <c r="N798" s="277"/>
      <c r="O798" s="277"/>
      <c r="P798" s="277"/>
      <c r="Q798" s="277"/>
      <c r="R798" s="277"/>
      <c r="T798" s="277"/>
      <c r="U798" s="277"/>
      <c r="W798" s="277"/>
      <c r="Y798" s="107"/>
      <c r="Z798" s="107"/>
      <c r="AA798" s="107"/>
      <c r="AB798" s="107"/>
      <c r="AC798" s="107"/>
      <c r="AD798" s="233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7"/>
      <c r="AV798" s="107"/>
      <c r="AW798" s="107"/>
      <c r="AX798" s="107"/>
      <c r="AY798" s="107"/>
      <c r="AZ798" s="107"/>
      <c r="BA798" s="107"/>
      <c r="BB798" s="107"/>
      <c r="BC798" s="107"/>
      <c r="BD798" s="107"/>
      <c r="BE798" s="107"/>
      <c r="BF798" s="107"/>
      <c r="BG798" s="107"/>
      <c r="BH798" s="107"/>
      <c r="BI798" s="107"/>
      <c r="BJ798" s="107"/>
      <c r="BK798" s="107"/>
      <c r="BL798" s="107"/>
      <c r="BM798" s="107"/>
      <c r="BN798" s="107"/>
      <c r="BO798" s="107"/>
      <c r="BP798" s="107"/>
      <c r="BQ798" s="107"/>
      <c r="BR798" s="107"/>
    </row>
    <row r="799" customFormat="false" ht="12.75" hidden="false" customHeight="false" outlineLevel="0" collapsed="false">
      <c r="A799" s="100"/>
      <c r="B799" s="100"/>
      <c r="C799" s="100"/>
      <c r="D799" s="100"/>
      <c r="E799" s="100"/>
      <c r="F799" s="277"/>
      <c r="H799" s="277"/>
      <c r="I799" s="277"/>
      <c r="J799" s="277"/>
      <c r="K799" s="277"/>
      <c r="L799" s="277"/>
      <c r="M799" s="277"/>
      <c r="N799" s="277"/>
      <c r="O799" s="277"/>
      <c r="P799" s="277"/>
      <c r="Q799" s="277"/>
      <c r="R799" s="277"/>
      <c r="T799" s="277"/>
      <c r="U799" s="277"/>
      <c r="W799" s="277"/>
      <c r="Y799" s="107"/>
      <c r="Z799" s="107"/>
      <c r="AA799" s="107"/>
      <c r="AB799" s="107"/>
      <c r="AC799" s="107"/>
      <c r="AD799" s="233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7"/>
      <c r="AV799" s="107"/>
      <c r="AW799" s="107"/>
      <c r="AX799" s="107"/>
      <c r="AY799" s="107"/>
      <c r="AZ799" s="107"/>
      <c r="BA799" s="107"/>
      <c r="BB799" s="107"/>
      <c r="BC799" s="107"/>
      <c r="BD799" s="107"/>
      <c r="BE799" s="107"/>
      <c r="BF799" s="107"/>
      <c r="BG799" s="107"/>
      <c r="BH799" s="107"/>
      <c r="BI799" s="107"/>
      <c r="BJ799" s="107"/>
      <c r="BK799" s="107"/>
      <c r="BL799" s="107"/>
      <c r="BM799" s="107"/>
      <c r="BN799" s="107"/>
      <c r="BO799" s="107"/>
      <c r="BP799" s="107"/>
      <c r="BQ799" s="107"/>
      <c r="BR799" s="107"/>
    </row>
    <row r="800" customFormat="false" ht="12.75" hidden="false" customHeight="false" outlineLevel="0" collapsed="false">
      <c r="A800" s="100"/>
      <c r="B800" s="100"/>
      <c r="C800" s="100"/>
      <c r="D800" s="100"/>
      <c r="E800" s="100"/>
      <c r="F800" s="277"/>
      <c r="H800" s="277"/>
      <c r="I800" s="277"/>
      <c r="J800" s="277"/>
      <c r="K800" s="277"/>
      <c r="L800" s="277"/>
      <c r="M800" s="277"/>
      <c r="N800" s="277"/>
      <c r="O800" s="277"/>
      <c r="P800" s="277"/>
      <c r="Q800" s="277"/>
      <c r="R800" s="277"/>
      <c r="T800" s="277"/>
      <c r="U800" s="277"/>
      <c r="W800" s="277"/>
      <c r="Y800" s="107"/>
      <c r="Z800" s="107"/>
      <c r="AA800" s="107"/>
      <c r="AB800" s="107"/>
      <c r="AC800" s="107"/>
      <c r="AD800" s="233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7"/>
      <c r="AV800" s="107"/>
      <c r="AW800" s="107"/>
      <c r="AX800" s="107"/>
      <c r="AY800" s="107"/>
      <c r="AZ800" s="107"/>
      <c r="BA800" s="107"/>
      <c r="BB800" s="107"/>
      <c r="BC800" s="107"/>
      <c r="BD800" s="107"/>
      <c r="BE800" s="107"/>
      <c r="BF800" s="107"/>
      <c r="BG800" s="107"/>
      <c r="BH800" s="107"/>
      <c r="BI800" s="107"/>
      <c r="BJ800" s="107"/>
      <c r="BK800" s="107"/>
      <c r="BL800" s="107"/>
      <c r="BM800" s="107"/>
      <c r="BN800" s="107"/>
      <c r="BO800" s="107"/>
      <c r="BP800" s="107"/>
      <c r="BQ800" s="107"/>
      <c r="BR800" s="107"/>
    </row>
    <row r="801" customFormat="false" ht="12.75" hidden="false" customHeight="false" outlineLevel="0" collapsed="false">
      <c r="A801" s="100"/>
      <c r="B801" s="100"/>
      <c r="C801" s="100"/>
      <c r="D801" s="100"/>
      <c r="E801" s="100"/>
      <c r="F801" s="277"/>
      <c r="H801" s="277"/>
      <c r="I801" s="277"/>
      <c r="J801" s="277"/>
      <c r="K801" s="277"/>
      <c r="L801" s="277"/>
      <c r="M801" s="277"/>
      <c r="N801" s="277"/>
      <c r="O801" s="277"/>
      <c r="P801" s="277"/>
      <c r="Q801" s="277"/>
      <c r="R801" s="277"/>
      <c r="T801" s="277"/>
      <c r="U801" s="277"/>
      <c r="W801" s="277"/>
      <c r="Y801" s="107"/>
      <c r="Z801" s="107"/>
      <c r="AA801" s="107"/>
      <c r="AB801" s="107"/>
      <c r="AC801" s="107"/>
      <c r="AD801" s="233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7"/>
      <c r="AV801" s="107"/>
      <c r="AW801" s="107"/>
      <c r="AX801" s="107"/>
      <c r="AY801" s="107"/>
      <c r="AZ801" s="107"/>
      <c r="BA801" s="107"/>
      <c r="BB801" s="107"/>
      <c r="BC801" s="107"/>
      <c r="BD801" s="107"/>
      <c r="BE801" s="107"/>
      <c r="BF801" s="107"/>
      <c r="BG801" s="107"/>
      <c r="BH801" s="107"/>
      <c r="BI801" s="107"/>
      <c r="BJ801" s="107"/>
      <c r="BK801" s="107"/>
      <c r="BL801" s="107"/>
      <c r="BM801" s="107"/>
      <c r="BN801" s="107"/>
      <c r="BO801" s="107"/>
      <c r="BP801" s="107"/>
      <c r="BQ801" s="107"/>
      <c r="BR801" s="107"/>
    </row>
    <row r="802" customFormat="false" ht="12.75" hidden="false" customHeight="false" outlineLevel="0" collapsed="false">
      <c r="A802" s="100"/>
      <c r="B802" s="100"/>
      <c r="C802" s="100"/>
      <c r="D802" s="100"/>
      <c r="E802" s="100"/>
      <c r="F802" s="277"/>
      <c r="H802" s="277"/>
      <c r="I802" s="277"/>
      <c r="J802" s="277"/>
      <c r="K802" s="277"/>
      <c r="L802" s="277"/>
      <c r="M802" s="277"/>
      <c r="N802" s="277"/>
      <c r="O802" s="277"/>
      <c r="P802" s="277"/>
      <c r="Q802" s="277"/>
      <c r="R802" s="277"/>
      <c r="T802" s="277"/>
      <c r="U802" s="277"/>
      <c r="W802" s="277"/>
      <c r="Y802" s="107"/>
      <c r="Z802" s="107"/>
      <c r="AA802" s="107"/>
      <c r="AB802" s="107"/>
      <c r="AC802" s="107"/>
      <c r="AD802" s="233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7"/>
      <c r="BC802" s="107"/>
      <c r="BD802" s="107"/>
      <c r="BE802" s="107"/>
      <c r="BF802" s="107"/>
      <c r="BG802" s="107"/>
      <c r="BH802" s="107"/>
      <c r="BI802" s="107"/>
      <c r="BJ802" s="107"/>
      <c r="BK802" s="107"/>
      <c r="BL802" s="107"/>
      <c r="BM802" s="107"/>
      <c r="BN802" s="107"/>
      <c r="BO802" s="107"/>
      <c r="BP802" s="107"/>
      <c r="BQ802" s="107"/>
      <c r="BR802" s="107"/>
    </row>
    <row r="803" customFormat="false" ht="12.75" hidden="false" customHeight="false" outlineLevel="0" collapsed="false">
      <c r="A803" s="100"/>
      <c r="B803" s="100"/>
      <c r="C803" s="100"/>
      <c r="D803" s="100"/>
      <c r="E803" s="100"/>
      <c r="F803" s="277"/>
      <c r="H803" s="277"/>
      <c r="I803" s="277"/>
      <c r="J803" s="277"/>
      <c r="K803" s="277"/>
      <c r="L803" s="277"/>
      <c r="M803" s="277"/>
      <c r="N803" s="277"/>
      <c r="O803" s="277"/>
      <c r="P803" s="277"/>
      <c r="Q803" s="277"/>
      <c r="R803" s="277"/>
      <c r="T803" s="277"/>
      <c r="U803" s="277"/>
      <c r="W803" s="277"/>
      <c r="Y803" s="107"/>
      <c r="Z803" s="107"/>
      <c r="AA803" s="107"/>
      <c r="AB803" s="107"/>
      <c r="AC803" s="107"/>
      <c r="AD803" s="233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7"/>
      <c r="AV803" s="107"/>
      <c r="AW803" s="107"/>
      <c r="AX803" s="107"/>
      <c r="AY803" s="107"/>
      <c r="AZ803" s="107"/>
      <c r="BA803" s="107"/>
      <c r="BB803" s="107"/>
      <c r="BC803" s="107"/>
      <c r="BD803" s="107"/>
      <c r="BE803" s="107"/>
      <c r="BF803" s="107"/>
      <c r="BG803" s="107"/>
      <c r="BH803" s="107"/>
      <c r="BI803" s="107"/>
      <c r="BJ803" s="107"/>
      <c r="BK803" s="107"/>
      <c r="BL803" s="107"/>
      <c r="BM803" s="107"/>
      <c r="BN803" s="107"/>
      <c r="BO803" s="107"/>
      <c r="BP803" s="107"/>
      <c r="BQ803" s="107"/>
      <c r="BR803" s="107"/>
    </row>
    <row r="804" customFormat="false" ht="12.75" hidden="false" customHeight="false" outlineLevel="0" collapsed="false">
      <c r="A804" s="100"/>
      <c r="B804" s="100"/>
      <c r="C804" s="100"/>
      <c r="D804" s="100"/>
      <c r="E804" s="100"/>
      <c r="F804" s="277"/>
      <c r="H804" s="277"/>
      <c r="I804" s="277"/>
      <c r="J804" s="277"/>
      <c r="K804" s="277"/>
      <c r="L804" s="277"/>
      <c r="M804" s="277"/>
      <c r="N804" s="277"/>
      <c r="O804" s="277"/>
      <c r="P804" s="277"/>
      <c r="Q804" s="277"/>
      <c r="R804" s="277"/>
      <c r="T804" s="277"/>
      <c r="U804" s="277"/>
      <c r="W804" s="277"/>
      <c r="Y804" s="107"/>
      <c r="Z804" s="107"/>
      <c r="AA804" s="107"/>
      <c r="AB804" s="107"/>
      <c r="AC804" s="107"/>
      <c r="AD804" s="233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7"/>
      <c r="AV804" s="107"/>
      <c r="AW804" s="107"/>
      <c r="AX804" s="107"/>
      <c r="AY804" s="107"/>
      <c r="AZ804" s="107"/>
      <c r="BA804" s="107"/>
      <c r="BB804" s="107"/>
      <c r="BC804" s="107"/>
      <c r="BD804" s="107"/>
      <c r="BE804" s="107"/>
      <c r="BF804" s="107"/>
      <c r="BG804" s="107"/>
      <c r="BH804" s="107"/>
      <c r="BI804" s="107"/>
      <c r="BJ804" s="107"/>
      <c r="BK804" s="107"/>
      <c r="BL804" s="107"/>
      <c r="BM804" s="107"/>
      <c r="BN804" s="107"/>
      <c r="BO804" s="107"/>
      <c r="BP804" s="107"/>
      <c r="BQ804" s="107"/>
      <c r="BR804" s="107"/>
    </row>
    <row r="805" customFormat="false" ht="12.75" hidden="false" customHeight="false" outlineLevel="0" collapsed="false">
      <c r="A805" s="100"/>
      <c r="B805" s="100"/>
      <c r="C805" s="100"/>
      <c r="D805" s="100"/>
      <c r="E805" s="100"/>
      <c r="F805" s="277"/>
      <c r="H805" s="277"/>
      <c r="I805" s="277"/>
      <c r="J805" s="277"/>
      <c r="K805" s="277"/>
      <c r="L805" s="277"/>
      <c r="M805" s="277"/>
      <c r="N805" s="277"/>
      <c r="O805" s="277"/>
      <c r="P805" s="277"/>
      <c r="Q805" s="277"/>
      <c r="R805" s="277"/>
      <c r="T805" s="277"/>
      <c r="U805" s="277"/>
      <c r="W805" s="277"/>
      <c r="Y805" s="107"/>
      <c r="Z805" s="107"/>
      <c r="AA805" s="107"/>
      <c r="AB805" s="107"/>
      <c r="AC805" s="107"/>
      <c r="AD805" s="233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7"/>
      <c r="AV805" s="107"/>
      <c r="AW805" s="107"/>
      <c r="AX805" s="107"/>
      <c r="AY805" s="107"/>
      <c r="AZ805" s="107"/>
      <c r="BA805" s="107"/>
      <c r="BB805" s="107"/>
      <c r="BC805" s="107"/>
      <c r="BD805" s="107"/>
      <c r="BE805" s="107"/>
      <c r="BF805" s="107"/>
      <c r="BG805" s="107"/>
      <c r="BH805" s="107"/>
      <c r="BI805" s="107"/>
      <c r="BJ805" s="107"/>
      <c r="BK805" s="107"/>
      <c r="BL805" s="107"/>
      <c r="BM805" s="107"/>
      <c r="BN805" s="107"/>
      <c r="BO805" s="107"/>
      <c r="BP805" s="107"/>
      <c r="BQ805" s="107"/>
      <c r="BR805" s="107"/>
    </row>
    <row r="806" customFormat="false" ht="12.75" hidden="false" customHeight="false" outlineLevel="0" collapsed="false">
      <c r="A806" s="100"/>
      <c r="B806" s="100"/>
      <c r="C806" s="100"/>
      <c r="D806" s="100"/>
      <c r="E806" s="100"/>
      <c r="F806" s="277"/>
      <c r="H806" s="277"/>
      <c r="I806" s="277"/>
      <c r="J806" s="277"/>
      <c r="K806" s="277"/>
      <c r="L806" s="277"/>
      <c r="M806" s="277"/>
      <c r="N806" s="277"/>
      <c r="O806" s="277"/>
      <c r="P806" s="277"/>
      <c r="Q806" s="277"/>
      <c r="R806" s="277"/>
      <c r="T806" s="277"/>
      <c r="U806" s="277"/>
      <c r="W806" s="277"/>
      <c r="Y806" s="107"/>
      <c r="Z806" s="107"/>
      <c r="AA806" s="107"/>
      <c r="AB806" s="107"/>
      <c r="AC806" s="107"/>
      <c r="AD806" s="233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7"/>
      <c r="AV806" s="107"/>
      <c r="AW806" s="107"/>
      <c r="AX806" s="107"/>
      <c r="AY806" s="107"/>
      <c r="AZ806" s="107"/>
      <c r="BA806" s="107"/>
      <c r="BB806" s="107"/>
      <c r="BC806" s="107"/>
      <c r="BD806" s="107"/>
      <c r="BE806" s="107"/>
      <c r="BF806" s="107"/>
      <c r="BG806" s="107"/>
      <c r="BH806" s="107"/>
      <c r="BI806" s="107"/>
      <c r="BJ806" s="107"/>
      <c r="BK806" s="107"/>
      <c r="BL806" s="107"/>
      <c r="BM806" s="107"/>
      <c r="BN806" s="107"/>
      <c r="BO806" s="107"/>
      <c r="BP806" s="107"/>
      <c r="BQ806" s="107"/>
      <c r="BR806" s="107"/>
    </row>
    <row r="807" customFormat="false" ht="12.75" hidden="false" customHeight="false" outlineLevel="0" collapsed="false">
      <c r="A807" s="100"/>
      <c r="B807" s="100"/>
      <c r="C807" s="100"/>
      <c r="D807" s="100"/>
      <c r="E807" s="100"/>
      <c r="F807" s="277"/>
      <c r="H807" s="277"/>
      <c r="I807" s="277"/>
      <c r="J807" s="277"/>
      <c r="K807" s="277"/>
      <c r="L807" s="277"/>
      <c r="M807" s="277"/>
      <c r="N807" s="277"/>
      <c r="O807" s="277"/>
      <c r="P807" s="277"/>
      <c r="Q807" s="277"/>
      <c r="R807" s="277"/>
      <c r="T807" s="277"/>
      <c r="U807" s="277"/>
      <c r="W807" s="277"/>
      <c r="Y807" s="107"/>
      <c r="Z807" s="107"/>
      <c r="AA807" s="107"/>
      <c r="AB807" s="107"/>
      <c r="AC807" s="107"/>
      <c r="AD807" s="233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7"/>
      <c r="AV807" s="107"/>
      <c r="AW807" s="107"/>
      <c r="AX807" s="107"/>
      <c r="AY807" s="107"/>
      <c r="AZ807" s="107"/>
      <c r="BA807" s="107"/>
      <c r="BB807" s="107"/>
      <c r="BC807" s="107"/>
      <c r="BD807" s="107"/>
      <c r="BE807" s="107"/>
      <c r="BF807" s="107"/>
      <c r="BG807" s="107"/>
      <c r="BH807" s="107"/>
      <c r="BI807" s="107"/>
      <c r="BJ807" s="107"/>
      <c r="BK807" s="107"/>
      <c r="BL807" s="107"/>
      <c r="BM807" s="107"/>
      <c r="BN807" s="107"/>
      <c r="BO807" s="107"/>
      <c r="BP807" s="107"/>
      <c r="BQ807" s="107"/>
      <c r="BR807" s="107"/>
    </row>
    <row r="808" customFormat="false" ht="12.75" hidden="false" customHeight="false" outlineLevel="0" collapsed="false">
      <c r="A808" s="100"/>
      <c r="B808" s="100"/>
      <c r="C808" s="100"/>
      <c r="D808" s="100"/>
      <c r="E808" s="100"/>
      <c r="F808" s="277"/>
      <c r="H808" s="277"/>
      <c r="I808" s="277"/>
      <c r="J808" s="277"/>
      <c r="K808" s="277"/>
      <c r="L808" s="277"/>
      <c r="M808" s="277"/>
      <c r="N808" s="277"/>
      <c r="O808" s="277"/>
      <c r="P808" s="277"/>
      <c r="Q808" s="277"/>
      <c r="R808" s="277"/>
      <c r="T808" s="277"/>
      <c r="U808" s="277"/>
      <c r="W808" s="277"/>
      <c r="Y808" s="107"/>
      <c r="Z808" s="107"/>
      <c r="AA808" s="107"/>
      <c r="AB808" s="107"/>
      <c r="AC808" s="107"/>
      <c r="AD808" s="233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7"/>
      <c r="AV808" s="107"/>
      <c r="AW808" s="107"/>
      <c r="AX808" s="107"/>
      <c r="AY808" s="107"/>
      <c r="AZ808" s="107"/>
      <c r="BA808" s="107"/>
      <c r="BB808" s="107"/>
      <c r="BC808" s="107"/>
      <c r="BD808" s="107"/>
      <c r="BE808" s="107"/>
      <c r="BF808" s="107"/>
      <c r="BG808" s="107"/>
      <c r="BH808" s="107"/>
      <c r="BI808" s="107"/>
      <c r="BJ808" s="107"/>
      <c r="BK808" s="107"/>
      <c r="BL808" s="107"/>
      <c r="BM808" s="107"/>
      <c r="BN808" s="107"/>
      <c r="BO808" s="107"/>
      <c r="BP808" s="107"/>
      <c r="BQ808" s="107"/>
      <c r="BR808" s="107"/>
    </row>
    <row r="809" customFormat="false" ht="12.75" hidden="false" customHeight="false" outlineLevel="0" collapsed="false">
      <c r="A809" s="100"/>
      <c r="B809" s="100"/>
      <c r="C809" s="100"/>
      <c r="D809" s="100"/>
      <c r="E809" s="100"/>
      <c r="F809" s="277"/>
      <c r="H809" s="277"/>
      <c r="I809" s="277"/>
      <c r="J809" s="277"/>
      <c r="K809" s="277"/>
      <c r="L809" s="277"/>
      <c r="M809" s="277"/>
      <c r="N809" s="277"/>
      <c r="O809" s="277"/>
      <c r="P809" s="277"/>
      <c r="Q809" s="277"/>
      <c r="R809" s="277"/>
      <c r="T809" s="277"/>
      <c r="U809" s="277"/>
      <c r="W809" s="277"/>
      <c r="Y809" s="107"/>
      <c r="Z809" s="107"/>
      <c r="AA809" s="107"/>
      <c r="AB809" s="107"/>
      <c r="AC809" s="107"/>
      <c r="AD809" s="233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7"/>
      <c r="AV809" s="107"/>
      <c r="AW809" s="107"/>
      <c r="AX809" s="107"/>
      <c r="AY809" s="107"/>
      <c r="AZ809" s="107"/>
      <c r="BA809" s="107"/>
      <c r="BB809" s="107"/>
      <c r="BC809" s="107"/>
      <c r="BD809" s="107"/>
      <c r="BE809" s="107"/>
      <c r="BF809" s="107"/>
      <c r="BG809" s="107"/>
      <c r="BH809" s="107"/>
      <c r="BI809" s="107"/>
      <c r="BJ809" s="107"/>
      <c r="BK809" s="107"/>
      <c r="BL809" s="107"/>
      <c r="BM809" s="107"/>
      <c r="BN809" s="107"/>
      <c r="BO809" s="107"/>
      <c r="BP809" s="107"/>
      <c r="BQ809" s="107"/>
      <c r="BR809" s="107"/>
    </row>
    <row r="810" customFormat="false" ht="12.75" hidden="false" customHeight="false" outlineLevel="0" collapsed="false">
      <c r="A810" s="100"/>
      <c r="B810" s="100"/>
      <c r="C810" s="100"/>
      <c r="D810" s="100"/>
      <c r="E810" s="100"/>
      <c r="F810" s="277"/>
      <c r="H810" s="277"/>
      <c r="I810" s="277"/>
      <c r="J810" s="277"/>
      <c r="K810" s="277"/>
      <c r="L810" s="277"/>
      <c r="M810" s="277"/>
      <c r="N810" s="277"/>
      <c r="O810" s="277"/>
      <c r="P810" s="277"/>
      <c r="Q810" s="277"/>
      <c r="R810" s="277"/>
      <c r="T810" s="277"/>
      <c r="U810" s="277"/>
      <c r="W810" s="277"/>
      <c r="Y810" s="107"/>
      <c r="Z810" s="107"/>
      <c r="AA810" s="107"/>
      <c r="AB810" s="107"/>
      <c r="AC810" s="107"/>
      <c r="AD810" s="233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7"/>
      <c r="AV810" s="107"/>
      <c r="AW810" s="107"/>
      <c r="AX810" s="107"/>
      <c r="AY810" s="107"/>
      <c r="AZ810" s="107"/>
      <c r="BA810" s="107"/>
      <c r="BB810" s="107"/>
      <c r="BC810" s="107"/>
      <c r="BD810" s="107"/>
      <c r="BE810" s="107"/>
      <c r="BF810" s="107"/>
      <c r="BG810" s="107"/>
      <c r="BH810" s="107"/>
      <c r="BI810" s="107"/>
      <c r="BJ810" s="107"/>
      <c r="BK810" s="107"/>
      <c r="BL810" s="107"/>
      <c r="BM810" s="107"/>
      <c r="BN810" s="107"/>
      <c r="BO810" s="107"/>
      <c r="BP810" s="107"/>
      <c r="BQ810" s="107"/>
      <c r="BR810" s="107"/>
    </row>
    <row r="811" customFormat="false" ht="12.75" hidden="false" customHeight="false" outlineLevel="0" collapsed="false">
      <c r="A811" s="100"/>
      <c r="B811" s="100"/>
      <c r="C811" s="100"/>
      <c r="D811" s="100"/>
      <c r="E811" s="100"/>
      <c r="F811" s="277"/>
      <c r="H811" s="277"/>
      <c r="I811" s="277"/>
      <c r="J811" s="277"/>
      <c r="K811" s="277"/>
      <c r="L811" s="277"/>
      <c r="M811" s="277"/>
      <c r="N811" s="277"/>
      <c r="O811" s="277"/>
      <c r="P811" s="277"/>
      <c r="Q811" s="277"/>
      <c r="R811" s="277"/>
      <c r="T811" s="277"/>
      <c r="U811" s="277"/>
      <c r="W811" s="277"/>
      <c r="Y811" s="107"/>
      <c r="Z811" s="107"/>
      <c r="AA811" s="107"/>
      <c r="AB811" s="107"/>
      <c r="AC811" s="107"/>
      <c r="AD811" s="233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7"/>
      <c r="AV811" s="107"/>
      <c r="AW811" s="107"/>
      <c r="AX811" s="107"/>
      <c r="AY811" s="107"/>
      <c r="AZ811" s="107"/>
      <c r="BA811" s="107"/>
      <c r="BB811" s="107"/>
      <c r="BC811" s="107"/>
      <c r="BD811" s="107"/>
      <c r="BE811" s="107"/>
      <c r="BF811" s="107"/>
      <c r="BG811" s="107"/>
      <c r="BH811" s="107"/>
      <c r="BI811" s="107"/>
      <c r="BJ811" s="107"/>
      <c r="BK811" s="107"/>
      <c r="BL811" s="107"/>
      <c r="BM811" s="107"/>
      <c r="BN811" s="107"/>
      <c r="BO811" s="107"/>
      <c r="BP811" s="107"/>
      <c r="BQ811" s="107"/>
      <c r="BR811" s="107"/>
    </row>
    <row r="812" customFormat="false" ht="12.75" hidden="false" customHeight="false" outlineLevel="0" collapsed="false">
      <c r="A812" s="100"/>
      <c r="B812" s="100"/>
      <c r="C812" s="100"/>
      <c r="D812" s="100"/>
      <c r="E812" s="100"/>
      <c r="F812" s="277"/>
      <c r="H812" s="277"/>
      <c r="I812" s="277"/>
      <c r="J812" s="277"/>
      <c r="K812" s="277"/>
      <c r="L812" s="277"/>
      <c r="M812" s="277"/>
      <c r="N812" s="277"/>
      <c r="O812" s="277"/>
      <c r="P812" s="277"/>
      <c r="Q812" s="277"/>
      <c r="R812" s="277"/>
      <c r="T812" s="277"/>
      <c r="U812" s="277"/>
      <c r="W812" s="277"/>
      <c r="Y812" s="107"/>
      <c r="Z812" s="107"/>
      <c r="AA812" s="107"/>
      <c r="AB812" s="107"/>
      <c r="AC812" s="107"/>
      <c r="AD812" s="233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7"/>
      <c r="AV812" s="107"/>
      <c r="AW812" s="107"/>
      <c r="AX812" s="107"/>
      <c r="AY812" s="107"/>
      <c r="AZ812" s="107"/>
      <c r="BA812" s="107"/>
      <c r="BB812" s="107"/>
      <c r="BC812" s="107"/>
      <c r="BD812" s="107"/>
      <c r="BE812" s="107"/>
      <c r="BF812" s="107"/>
      <c r="BG812" s="107"/>
      <c r="BH812" s="107"/>
      <c r="BI812" s="107"/>
      <c r="BJ812" s="107"/>
      <c r="BK812" s="107"/>
      <c r="BL812" s="107"/>
      <c r="BM812" s="107"/>
      <c r="BN812" s="107"/>
      <c r="BO812" s="107"/>
      <c r="BP812" s="107"/>
      <c r="BQ812" s="107"/>
      <c r="BR812" s="107"/>
    </row>
    <row r="813" customFormat="false" ht="12.75" hidden="false" customHeight="false" outlineLevel="0" collapsed="false">
      <c r="A813" s="100"/>
      <c r="B813" s="100"/>
      <c r="C813" s="100"/>
      <c r="D813" s="100"/>
      <c r="E813" s="100"/>
      <c r="F813" s="277"/>
      <c r="H813" s="277"/>
      <c r="I813" s="277"/>
      <c r="J813" s="277"/>
      <c r="K813" s="277"/>
      <c r="L813" s="277"/>
      <c r="M813" s="277"/>
      <c r="N813" s="277"/>
      <c r="O813" s="277"/>
      <c r="P813" s="277"/>
      <c r="Q813" s="277"/>
      <c r="R813" s="277"/>
      <c r="T813" s="277"/>
      <c r="U813" s="277"/>
      <c r="W813" s="277"/>
      <c r="Y813" s="107"/>
      <c r="Z813" s="107"/>
      <c r="AA813" s="107"/>
      <c r="AB813" s="107"/>
      <c r="AC813" s="107"/>
      <c r="AD813" s="233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7"/>
      <c r="AV813" s="107"/>
      <c r="AW813" s="107"/>
      <c r="AX813" s="107"/>
      <c r="AY813" s="107"/>
      <c r="AZ813" s="107"/>
      <c r="BA813" s="107"/>
      <c r="BB813" s="107"/>
      <c r="BC813" s="107"/>
      <c r="BD813" s="107"/>
      <c r="BE813" s="107"/>
      <c r="BF813" s="107"/>
      <c r="BG813" s="107"/>
      <c r="BH813" s="107"/>
      <c r="BI813" s="107"/>
      <c r="BJ813" s="107"/>
      <c r="BK813" s="107"/>
      <c r="BL813" s="107"/>
      <c r="BM813" s="107"/>
      <c r="BN813" s="107"/>
      <c r="BO813" s="107"/>
      <c r="BP813" s="107"/>
      <c r="BQ813" s="107"/>
      <c r="BR813" s="107"/>
    </row>
    <row r="814" customFormat="false" ht="12.75" hidden="false" customHeight="false" outlineLevel="0" collapsed="false">
      <c r="A814" s="100"/>
      <c r="B814" s="100"/>
      <c r="C814" s="100"/>
      <c r="D814" s="100"/>
      <c r="E814" s="100"/>
      <c r="F814" s="277"/>
      <c r="H814" s="277"/>
      <c r="I814" s="277"/>
      <c r="J814" s="277"/>
      <c r="K814" s="277"/>
      <c r="L814" s="277"/>
      <c r="M814" s="277"/>
      <c r="N814" s="277"/>
      <c r="O814" s="277"/>
      <c r="P814" s="277"/>
      <c r="Q814" s="277"/>
      <c r="R814" s="277"/>
      <c r="T814" s="277"/>
      <c r="U814" s="277"/>
      <c r="W814" s="277"/>
      <c r="Y814" s="107"/>
      <c r="Z814" s="107"/>
      <c r="AA814" s="107"/>
      <c r="AB814" s="107"/>
      <c r="AC814" s="107"/>
      <c r="AD814" s="233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7"/>
      <c r="AV814" s="107"/>
      <c r="AW814" s="107"/>
      <c r="AX814" s="107"/>
      <c r="AY814" s="107"/>
      <c r="AZ814" s="107"/>
      <c r="BA814" s="107"/>
      <c r="BB814" s="107"/>
      <c r="BC814" s="107"/>
      <c r="BD814" s="107"/>
      <c r="BE814" s="107"/>
      <c r="BF814" s="107"/>
      <c r="BG814" s="107"/>
      <c r="BH814" s="107"/>
      <c r="BI814" s="107"/>
      <c r="BJ814" s="107"/>
      <c r="BK814" s="107"/>
      <c r="BL814" s="107"/>
      <c r="BM814" s="107"/>
      <c r="BN814" s="107"/>
      <c r="BO814" s="107"/>
      <c r="BP814" s="107"/>
      <c r="BQ814" s="107"/>
      <c r="BR814" s="107"/>
    </row>
    <row r="815" customFormat="false" ht="12.75" hidden="false" customHeight="false" outlineLevel="0" collapsed="false">
      <c r="A815" s="100"/>
      <c r="B815" s="100"/>
      <c r="C815" s="100"/>
      <c r="D815" s="100"/>
      <c r="E815" s="100"/>
      <c r="F815" s="277"/>
      <c r="H815" s="277"/>
      <c r="I815" s="277"/>
      <c r="J815" s="277"/>
      <c r="K815" s="277"/>
      <c r="L815" s="277"/>
      <c r="M815" s="277"/>
      <c r="N815" s="277"/>
      <c r="O815" s="277"/>
      <c r="P815" s="277"/>
      <c r="Q815" s="277"/>
      <c r="R815" s="277"/>
      <c r="T815" s="277"/>
      <c r="U815" s="277"/>
      <c r="W815" s="277"/>
      <c r="Y815" s="107"/>
      <c r="Z815" s="107"/>
      <c r="AA815" s="107"/>
      <c r="AB815" s="107"/>
      <c r="AC815" s="107"/>
      <c r="AD815" s="233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7"/>
      <c r="AV815" s="107"/>
      <c r="AW815" s="107"/>
      <c r="AX815" s="107"/>
      <c r="AY815" s="107"/>
      <c r="AZ815" s="107"/>
      <c r="BA815" s="107"/>
      <c r="BB815" s="107"/>
      <c r="BC815" s="107"/>
      <c r="BD815" s="107"/>
      <c r="BE815" s="107"/>
      <c r="BF815" s="107"/>
      <c r="BG815" s="107"/>
      <c r="BH815" s="107"/>
      <c r="BI815" s="107"/>
      <c r="BJ815" s="107"/>
      <c r="BK815" s="107"/>
      <c r="BL815" s="107"/>
      <c r="BM815" s="107"/>
      <c r="BN815" s="107"/>
      <c r="BO815" s="107"/>
      <c r="BP815" s="107"/>
      <c r="BQ815" s="107"/>
      <c r="BR815" s="107"/>
    </row>
    <row r="816" customFormat="false" ht="12.75" hidden="false" customHeight="false" outlineLevel="0" collapsed="false">
      <c r="A816" s="100"/>
      <c r="B816" s="100"/>
      <c r="C816" s="100"/>
      <c r="D816" s="100"/>
      <c r="E816" s="100"/>
      <c r="F816" s="277"/>
      <c r="H816" s="277"/>
      <c r="I816" s="277"/>
      <c r="J816" s="277"/>
      <c r="K816" s="277"/>
      <c r="L816" s="277"/>
      <c r="M816" s="277"/>
      <c r="N816" s="277"/>
      <c r="O816" s="277"/>
      <c r="P816" s="277"/>
      <c r="Q816" s="277"/>
      <c r="R816" s="277"/>
      <c r="T816" s="277"/>
      <c r="U816" s="277"/>
      <c r="W816" s="277"/>
      <c r="Y816" s="107"/>
      <c r="Z816" s="107"/>
      <c r="AA816" s="107"/>
      <c r="AB816" s="107"/>
      <c r="AC816" s="107"/>
      <c r="AD816" s="233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7"/>
      <c r="AV816" s="107"/>
      <c r="AW816" s="107"/>
      <c r="AX816" s="107"/>
      <c r="AY816" s="107"/>
      <c r="AZ816" s="107"/>
      <c r="BA816" s="107"/>
      <c r="BB816" s="107"/>
      <c r="BC816" s="107"/>
      <c r="BD816" s="107"/>
      <c r="BE816" s="107"/>
      <c r="BF816" s="107"/>
      <c r="BG816" s="107"/>
      <c r="BH816" s="107"/>
      <c r="BI816" s="107"/>
      <c r="BJ816" s="107"/>
      <c r="BK816" s="107"/>
      <c r="BL816" s="107"/>
      <c r="BM816" s="107"/>
      <c r="BN816" s="107"/>
      <c r="BO816" s="107"/>
      <c r="BP816" s="107"/>
      <c r="BQ816" s="107"/>
      <c r="BR816" s="107"/>
    </row>
    <row r="817" customFormat="false" ht="12.75" hidden="false" customHeight="false" outlineLevel="0" collapsed="false">
      <c r="A817" s="100"/>
      <c r="B817" s="100"/>
      <c r="C817" s="100"/>
      <c r="D817" s="100"/>
      <c r="E817" s="100"/>
      <c r="F817" s="277"/>
      <c r="H817" s="277"/>
      <c r="I817" s="277"/>
      <c r="J817" s="277"/>
      <c r="K817" s="277"/>
      <c r="L817" s="277"/>
      <c r="M817" s="277"/>
      <c r="N817" s="277"/>
      <c r="O817" s="277"/>
      <c r="P817" s="277"/>
      <c r="Q817" s="277"/>
      <c r="R817" s="277"/>
      <c r="T817" s="277"/>
      <c r="U817" s="277"/>
      <c r="W817" s="277"/>
      <c r="Y817" s="107"/>
      <c r="Z817" s="107"/>
      <c r="AA817" s="107"/>
      <c r="AB817" s="107"/>
      <c r="AC817" s="107"/>
      <c r="AD817" s="233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7"/>
      <c r="AV817" s="107"/>
      <c r="AW817" s="107"/>
      <c r="AX817" s="107"/>
      <c r="AY817" s="107"/>
      <c r="AZ817" s="107"/>
      <c r="BA817" s="107"/>
      <c r="BB817" s="107"/>
      <c r="BC817" s="107"/>
      <c r="BD817" s="107"/>
      <c r="BE817" s="107"/>
      <c r="BF817" s="107"/>
      <c r="BG817" s="107"/>
      <c r="BH817" s="107"/>
      <c r="BI817" s="107"/>
      <c r="BJ817" s="107"/>
      <c r="BK817" s="107"/>
      <c r="BL817" s="107"/>
      <c r="BM817" s="107"/>
      <c r="BN817" s="107"/>
      <c r="BO817" s="107"/>
      <c r="BP817" s="107"/>
      <c r="BQ817" s="107"/>
      <c r="BR817" s="107"/>
    </row>
    <row r="818" customFormat="false" ht="12.75" hidden="false" customHeight="false" outlineLevel="0" collapsed="false">
      <c r="A818" s="100"/>
      <c r="B818" s="100"/>
      <c r="C818" s="100"/>
      <c r="D818" s="100"/>
      <c r="E818" s="100"/>
      <c r="F818" s="277"/>
      <c r="H818" s="277"/>
      <c r="I818" s="277"/>
      <c r="J818" s="277"/>
      <c r="K818" s="277"/>
      <c r="L818" s="277"/>
      <c r="M818" s="277"/>
      <c r="N818" s="277"/>
      <c r="O818" s="277"/>
      <c r="P818" s="277"/>
      <c r="Q818" s="277"/>
      <c r="R818" s="277"/>
      <c r="T818" s="277"/>
      <c r="U818" s="277"/>
      <c r="W818" s="277"/>
      <c r="Y818" s="107"/>
      <c r="Z818" s="107"/>
      <c r="AA818" s="107"/>
      <c r="AB818" s="107"/>
      <c r="AC818" s="107"/>
      <c r="AD818" s="233"/>
      <c r="AE818" s="107"/>
      <c r="AF818" s="107"/>
      <c r="AG818" s="107"/>
      <c r="AH818" s="107"/>
      <c r="AI818" s="107"/>
      <c r="AJ818" s="107"/>
      <c r="AK818" s="107"/>
      <c r="AL818" s="107"/>
      <c r="AM818" s="107"/>
      <c r="AN818" s="107"/>
      <c r="AO818" s="107"/>
      <c r="AP818" s="107"/>
      <c r="AQ818" s="107"/>
      <c r="AR818" s="107"/>
      <c r="AS818" s="107"/>
      <c r="AT818" s="107"/>
      <c r="AU818" s="107"/>
      <c r="AV818" s="107"/>
      <c r="AW818" s="107"/>
      <c r="AX818" s="107"/>
      <c r="AY818" s="107"/>
      <c r="AZ818" s="107"/>
      <c r="BA818" s="107"/>
      <c r="BB818" s="107"/>
      <c r="BC818" s="107"/>
      <c r="BD818" s="107"/>
      <c r="BE818" s="107"/>
      <c r="BF818" s="107"/>
      <c r="BG818" s="107"/>
      <c r="BH818" s="107"/>
      <c r="BI818" s="107"/>
      <c r="BJ818" s="107"/>
      <c r="BK818" s="107"/>
      <c r="BL818" s="107"/>
      <c r="BM818" s="107"/>
      <c r="BN818" s="107"/>
      <c r="BO818" s="107"/>
      <c r="BP818" s="107"/>
      <c r="BQ818" s="107"/>
      <c r="BR818" s="107"/>
    </row>
    <row r="819" customFormat="false" ht="12.75" hidden="false" customHeight="false" outlineLevel="0" collapsed="false">
      <c r="A819" s="100"/>
      <c r="B819" s="100"/>
      <c r="C819" s="100"/>
      <c r="D819" s="100"/>
      <c r="E819" s="100"/>
      <c r="F819" s="277"/>
      <c r="H819" s="277"/>
      <c r="I819" s="277"/>
      <c r="J819" s="277"/>
      <c r="K819" s="277"/>
      <c r="L819" s="277"/>
      <c r="M819" s="277"/>
      <c r="N819" s="277"/>
      <c r="O819" s="277"/>
      <c r="P819" s="277"/>
      <c r="Q819" s="277"/>
      <c r="R819" s="277"/>
      <c r="T819" s="277"/>
      <c r="U819" s="277"/>
      <c r="W819" s="277"/>
      <c r="Y819" s="107"/>
      <c r="Z819" s="107"/>
      <c r="AA819" s="107"/>
      <c r="AB819" s="107"/>
      <c r="AC819" s="107"/>
      <c r="AD819" s="233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7"/>
      <c r="AV819" s="107"/>
      <c r="AW819" s="107"/>
      <c r="AX819" s="107"/>
      <c r="AY819" s="107"/>
      <c r="AZ819" s="107"/>
      <c r="BA819" s="107"/>
      <c r="BB819" s="107"/>
      <c r="BC819" s="107"/>
      <c r="BD819" s="107"/>
      <c r="BE819" s="107"/>
      <c r="BF819" s="107"/>
      <c r="BG819" s="107"/>
      <c r="BH819" s="107"/>
      <c r="BI819" s="107"/>
      <c r="BJ819" s="107"/>
      <c r="BK819" s="107"/>
      <c r="BL819" s="107"/>
      <c r="BM819" s="107"/>
      <c r="BN819" s="107"/>
      <c r="BO819" s="107"/>
      <c r="BP819" s="107"/>
      <c r="BQ819" s="107"/>
      <c r="BR819" s="107"/>
    </row>
    <row r="820" customFormat="false" ht="12.75" hidden="false" customHeight="false" outlineLevel="0" collapsed="false">
      <c r="A820" s="100"/>
      <c r="B820" s="100"/>
      <c r="C820" s="100"/>
      <c r="D820" s="100"/>
      <c r="E820" s="100"/>
      <c r="F820" s="277"/>
      <c r="H820" s="277"/>
      <c r="I820" s="277"/>
      <c r="J820" s="277"/>
      <c r="K820" s="277"/>
      <c r="L820" s="277"/>
      <c r="M820" s="277"/>
      <c r="N820" s="277"/>
      <c r="O820" s="277"/>
      <c r="P820" s="277"/>
      <c r="Q820" s="277"/>
      <c r="R820" s="277"/>
      <c r="T820" s="277"/>
      <c r="U820" s="277"/>
      <c r="W820" s="277"/>
      <c r="Y820" s="107"/>
      <c r="Z820" s="107"/>
      <c r="AA820" s="107"/>
      <c r="AB820" s="107"/>
      <c r="AC820" s="107"/>
      <c r="AD820" s="233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7"/>
      <c r="AV820" s="107"/>
      <c r="AW820" s="107"/>
      <c r="AX820" s="107"/>
      <c r="AY820" s="107"/>
      <c r="AZ820" s="107"/>
      <c r="BA820" s="107"/>
      <c r="BB820" s="107"/>
      <c r="BC820" s="107"/>
      <c r="BD820" s="107"/>
      <c r="BE820" s="107"/>
      <c r="BF820" s="107"/>
      <c r="BG820" s="107"/>
      <c r="BH820" s="107"/>
      <c r="BI820" s="107"/>
      <c r="BJ820" s="107"/>
      <c r="BK820" s="107"/>
      <c r="BL820" s="107"/>
      <c r="BM820" s="107"/>
      <c r="BN820" s="107"/>
      <c r="BO820" s="107"/>
      <c r="BP820" s="107"/>
      <c r="BQ820" s="107"/>
      <c r="BR820" s="107"/>
    </row>
    <row r="821" customFormat="false" ht="12.75" hidden="false" customHeight="false" outlineLevel="0" collapsed="false">
      <c r="A821" s="100"/>
      <c r="B821" s="100"/>
      <c r="C821" s="100"/>
      <c r="D821" s="100"/>
      <c r="E821" s="100"/>
      <c r="F821" s="277"/>
      <c r="H821" s="277"/>
      <c r="I821" s="277"/>
      <c r="J821" s="277"/>
      <c r="K821" s="277"/>
      <c r="L821" s="277"/>
      <c r="M821" s="277"/>
      <c r="N821" s="277"/>
      <c r="O821" s="277"/>
      <c r="P821" s="277"/>
      <c r="Q821" s="277"/>
      <c r="R821" s="277"/>
      <c r="T821" s="277"/>
      <c r="U821" s="277"/>
      <c r="W821" s="277"/>
      <c r="Y821" s="107"/>
      <c r="Z821" s="107"/>
      <c r="AA821" s="107"/>
      <c r="AB821" s="107"/>
      <c r="AC821" s="107"/>
      <c r="AD821" s="233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7"/>
      <c r="AV821" s="107"/>
      <c r="AW821" s="107"/>
      <c r="AX821" s="107"/>
      <c r="AY821" s="107"/>
      <c r="AZ821" s="107"/>
      <c r="BA821" s="107"/>
      <c r="BB821" s="107"/>
      <c r="BC821" s="107"/>
      <c r="BD821" s="107"/>
      <c r="BE821" s="107"/>
      <c r="BF821" s="107"/>
      <c r="BG821" s="107"/>
      <c r="BH821" s="107"/>
      <c r="BI821" s="107"/>
      <c r="BJ821" s="107"/>
      <c r="BK821" s="107"/>
      <c r="BL821" s="107"/>
      <c r="BM821" s="107"/>
      <c r="BN821" s="107"/>
      <c r="BO821" s="107"/>
      <c r="BP821" s="107"/>
      <c r="BQ821" s="107"/>
      <c r="BR821" s="107"/>
    </row>
    <row r="822" customFormat="false" ht="12.75" hidden="false" customHeight="false" outlineLevel="0" collapsed="false">
      <c r="A822" s="100"/>
      <c r="B822" s="100"/>
      <c r="C822" s="100"/>
      <c r="D822" s="100"/>
      <c r="E822" s="100"/>
      <c r="F822" s="277"/>
      <c r="H822" s="277"/>
      <c r="I822" s="277"/>
      <c r="J822" s="277"/>
      <c r="K822" s="277"/>
      <c r="L822" s="277"/>
      <c r="M822" s="277"/>
      <c r="N822" s="277"/>
      <c r="O822" s="277"/>
      <c r="P822" s="277"/>
      <c r="Q822" s="277"/>
      <c r="R822" s="277"/>
      <c r="T822" s="277"/>
      <c r="U822" s="277"/>
      <c r="W822" s="277"/>
      <c r="Y822" s="107"/>
      <c r="Z822" s="107"/>
      <c r="AA822" s="107"/>
      <c r="AB822" s="107"/>
      <c r="AC822" s="107"/>
      <c r="AD822" s="233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7"/>
      <c r="AV822" s="107"/>
      <c r="AW822" s="107"/>
      <c r="AX822" s="107"/>
      <c r="AY822" s="107"/>
      <c r="AZ822" s="107"/>
      <c r="BA822" s="107"/>
      <c r="BB822" s="107"/>
      <c r="BC822" s="107"/>
      <c r="BD822" s="107"/>
      <c r="BE822" s="107"/>
      <c r="BF822" s="107"/>
      <c r="BG822" s="107"/>
      <c r="BH822" s="107"/>
      <c r="BI822" s="107"/>
      <c r="BJ822" s="107"/>
      <c r="BK822" s="107"/>
      <c r="BL822" s="107"/>
      <c r="BM822" s="107"/>
      <c r="BN822" s="107"/>
      <c r="BO822" s="107"/>
      <c r="BP822" s="107"/>
      <c r="BQ822" s="107"/>
      <c r="BR822" s="107"/>
    </row>
    <row r="823" customFormat="false" ht="12.75" hidden="false" customHeight="false" outlineLevel="0" collapsed="false">
      <c r="A823" s="100"/>
      <c r="B823" s="100"/>
      <c r="C823" s="100"/>
      <c r="D823" s="100"/>
      <c r="E823" s="100"/>
      <c r="F823" s="277"/>
      <c r="H823" s="277"/>
      <c r="I823" s="277"/>
      <c r="J823" s="277"/>
      <c r="K823" s="277"/>
      <c r="L823" s="277"/>
      <c r="M823" s="277"/>
      <c r="N823" s="277"/>
      <c r="O823" s="277"/>
      <c r="P823" s="277"/>
      <c r="Q823" s="277"/>
      <c r="R823" s="277"/>
      <c r="T823" s="277"/>
      <c r="U823" s="277"/>
      <c r="W823" s="277"/>
      <c r="Y823" s="107"/>
      <c r="Z823" s="107"/>
      <c r="AA823" s="107"/>
      <c r="AB823" s="107"/>
      <c r="AC823" s="107"/>
      <c r="AD823" s="233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7"/>
      <c r="AV823" s="107"/>
      <c r="AW823" s="107"/>
      <c r="AX823" s="107"/>
      <c r="AY823" s="107"/>
      <c r="AZ823" s="107"/>
      <c r="BA823" s="107"/>
      <c r="BB823" s="107"/>
      <c r="BC823" s="107"/>
      <c r="BD823" s="107"/>
      <c r="BE823" s="107"/>
      <c r="BF823" s="107"/>
      <c r="BG823" s="107"/>
      <c r="BH823" s="107"/>
      <c r="BI823" s="107"/>
      <c r="BJ823" s="107"/>
      <c r="BK823" s="107"/>
      <c r="BL823" s="107"/>
      <c r="BM823" s="107"/>
      <c r="BN823" s="107"/>
      <c r="BO823" s="107"/>
      <c r="BP823" s="107"/>
      <c r="BQ823" s="107"/>
      <c r="BR823" s="107"/>
    </row>
    <row r="824" customFormat="false" ht="12.75" hidden="false" customHeight="false" outlineLevel="0" collapsed="false">
      <c r="A824" s="100"/>
      <c r="B824" s="100"/>
      <c r="C824" s="100"/>
      <c r="D824" s="100"/>
      <c r="E824" s="100"/>
      <c r="F824" s="277"/>
      <c r="H824" s="277"/>
      <c r="I824" s="277"/>
      <c r="J824" s="277"/>
      <c r="K824" s="277"/>
      <c r="L824" s="277"/>
      <c r="M824" s="277"/>
      <c r="N824" s="277"/>
      <c r="O824" s="277"/>
      <c r="P824" s="277"/>
      <c r="Q824" s="277"/>
      <c r="R824" s="277"/>
      <c r="T824" s="277"/>
      <c r="U824" s="277"/>
      <c r="W824" s="277"/>
      <c r="Y824" s="107"/>
      <c r="Z824" s="107"/>
      <c r="AA824" s="107"/>
      <c r="AB824" s="107"/>
      <c r="AC824" s="107"/>
      <c r="AD824" s="233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7"/>
      <c r="AV824" s="107"/>
      <c r="AW824" s="107"/>
      <c r="AX824" s="107"/>
      <c r="AY824" s="107"/>
      <c r="AZ824" s="107"/>
      <c r="BA824" s="107"/>
      <c r="BB824" s="107"/>
      <c r="BC824" s="107"/>
      <c r="BD824" s="107"/>
      <c r="BE824" s="107"/>
      <c r="BF824" s="107"/>
      <c r="BG824" s="107"/>
      <c r="BH824" s="107"/>
      <c r="BI824" s="107"/>
      <c r="BJ824" s="107"/>
      <c r="BK824" s="107"/>
      <c r="BL824" s="107"/>
      <c r="BM824" s="107"/>
      <c r="BN824" s="107"/>
      <c r="BO824" s="107"/>
      <c r="BP824" s="107"/>
      <c r="BQ824" s="107"/>
      <c r="BR824" s="107"/>
    </row>
    <row r="825" customFormat="false" ht="12.75" hidden="false" customHeight="false" outlineLevel="0" collapsed="false">
      <c r="A825" s="100"/>
      <c r="B825" s="100"/>
      <c r="C825" s="100"/>
      <c r="D825" s="100"/>
      <c r="E825" s="100"/>
      <c r="F825" s="277"/>
      <c r="H825" s="277"/>
      <c r="I825" s="277"/>
      <c r="J825" s="277"/>
      <c r="K825" s="277"/>
      <c r="L825" s="277"/>
      <c r="M825" s="277"/>
      <c r="N825" s="277"/>
      <c r="O825" s="277"/>
      <c r="P825" s="277"/>
      <c r="Q825" s="277"/>
      <c r="R825" s="277"/>
      <c r="T825" s="277"/>
      <c r="U825" s="277"/>
      <c r="W825" s="277"/>
      <c r="Y825" s="107"/>
      <c r="Z825" s="107"/>
      <c r="AA825" s="107"/>
      <c r="AB825" s="107"/>
      <c r="AC825" s="107"/>
      <c r="AD825" s="233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7"/>
      <c r="AV825" s="107"/>
      <c r="AW825" s="107"/>
      <c r="AX825" s="107"/>
      <c r="AY825" s="107"/>
      <c r="AZ825" s="107"/>
      <c r="BA825" s="107"/>
      <c r="BB825" s="107"/>
      <c r="BC825" s="107"/>
      <c r="BD825" s="107"/>
      <c r="BE825" s="107"/>
      <c r="BF825" s="107"/>
      <c r="BG825" s="107"/>
      <c r="BH825" s="107"/>
      <c r="BI825" s="107"/>
      <c r="BJ825" s="107"/>
      <c r="BK825" s="107"/>
      <c r="BL825" s="107"/>
      <c r="BM825" s="107"/>
      <c r="BN825" s="107"/>
      <c r="BO825" s="107"/>
      <c r="BP825" s="107"/>
      <c r="BQ825" s="107"/>
      <c r="BR825" s="107"/>
    </row>
    <row r="826" customFormat="false" ht="12.75" hidden="false" customHeight="false" outlineLevel="0" collapsed="false">
      <c r="A826" s="100"/>
      <c r="B826" s="100"/>
      <c r="C826" s="100"/>
      <c r="D826" s="100"/>
      <c r="E826" s="100"/>
      <c r="F826" s="277"/>
      <c r="H826" s="277"/>
      <c r="I826" s="277"/>
      <c r="J826" s="277"/>
      <c r="K826" s="277"/>
      <c r="L826" s="277"/>
      <c r="M826" s="277"/>
      <c r="N826" s="277"/>
      <c r="O826" s="277"/>
      <c r="P826" s="277"/>
      <c r="Q826" s="277"/>
      <c r="R826" s="277"/>
      <c r="T826" s="277"/>
      <c r="U826" s="277"/>
      <c r="W826" s="277"/>
      <c r="Y826" s="107"/>
      <c r="Z826" s="107"/>
      <c r="AA826" s="107"/>
      <c r="AB826" s="107"/>
      <c r="AC826" s="107"/>
      <c r="AD826" s="233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7"/>
      <c r="AV826" s="107"/>
      <c r="AW826" s="107"/>
      <c r="AX826" s="107"/>
      <c r="AY826" s="107"/>
      <c r="AZ826" s="107"/>
      <c r="BA826" s="107"/>
      <c r="BB826" s="107"/>
      <c r="BC826" s="107"/>
      <c r="BD826" s="107"/>
      <c r="BE826" s="107"/>
      <c r="BF826" s="107"/>
      <c r="BG826" s="107"/>
      <c r="BH826" s="107"/>
      <c r="BI826" s="107"/>
      <c r="BJ826" s="107"/>
      <c r="BK826" s="107"/>
      <c r="BL826" s="107"/>
      <c r="BM826" s="107"/>
      <c r="BN826" s="107"/>
      <c r="BO826" s="107"/>
      <c r="BP826" s="107"/>
      <c r="BQ826" s="107"/>
      <c r="BR826" s="107"/>
    </row>
    <row r="827" customFormat="false" ht="12.75" hidden="false" customHeight="false" outlineLevel="0" collapsed="false">
      <c r="A827" s="100"/>
      <c r="B827" s="100"/>
      <c r="C827" s="100"/>
      <c r="D827" s="100"/>
      <c r="E827" s="100"/>
      <c r="F827" s="277"/>
      <c r="H827" s="277"/>
      <c r="I827" s="277"/>
      <c r="J827" s="277"/>
      <c r="K827" s="277"/>
      <c r="L827" s="277"/>
      <c r="M827" s="277"/>
      <c r="N827" s="277"/>
      <c r="O827" s="277"/>
      <c r="P827" s="277"/>
      <c r="Q827" s="277"/>
      <c r="R827" s="277"/>
      <c r="T827" s="277"/>
      <c r="U827" s="277"/>
      <c r="W827" s="277"/>
      <c r="Y827" s="107"/>
      <c r="Z827" s="107"/>
      <c r="AA827" s="107"/>
      <c r="AB827" s="107"/>
      <c r="AC827" s="107"/>
      <c r="AD827" s="233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7"/>
      <c r="AV827" s="107"/>
      <c r="AW827" s="107"/>
      <c r="AX827" s="107"/>
      <c r="AY827" s="107"/>
      <c r="AZ827" s="107"/>
      <c r="BA827" s="107"/>
      <c r="BB827" s="107"/>
      <c r="BC827" s="107"/>
      <c r="BD827" s="107"/>
      <c r="BE827" s="107"/>
      <c r="BF827" s="107"/>
      <c r="BG827" s="107"/>
      <c r="BH827" s="107"/>
      <c r="BI827" s="107"/>
      <c r="BJ827" s="107"/>
      <c r="BK827" s="107"/>
      <c r="BL827" s="107"/>
      <c r="BM827" s="107"/>
      <c r="BN827" s="107"/>
      <c r="BO827" s="107"/>
      <c r="BP827" s="107"/>
      <c r="BQ827" s="107"/>
      <c r="BR827" s="107"/>
    </row>
    <row r="828" customFormat="false" ht="12.75" hidden="false" customHeight="false" outlineLevel="0" collapsed="false">
      <c r="A828" s="100"/>
      <c r="B828" s="100"/>
      <c r="C828" s="100"/>
      <c r="D828" s="100"/>
      <c r="E828" s="100"/>
      <c r="F828" s="277"/>
      <c r="H828" s="277"/>
      <c r="I828" s="277"/>
      <c r="J828" s="277"/>
      <c r="K828" s="277"/>
      <c r="L828" s="277"/>
      <c r="M828" s="277"/>
      <c r="N828" s="277"/>
      <c r="O828" s="277"/>
      <c r="P828" s="277"/>
      <c r="Q828" s="277"/>
      <c r="R828" s="277"/>
      <c r="T828" s="277"/>
      <c r="U828" s="277"/>
      <c r="W828" s="277"/>
      <c r="Y828" s="107"/>
      <c r="Z828" s="107"/>
      <c r="AA828" s="107"/>
      <c r="AB828" s="107"/>
      <c r="AC828" s="107"/>
      <c r="AD828" s="233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7"/>
      <c r="AV828" s="107"/>
      <c r="AW828" s="107"/>
      <c r="AX828" s="107"/>
      <c r="AY828" s="107"/>
      <c r="AZ828" s="107"/>
      <c r="BA828" s="107"/>
      <c r="BB828" s="107"/>
      <c r="BC828" s="107"/>
      <c r="BD828" s="107"/>
      <c r="BE828" s="107"/>
      <c r="BF828" s="107"/>
      <c r="BG828" s="107"/>
      <c r="BH828" s="107"/>
      <c r="BI828" s="107"/>
      <c r="BJ828" s="107"/>
      <c r="BK828" s="107"/>
      <c r="BL828" s="107"/>
      <c r="BM828" s="107"/>
      <c r="BN828" s="107"/>
      <c r="BO828" s="107"/>
      <c r="BP828" s="107"/>
      <c r="BQ828" s="107"/>
      <c r="BR828" s="107"/>
    </row>
    <row r="829" customFormat="false" ht="12.75" hidden="false" customHeight="false" outlineLevel="0" collapsed="false">
      <c r="A829" s="100"/>
      <c r="B829" s="100"/>
      <c r="C829" s="100"/>
      <c r="D829" s="100"/>
      <c r="E829" s="100"/>
      <c r="F829" s="277"/>
      <c r="H829" s="277"/>
      <c r="I829" s="277"/>
      <c r="J829" s="277"/>
      <c r="K829" s="277"/>
      <c r="L829" s="277"/>
      <c r="M829" s="277"/>
      <c r="N829" s="277"/>
      <c r="O829" s="277"/>
      <c r="P829" s="277"/>
      <c r="Q829" s="277"/>
      <c r="R829" s="277"/>
      <c r="T829" s="277"/>
      <c r="U829" s="277"/>
      <c r="W829" s="277"/>
      <c r="Y829" s="107"/>
      <c r="Z829" s="107"/>
      <c r="AA829" s="107"/>
      <c r="AB829" s="107"/>
      <c r="AC829" s="107"/>
      <c r="AD829" s="233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7"/>
      <c r="AV829" s="107"/>
      <c r="AW829" s="107"/>
      <c r="AX829" s="107"/>
      <c r="AY829" s="107"/>
      <c r="AZ829" s="107"/>
      <c r="BA829" s="107"/>
      <c r="BB829" s="107"/>
      <c r="BC829" s="107"/>
      <c r="BD829" s="107"/>
      <c r="BE829" s="107"/>
      <c r="BF829" s="107"/>
      <c r="BG829" s="107"/>
      <c r="BH829" s="107"/>
      <c r="BI829" s="107"/>
      <c r="BJ829" s="107"/>
      <c r="BK829" s="107"/>
      <c r="BL829" s="107"/>
      <c r="BM829" s="107"/>
      <c r="BN829" s="107"/>
      <c r="BO829" s="107"/>
      <c r="BP829" s="107"/>
      <c r="BQ829" s="107"/>
      <c r="BR829" s="107"/>
    </row>
    <row r="830" customFormat="false" ht="12.75" hidden="false" customHeight="false" outlineLevel="0" collapsed="false">
      <c r="A830" s="100"/>
      <c r="B830" s="100"/>
      <c r="C830" s="100"/>
      <c r="D830" s="100"/>
      <c r="E830" s="100"/>
      <c r="F830" s="277"/>
      <c r="H830" s="277"/>
      <c r="I830" s="277"/>
      <c r="J830" s="277"/>
      <c r="K830" s="277"/>
      <c r="L830" s="277"/>
      <c r="M830" s="277"/>
      <c r="N830" s="277"/>
      <c r="O830" s="277"/>
      <c r="P830" s="277"/>
      <c r="Q830" s="277"/>
      <c r="R830" s="277"/>
      <c r="T830" s="277"/>
      <c r="U830" s="277"/>
      <c r="W830" s="277"/>
      <c r="Y830" s="107"/>
      <c r="Z830" s="107"/>
      <c r="AA830" s="107"/>
      <c r="AB830" s="107"/>
      <c r="AC830" s="107"/>
      <c r="AD830" s="233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7"/>
      <c r="AV830" s="107"/>
      <c r="AW830" s="107"/>
      <c r="AX830" s="107"/>
      <c r="AY830" s="107"/>
      <c r="AZ830" s="107"/>
      <c r="BA830" s="107"/>
      <c r="BB830" s="107"/>
      <c r="BC830" s="107"/>
      <c r="BD830" s="107"/>
      <c r="BE830" s="107"/>
      <c r="BF830" s="107"/>
      <c r="BG830" s="107"/>
      <c r="BH830" s="107"/>
      <c r="BI830" s="107"/>
      <c r="BJ830" s="107"/>
      <c r="BK830" s="107"/>
      <c r="BL830" s="107"/>
      <c r="BM830" s="107"/>
      <c r="BN830" s="107"/>
      <c r="BO830" s="107"/>
      <c r="BP830" s="107"/>
      <c r="BQ830" s="107"/>
      <c r="BR830" s="107"/>
    </row>
    <row r="831" customFormat="false" ht="12.75" hidden="false" customHeight="false" outlineLevel="0" collapsed="false">
      <c r="A831" s="100"/>
      <c r="B831" s="100"/>
      <c r="C831" s="100"/>
      <c r="D831" s="100"/>
      <c r="E831" s="100"/>
      <c r="F831" s="277"/>
      <c r="H831" s="277"/>
      <c r="I831" s="277"/>
      <c r="J831" s="277"/>
      <c r="K831" s="277"/>
      <c r="L831" s="277"/>
      <c r="M831" s="277"/>
      <c r="N831" s="277"/>
      <c r="O831" s="277"/>
      <c r="P831" s="277"/>
      <c r="Q831" s="277"/>
      <c r="R831" s="277"/>
      <c r="T831" s="277"/>
      <c r="U831" s="277"/>
      <c r="W831" s="277"/>
      <c r="Y831" s="107"/>
      <c r="Z831" s="107"/>
      <c r="AA831" s="107"/>
      <c r="AB831" s="107"/>
      <c r="AC831" s="107"/>
      <c r="AD831" s="233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7"/>
      <c r="AV831" s="107"/>
      <c r="AW831" s="107"/>
      <c r="AX831" s="107"/>
      <c r="AY831" s="107"/>
      <c r="AZ831" s="107"/>
      <c r="BA831" s="107"/>
      <c r="BB831" s="107"/>
      <c r="BC831" s="107"/>
      <c r="BD831" s="107"/>
      <c r="BE831" s="107"/>
      <c r="BF831" s="107"/>
      <c r="BG831" s="107"/>
      <c r="BH831" s="107"/>
      <c r="BI831" s="107"/>
      <c r="BJ831" s="107"/>
      <c r="BK831" s="107"/>
      <c r="BL831" s="107"/>
      <c r="BM831" s="107"/>
      <c r="BN831" s="107"/>
      <c r="BO831" s="107"/>
      <c r="BP831" s="107"/>
      <c r="BQ831" s="107"/>
      <c r="BR831" s="107"/>
    </row>
    <row r="832" customFormat="false" ht="12.75" hidden="false" customHeight="false" outlineLevel="0" collapsed="false">
      <c r="A832" s="100"/>
      <c r="B832" s="100"/>
      <c r="C832" s="100"/>
      <c r="D832" s="100"/>
      <c r="E832" s="100"/>
      <c r="F832" s="277"/>
      <c r="H832" s="277"/>
      <c r="I832" s="277"/>
      <c r="J832" s="277"/>
      <c r="K832" s="277"/>
      <c r="L832" s="277"/>
      <c r="M832" s="277"/>
      <c r="N832" s="277"/>
      <c r="O832" s="277"/>
      <c r="P832" s="277"/>
      <c r="Q832" s="277"/>
      <c r="R832" s="277"/>
      <c r="T832" s="277"/>
      <c r="U832" s="277"/>
      <c r="W832" s="277"/>
      <c r="Y832" s="107"/>
      <c r="Z832" s="107"/>
      <c r="AA832" s="107"/>
      <c r="AB832" s="107"/>
      <c r="AC832" s="107"/>
      <c r="AD832" s="233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7"/>
      <c r="AV832" s="107"/>
      <c r="AW832" s="107"/>
      <c r="AX832" s="107"/>
      <c r="AY832" s="107"/>
      <c r="AZ832" s="107"/>
      <c r="BA832" s="107"/>
      <c r="BB832" s="107"/>
      <c r="BC832" s="107"/>
      <c r="BD832" s="107"/>
      <c r="BE832" s="107"/>
      <c r="BF832" s="107"/>
      <c r="BG832" s="107"/>
      <c r="BH832" s="107"/>
      <c r="BI832" s="107"/>
      <c r="BJ832" s="107"/>
      <c r="BK832" s="107"/>
      <c r="BL832" s="107"/>
      <c r="BM832" s="107"/>
      <c r="BN832" s="107"/>
      <c r="BO832" s="107"/>
      <c r="BP832" s="107"/>
      <c r="BQ832" s="107"/>
      <c r="BR832" s="107"/>
    </row>
    <row r="833" customFormat="false" ht="12.75" hidden="false" customHeight="false" outlineLevel="0" collapsed="false">
      <c r="A833" s="100"/>
      <c r="B833" s="100"/>
      <c r="C833" s="100"/>
      <c r="D833" s="100"/>
      <c r="E833" s="100"/>
      <c r="F833" s="277"/>
      <c r="H833" s="277"/>
      <c r="I833" s="277"/>
      <c r="J833" s="277"/>
      <c r="K833" s="277"/>
      <c r="L833" s="277"/>
      <c r="M833" s="277"/>
      <c r="N833" s="277"/>
      <c r="O833" s="277"/>
      <c r="P833" s="277"/>
      <c r="Q833" s="277"/>
      <c r="R833" s="277"/>
      <c r="T833" s="277"/>
      <c r="U833" s="277"/>
      <c r="W833" s="277"/>
      <c r="Y833" s="107"/>
      <c r="Z833" s="107"/>
      <c r="AA833" s="107"/>
      <c r="AB833" s="107"/>
      <c r="AC833" s="107"/>
      <c r="AD833" s="233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7"/>
      <c r="AV833" s="107"/>
      <c r="AW833" s="107"/>
      <c r="AX833" s="107"/>
      <c r="AY833" s="107"/>
      <c r="AZ833" s="107"/>
      <c r="BA833" s="107"/>
      <c r="BB833" s="107"/>
      <c r="BC833" s="107"/>
      <c r="BD833" s="107"/>
      <c r="BE833" s="107"/>
      <c r="BF833" s="107"/>
      <c r="BG833" s="107"/>
      <c r="BH833" s="107"/>
      <c r="BI833" s="107"/>
      <c r="BJ833" s="107"/>
      <c r="BK833" s="107"/>
      <c r="BL833" s="107"/>
      <c r="BM833" s="107"/>
      <c r="BN833" s="107"/>
      <c r="BO833" s="107"/>
      <c r="BP833" s="107"/>
      <c r="BQ833" s="107"/>
      <c r="BR833" s="107"/>
    </row>
    <row r="834" customFormat="false" ht="12.75" hidden="false" customHeight="false" outlineLevel="0" collapsed="false">
      <c r="A834" s="100"/>
      <c r="B834" s="100"/>
      <c r="C834" s="100"/>
      <c r="D834" s="100"/>
      <c r="E834" s="100"/>
      <c r="F834" s="277"/>
      <c r="H834" s="277"/>
      <c r="I834" s="277"/>
      <c r="J834" s="277"/>
      <c r="K834" s="277"/>
      <c r="L834" s="277"/>
      <c r="M834" s="277"/>
      <c r="N834" s="277"/>
      <c r="O834" s="277"/>
      <c r="P834" s="277"/>
      <c r="Q834" s="277"/>
      <c r="R834" s="277"/>
      <c r="T834" s="277"/>
      <c r="U834" s="277"/>
      <c r="W834" s="277"/>
      <c r="Y834" s="107"/>
      <c r="Z834" s="107"/>
      <c r="AA834" s="107"/>
      <c r="AB834" s="107"/>
      <c r="AC834" s="107"/>
      <c r="AD834" s="233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7"/>
      <c r="AV834" s="107"/>
      <c r="AW834" s="107"/>
      <c r="AX834" s="107"/>
      <c r="AY834" s="107"/>
      <c r="AZ834" s="107"/>
      <c r="BA834" s="107"/>
      <c r="BB834" s="107"/>
      <c r="BC834" s="107"/>
      <c r="BD834" s="107"/>
      <c r="BE834" s="107"/>
      <c r="BF834" s="107"/>
      <c r="BG834" s="107"/>
      <c r="BH834" s="107"/>
      <c r="BI834" s="107"/>
      <c r="BJ834" s="107"/>
      <c r="BK834" s="107"/>
      <c r="BL834" s="107"/>
      <c r="BM834" s="107"/>
      <c r="BN834" s="107"/>
      <c r="BO834" s="107"/>
      <c r="BP834" s="107"/>
      <c r="BQ834" s="107"/>
      <c r="BR834" s="107"/>
    </row>
    <row r="835" customFormat="false" ht="12.75" hidden="false" customHeight="false" outlineLevel="0" collapsed="false">
      <c r="A835" s="100"/>
      <c r="B835" s="100"/>
      <c r="C835" s="100"/>
      <c r="D835" s="100"/>
      <c r="E835" s="100"/>
      <c r="F835" s="277"/>
      <c r="H835" s="277"/>
      <c r="I835" s="277"/>
      <c r="J835" s="277"/>
      <c r="K835" s="277"/>
      <c r="L835" s="277"/>
      <c r="M835" s="277"/>
      <c r="N835" s="277"/>
      <c r="O835" s="277"/>
      <c r="P835" s="277"/>
      <c r="Q835" s="277"/>
      <c r="R835" s="277"/>
      <c r="T835" s="277"/>
      <c r="U835" s="277"/>
      <c r="W835" s="277"/>
      <c r="Y835" s="107"/>
      <c r="Z835" s="107"/>
      <c r="AA835" s="107"/>
      <c r="AB835" s="107"/>
      <c r="AC835" s="107"/>
      <c r="AD835" s="233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7"/>
      <c r="AV835" s="107"/>
      <c r="AW835" s="107"/>
      <c r="AX835" s="107"/>
      <c r="AY835" s="107"/>
      <c r="AZ835" s="107"/>
      <c r="BA835" s="107"/>
      <c r="BB835" s="107"/>
      <c r="BC835" s="107"/>
      <c r="BD835" s="107"/>
      <c r="BE835" s="107"/>
      <c r="BF835" s="107"/>
      <c r="BG835" s="107"/>
      <c r="BH835" s="107"/>
      <c r="BI835" s="107"/>
      <c r="BJ835" s="107"/>
      <c r="BK835" s="107"/>
      <c r="BL835" s="107"/>
      <c r="BM835" s="107"/>
      <c r="BN835" s="107"/>
      <c r="BO835" s="107"/>
      <c r="BP835" s="107"/>
      <c r="BQ835" s="107"/>
      <c r="BR835" s="107"/>
    </row>
    <row r="836" customFormat="false" ht="12.75" hidden="false" customHeight="false" outlineLevel="0" collapsed="false">
      <c r="A836" s="100"/>
      <c r="B836" s="100"/>
      <c r="C836" s="100"/>
      <c r="D836" s="100"/>
      <c r="E836" s="100"/>
      <c r="F836" s="277"/>
      <c r="H836" s="277"/>
      <c r="I836" s="277"/>
      <c r="J836" s="277"/>
      <c r="K836" s="277"/>
      <c r="L836" s="277"/>
      <c r="M836" s="277"/>
      <c r="N836" s="277"/>
      <c r="O836" s="277"/>
      <c r="P836" s="277"/>
      <c r="Q836" s="277"/>
      <c r="R836" s="277"/>
      <c r="T836" s="277"/>
      <c r="U836" s="277"/>
      <c r="W836" s="277"/>
      <c r="Y836" s="107"/>
      <c r="Z836" s="107"/>
      <c r="AA836" s="107"/>
      <c r="AB836" s="107"/>
      <c r="AC836" s="107"/>
      <c r="AD836" s="233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7"/>
      <c r="AV836" s="107"/>
      <c r="AW836" s="107"/>
      <c r="AX836" s="107"/>
      <c r="AY836" s="107"/>
      <c r="AZ836" s="107"/>
      <c r="BA836" s="107"/>
      <c r="BB836" s="107"/>
      <c r="BC836" s="107"/>
      <c r="BD836" s="107"/>
      <c r="BE836" s="107"/>
      <c r="BF836" s="107"/>
      <c r="BG836" s="107"/>
      <c r="BH836" s="107"/>
      <c r="BI836" s="107"/>
      <c r="BJ836" s="107"/>
      <c r="BK836" s="107"/>
      <c r="BL836" s="107"/>
      <c r="BM836" s="107"/>
      <c r="BN836" s="107"/>
      <c r="BO836" s="107"/>
      <c r="BP836" s="107"/>
      <c r="BQ836" s="107"/>
      <c r="BR836" s="107"/>
    </row>
    <row r="837" customFormat="false" ht="12.75" hidden="false" customHeight="false" outlineLevel="0" collapsed="false">
      <c r="A837" s="100"/>
      <c r="B837" s="100"/>
      <c r="C837" s="100"/>
      <c r="D837" s="100"/>
      <c r="E837" s="100"/>
      <c r="F837" s="277"/>
      <c r="H837" s="277"/>
      <c r="I837" s="277"/>
      <c r="J837" s="277"/>
      <c r="K837" s="277"/>
      <c r="L837" s="277"/>
      <c r="M837" s="277"/>
      <c r="N837" s="277"/>
      <c r="O837" s="277"/>
      <c r="P837" s="277"/>
      <c r="Q837" s="277"/>
      <c r="R837" s="277"/>
      <c r="T837" s="277"/>
      <c r="U837" s="277"/>
      <c r="W837" s="277"/>
      <c r="Y837" s="107"/>
      <c r="Z837" s="107"/>
      <c r="AA837" s="107"/>
      <c r="AB837" s="107"/>
      <c r="AC837" s="107"/>
      <c r="AD837" s="233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7"/>
      <c r="AV837" s="107"/>
      <c r="AW837" s="107"/>
      <c r="AX837" s="107"/>
      <c r="AY837" s="107"/>
      <c r="AZ837" s="107"/>
      <c r="BA837" s="107"/>
      <c r="BB837" s="107"/>
      <c r="BC837" s="107"/>
      <c r="BD837" s="107"/>
      <c r="BE837" s="107"/>
      <c r="BF837" s="107"/>
      <c r="BG837" s="107"/>
      <c r="BH837" s="107"/>
      <c r="BI837" s="107"/>
      <c r="BJ837" s="107"/>
      <c r="BK837" s="107"/>
      <c r="BL837" s="107"/>
      <c r="BM837" s="107"/>
      <c r="BN837" s="107"/>
      <c r="BO837" s="107"/>
      <c r="BP837" s="107"/>
      <c r="BQ837" s="107"/>
      <c r="BR837" s="107"/>
    </row>
    <row r="838" customFormat="false" ht="12.75" hidden="false" customHeight="false" outlineLevel="0" collapsed="false">
      <c r="A838" s="100"/>
      <c r="B838" s="100"/>
      <c r="C838" s="100"/>
      <c r="D838" s="100"/>
      <c r="E838" s="100"/>
      <c r="F838" s="277"/>
      <c r="H838" s="277"/>
      <c r="I838" s="277"/>
      <c r="J838" s="277"/>
      <c r="K838" s="277"/>
      <c r="L838" s="277"/>
      <c r="M838" s="277"/>
      <c r="N838" s="277"/>
      <c r="O838" s="277"/>
      <c r="P838" s="277"/>
      <c r="Q838" s="277"/>
      <c r="R838" s="277"/>
      <c r="T838" s="277"/>
      <c r="U838" s="277"/>
      <c r="W838" s="277"/>
      <c r="Y838" s="107"/>
      <c r="Z838" s="107"/>
      <c r="AA838" s="107"/>
      <c r="AB838" s="107"/>
      <c r="AC838" s="107"/>
      <c r="AD838" s="233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7"/>
      <c r="AV838" s="107"/>
      <c r="AW838" s="107"/>
      <c r="AX838" s="107"/>
      <c r="AY838" s="107"/>
      <c r="AZ838" s="107"/>
      <c r="BA838" s="107"/>
      <c r="BB838" s="107"/>
      <c r="BC838" s="107"/>
      <c r="BD838" s="107"/>
      <c r="BE838" s="107"/>
      <c r="BF838" s="107"/>
      <c r="BG838" s="107"/>
      <c r="BH838" s="107"/>
      <c r="BI838" s="107"/>
      <c r="BJ838" s="107"/>
      <c r="BK838" s="107"/>
      <c r="BL838" s="107"/>
      <c r="BM838" s="107"/>
      <c r="BN838" s="107"/>
      <c r="BO838" s="107"/>
      <c r="BP838" s="107"/>
      <c r="BQ838" s="107"/>
      <c r="BR838" s="107"/>
    </row>
    <row r="839" customFormat="false" ht="12.75" hidden="false" customHeight="false" outlineLevel="0" collapsed="false">
      <c r="A839" s="100"/>
      <c r="B839" s="100"/>
      <c r="C839" s="100"/>
      <c r="D839" s="100"/>
      <c r="E839" s="100"/>
      <c r="F839" s="277"/>
      <c r="H839" s="277"/>
      <c r="I839" s="277"/>
      <c r="J839" s="277"/>
      <c r="K839" s="277"/>
      <c r="L839" s="277"/>
      <c r="M839" s="277"/>
      <c r="N839" s="277"/>
      <c r="O839" s="277"/>
      <c r="P839" s="277"/>
      <c r="Q839" s="277"/>
      <c r="R839" s="277"/>
      <c r="T839" s="277"/>
      <c r="U839" s="277"/>
      <c r="W839" s="277"/>
      <c r="Y839" s="107"/>
      <c r="Z839" s="107"/>
      <c r="AA839" s="107"/>
      <c r="AB839" s="107"/>
      <c r="AC839" s="107"/>
      <c r="AD839" s="233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7"/>
      <c r="AV839" s="107"/>
      <c r="AW839" s="107"/>
      <c r="AX839" s="107"/>
      <c r="AY839" s="107"/>
      <c r="AZ839" s="107"/>
      <c r="BA839" s="107"/>
      <c r="BB839" s="107"/>
      <c r="BC839" s="107"/>
      <c r="BD839" s="107"/>
      <c r="BE839" s="107"/>
      <c r="BF839" s="107"/>
      <c r="BG839" s="107"/>
      <c r="BH839" s="107"/>
      <c r="BI839" s="107"/>
      <c r="BJ839" s="107"/>
      <c r="BK839" s="107"/>
      <c r="BL839" s="107"/>
      <c r="BM839" s="107"/>
      <c r="BN839" s="107"/>
      <c r="BO839" s="107"/>
      <c r="BP839" s="107"/>
      <c r="BQ839" s="107"/>
      <c r="BR839" s="107"/>
    </row>
    <row r="840" customFormat="false" ht="12.75" hidden="false" customHeight="false" outlineLevel="0" collapsed="false">
      <c r="A840" s="100"/>
      <c r="B840" s="100"/>
      <c r="C840" s="100"/>
      <c r="D840" s="100"/>
      <c r="E840" s="100"/>
      <c r="F840" s="277"/>
      <c r="H840" s="277"/>
      <c r="I840" s="277"/>
      <c r="J840" s="277"/>
      <c r="K840" s="277"/>
      <c r="L840" s="277"/>
      <c r="M840" s="277"/>
      <c r="N840" s="277"/>
      <c r="O840" s="277"/>
      <c r="P840" s="277"/>
      <c r="Q840" s="277"/>
      <c r="R840" s="277"/>
      <c r="T840" s="277"/>
      <c r="U840" s="277"/>
      <c r="W840" s="277"/>
      <c r="Y840" s="107"/>
      <c r="Z840" s="107"/>
      <c r="AA840" s="107"/>
      <c r="AB840" s="107"/>
      <c r="AC840" s="107"/>
      <c r="AD840" s="233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7"/>
      <c r="AV840" s="107"/>
      <c r="AW840" s="107"/>
      <c r="AX840" s="107"/>
      <c r="AY840" s="107"/>
      <c r="AZ840" s="107"/>
      <c r="BA840" s="107"/>
      <c r="BB840" s="107"/>
      <c r="BC840" s="107"/>
      <c r="BD840" s="107"/>
      <c r="BE840" s="107"/>
      <c r="BF840" s="107"/>
      <c r="BG840" s="107"/>
      <c r="BH840" s="107"/>
      <c r="BI840" s="107"/>
      <c r="BJ840" s="107"/>
      <c r="BK840" s="107"/>
      <c r="BL840" s="107"/>
      <c r="BM840" s="107"/>
      <c r="BN840" s="107"/>
      <c r="BO840" s="107"/>
      <c r="BP840" s="107"/>
      <c r="BQ840" s="107"/>
      <c r="BR840" s="107"/>
    </row>
    <row r="841" customFormat="false" ht="12.75" hidden="false" customHeight="false" outlineLevel="0" collapsed="false">
      <c r="A841" s="100"/>
      <c r="B841" s="100"/>
      <c r="C841" s="100"/>
      <c r="D841" s="100"/>
      <c r="E841" s="100"/>
      <c r="F841" s="277"/>
      <c r="H841" s="277"/>
      <c r="I841" s="277"/>
      <c r="J841" s="277"/>
      <c r="K841" s="277"/>
      <c r="L841" s="277"/>
      <c r="M841" s="277"/>
      <c r="N841" s="277"/>
      <c r="O841" s="277"/>
      <c r="P841" s="277"/>
      <c r="Q841" s="277"/>
      <c r="R841" s="277"/>
      <c r="T841" s="277"/>
      <c r="U841" s="277"/>
      <c r="W841" s="277"/>
      <c r="Y841" s="107"/>
      <c r="Z841" s="107"/>
      <c r="AA841" s="107"/>
      <c r="AB841" s="107"/>
      <c r="AC841" s="107"/>
      <c r="AD841" s="233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7"/>
      <c r="AV841" s="107"/>
      <c r="AW841" s="107"/>
      <c r="AX841" s="107"/>
      <c r="AY841" s="107"/>
      <c r="AZ841" s="107"/>
      <c r="BA841" s="107"/>
      <c r="BB841" s="107"/>
      <c r="BC841" s="107"/>
      <c r="BD841" s="107"/>
      <c r="BE841" s="107"/>
      <c r="BF841" s="107"/>
      <c r="BG841" s="107"/>
      <c r="BH841" s="107"/>
      <c r="BI841" s="107"/>
      <c r="BJ841" s="107"/>
      <c r="BK841" s="107"/>
      <c r="BL841" s="107"/>
      <c r="BM841" s="107"/>
      <c r="BN841" s="107"/>
      <c r="BO841" s="107"/>
      <c r="BP841" s="107"/>
      <c r="BQ841" s="107"/>
      <c r="BR841" s="107"/>
    </row>
    <row r="842" customFormat="false" ht="12.75" hidden="false" customHeight="false" outlineLevel="0" collapsed="false">
      <c r="A842" s="100"/>
      <c r="B842" s="100"/>
      <c r="C842" s="100"/>
      <c r="D842" s="100"/>
      <c r="E842" s="100"/>
      <c r="F842" s="277"/>
      <c r="H842" s="277"/>
      <c r="I842" s="277"/>
      <c r="J842" s="277"/>
      <c r="K842" s="277"/>
      <c r="L842" s="277"/>
      <c r="M842" s="277"/>
      <c r="N842" s="277"/>
      <c r="O842" s="277"/>
      <c r="P842" s="277"/>
      <c r="Q842" s="277"/>
      <c r="R842" s="277"/>
      <c r="T842" s="277"/>
      <c r="U842" s="277"/>
      <c r="W842" s="277"/>
      <c r="Y842" s="107"/>
      <c r="Z842" s="107"/>
      <c r="AA842" s="107"/>
      <c r="AB842" s="107"/>
      <c r="AC842" s="107"/>
      <c r="AD842" s="233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7"/>
      <c r="AV842" s="107"/>
      <c r="AW842" s="107"/>
      <c r="AX842" s="107"/>
      <c r="AY842" s="107"/>
      <c r="AZ842" s="107"/>
      <c r="BA842" s="107"/>
      <c r="BB842" s="107"/>
      <c r="BC842" s="107"/>
      <c r="BD842" s="107"/>
      <c r="BE842" s="107"/>
      <c r="BF842" s="107"/>
      <c r="BG842" s="107"/>
      <c r="BH842" s="107"/>
      <c r="BI842" s="107"/>
      <c r="BJ842" s="107"/>
      <c r="BK842" s="107"/>
      <c r="BL842" s="107"/>
      <c r="BM842" s="107"/>
      <c r="BN842" s="107"/>
      <c r="BO842" s="107"/>
      <c r="BP842" s="107"/>
      <c r="BQ842" s="107"/>
      <c r="BR842" s="107"/>
    </row>
    <row r="843" customFormat="false" ht="12.75" hidden="false" customHeight="false" outlineLevel="0" collapsed="false">
      <c r="A843" s="100"/>
      <c r="B843" s="100"/>
      <c r="C843" s="100"/>
      <c r="D843" s="100"/>
      <c r="E843" s="100"/>
      <c r="F843" s="277"/>
      <c r="H843" s="277"/>
      <c r="I843" s="277"/>
      <c r="J843" s="277"/>
      <c r="K843" s="277"/>
      <c r="L843" s="277"/>
      <c r="M843" s="277"/>
      <c r="N843" s="277"/>
      <c r="O843" s="277"/>
      <c r="P843" s="277"/>
      <c r="Q843" s="277"/>
      <c r="R843" s="277"/>
      <c r="T843" s="277"/>
      <c r="U843" s="277"/>
      <c r="W843" s="277"/>
      <c r="Y843" s="107"/>
      <c r="Z843" s="107"/>
      <c r="AA843" s="107"/>
      <c r="AB843" s="107"/>
      <c r="AC843" s="107"/>
      <c r="AD843" s="233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7"/>
      <c r="AV843" s="107"/>
      <c r="AW843" s="107"/>
      <c r="AX843" s="107"/>
      <c r="AY843" s="107"/>
      <c r="AZ843" s="107"/>
      <c r="BA843" s="107"/>
      <c r="BB843" s="107"/>
      <c r="BC843" s="107"/>
      <c r="BD843" s="107"/>
      <c r="BE843" s="107"/>
      <c r="BF843" s="107"/>
      <c r="BG843" s="107"/>
      <c r="BH843" s="107"/>
      <c r="BI843" s="107"/>
      <c r="BJ843" s="107"/>
      <c r="BK843" s="107"/>
      <c r="BL843" s="107"/>
      <c r="BM843" s="107"/>
      <c r="BN843" s="107"/>
      <c r="BO843" s="107"/>
      <c r="BP843" s="107"/>
      <c r="BQ843" s="107"/>
      <c r="BR843" s="107"/>
    </row>
    <row r="844" customFormat="false" ht="12.75" hidden="false" customHeight="false" outlineLevel="0" collapsed="false">
      <c r="A844" s="100"/>
      <c r="B844" s="100"/>
      <c r="C844" s="100"/>
      <c r="D844" s="100"/>
      <c r="E844" s="100"/>
      <c r="F844" s="277"/>
      <c r="H844" s="277"/>
      <c r="I844" s="277"/>
      <c r="J844" s="277"/>
      <c r="K844" s="277"/>
      <c r="L844" s="277"/>
      <c r="M844" s="277"/>
      <c r="N844" s="277"/>
      <c r="O844" s="277"/>
      <c r="P844" s="277"/>
      <c r="Q844" s="277"/>
      <c r="R844" s="277"/>
      <c r="T844" s="277"/>
      <c r="U844" s="277"/>
      <c r="W844" s="277"/>
      <c r="Y844" s="107"/>
      <c r="Z844" s="107"/>
      <c r="AA844" s="107"/>
      <c r="AB844" s="107"/>
      <c r="AC844" s="107"/>
      <c r="AD844" s="233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7"/>
      <c r="AV844" s="107"/>
      <c r="AW844" s="107"/>
      <c r="AX844" s="107"/>
      <c r="AY844" s="107"/>
      <c r="AZ844" s="107"/>
      <c r="BA844" s="107"/>
      <c r="BB844" s="107"/>
      <c r="BC844" s="107"/>
      <c r="BD844" s="107"/>
      <c r="BE844" s="107"/>
      <c r="BF844" s="107"/>
      <c r="BG844" s="107"/>
      <c r="BH844" s="107"/>
      <c r="BI844" s="107"/>
      <c r="BJ844" s="107"/>
      <c r="BK844" s="107"/>
      <c r="BL844" s="107"/>
      <c r="BM844" s="107"/>
      <c r="BN844" s="107"/>
      <c r="BO844" s="107"/>
      <c r="BP844" s="107"/>
      <c r="BQ844" s="107"/>
      <c r="BR844" s="107"/>
    </row>
    <row r="845" customFormat="false" ht="12.75" hidden="false" customHeight="false" outlineLevel="0" collapsed="false">
      <c r="A845" s="100"/>
      <c r="B845" s="100"/>
      <c r="C845" s="100"/>
      <c r="D845" s="100"/>
      <c r="E845" s="100"/>
      <c r="F845" s="277"/>
      <c r="H845" s="277"/>
      <c r="I845" s="277"/>
      <c r="J845" s="277"/>
      <c r="K845" s="277"/>
      <c r="L845" s="277"/>
      <c r="M845" s="277"/>
      <c r="N845" s="277"/>
      <c r="O845" s="277"/>
      <c r="P845" s="277"/>
      <c r="Q845" s="277"/>
      <c r="R845" s="277"/>
      <c r="T845" s="277"/>
      <c r="U845" s="277"/>
      <c r="W845" s="277"/>
      <c r="Y845" s="107"/>
      <c r="Z845" s="107"/>
      <c r="AA845" s="107"/>
      <c r="AB845" s="107"/>
      <c r="AC845" s="107"/>
      <c r="AD845" s="233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7"/>
      <c r="AV845" s="107"/>
      <c r="AW845" s="107"/>
      <c r="AX845" s="107"/>
      <c r="AY845" s="107"/>
      <c r="AZ845" s="107"/>
      <c r="BA845" s="107"/>
      <c r="BB845" s="107"/>
      <c r="BC845" s="107"/>
      <c r="BD845" s="107"/>
      <c r="BE845" s="107"/>
      <c r="BF845" s="107"/>
      <c r="BG845" s="107"/>
      <c r="BH845" s="107"/>
      <c r="BI845" s="107"/>
      <c r="BJ845" s="107"/>
      <c r="BK845" s="107"/>
      <c r="BL845" s="107"/>
      <c r="BM845" s="107"/>
      <c r="BN845" s="107"/>
      <c r="BO845" s="107"/>
      <c r="BP845" s="107"/>
      <c r="BQ845" s="107"/>
      <c r="BR845" s="107"/>
    </row>
    <row r="846" customFormat="false" ht="12.75" hidden="false" customHeight="false" outlineLevel="0" collapsed="false">
      <c r="A846" s="100"/>
      <c r="B846" s="100"/>
      <c r="C846" s="100"/>
      <c r="D846" s="100"/>
      <c r="E846" s="100"/>
      <c r="F846" s="277"/>
      <c r="H846" s="277"/>
      <c r="I846" s="277"/>
      <c r="J846" s="277"/>
      <c r="K846" s="277"/>
      <c r="L846" s="277"/>
      <c r="M846" s="277"/>
      <c r="N846" s="277"/>
      <c r="O846" s="277"/>
      <c r="P846" s="277"/>
      <c r="Q846" s="277"/>
      <c r="R846" s="277"/>
      <c r="T846" s="277"/>
      <c r="U846" s="277"/>
      <c r="W846" s="277"/>
      <c r="Y846" s="107"/>
      <c r="Z846" s="107"/>
      <c r="AA846" s="107"/>
      <c r="AB846" s="107"/>
      <c r="AC846" s="107"/>
      <c r="AD846" s="233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7"/>
      <c r="AV846" s="107"/>
      <c r="AW846" s="107"/>
      <c r="AX846" s="107"/>
      <c r="AY846" s="107"/>
      <c r="AZ846" s="107"/>
      <c r="BA846" s="107"/>
      <c r="BB846" s="107"/>
      <c r="BC846" s="107"/>
      <c r="BD846" s="107"/>
      <c r="BE846" s="107"/>
      <c r="BF846" s="107"/>
      <c r="BG846" s="107"/>
      <c r="BH846" s="107"/>
      <c r="BI846" s="107"/>
      <c r="BJ846" s="107"/>
      <c r="BK846" s="107"/>
      <c r="BL846" s="107"/>
      <c r="BM846" s="107"/>
      <c r="BN846" s="107"/>
      <c r="BO846" s="107"/>
      <c r="BP846" s="107"/>
      <c r="BQ846" s="107"/>
      <c r="BR846" s="107"/>
    </row>
    <row r="847" customFormat="false" ht="12.75" hidden="false" customHeight="false" outlineLevel="0" collapsed="false">
      <c r="A847" s="100"/>
      <c r="B847" s="100"/>
      <c r="C847" s="100"/>
      <c r="D847" s="100"/>
      <c r="E847" s="100"/>
      <c r="F847" s="277"/>
      <c r="H847" s="277"/>
      <c r="I847" s="277"/>
      <c r="J847" s="277"/>
      <c r="K847" s="277"/>
      <c r="L847" s="277"/>
      <c r="M847" s="277"/>
      <c r="N847" s="277"/>
      <c r="O847" s="277"/>
      <c r="P847" s="277"/>
      <c r="Q847" s="277"/>
      <c r="R847" s="277"/>
      <c r="T847" s="277"/>
      <c r="U847" s="277"/>
      <c r="W847" s="277"/>
      <c r="Y847" s="107"/>
      <c r="Z847" s="107"/>
      <c r="AA847" s="107"/>
      <c r="AB847" s="107"/>
      <c r="AC847" s="107"/>
      <c r="AD847" s="233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7"/>
      <c r="AV847" s="107"/>
      <c r="AW847" s="107"/>
      <c r="AX847" s="107"/>
      <c r="AY847" s="107"/>
      <c r="AZ847" s="107"/>
      <c r="BA847" s="107"/>
      <c r="BB847" s="107"/>
      <c r="BC847" s="107"/>
      <c r="BD847" s="107"/>
      <c r="BE847" s="107"/>
      <c r="BF847" s="107"/>
      <c r="BG847" s="107"/>
      <c r="BH847" s="107"/>
      <c r="BI847" s="107"/>
      <c r="BJ847" s="107"/>
      <c r="BK847" s="107"/>
      <c r="BL847" s="107"/>
      <c r="BM847" s="107"/>
      <c r="BN847" s="107"/>
      <c r="BO847" s="107"/>
      <c r="BP847" s="107"/>
      <c r="BQ847" s="107"/>
      <c r="BR847" s="107"/>
    </row>
    <row r="848" customFormat="false" ht="12.75" hidden="false" customHeight="false" outlineLevel="0" collapsed="false">
      <c r="A848" s="100"/>
      <c r="B848" s="100"/>
      <c r="C848" s="100"/>
      <c r="D848" s="100"/>
      <c r="E848" s="100"/>
      <c r="F848" s="277"/>
      <c r="H848" s="277"/>
      <c r="I848" s="277"/>
      <c r="J848" s="277"/>
      <c r="K848" s="277"/>
      <c r="L848" s="277"/>
      <c r="M848" s="277"/>
      <c r="N848" s="277"/>
      <c r="O848" s="277"/>
      <c r="P848" s="277"/>
      <c r="Q848" s="277"/>
      <c r="R848" s="277"/>
      <c r="T848" s="277"/>
      <c r="U848" s="277"/>
      <c r="W848" s="277"/>
      <c r="Y848" s="107"/>
      <c r="Z848" s="107"/>
      <c r="AA848" s="107"/>
      <c r="AB848" s="107"/>
      <c r="AC848" s="107"/>
      <c r="AD848" s="233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7"/>
      <c r="AV848" s="107"/>
      <c r="AW848" s="107"/>
      <c r="AX848" s="107"/>
      <c r="AY848" s="107"/>
      <c r="AZ848" s="107"/>
      <c r="BA848" s="107"/>
      <c r="BB848" s="107"/>
      <c r="BC848" s="107"/>
      <c r="BD848" s="107"/>
      <c r="BE848" s="107"/>
      <c r="BF848" s="107"/>
      <c r="BG848" s="107"/>
      <c r="BH848" s="107"/>
      <c r="BI848" s="107"/>
      <c r="BJ848" s="107"/>
      <c r="BK848" s="107"/>
      <c r="BL848" s="107"/>
      <c r="BM848" s="107"/>
      <c r="BN848" s="107"/>
      <c r="BO848" s="107"/>
      <c r="BP848" s="107"/>
      <c r="BQ848" s="107"/>
      <c r="BR848" s="107"/>
    </row>
    <row r="849" customFormat="false" ht="12.75" hidden="false" customHeight="false" outlineLevel="0" collapsed="false">
      <c r="A849" s="100"/>
      <c r="B849" s="100"/>
      <c r="C849" s="100"/>
      <c r="D849" s="100"/>
      <c r="E849" s="100"/>
      <c r="F849" s="277"/>
      <c r="H849" s="277"/>
      <c r="I849" s="277"/>
      <c r="J849" s="277"/>
      <c r="K849" s="277"/>
      <c r="L849" s="277"/>
      <c r="M849" s="277"/>
      <c r="N849" s="277"/>
      <c r="O849" s="277"/>
      <c r="P849" s="277"/>
      <c r="Q849" s="277"/>
      <c r="R849" s="277"/>
      <c r="T849" s="277"/>
      <c r="U849" s="277"/>
      <c r="W849" s="277"/>
      <c r="Y849" s="107"/>
      <c r="Z849" s="107"/>
      <c r="AA849" s="107"/>
      <c r="AB849" s="107"/>
      <c r="AC849" s="107"/>
      <c r="AD849" s="233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7"/>
      <c r="AV849" s="107"/>
      <c r="AW849" s="107"/>
      <c r="AX849" s="107"/>
      <c r="AY849" s="107"/>
      <c r="AZ849" s="107"/>
      <c r="BA849" s="107"/>
      <c r="BB849" s="107"/>
      <c r="BC849" s="107"/>
      <c r="BD849" s="107"/>
      <c r="BE849" s="107"/>
      <c r="BF849" s="107"/>
      <c r="BG849" s="107"/>
      <c r="BH849" s="107"/>
      <c r="BI849" s="107"/>
      <c r="BJ849" s="107"/>
      <c r="BK849" s="107"/>
      <c r="BL849" s="107"/>
      <c r="BM849" s="107"/>
      <c r="BN849" s="107"/>
      <c r="BO849" s="107"/>
      <c r="BP849" s="107"/>
      <c r="BQ849" s="107"/>
      <c r="BR849" s="107"/>
    </row>
    <row r="850" customFormat="false" ht="12.75" hidden="false" customHeight="false" outlineLevel="0" collapsed="false">
      <c r="A850" s="100"/>
      <c r="B850" s="100"/>
      <c r="C850" s="100"/>
      <c r="D850" s="100"/>
      <c r="E850" s="100"/>
      <c r="F850" s="277"/>
      <c r="H850" s="277"/>
      <c r="I850" s="277"/>
      <c r="J850" s="277"/>
      <c r="K850" s="277"/>
      <c r="L850" s="277"/>
      <c r="M850" s="277"/>
      <c r="N850" s="277"/>
      <c r="O850" s="277"/>
      <c r="P850" s="277"/>
      <c r="Q850" s="277"/>
      <c r="R850" s="277"/>
      <c r="T850" s="277"/>
      <c r="U850" s="277"/>
      <c r="W850" s="277"/>
      <c r="Y850" s="107"/>
      <c r="Z850" s="107"/>
      <c r="AA850" s="107"/>
      <c r="AB850" s="107"/>
      <c r="AC850" s="107"/>
      <c r="AD850" s="233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7"/>
      <c r="AV850" s="107"/>
      <c r="AW850" s="107"/>
      <c r="AX850" s="107"/>
      <c r="AY850" s="107"/>
      <c r="AZ850" s="107"/>
      <c r="BA850" s="107"/>
      <c r="BB850" s="107"/>
      <c r="BC850" s="107"/>
      <c r="BD850" s="107"/>
      <c r="BE850" s="107"/>
      <c r="BF850" s="107"/>
      <c r="BG850" s="107"/>
      <c r="BH850" s="107"/>
      <c r="BI850" s="107"/>
      <c r="BJ850" s="107"/>
      <c r="BK850" s="107"/>
      <c r="BL850" s="107"/>
      <c r="BM850" s="107"/>
      <c r="BN850" s="107"/>
      <c r="BO850" s="107"/>
      <c r="BP850" s="107"/>
      <c r="BQ850" s="107"/>
      <c r="BR850" s="107"/>
    </row>
    <row r="851" customFormat="false" ht="12.75" hidden="false" customHeight="false" outlineLevel="0" collapsed="false">
      <c r="A851" s="100"/>
      <c r="B851" s="100"/>
      <c r="C851" s="100"/>
      <c r="D851" s="100"/>
      <c r="E851" s="100"/>
      <c r="F851" s="277"/>
      <c r="H851" s="277"/>
      <c r="I851" s="277"/>
      <c r="J851" s="277"/>
      <c r="K851" s="277"/>
      <c r="L851" s="277"/>
      <c r="M851" s="277"/>
      <c r="N851" s="277"/>
      <c r="O851" s="277"/>
      <c r="P851" s="277"/>
      <c r="Q851" s="277"/>
      <c r="R851" s="277"/>
      <c r="T851" s="277"/>
      <c r="U851" s="277"/>
      <c r="W851" s="277"/>
      <c r="Y851" s="107"/>
      <c r="Z851" s="107"/>
      <c r="AA851" s="107"/>
      <c r="AB851" s="107"/>
      <c r="AC851" s="107"/>
      <c r="AD851" s="233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7"/>
      <c r="AV851" s="107"/>
      <c r="AW851" s="107"/>
      <c r="AX851" s="107"/>
      <c r="AY851" s="107"/>
      <c r="AZ851" s="107"/>
      <c r="BA851" s="107"/>
      <c r="BB851" s="107"/>
      <c r="BC851" s="107"/>
      <c r="BD851" s="107"/>
      <c r="BE851" s="107"/>
      <c r="BF851" s="107"/>
      <c r="BG851" s="107"/>
      <c r="BH851" s="107"/>
      <c r="BI851" s="107"/>
      <c r="BJ851" s="107"/>
      <c r="BK851" s="107"/>
      <c r="BL851" s="107"/>
      <c r="BM851" s="107"/>
      <c r="BN851" s="107"/>
      <c r="BO851" s="107"/>
      <c r="BP851" s="107"/>
      <c r="BQ851" s="107"/>
      <c r="BR851" s="107"/>
    </row>
    <row r="852" customFormat="false" ht="12.75" hidden="false" customHeight="false" outlineLevel="0" collapsed="false">
      <c r="A852" s="100"/>
      <c r="B852" s="100"/>
      <c r="C852" s="100"/>
      <c r="D852" s="100"/>
      <c r="E852" s="100"/>
      <c r="F852" s="277"/>
      <c r="H852" s="277"/>
      <c r="I852" s="277"/>
      <c r="J852" s="277"/>
      <c r="K852" s="277"/>
      <c r="L852" s="277"/>
      <c r="M852" s="277"/>
      <c r="N852" s="277"/>
      <c r="O852" s="277"/>
      <c r="P852" s="277"/>
      <c r="Q852" s="277"/>
      <c r="R852" s="277"/>
      <c r="T852" s="277"/>
      <c r="U852" s="277"/>
      <c r="W852" s="277"/>
      <c r="Y852" s="107"/>
      <c r="Z852" s="107"/>
      <c r="AA852" s="107"/>
      <c r="AB852" s="107"/>
      <c r="AC852" s="107"/>
      <c r="AD852" s="233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7"/>
      <c r="AV852" s="107"/>
      <c r="AW852" s="107"/>
      <c r="AX852" s="107"/>
      <c r="AY852" s="107"/>
      <c r="AZ852" s="107"/>
      <c r="BA852" s="107"/>
      <c r="BB852" s="107"/>
      <c r="BC852" s="107"/>
      <c r="BD852" s="107"/>
      <c r="BE852" s="107"/>
      <c r="BF852" s="107"/>
      <c r="BG852" s="107"/>
      <c r="BH852" s="107"/>
      <c r="BI852" s="107"/>
      <c r="BJ852" s="107"/>
      <c r="BK852" s="107"/>
      <c r="BL852" s="107"/>
      <c r="BM852" s="107"/>
      <c r="BN852" s="107"/>
      <c r="BO852" s="107"/>
      <c r="BP852" s="107"/>
      <c r="BQ852" s="107"/>
      <c r="BR852" s="107"/>
    </row>
    <row r="853" customFormat="false" ht="12.75" hidden="false" customHeight="false" outlineLevel="0" collapsed="false">
      <c r="A853" s="100"/>
      <c r="B853" s="100"/>
      <c r="C853" s="100"/>
      <c r="D853" s="100"/>
      <c r="E853" s="100"/>
      <c r="F853" s="277"/>
      <c r="H853" s="277"/>
      <c r="I853" s="277"/>
      <c r="J853" s="277"/>
      <c r="K853" s="277"/>
      <c r="L853" s="277"/>
      <c r="M853" s="277"/>
      <c r="N853" s="277"/>
      <c r="O853" s="277"/>
      <c r="P853" s="277"/>
      <c r="Q853" s="277"/>
      <c r="R853" s="277"/>
      <c r="T853" s="277"/>
      <c r="U853" s="277"/>
      <c r="W853" s="277"/>
      <c r="Y853" s="107"/>
      <c r="Z853" s="107"/>
      <c r="AA853" s="107"/>
      <c r="AB853" s="107"/>
      <c r="AC853" s="107"/>
      <c r="AD853" s="233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7"/>
      <c r="AV853" s="107"/>
      <c r="AW853" s="107"/>
      <c r="AX853" s="107"/>
      <c r="AY853" s="107"/>
      <c r="AZ853" s="107"/>
      <c r="BA853" s="107"/>
      <c r="BB853" s="107"/>
      <c r="BC853" s="107"/>
      <c r="BD853" s="107"/>
      <c r="BE853" s="107"/>
      <c r="BF853" s="107"/>
      <c r="BG853" s="107"/>
      <c r="BH853" s="107"/>
      <c r="BI853" s="107"/>
      <c r="BJ853" s="107"/>
      <c r="BK853" s="107"/>
      <c r="BL853" s="107"/>
      <c r="BM853" s="107"/>
      <c r="BN853" s="107"/>
      <c r="BO853" s="107"/>
      <c r="BP853" s="107"/>
      <c r="BQ853" s="107"/>
      <c r="BR853" s="107"/>
    </row>
    <row r="854" customFormat="false" ht="12.75" hidden="false" customHeight="false" outlineLevel="0" collapsed="false">
      <c r="A854" s="100"/>
      <c r="B854" s="100"/>
      <c r="C854" s="100"/>
      <c r="D854" s="100"/>
      <c r="E854" s="100"/>
      <c r="F854" s="277"/>
      <c r="H854" s="277"/>
      <c r="I854" s="277"/>
      <c r="J854" s="277"/>
      <c r="K854" s="277"/>
      <c r="L854" s="277"/>
      <c r="M854" s="277"/>
      <c r="N854" s="277"/>
      <c r="O854" s="277"/>
      <c r="P854" s="277"/>
      <c r="Q854" s="277"/>
      <c r="R854" s="277"/>
      <c r="T854" s="277"/>
      <c r="U854" s="277"/>
      <c r="W854" s="277"/>
      <c r="Y854" s="107"/>
      <c r="Z854" s="107"/>
      <c r="AA854" s="107"/>
      <c r="AB854" s="107"/>
      <c r="AC854" s="107"/>
      <c r="AD854" s="233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7"/>
      <c r="AV854" s="107"/>
      <c r="AW854" s="107"/>
      <c r="AX854" s="107"/>
      <c r="AY854" s="107"/>
      <c r="AZ854" s="107"/>
      <c r="BA854" s="107"/>
      <c r="BB854" s="107"/>
      <c r="BC854" s="107"/>
      <c r="BD854" s="107"/>
      <c r="BE854" s="107"/>
      <c r="BF854" s="107"/>
      <c r="BG854" s="107"/>
      <c r="BH854" s="107"/>
      <c r="BI854" s="107"/>
      <c r="BJ854" s="107"/>
      <c r="BK854" s="107"/>
      <c r="BL854" s="107"/>
      <c r="BM854" s="107"/>
      <c r="BN854" s="107"/>
      <c r="BO854" s="107"/>
      <c r="BP854" s="107"/>
      <c r="BQ854" s="107"/>
      <c r="BR854" s="107"/>
    </row>
    <row r="855" customFormat="false" ht="12.75" hidden="false" customHeight="false" outlineLevel="0" collapsed="false">
      <c r="A855" s="100"/>
      <c r="B855" s="100"/>
      <c r="C855" s="100"/>
      <c r="D855" s="100"/>
      <c r="E855" s="100"/>
      <c r="F855" s="277"/>
      <c r="H855" s="277"/>
      <c r="I855" s="277"/>
      <c r="J855" s="277"/>
      <c r="K855" s="277"/>
      <c r="L855" s="277"/>
      <c r="M855" s="277"/>
      <c r="N855" s="277"/>
      <c r="O855" s="277"/>
      <c r="P855" s="277"/>
      <c r="Q855" s="277"/>
      <c r="R855" s="277"/>
      <c r="T855" s="277"/>
      <c r="U855" s="277"/>
      <c r="W855" s="277"/>
      <c r="Y855" s="107"/>
      <c r="Z855" s="107"/>
      <c r="AA855" s="107"/>
      <c r="AB855" s="107"/>
      <c r="AC855" s="107"/>
      <c r="AD855" s="233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7"/>
      <c r="AV855" s="107"/>
      <c r="AW855" s="107"/>
      <c r="AX855" s="107"/>
      <c r="AY855" s="107"/>
      <c r="AZ855" s="107"/>
      <c r="BA855" s="107"/>
      <c r="BB855" s="107"/>
      <c r="BC855" s="107"/>
      <c r="BD855" s="107"/>
      <c r="BE855" s="107"/>
      <c r="BF855" s="107"/>
      <c r="BG855" s="107"/>
      <c r="BH855" s="107"/>
      <c r="BI855" s="107"/>
      <c r="BJ855" s="107"/>
      <c r="BK855" s="107"/>
      <c r="BL855" s="107"/>
      <c r="BM855" s="107"/>
      <c r="BN855" s="107"/>
      <c r="BO855" s="107"/>
      <c r="BP855" s="107"/>
      <c r="BQ855" s="107"/>
      <c r="BR855" s="107"/>
    </row>
    <row r="856" customFormat="false" ht="12.75" hidden="false" customHeight="false" outlineLevel="0" collapsed="false">
      <c r="A856" s="100"/>
      <c r="B856" s="100"/>
      <c r="C856" s="100"/>
      <c r="D856" s="100"/>
      <c r="E856" s="100"/>
      <c r="F856" s="277"/>
      <c r="H856" s="277"/>
      <c r="I856" s="277"/>
      <c r="J856" s="277"/>
      <c r="K856" s="277"/>
      <c r="L856" s="277"/>
      <c r="M856" s="277"/>
      <c r="N856" s="277"/>
      <c r="O856" s="277"/>
      <c r="P856" s="277"/>
      <c r="Q856" s="277"/>
      <c r="R856" s="277"/>
      <c r="T856" s="277"/>
      <c r="U856" s="277"/>
      <c r="W856" s="277"/>
      <c r="Y856" s="107"/>
      <c r="Z856" s="107"/>
      <c r="AA856" s="107"/>
      <c r="AB856" s="107"/>
      <c r="AC856" s="107"/>
      <c r="AD856" s="233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7"/>
      <c r="AV856" s="107"/>
      <c r="AW856" s="107"/>
      <c r="AX856" s="107"/>
      <c r="AY856" s="107"/>
      <c r="AZ856" s="107"/>
      <c r="BA856" s="107"/>
      <c r="BB856" s="107"/>
      <c r="BC856" s="107"/>
      <c r="BD856" s="107"/>
      <c r="BE856" s="107"/>
      <c r="BF856" s="107"/>
      <c r="BG856" s="107"/>
      <c r="BH856" s="107"/>
      <c r="BI856" s="107"/>
      <c r="BJ856" s="107"/>
      <c r="BK856" s="107"/>
      <c r="BL856" s="107"/>
      <c r="BM856" s="107"/>
      <c r="BN856" s="107"/>
      <c r="BO856" s="107"/>
      <c r="BP856" s="107"/>
      <c r="BQ856" s="107"/>
      <c r="BR856" s="107"/>
    </row>
    <row r="857" customFormat="false" ht="12.75" hidden="false" customHeight="false" outlineLevel="0" collapsed="false">
      <c r="A857" s="100"/>
      <c r="B857" s="100"/>
      <c r="C857" s="100"/>
      <c r="D857" s="100"/>
      <c r="E857" s="100"/>
      <c r="F857" s="277"/>
      <c r="H857" s="277"/>
      <c r="I857" s="277"/>
      <c r="J857" s="277"/>
      <c r="K857" s="277"/>
      <c r="L857" s="277"/>
      <c r="M857" s="277"/>
      <c r="N857" s="277"/>
      <c r="O857" s="277"/>
      <c r="P857" s="277"/>
      <c r="Q857" s="277"/>
      <c r="R857" s="277"/>
      <c r="T857" s="277"/>
      <c r="U857" s="277"/>
      <c r="W857" s="277"/>
      <c r="Y857" s="107"/>
      <c r="Z857" s="107"/>
      <c r="AA857" s="107"/>
      <c r="AB857" s="107"/>
      <c r="AC857" s="107"/>
      <c r="AD857" s="233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7"/>
      <c r="AV857" s="107"/>
      <c r="AW857" s="107"/>
      <c r="AX857" s="107"/>
      <c r="AY857" s="107"/>
      <c r="AZ857" s="107"/>
      <c r="BA857" s="107"/>
      <c r="BB857" s="107"/>
      <c r="BC857" s="107"/>
      <c r="BD857" s="107"/>
      <c r="BE857" s="107"/>
      <c r="BF857" s="107"/>
      <c r="BG857" s="107"/>
      <c r="BH857" s="107"/>
      <c r="BI857" s="107"/>
      <c r="BJ857" s="107"/>
      <c r="BK857" s="107"/>
      <c r="BL857" s="107"/>
      <c r="BM857" s="107"/>
      <c r="BN857" s="107"/>
      <c r="BO857" s="107"/>
      <c r="BP857" s="107"/>
      <c r="BQ857" s="107"/>
      <c r="BR857" s="107"/>
    </row>
    <row r="858" customFormat="false" ht="12.75" hidden="false" customHeight="false" outlineLevel="0" collapsed="false">
      <c r="A858" s="100"/>
      <c r="B858" s="100"/>
      <c r="C858" s="100"/>
      <c r="D858" s="100"/>
      <c r="E858" s="100"/>
      <c r="F858" s="277"/>
      <c r="H858" s="277"/>
      <c r="I858" s="277"/>
      <c r="J858" s="277"/>
      <c r="K858" s="277"/>
      <c r="L858" s="277"/>
      <c r="M858" s="277"/>
      <c r="N858" s="277"/>
      <c r="O858" s="277"/>
      <c r="P858" s="277"/>
      <c r="Q858" s="277"/>
      <c r="R858" s="277"/>
      <c r="T858" s="277"/>
      <c r="U858" s="277"/>
      <c r="W858" s="277"/>
      <c r="Y858" s="107"/>
      <c r="Z858" s="107"/>
      <c r="AA858" s="107"/>
      <c r="AB858" s="107"/>
      <c r="AC858" s="107"/>
      <c r="AD858" s="233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7"/>
      <c r="AV858" s="107"/>
      <c r="AW858" s="107"/>
      <c r="AX858" s="107"/>
      <c r="AY858" s="107"/>
      <c r="AZ858" s="107"/>
      <c r="BA858" s="107"/>
      <c r="BB858" s="107"/>
      <c r="BC858" s="107"/>
      <c r="BD858" s="107"/>
      <c r="BE858" s="107"/>
      <c r="BF858" s="107"/>
      <c r="BG858" s="107"/>
      <c r="BH858" s="107"/>
      <c r="BI858" s="107"/>
      <c r="BJ858" s="107"/>
      <c r="BK858" s="107"/>
      <c r="BL858" s="107"/>
      <c r="BM858" s="107"/>
      <c r="BN858" s="107"/>
      <c r="BO858" s="107"/>
      <c r="BP858" s="107"/>
      <c r="BQ858" s="107"/>
      <c r="BR858" s="107"/>
    </row>
    <row r="859" customFormat="false" ht="12.75" hidden="false" customHeight="false" outlineLevel="0" collapsed="false">
      <c r="A859" s="100"/>
      <c r="B859" s="100"/>
      <c r="C859" s="100"/>
      <c r="D859" s="100"/>
      <c r="E859" s="100"/>
      <c r="F859" s="277"/>
      <c r="H859" s="277"/>
      <c r="I859" s="277"/>
      <c r="J859" s="277"/>
      <c r="K859" s="277"/>
      <c r="L859" s="277"/>
      <c r="M859" s="277"/>
      <c r="N859" s="277"/>
      <c r="O859" s="277"/>
      <c r="P859" s="277"/>
      <c r="Q859" s="277"/>
      <c r="R859" s="277"/>
      <c r="T859" s="277"/>
      <c r="U859" s="277"/>
      <c r="W859" s="277"/>
      <c r="Y859" s="107"/>
      <c r="Z859" s="107"/>
      <c r="AA859" s="107"/>
      <c r="AB859" s="107"/>
      <c r="AC859" s="107"/>
      <c r="AD859" s="233"/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/>
      <c r="AT859" s="107"/>
      <c r="AU859" s="107"/>
      <c r="AV859" s="107"/>
      <c r="AW859" s="107"/>
      <c r="AX859" s="107"/>
      <c r="AY859" s="107"/>
      <c r="AZ859" s="107"/>
      <c r="BA859" s="107"/>
      <c r="BB859" s="107"/>
      <c r="BC859" s="107"/>
      <c r="BD859" s="107"/>
      <c r="BE859" s="107"/>
      <c r="BF859" s="107"/>
      <c r="BG859" s="107"/>
      <c r="BH859" s="107"/>
      <c r="BI859" s="107"/>
      <c r="BJ859" s="107"/>
      <c r="BK859" s="107"/>
      <c r="BL859" s="107"/>
      <c r="BM859" s="107"/>
      <c r="BN859" s="107"/>
      <c r="BO859" s="107"/>
      <c r="BP859" s="107"/>
      <c r="BQ859" s="107"/>
      <c r="BR859" s="107"/>
    </row>
    <row r="860" customFormat="false" ht="12.75" hidden="false" customHeight="false" outlineLevel="0" collapsed="false">
      <c r="A860" s="100"/>
      <c r="B860" s="100"/>
      <c r="C860" s="100"/>
      <c r="D860" s="100"/>
      <c r="E860" s="100"/>
      <c r="F860" s="277"/>
      <c r="H860" s="277"/>
      <c r="I860" s="277"/>
      <c r="J860" s="277"/>
      <c r="K860" s="277"/>
      <c r="L860" s="277"/>
      <c r="M860" s="277"/>
      <c r="N860" s="277"/>
      <c r="O860" s="277"/>
      <c r="P860" s="277"/>
      <c r="Q860" s="277"/>
      <c r="R860" s="277"/>
      <c r="T860" s="277"/>
      <c r="U860" s="277"/>
      <c r="W860" s="277"/>
      <c r="Y860" s="107"/>
      <c r="Z860" s="107"/>
      <c r="AA860" s="107"/>
      <c r="AB860" s="107"/>
      <c r="AC860" s="107"/>
      <c r="AD860" s="233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7"/>
      <c r="AV860" s="107"/>
      <c r="AW860" s="107"/>
      <c r="AX860" s="107"/>
      <c r="AY860" s="107"/>
      <c r="AZ860" s="107"/>
      <c r="BA860" s="107"/>
      <c r="BB860" s="107"/>
      <c r="BC860" s="107"/>
      <c r="BD860" s="107"/>
      <c r="BE860" s="107"/>
      <c r="BF860" s="107"/>
      <c r="BG860" s="107"/>
      <c r="BH860" s="107"/>
      <c r="BI860" s="107"/>
      <c r="BJ860" s="107"/>
      <c r="BK860" s="107"/>
      <c r="BL860" s="107"/>
      <c r="BM860" s="107"/>
      <c r="BN860" s="107"/>
      <c r="BO860" s="107"/>
      <c r="BP860" s="107"/>
      <c r="BQ860" s="107"/>
      <c r="BR860" s="107"/>
    </row>
    <row r="861" customFormat="false" ht="12.75" hidden="false" customHeight="false" outlineLevel="0" collapsed="false">
      <c r="A861" s="100"/>
      <c r="B861" s="100"/>
      <c r="C861" s="100"/>
      <c r="D861" s="100"/>
      <c r="E861" s="100"/>
      <c r="F861" s="277"/>
      <c r="H861" s="277"/>
      <c r="I861" s="277"/>
      <c r="J861" s="277"/>
      <c r="K861" s="277"/>
      <c r="L861" s="277"/>
      <c r="M861" s="277"/>
      <c r="N861" s="277"/>
      <c r="O861" s="277"/>
      <c r="P861" s="277"/>
      <c r="Q861" s="277"/>
      <c r="R861" s="277"/>
      <c r="T861" s="277"/>
      <c r="U861" s="277"/>
      <c r="W861" s="277"/>
      <c r="Y861" s="107"/>
      <c r="Z861" s="107"/>
      <c r="AA861" s="107"/>
      <c r="AB861" s="107"/>
      <c r="AC861" s="107"/>
      <c r="AD861" s="233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7"/>
      <c r="AV861" s="107"/>
      <c r="AW861" s="107"/>
      <c r="AX861" s="107"/>
      <c r="AY861" s="107"/>
      <c r="AZ861" s="107"/>
      <c r="BA861" s="107"/>
      <c r="BB861" s="107"/>
      <c r="BC861" s="107"/>
      <c r="BD861" s="107"/>
      <c r="BE861" s="107"/>
      <c r="BF861" s="107"/>
      <c r="BG861" s="107"/>
      <c r="BH861" s="107"/>
      <c r="BI861" s="107"/>
      <c r="BJ861" s="107"/>
      <c r="BK861" s="107"/>
      <c r="BL861" s="107"/>
      <c r="BM861" s="107"/>
      <c r="BN861" s="107"/>
      <c r="BO861" s="107"/>
      <c r="BP861" s="107"/>
      <c r="BQ861" s="107"/>
      <c r="BR861" s="107"/>
    </row>
    <row r="862" customFormat="false" ht="12.75" hidden="false" customHeight="false" outlineLevel="0" collapsed="false">
      <c r="A862" s="100"/>
      <c r="B862" s="100"/>
      <c r="C862" s="100"/>
      <c r="D862" s="100"/>
      <c r="E862" s="100"/>
      <c r="F862" s="277"/>
      <c r="H862" s="277"/>
      <c r="I862" s="277"/>
      <c r="J862" s="277"/>
      <c r="K862" s="277"/>
      <c r="L862" s="277"/>
      <c r="M862" s="277"/>
      <c r="N862" s="277"/>
      <c r="O862" s="277"/>
      <c r="P862" s="277"/>
      <c r="Q862" s="277"/>
      <c r="R862" s="277"/>
      <c r="T862" s="277"/>
      <c r="U862" s="277"/>
      <c r="W862" s="277"/>
      <c r="Y862" s="107"/>
      <c r="Z862" s="107"/>
      <c r="AA862" s="107"/>
      <c r="AB862" s="107"/>
      <c r="AC862" s="107"/>
      <c r="AD862" s="233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7"/>
      <c r="AV862" s="107"/>
      <c r="AW862" s="107"/>
      <c r="AX862" s="107"/>
      <c r="AY862" s="107"/>
      <c r="AZ862" s="107"/>
      <c r="BA862" s="107"/>
      <c r="BB862" s="107"/>
      <c r="BC862" s="107"/>
      <c r="BD862" s="107"/>
      <c r="BE862" s="107"/>
      <c r="BF862" s="107"/>
      <c r="BG862" s="107"/>
      <c r="BH862" s="107"/>
      <c r="BI862" s="107"/>
      <c r="BJ862" s="107"/>
      <c r="BK862" s="107"/>
      <c r="BL862" s="107"/>
      <c r="BM862" s="107"/>
      <c r="BN862" s="107"/>
      <c r="BO862" s="107"/>
      <c r="BP862" s="107"/>
      <c r="BQ862" s="107"/>
      <c r="BR862" s="107"/>
    </row>
    <row r="863" customFormat="false" ht="12.75" hidden="false" customHeight="false" outlineLevel="0" collapsed="false">
      <c r="A863" s="100"/>
      <c r="B863" s="100"/>
      <c r="C863" s="100"/>
      <c r="D863" s="100"/>
      <c r="E863" s="100"/>
      <c r="F863" s="277"/>
      <c r="H863" s="277"/>
      <c r="I863" s="277"/>
      <c r="J863" s="277"/>
      <c r="K863" s="277"/>
      <c r="L863" s="277"/>
      <c r="M863" s="277"/>
      <c r="N863" s="277"/>
      <c r="O863" s="277"/>
      <c r="P863" s="277"/>
      <c r="Q863" s="277"/>
      <c r="R863" s="277"/>
      <c r="T863" s="277"/>
      <c r="U863" s="277"/>
      <c r="W863" s="277"/>
      <c r="Y863" s="107"/>
      <c r="Z863" s="107"/>
      <c r="AA863" s="107"/>
      <c r="AB863" s="107"/>
      <c r="AC863" s="107"/>
      <c r="AD863" s="233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7"/>
      <c r="AV863" s="107"/>
      <c r="AW863" s="107"/>
      <c r="AX863" s="107"/>
      <c r="AY863" s="107"/>
      <c r="AZ863" s="107"/>
      <c r="BA863" s="107"/>
      <c r="BB863" s="107"/>
      <c r="BC863" s="107"/>
      <c r="BD863" s="107"/>
      <c r="BE863" s="107"/>
      <c r="BF863" s="107"/>
      <c r="BG863" s="107"/>
      <c r="BH863" s="107"/>
      <c r="BI863" s="107"/>
      <c r="BJ863" s="107"/>
      <c r="BK863" s="107"/>
      <c r="BL863" s="107"/>
      <c r="BM863" s="107"/>
      <c r="BN863" s="107"/>
      <c r="BO863" s="107"/>
      <c r="BP863" s="107"/>
      <c r="BQ863" s="107"/>
      <c r="BR863" s="107"/>
    </row>
    <row r="864" customFormat="false" ht="12.75" hidden="false" customHeight="false" outlineLevel="0" collapsed="false">
      <c r="A864" s="100"/>
      <c r="B864" s="100"/>
      <c r="C864" s="100"/>
      <c r="D864" s="100"/>
      <c r="E864" s="100"/>
      <c r="F864" s="277"/>
      <c r="H864" s="277"/>
      <c r="I864" s="277"/>
      <c r="J864" s="277"/>
      <c r="K864" s="277"/>
      <c r="L864" s="277"/>
      <c r="M864" s="277"/>
      <c r="N864" s="277"/>
      <c r="O864" s="277"/>
      <c r="P864" s="277"/>
      <c r="Q864" s="277"/>
      <c r="R864" s="277"/>
      <c r="T864" s="277"/>
      <c r="U864" s="277"/>
      <c r="W864" s="277"/>
      <c r="Y864" s="107"/>
      <c r="Z864" s="107"/>
      <c r="AA864" s="107"/>
      <c r="AB864" s="107"/>
      <c r="AC864" s="107"/>
      <c r="AD864" s="233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7"/>
      <c r="AV864" s="107"/>
      <c r="AW864" s="107"/>
      <c r="AX864" s="107"/>
      <c r="AY864" s="107"/>
      <c r="AZ864" s="107"/>
      <c r="BA864" s="107"/>
      <c r="BB864" s="107"/>
      <c r="BC864" s="107"/>
      <c r="BD864" s="107"/>
      <c r="BE864" s="107"/>
      <c r="BF864" s="107"/>
      <c r="BG864" s="107"/>
      <c r="BH864" s="107"/>
      <c r="BI864" s="107"/>
      <c r="BJ864" s="107"/>
      <c r="BK864" s="107"/>
      <c r="BL864" s="107"/>
      <c r="BM864" s="107"/>
      <c r="BN864" s="107"/>
      <c r="BO864" s="107"/>
      <c r="BP864" s="107"/>
      <c r="BQ864" s="107"/>
      <c r="BR864" s="107"/>
    </row>
    <row r="865" customFormat="false" ht="12.75" hidden="false" customHeight="false" outlineLevel="0" collapsed="false">
      <c r="A865" s="100"/>
      <c r="B865" s="100"/>
      <c r="C865" s="100"/>
      <c r="D865" s="100"/>
      <c r="E865" s="100"/>
      <c r="F865" s="277"/>
      <c r="H865" s="277"/>
      <c r="I865" s="277"/>
      <c r="J865" s="277"/>
      <c r="K865" s="277"/>
      <c r="L865" s="277"/>
      <c r="M865" s="277"/>
      <c r="N865" s="277"/>
      <c r="O865" s="277"/>
      <c r="P865" s="277"/>
      <c r="Q865" s="277"/>
      <c r="R865" s="277"/>
      <c r="T865" s="277"/>
      <c r="U865" s="277"/>
      <c r="W865" s="277"/>
      <c r="Y865" s="107"/>
      <c r="Z865" s="107"/>
      <c r="AA865" s="107"/>
      <c r="AB865" s="107"/>
      <c r="AC865" s="107"/>
      <c r="AD865" s="233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7"/>
      <c r="AV865" s="107"/>
      <c r="AW865" s="107"/>
      <c r="AX865" s="107"/>
      <c r="AY865" s="107"/>
      <c r="AZ865" s="107"/>
      <c r="BA865" s="107"/>
      <c r="BB865" s="107"/>
      <c r="BC865" s="107"/>
      <c r="BD865" s="107"/>
      <c r="BE865" s="107"/>
      <c r="BF865" s="107"/>
      <c r="BG865" s="107"/>
      <c r="BH865" s="107"/>
      <c r="BI865" s="107"/>
      <c r="BJ865" s="107"/>
      <c r="BK865" s="107"/>
      <c r="BL865" s="107"/>
      <c r="BM865" s="107"/>
      <c r="BN865" s="107"/>
      <c r="BO865" s="107"/>
      <c r="BP865" s="107"/>
      <c r="BQ865" s="107"/>
      <c r="BR865" s="107"/>
    </row>
    <row r="866" customFormat="false" ht="12.75" hidden="false" customHeight="false" outlineLevel="0" collapsed="false">
      <c r="A866" s="100"/>
      <c r="B866" s="100"/>
      <c r="C866" s="100"/>
      <c r="D866" s="100"/>
      <c r="E866" s="100"/>
      <c r="F866" s="277"/>
      <c r="H866" s="277"/>
      <c r="I866" s="277"/>
      <c r="J866" s="277"/>
      <c r="K866" s="277"/>
      <c r="L866" s="277"/>
      <c r="M866" s="277"/>
      <c r="N866" s="277"/>
      <c r="O866" s="277"/>
      <c r="P866" s="277"/>
      <c r="Q866" s="277"/>
      <c r="R866" s="277"/>
      <c r="T866" s="277"/>
      <c r="U866" s="277"/>
      <c r="W866" s="277"/>
      <c r="Y866" s="107"/>
      <c r="Z866" s="107"/>
      <c r="AA866" s="107"/>
      <c r="AB866" s="107"/>
      <c r="AC866" s="107"/>
      <c r="AD866" s="233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  <c r="BI866" s="107"/>
      <c r="BJ866" s="107"/>
      <c r="BK866" s="107"/>
      <c r="BL866" s="107"/>
      <c r="BM866" s="107"/>
      <c r="BN866" s="107"/>
      <c r="BO866" s="107"/>
      <c r="BP866" s="107"/>
      <c r="BQ866" s="107"/>
      <c r="BR866" s="107"/>
    </row>
    <row r="867" customFormat="false" ht="12.75" hidden="false" customHeight="false" outlineLevel="0" collapsed="false">
      <c r="A867" s="100"/>
      <c r="B867" s="100"/>
      <c r="C867" s="100"/>
      <c r="D867" s="100"/>
      <c r="E867" s="100"/>
      <c r="F867" s="277"/>
      <c r="H867" s="277"/>
      <c r="I867" s="277"/>
      <c r="J867" s="277"/>
      <c r="K867" s="277"/>
      <c r="L867" s="277"/>
      <c r="M867" s="277"/>
      <c r="N867" s="277"/>
      <c r="O867" s="277"/>
      <c r="P867" s="277"/>
      <c r="Q867" s="277"/>
      <c r="R867" s="277"/>
      <c r="T867" s="277"/>
      <c r="U867" s="277"/>
      <c r="W867" s="277"/>
      <c r="Y867" s="107"/>
      <c r="Z867" s="107"/>
      <c r="AA867" s="107"/>
      <c r="AB867" s="107"/>
      <c r="AC867" s="107"/>
      <c r="AD867" s="233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7"/>
      <c r="AV867" s="107"/>
      <c r="AW867" s="107"/>
      <c r="AX867" s="107"/>
      <c r="AY867" s="107"/>
      <c r="AZ867" s="107"/>
      <c r="BA867" s="107"/>
      <c r="BB867" s="107"/>
      <c r="BC867" s="107"/>
      <c r="BD867" s="107"/>
      <c r="BE867" s="107"/>
      <c r="BF867" s="107"/>
      <c r="BG867" s="107"/>
      <c r="BH867" s="107"/>
      <c r="BI867" s="107"/>
      <c r="BJ867" s="107"/>
      <c r="BK867" s="107"/>
      <c r="BL867" s="107"/>
      <c r="BM867" s="107"/>
      <c r="BN867" s="107"/>
      <c r="BO867" s="107"/>
      <c r="BP867" s="107"/>
      <c r="BQ867" s="107"/>
      <c r="BR867" s="107"/>
    </row>
    <row r="868" customFormat="false" ht="12.75" hidden="false" customHeight="false" outlineLevel="0" collapsed="false">
      <c r="A868" s="100"/>
      <c r="B868" s="100"/>
      <c r="C868" s="100"/>
      <c r="D868" s="100"/>
      <c r="E868" s="100"/>
      <c r="F868" s="277"/>
      <c r="H868" s="277"/>
      <c r="I868" s="277"/>
      <c r="J868" s="277"/>
      <c r="K868" s="277"/>
      <c r="L868" s="277"/>
      <c r="M868" s="277"/>
      <c r="N868" s="277"/>
      <c r="O868" s="277"/>
      <c r="P868" s="277"/>
      <c r="Q868" s="277"/>
      <c r="R868" s="277"/>
      <c r="T868" s="277"/>
      <c r="U868" s="277"/>
      <c r="W868" s="277"/>
      <c r="Y868" s="107"/>
      <c r="Z868" s="107"/>
      <c r="AA868" s="107"/>
      <c r="AB868" s="107"/>
      <c r="AC868" s="107"/>
      <c r="AD868" s="233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7"/>
      <c r="BC868" s="107"/>
      <c r="BD868" s="107"/>
      <c r="BE868" s="107"/>
      <c r="BF868" s="107"/>
      <c r="BG868" s="107"/>
      <c r="BH868" s="107"/>
      <c r="BI868" s="107"/>
      <c r="BJ868" s="107"/>
      <c r="BK868" s="107"/>
      <c r="BL868" s="107"/>
      <c r="BM868" s="107"/>
      <c r="BN868" s="107"/>
      <c r="BO868" s="107"/>
      <c r="BP868" s="107"/>
      <c r="BQ868" s="107"/>
      <c r="BR868" s="107"/>
    </row>
    <row r="869" customFormat="false" ht="12.75" hidden="false" customHeight="false" outlineLevel="0" collapsed="false">
      <c r="A869" s="100"/>
      <c r="B869" s="100"/>
      <c r="C869" s="100"/>
      <c r="D869" s="100"/>
      <c r="E869" s="100"/>
      <c r="F869" s="277"/>
      <c r="H869" s="277"/>
      <c r="I869" s="277"/>
      <c r="J869" s="277"/>
      <c r="K869" s="277"/>
      <c r="L869" s="277"/>
      <c r="M869" s="277"/>
      <c r="N869" s="277"/>
      <c r="O869" s="277"/>
      <c r="P869" s="277"/>
      <c r="Q869" s="277"/>
      <c r="R869" s="277"/>
      <c r="T869" s="277"/>
      <c r="U869" s="277"/>
      <c r="W869" s="277"/>
      <c r="Y869" s="107"/>
      <c r="Z869" s="107"/>
      <c r="AA869" s="107"/>
      <c r="AB869" s="107"/>
      <c r="AC869" s="107"/>
      <c r="AD869" s="233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7"/>
      <c r="AV869" s="107"/>
      <c r="AW869" s="107"/>
      <c r="AX869" s="107"/>
      <c r="AY869" s="107"/>
      <c r="AZ869" s="107"/>
      <c r="BA869" s="107"/>
      <c r="BB869" s="107"/>
      <c r="BC869" s="107"/>
      <c r="BD869" s="107"/>
      <c r="BE869" s="107"/>
      <c r="BF869" s="107"/>
      <c r="BG869" s="107"/>
      <c r="BH869" s="107"/>
      <c r="BI869" s="107"/>
      <c r="BJ869" s="107"/>
      <c r="BK869" s="107"/>
      <c r="BL869" s="107"/>
      <c r="BM869" s="107"/>
      <c r="BN869" s="107"/>
      <c r="BO869" s="107"/>
      <c r="BP869" s="107"/>
      <c r="BQ869" s="107"/>
      <c r="BR869" s="107"/>
    </row>
    <row r="870" customFormat="false" ht="12.75" hidden="false" customHeight="false" outlineLevel="0" collapsed="false">
      <c r="A870" s="100"/>
      <c r="B870" s="100"/>
      <c r="C870" s="100"/>
      <c r="D870" s="100"/>
      <c r="E870" s="100"/>
      <c r="F870" s="277"/>
      <c r="H870" s="277"/>
      <c r="I870" s="277"/>
      <c r="J870" s="277"/>
      <c r="K870" s="277"/>
      <c r="L870" s="277"/>
      <c r="M870" s="277"/>
      <c r="N870" s="277"/>
      <c r="O870" s="277"/>
      <c r="P870" s="277"/>
      <c r="Q870" s="277"/>
      <c r="R870" s="277"/>
      <c r="T870" s="277"/>
      <c r="U870" s="277"/>
      <c r="W870" s="277"/>
      <c r="Y870" s="107"/>
      <c r="Z870" s="107"/>
      <c r="AA870" s="107"/>
      <c r="AB870" s="107"/>
      <c r="AC870" s="107"/>
      <c r="AD870" s="233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7"/>
      <c r="AV870" s="107"/>
      <c r="AW870" s="107"/>
      <c r="AX870" s="107"/>
      <c r="AY870" s="107"/>
      <c r="AZ870" s="107"/>
      <c r="BA870" s="107"/>
      <c r="BB870" s="107"/>
      <c r="BC870" s="107"/>
      <c r="BD870" s="107"/>
      <c r="BE870" s="107"/>
      <c r="BF870" s="107"/>
      <c r="BG870" s="107"/>
      <c r="BH870" s="107"/>
      <c r="BI870" s="107"/>
      <c r="BJ870" s="107"/>
      <c r="BK870" s="107"/>
      <c r="BL870" s="107"/>
      <c r="BM870" s="107"/>
      <c r="BN870" s="107"/>
      <c r="BO870" s="107"/>
      <c r="BP870" s="107"/>
      <c r="BQ870" s="107"/>
      <c r="BR870" s="107"/>
    </row>
    <row r="871" customFormat="false" ht="12.75" hidden="false" customHeight="false" outlineLevel="0" collapsed="false">
      <c r="A871" s="100"/>
      <c r="B871" s="100"/>
      <c r="C871" s="100"/>
      <c r="D871" s="100"/>
      <c r="E871" s="100"/>
      <c r="F871" s="277"/>
      <c r="H871" s="277"/>
      <c r="I871" s="277"/>
      <c r="J871" s="277"/>
      <c r="K871" s="277"/>
      <c r="L871" s="277"/>
      <c r="M871" s="277"/>
      <c r="N871" s="277"/>
      <c r="O871" s="277"/>
      <c r="P871" s="277"/>
      <c r="Q871" s="277"/>
      <c r="R871" s="277"/>
      <c r="T871" s="277"/>
      <c r="U871" s="277"/>
      <c r="W871" s="277"/>
      <c r="Y871" s="107"/>
      <c r="Z871" s="107"/>
      <c r="AA871" s="107"/>
      <c r="AB871" s="107"/>
      <c r="AC871" s="107"/>
      <c r="AD871" s="233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7"/>
      <c r="AV871" s="107"/>
      <c r="AW871" s="107"/>
      <c r="AX871" s="107"/>
      <c r="AY871" s="107"/>
      <c r="AZ871" s="107"/>
      <c r="BA871" s="107"/>
      <c r="BB871" s="107"/>
      <c r="BC871" s="107"/>
      <c r="BD871" s="107"/>
      <c r="BE871" s="107"/>
      <c r="BF871" s="107"/>
      <c r="BG871" s="107"/>
      <c r="BH871" s="107"/>
      <c r="BI871" s="107"/>
      <c r="BJ871" s="107"/>
      <c r="BK871" s="107"/>
      <c r="BL871" s="107"/>
      <c r="BM871" s="107"/>
      <c r="BN871" s="107"/>
      <c r="BO871" s="107"/>
      <c r="BP871" s="107"/>
      <c r="BQ871" s="107"/>
      <c r="BR871" s="107"/>
    </row>
    <row r="872" customFormat="false" ht="12.75" hidden="false" customHeight="false" outlineLevel="0" collapsed="false">
      <c r="A872" s="100"/>
      <c r="B872" s="100"/>
      <c r="C872" s="100"/>
      <c r="D872" s="100"/>
      <c r="E872" s="100"/>
      <c r="F872" s="277"/>
      <c r="H872" s="277"/>
      <c r="I872" s="277"/>
      <c r="J872" s="277"/>
      <c r="K872" s="277"/>
      <c r="L872" s="277"/>
      <c r="M872" s="277"/>
      <c r="N872" s="277"/>
      <c r="O872" s="277"/>
      <c r="P872" s="277"/>
      <c r="Q872" s="277"/>
      <c r="R872" s="277"/>
      <c r="T872" s="277"/>
      <c r="U872" s="277"/>
      <c r="W872" s="277"/>
      <c r="Y872" s="107"/>
      <c r="Z872" s="107"/>
      <c r="AA872" s="107"/>
      <c r="AB872" s="107"/>
      <c r="AC872" s="107"/>
      <c r="AD872" s="233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7"/>
      <c r="AV872" s="107"/>
      <c r="AW872" s="107"/>
      <c r="AX872" s="107"/>
      <c r="AY872" s="107"/>
      <c r="AZ872" s="107"/>
      <c r="BA872" s="107"/>
      <c r="BB872" s="107"/>
      <c r="BC872" s="107"/>
      <c r="BD872" s="107"/>
      <c r="BE872" s="107"/>
      <c r="BF872" s="107"/>
      <c r="BG872" s="107"/>
      <c r="BH872" s="107"/>
      <c r="BI872" s="107"/>
      <c r="BJ872" s="107"/>
      <c r="BK872" s="107"/>
      <c r="BL872" s="107"/>
      <c r="BM872" s="107"/>
      <c r="BN872" s="107"/>
      <c r="BO872" s="107"/>
      <c r="BP872" s="107"/>
      <c r="BQ872" s="107"/>
      <c r="BR872" s="107"/>
    </row>
    <row r="873" customFormat="false" ht="12.75" hidden="false" customHeight="false" outlineLevel="0" collapsed="false">
      <c r="A873" s="100"/>
      <c r="B873" s="100"/>
      <c r="C873" s="100"/>
      <c r="D873" s="100"/>
      <c r="E873" s="100"/>
      <c r="F873" s="277"/>
      <c r="H873" s="277"/>
      <c r="I873" s="277"/>
      <c r="J873" s="277"/>
      <c r="K873" s="277"/>
      <c r="L873" s="277"/>
      <c r="M873" s="277"/>
      <c r="N873" s="277"/>
      <c r="O873" s="277"/>
      <c r="P873" s="277"/>
      <c r="Q873" s="277"/>
      <c r="R873" s="277"/>
      <c r="T873" s="277"/>
      <c r="U873" s="277"/>
      <c r="W873" s="277"/>
      <c r="Y873" s="107"/>
      <c r="Z873" s="107"/>
      <c r="AA873" s="107"/>
      <c r="AB873" s="107"/>
      <c r="AC873" s="107"/>
      <c r="AD873" s="233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7"/>
      <c r="AV873" s="107"/>
      <c r="AW873" s="107"/>
      <c r="AX873" s="107"/>
      <c r="AY873" s="107"/>
      <c r="AZ873" s="107"/>
      <c r="BA873" s="107"/>
      <c r="BB873" s="107"/>
      <c r="BC873" s="107"/>
      <c r="BD873" s="107"/>
      <c r="BE873" s="107"/>
      <c r="BF873" s="107"/>
      <c r="BG873" s="107"/>
      <c r="BH873" s="107"/>
      <c r="BI873" s="107"/>
      <c r="BJ873" s="107"/>
      <c r="BK873" s="107"/>
      <c r="BL873" s="107"/>
      <c r="BM873" s="107"/>
      <c r="BN873" s="107"/>
      <c r="BO873" s="107"/>
      <c r="BP873" s="107"/>
      <c r="BQ873" s="107"/>
      <c r="BR873" s="107"/>
    </row>
    <row r="874" customFormat="false" ht="12.75" hidden="false" customHeight="false" outlineLevel="0" collapsed="false">
      <c r="A874" s="100"/>
      <c r="B874" s="100"/>
      <c r="C874" s="100"/>
      <c r="D874" s="100"/>
      <c r="E874" s="100"/>
      <c r="F874" s="277"/>
      <c r="H874" s="277"/>
      <c r="I874" s="277"/>
      <c r="J874" s="277"/>
      <c r="K874" s="277"/>
      <c r="L874" s="277"/>
      <c r="M874" s="277"/>
      <c r="N874" s="277"/>
      <c r="O874" s="277"/>
      <c r="P874" s="277"/>
      <c r="Q874" s="277"/>
      <c r="R874" s="277"/>
      <c r="T874" s="277"/>
      <c r="U874" s="277"/>
      <c r="W874" s="277"/>
      <c r="Y874" s="107"/>
      <c r="Z874" s="107"/>
      <c r="AA874" s="107"/>
      <c r="AB874" s="107"/>
      <c r="AC874" s="107"/>
      <c r="AD874" s="233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7"/>
      <c r="AV874" s="107"/>
      <c r="AW874" s="107"/>
      <c r="AX874" s="107"/>
      <c r="AY874" s="107"/>
      <c r="AZ874" s="107"/>
      <c r="BA874" s="107"/>
      <c r="BB874" s="107"/>
      <c r="BC874" s="107"/>
      <c r="BD874" s="107"/>
      <c r="BE874" s="107"/>
      <c r="BF874" s="107"/>
      <c r="BG874" s="107"/>
      <c r="BH874" s="107"/>
      <c r="BI874" s="107"/>
      <c r="BJ874" s="107"/>
      <c r="BK874" s="107"/>
      <c r="BL874" s="107"/>
      <c r="BM874" s="107"/>
      <c r="BN874" s="107"/>
      <c r="BO874" s="107"/>
      <c r="BP874" s="107"/>
      <c r="BQ874" s="107"/>
      <c r="BR874" s="107"/>
    </row>
    <row r="875" customFormat="false" ht="12.75" hidden="false" customHeight="false" outlineLevel="0" collapsed="false">
      <c r="A875" s="100"/>
      <c r="B875" s="100"/>
      <c r="C875" s="100"/>
      <c r="D875" s="100"/>
      <c r="E875" s="100"/>
      <c r="F875" s="277"/>
      <c r="H875" s="277"/>
      <c r="I875" s="277"/>
      <c r="J875" s="277"/>
      <c r="K875" s="277"/>
      <c r="L875" s="277"/>
      <c r="M875" s="277"/>
      <c r="N875" s="277"/>
      <c r="O875" s="277"/>
      <c r="P875" s="277"/>
      <c r="Q875" s="277"/>
      <c r="R875" s="277"/>
      <c r="T875" s="277"/>
      <c r="U875" s="277"/>
      <c r="W875" s="277"/>
      <c r="Y875" s="107"/>
      <c r="Z875" s="107"/>
      <c r="AA875" s="107"/>
      <c r="AB875" s="107"/>
      <c r="AC875" s="107"/>
      <c r="AD875" s="233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7"/>
      <c r="AV875" s="107"/>
      <c r="AW875" s="107"/>
      <c r="AX875" s="107"/>
      <c r="AY875" s="107"/>
      <c r="AZ875" s="107"/>
      <c r="BA875" s="107"/>
      <c r="BB875" s="107"/>
      <c r="BC875" s="107"/>
      <c r="BD875" s="107"/>
      <c r="BE875" s="107"/>
      <c r="BF875" s="107"/>
      <c r="BG875" s="107"/>
      <c r="BH875" s="107"/>
      <c r="BI875" s="107"/>
      <c r="BJ875" s="107"/>
      <c r="BK875" s="107"/>
      <c r="BL875" s="107"/>
      <c r="BM875" s="107"/>
      <c r="BN875" s="107"/>
      <c r="BO875" s="107"/>
      <c r="BP875" s="107"/>
      <c r="BQ875" s="107"/>
      <c r="BR875" s="107"/>
    </row>
    <row r="876" customFormat="false" ht="12.75" hidden="false" customHeight="false" outlineLevel="0" collapsed="false">
      <c r="A876" s="100"/>
      <c r="B876" s="100"/>
      <c r="C876" s="100"/>
      <c r="D876" s="100"/>
      <c r="E876" s="100"/>
      <c r="F876" s="277"/>
      <c r="H876" s="277"/>
      <c r="I876" s="277"/>
      <c r="J876" s="277"/>
      <c r="K876" s="277"/>
      <c r="L876" s="277"/>
      <c r="M876" s="277"/>
      <c r="N876" s="277"/>
      <c r="O876" s="277"/>
      <c r="P876" s="277"/>
      <c r="Q876" s="277"/>
      <c r="R876" s="277"/>
      <c r="T876" s="277"/>
      <c r="U876" s="277"/>
      <c r="W876" s="277"/>
      <c r="Y876" s="107"/>
      <c r="Z876" s="107"/>
      <c r="AA876" s="107"/>
      <c r="AB876" s="107"/>
      <c r="AC876" s="107"/>
      <c r="AD876" s="233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7"/>
      <c r="AV876" s="107"/>
      <c r="AW876" s="107"/>
      <c r="AX876" s="107"/>
      <c r="AY876" s="107"/>
      <c r="AZ876" s="107"/>
      <c r="BA876" s="107"/>
      <c r="BB876" s="107"/>
      <c r="BC876" s="107"/>
      <c r="BD876" s="107"/>
      <c r="BE876" s="107"/>
      <c r="BF876" s="107"/>
      <c r="BG876" s="107"/>
      <c r="BH876" s="107"/>
      <c r="BI876" s="107"/>
      <c r="BJ876" s="107"/>
      <c r="BK876" s="107"/>
      <c r="BL876" s="107"/>
      <c r="BM876" s="107"/>
      <c r="BN876" s="107"/>
      <c r="BO876" s="107"/>
      <c r="BP876" s="107"/>
      <c r="BQ876" s="107"/>
      <c r="BR876" s="107"/>
    </row>
    <row r="877" customFormat="false" ht="12.75" hidden="false" customHeight="false" outlineLevel="0" collapsed="false">
      <c r="A877" s="100"/>
      <c r="B877" s="100"/>
      <c r="C877" s="100"/>
      <c r="D877" s="100"/>
      <c r="E877" s="100"/>
      <c r="F877" s="277"/>
      <c r="H877" s="277"/>
      <c r="I877" s="277"/>
      <c r="J877" s="277"/>
      <c r="K877" s="277"/>
      <c r="L877" s="277"/>
      <c r="M877" s="277"/>
      <c r="N877" s="277"/>
      <c r="O877" s="277"/>
      <c r="P877" s="277"/>
      <c r="Q877" s="277"/>
      <c r="R877" s="277"/>
      <c r="T877" s="277"/>
      <c r="U877" s="277"/>
      <c r="W877" s="277"/>
      <c r="Y877" s="107"/>
      <c r="Z877" s="107"/>
      <c r="AA877" s="107"/>
      <c r="AB877" s="107"/>
      <c r="AC877" s="107"/>
      <c r="AD877" s="233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7"/>
      <c r="AV877" s="107"/>
      <c r="AW877" s="107"/>
      <c r="AX877" s="107"/>
      <c r="AY877" s="107"/>
      <c r="AZ877" s="107"/>
      <c r="BA877" s="107"/>
      <c r="BB877" s="107"/>
      <c r="BC877" s="107"/>
      <c r="BD877" s="107"/>
      <c r="BE877" s="107"/>
      <c r="BF877" s="107"/>
      <c r="BG877" s="107"/>
      <c r="BH877" s="107"/>
      <c r="BI877" s="107"/>
      <c r="BJ877" s="107"/>
      <c r="BK877" s="107"/>
      <c r="BL877" s="107"/>
      <c r="BM877" s="107"/>
      <c r="BN877" s="107"/>
      <c r="BO877" s="107"/>
      <c r="BP877" s="107"/>
      <c r="BQ877" s="107"/>
      <c r="BR877" s="107"/>
    </row>
    <row r="878" customFormat="false" ht="12.75" hidden="false" customHeight="false" outlineLevel="0" collapsed="false">
      <c r="A878" s="100"/>
      <c r="B878" s="100"/>
      <c r="C878" s="100"/>
      <c r="D878" s="100"/>
      <c r="E878" s="100"/>
      <c r="F878" s="277"/>
      <c r="H878" s="277"/>
      <c r="I878" s="277"/>
      <c r="J878" s="277"/>
      <c r="K878" s="277"/>
      <c r="L878" s="277"/>
      <c r="M878" s="277"/>
      <c r="N878" s="277"/>
      <c r="O878" s="277"/>
      <c r="P878" s="277"/>
      <c r="Q878" s="277"/>
      <c r="R878" s="277"/>
      <c r="T878" s="277"/>
      <c r="U878" s="277"/>
      <c r="W878" s="277"/>
      <c r="Y878" s="107"/>
      <c r="Z878" s="107"/>
      <c r="AA878" s="107"/>
      <c r="AB878" s="107"/>
      <c r="AC878" s="107"/>
      <c r="AD878" s="233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7"/>
      <c r="AV878" s="107"/>
      <c r="AW878" s="107"/>
      <c r="AX878" s="107"/>
      <c r="AY878" s="107"/>
      <c r="AZ878" s="107"/>
      <c r="BA878" s="107"/>
      <c r="BB878" s="107"/>
      <c r="BC878" s="107"/>
      <c r="BD878" s="107"/>
      <c r="BE878" s="107"/>
      <c r="BF878" s="107"/>
      <c r="BG878" s="107"/>
      <c r="BH878" s="107"/>
      <c r="BI878" s="107"/>
      <c r="BJ878" s="107"/>
      <c r="BK878" s="107"/>
      <c r="BL878" s="107"/>
      <c r="BM878" s="107"/>
      <c r="BN878" s="107"/>
      <c r="BO878" s="107"/>
      <c r="BP878" s="107"/>
      <c r="BQ878" s="107"/>
      <c r="BR878" s="107"/>
    </row>
    <row r="879" customFormat="false" ht="12.75" hidden="false" customHeight="false" outlineLevel="0" collapsed="false">
      <c r="A879" s="100"/>
      <c r="B879" s="100"/>
      <c r="C879" s="100"/>
      <c r="D879" s="100"/>
      <c r="E879" s="100"/>
      <c r="F879" s="277"/>
      <c r="H879" s="277"/>
      <c r="I879" s="277"/>
      <c r="J879" s="277"/>
      <c r="K879" s="277"/>
      <c r="L879" s="277"/>
      <c r="M879" s="277"/>
      <c r="N879" s="277"/>
      <c r="O879" s="277"/>
      <c r="P879" s="277"/>
      <c r="Q879" s="277"/>
      <c r="R879" s="277"/>
      <c r="T879" s="277"/>
      <c r="U879" s="277"/>
      <c r="W879" s="277"/>
      <c r="Y879" s="107"/>
      <c r="Z879" s="107"/>
      <c r="AA879" s="107"/>
      <c r="AB879" s="107"/>
      <c r="AC879" s="107"/>
      <c r="AD879" s="233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  <c r="BI879" s="107"/>
      <c r="BJ879" s="107"/>
      <c r="BK879" s="107"/>
      <c r="BL879" s="107"/>
      <c r="BM879" s="107"/>
      <c r="BN879" s="107"/>
      <c r="BO879" s="107"/>
      <c r="BP879" s="107"/>
      <c r="BQ879" s="107"/>
      <c r="BR879" s="107"/>
    </row>
    <row r="880" customFormat="false" ht="12.75" hidden="false" customHeight="false" outlineLevel="0" collapsed="false">
      <c r="A880" s="100"/>
      <c r="B880" s="100"/>
      <c r="C880" s="100"/>
      <c r="D880" s="100"/>
      <c r="E880" s="100"/>
      <c r="F880" s="277"/>
      <c r="H880" s="277"/>
      <c r="I880" s="277"/>
      <c r="J880" s="277"/>
      <c r="K880" s="277"/>
      <c r="L880" s="277"/>
      <c r="M880" s="277"/>
      <c r="N880" s="277"/>
      <c r="O880" s="277"/>
      <c r="P880" s="277"/>
      <c r="Q880" s="277"/>
      <c r="R880" s="277"/>
      <c r="T880" s="277"/>
      <c r="U880" s="277"/>
      <c r="W880" s="277"/>
      <c r="Y880" s="107"/>
      <c r="Z880" s="107"/>
      <c r="AA880" s="107"/>
      <c r="AB880" s="107"/>
      <c r="AC880" s="107"/>
      <c r="AD880" s="233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  <c r="BI880" s="107"/>
      <c r="BJ880" s="107"/>
      <c r="BK880" s="107"/>
      <c r="BL880" s="107"/>
      <c r="BM880" s="107"/>
      <c r="BN880" s="107"/>
      <c r="BO880" s="107"/>
      <c r="BP880" s="107"/>
      <c r="BQ880" s="107"/>
      <c r="BR880" s="107"/>
    </row>
    <row r="881" customFormat="false" ht="12.75" hidden="false" customHeight="false" outlineLevel="0" collapsed="false">
      <c r="A881" s="100"/>
      <c r="B881" s="100"/>
      <c r="C881" s="100"/>
      <c r="D881" s="100"/>
      <c r="E881" s="100"/>
      <c r="F881" s="277"/>
      <c r="H881" s="277"/>
      <c r="I881" s="277"/>
      <c r="J881" s="277"/>
      <c r="K881" s="277"/>
      <c r="L881" s="277"/>
      <c r="M881" s="277"/>
      <c r="N881" s="277"/>
      <c r="O881" s="277"/>
      <c r="P881" s="277"/>
      <c r="Q881" s="277"/>
      <c r="R881" s="277"/>
      <c r="T881" s="277"/>
      <c r="U881" s="277"/>
      <c r="W881" s="277"/>
      <c r="Y881" s="107"/>
      <c r="Z881" s="107"/>
      <c r="AA881" s="107"/>
      <c r="AB881" s="107"/>
      <c r="AC881" s="107"/>
      <c r="AD881" s="233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7"/>
      <c r="AV881" s="107"/>
      <c r="AW881" s="107"/>
      <c r="AX881" s="107"/>
      <c r="AY881" s="107"/>
      <c r="AZ881" s="107"/>
      <c r="BA881" s="107"/>
      <c r="BB881" s="107"/>
      <c r="BC881" s="107"/>
      <c r="BD881" s="107"/>
      <c r="BE881" s="107"/>
      <c r="BF881" s="107"/>
      <c r="BG881" s="107"/>
      <c r="BH881" s="107"/>
      <c r="BI881" s="107"/>
      <c r="BJ881" s="107"/>
      <c r="BK881" s="107"/>
      <c r="BL881" s="107"/>
      <c r="BM881" s="107"/>
      <c r="BN881" s="107"/>
      <c r="BO881" s="107"/>
      <c r="BP881" s="107"/>
      <c r="BQ881" s="107"/>
      <c r="BR881" s="107"/>
    </row>
    <row r="882" customFormat="false" ht="12.75" hidden="false" customHeight="false" outlineLevel="0" collapsed="false">
      <c r="A882" s="100"/>
      <c r="B882" s="100"/>
      <c r="C882" s="100"/>
      <c r="D882" s="100"/>
      <c r="E882" s="100"/>
      <c r="F882" s="277"/>
      <c r="H882" s="277"/>
      <c r="I882" s="277"/>
      <c r="J882" s="277"/>
      <c r="K882" s="277"/>
      <c r="L882" s="277"/>
      <c r="M882" s="277"/>
      <c r="N882" s="277"/>
      <c r="O882" s="277"/>
      <c r="P882" s="277"/>
      <c r="Q882" s="277"/>
      <c r="R882" s="277"/>
      <c r="T882" s="277"/>
      <c r="U882" s="277"/>
      <c r="W882" s="277"/>
      <c r="Y882" s="107"/>
      <c r="Z882" s="107"/>
      <c r="AA882" s="107"/>
      <c r="AB882" s="107"/>
      <c r="AC882" s="107"/>
      <c r="AD882" s="233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7"/>
      <c r="AV882" s="107"/>
      <c r="AW882" s="107"/>
      <c r="AX882" s="107"/>
      <c r="AY882" s="107"/>
      <c r="AZ882" s="107"/>
      <c r="BA882" s="107"/>
      <c r="BB882" s="107"/>
      <c r="BC882" s="107"/>
      <c r="BD882" s="107"/>
      <c r="BE882" s="107"/>
      <c r="BF882" s="107"/>
      <c r="BG882" s="107"/>
      <c r="BH882" s="107"/>
      <c r="BI882" s="107"/>
      <c r="BJ882" s="107"/>
      <c r="BK882" s="107"/>
      <c r="BL882" s="107"/>
      <c r="BM882" s="107"/>
      <c r="BN882" s="107"/>
      <c r="BO882" s="107"/>
      <c r="BP882" s="107"/>
      <c r="BQ882" s="107"/>
      <c r="BR882" s="107"/>
    </row>
    <row r="883" customFormat="false" ht="12.75" hidden="false" customHeight="false" outlineLevel="0" collapsed="false">
      <c r="A883" s="100"/>
      <c r="B883" s="100"/>
      <c r="C883" s="100"/>
      <c r="D883" s="100"/>
      <c r="E883" s="100"/>
      <c r="F883" s="277"/>
      <c r="H883" s="277"/>
      <c r="I883" s="277"/>
      <c r="J883" s="277"/>
      <c r="K883" s="277"/>
      <c r="L883" s="277"/>
      <c r="M883" s="277"/>
      <c r="N883" s="277"/>
      <c r="O883" s="277"/>
      <c r="P883" s="277"/>
      <c r="Q883" s="277"/>
      <c r="R883" s="277"/>
      <c r="T883" s="277"/>
      <c r="U883" s="277"/>
      <c r="W883" s="277"/>
      <c r="Y883" s="107"/>
      <c r="Z883" s="107"/>
      <c r="AA883" s="107"/>
      <c r="AB883" s="107"/>
      <c r="AC883" s="107"/>
      <c r="AD883" s="233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7"/>
      <c r="AV883" s="107"/>
      <c r="AW883" s="107"/>
      <c r="AX883" s="107"/>
      <c r="AY883" s="107"/>
      <c r="AZ883" s="107"/>
      <c r="BA883" s="107"/>
      <c r="BB883" s="107"/>
      <c r="BC883" s="107"/>
      <c r="BD883" s="107"/>
      <c r="BE883" s="107"/>
      <c r="BF883" s="107"/>
      <c r="BG883" s="107"/>
      <c r="BH883" s="107"/>
      <c r="BI883" s="107"/>
      <c r="BJ883" s="107"/>
      <c r="BK883" s="107"/>
      <c r="BL883" s="107"/>
      <c r="BM883" s="107"/>
      <c r="BN883" s="107"/>
      <c r="BO883" s="107"/>
      <c r="BP883" s="107"/>
      <c r="BQ883" s="107"/>
      <c r="BR883" s="107"/>
    </row>
    <row r="884" customFormat="false" ht="12.75" hidden="false" customHeight="false" outlineLevel="0" collapsed="false">
      <c r="A884" s="100"/>
      <c r="B884" s="100"/>
      <c r="C884" s="100"/>
      <c r="D884" s="100"/>
      <c r="E884" s="100"/>
      <c r="F884" s="277"/>
      <c r="H884" s="277"/>
      <c r="I884" s="277"/>
      <c r="J884" s="277"/>
      <c r="K884" s="277"/>
      <c r="L884" s="277"/>
      <c r="M884" s="277"/>
      <c r="N884" s="277"/>
      <c r="O884" s="277"/>
      <c r="P884" s="277"/>
      <c r="Q884" s="277"/>
      <c r="R884" s="277"/>
      <c r="T884" s="277"/>
      <c r="U884" s="277"/>
      <c r="W884" s="277"/>
      <c r="Y884" s="107"/>
      <c r="Z884" s="107"/>
      <c r="AA884" s="107"/>
      <c r="AB884" s="107"/>
      <c r="AC884" s="107"/>
      <c r="AD884" s="233"/>
      <c r="AE884" s="107"/>
      <c r="AF884" s="107"/>
      <c r="AG884" s="107"/>
      <c r="AH884" s="107"/>
      <c r="AI884" s="107"/>
      <c r="AJ884" s="107"/>
      <c r="AK884" s="107"/>
      <c r="AL884" s="107"/>
      <c r="AM884" s="107"/>
      <c r="AN884" s="107"/>
      <c r="AO884" s="107"/>
      <c r="AP884" s="107"/>
      <c r="AQ884" s="107"/>
      <c r="AR884" s="107"/>
      <c r="AS884" s="107"/>
      <c r="AT884" s="107"/>
      <c r="AU884" s="107"/>
      <c r="AV884" s="107"/>
      <c r="AW884" s="107"/>
      <c r="AX884" s="107"/>
      <c r="AY884" s="107"/>
      <c r="AZ884" s="107"/>
      <c r="BA884" s="107"/>
      <c r="BB884" s="107"/>
      <c r="BC884" s="107"/>
      <c r="BD884" s="107"/>
      <c r="BE884" s="107"/>
      <c r="BF884" s="107"/>
      <c r="BG884" s="107"/>
      <c r="BH884" s="107"/>
      <c r="BI884" s="107"/>
      <c r="BJ884" s="107"/>
      <c r="BK884" s="107"/>
      <c r="BL884" s="107"/>
      <c r="BM884" s="107"/>
      <c r="BN884" s="107"/>
      <c r="BO884" s="107"/>
      <c r="BP884" s="107"/>
      <c r="BQ884" s="107"/>
      <c r="BR884" s="107"/>
    </row>
    <row r="885" customFormat="false" ht="12.75" hidden="false" customHeight="false" outlineLevel="0" collapsed="false">
      <c r="A885" s="100"/>
      <c r="B885" s="100"/>
      <c r="C885" s="100"/>
      <c r="D885" s="100"/>
      <c r="E885" s="100"/>
      <c r="F885" s="277"/>
      <c r="H885" s="277"/>
      <c r="I885" s="277"/>
      <c r="J885" s="277"/>
      <c r="K885" s="277"/>
      <c r="L885" s="277"/>
      <c r="M885" s="277"/>
      <c r="N885" s="277"/>
      <c r="O885" s="277"/>
      <c r="P885" s="277"/>
      <c r="Q885" s="277"/>
      <c r="R885" s="277"/>
      <c r="T885" s="277"/>
      <c r="U885" s="277"/>
      <c r="W885" s="277"/>
      <c r="Y885" s="107"/>
      <c r="Z885" s="107"/>
      <c r="AA885" s="107"/>
      <c r="AB885" s="107"/>
      <c r="AC885" s="107"/>
      <c r="AD885" s="233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7"/>
      <c r="AV885" s="107"/>
      <c r="AW885" s="107"/>
      <c r="AX885" s="107"/>
      <c r="AY885" s="107"/>
      <c r="AZ885" s="107"/>
      <c r="BA885" s="107"/>
      <c r="BB885" s="107"/>
      <c r="BC885" s="107"/>
      <c r="BD885" s="107"/>
      <c r="BE885" s="107"/>
      <c r="BF885" s="107"/>
      <c r="BG885" s="107"/>
      <c r="BH885" s="107"/>
      <c r="BI885" s="107"/>
      <c r="BJ885" s="107"/>
      <c r="BK885" s="107"/>
      <c r="BL885" s="107"/>
      <c r="BM885" s="107"/>
      <c r="BN885" s="107"/>
      <c r="BO885" s="107"/>
      <c r="BP885" s="107"/>
      <c r="BQ885" s="107"/>
      <c r="BR885" s="107"/>
    </row>
    <row r="886" customFormat="false" ht="12.75" hidden="false" customHeight="false" outlineLevel="0" collapsed="false">
      <c r="A886" s="100"/>
      <c r="B886" s="100"/>
      <c r="C886" s="100"/>
      <c r="D886" s="100"/>
      <c r="E886" s="100"/>
      <c r="F886" s="277"/>
      <c r="H886" s="277"/>
      <c r="I886" s="277"/>
      <c r="J886" s="277"/>
      <c r="K886" s="277"/>
      <c r="L886" s="277"/>
      <c r="M886" s="277"/>
      <c r="N886" s="277"/>
      <c r="O886" s="277"/>
      <c r="P886" s="277"/>
      <c r="Q886" s="277"/>
      <c r="R886" s="277"/>
      <c r="T886" s="277"/>
      <c r="U886" s="277"/>
      <c r="W886" s="277"/>
      <c r="Y886" s="107"/>
      <c r="Z886" s="107"/>
      <c r="AA886" s="107"/>
      <c r="AB886" s="107"/>
      <c r="AC886" s="107"/>
      <c r="AD886" s="233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7"/>
      <c r="AV886" s="107"/>
      <c r="AW886" s="107"/>
      <c r="AX886" s="107"/>
      <c r="AY886" s="107"/>
      <c r="AZ886" s="107"/>
      <c r="BA886" s="107"/>
      <c r="BB886" s="107"/>
      <c r="BC886" s="107"/>
      <c r="BD886" s="107"/>
      <c r="BE886" s="107"/>
      <c r="BF886" s="107"/>
      <c r="BG886" s="107"/>
      <c r="BH886" s="107"/>
      <c r="BI886" s="107"/>
      <c r="BJ886" s="107"/>
      <c r="BK886" s="107"/>
      <c r="BL886" s="107"/>
      <c r="BM886" s="107"/>
      <c r="BN886" s="107"/>
      <c r="BO886" s="107"/>
      <c r="BP886" s="107"/>
      <c r="BQ886" s="107"/>
      <c r="BR886" s="107"/>
    </row>
    <row r="887" customFormat="false" ht="12.75" hidden="false" customHeight="false" outlineLevel="0" collapsed="false">
      <c r="A887" s="100"/>
      <c r="B887" s="100"/>
      <c r="C887" s="100"/>
      <c r="D887" s="100"/>
      <c r="E887" s="100"/>
      <c r="F887" s="277"/>
      <c r="H887" s="277"/>
      <c r="I887" s="277"/>
      <c r="J887" s="277"/>
      <c r="K887" s="277"/>
      <c r="L887" s="277"/>
      <c r="M887" s="277"/>
      <c r="N887" s="277"/>
      <c r="O887" s="277"/>
      <c r="P887" s="277"/>
      <c r="Q887" s="277"/>
      <c r="R887" s="277"/>
      <c r="T887" s="277"/>
      <c r="U887" s="277"/>
      <c r="W887" s="277"/>
      <c r="Y887" s="107"/>
      <c r="Z887" s="107"/>
      <c r="AA887" s="107"/>
      <c r="AB887" s="107"/>
      <c r="AC887" s="107"/>
      <c r="AD887" s="233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7"/>
      <c r="AV887" s="107"/>
      <c r="AW887" s="107"/>
      <c r="AX887" s="107"/>
      <c r="AY887" s="107"/>
      <c r="AZ887" s="107"/>
      <c r="BA887" s="107"/>
      <c r="BB887" s="107"/>
      <c r="BC887" s="107"/>
      <c r="BD887" s="107"/>
      <c r="BE887" s="107"/>
      <c r="BF887" s="107"/>
      <c r="BG887" s="107"/>
      <c r="BH887" s="107"/>
      <c r="BI887" s="107"/>
      <c r="BJ887" s="107"/>
      <c r="BK887" s="107"/>
      <c r="BL887" s="107"/>
      <c r="BM887" s="107"/>
      <c r="BN887" s="107"/>
      <c r="BO887" s="107"/>
      <c r="BP887" s="107"/>
      <c r="BQ887" s="107"/>
      <c r="BR887" s="107"/>
    </row>
    <row r="888" customFormat="false" ht="12.75" hidden="false" customHeight="false" outlineLevel="0" collapsed="false">
      <c r="A888" s="100"/>
      <c r="B888" s="100"/>
      <c r="C888" s="100"/>
      <c r="D888" s="100"/>
      <c r="E888" s="100"/>
      <c r="F888" s="277"/>
      <c r="H888" s="277"/>
      <c r="I888" s="277"/>
      <c r="J888" s="277"/>
      <c r="K888" s="277"/>
      <c r="L888" s="277"/>
      <c r="M888" s="277"/>
      <c r="N888" s="277"/>
      <c r="O888" s="277"/>
      <c r="P888" s="277"/>
      <c r="Q888" s="277"/>
      <c r="R888" s="277"/>
      <c r="T888" s="277"/>
      <c r="U888" s="277"/>
      <c r="W888" s="277"/>
      <c r="Y888" s="107"/>
      <c r="Z888" s="107"/>
      <c r="AA888" s="107"/>
      <c r="AB888" s="107"/>
      <c r="AC888" s="107"/>
      <c r="AD888" s="233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7"/>
      <c r="AV888" s="107"/>
      <c r="AW888" s="107"/>
      <c r="AX888" s="107"/>
      <c r="AY888" s="107"/>
      <c r="AZ888" s="107"/>
      <c r="BA888" s="107"/>
      <c r="BB888" s="107"/>
      <c r="BC888" s="107"/>
      <c r="BD888" s="107"/>
      <c r="BE888" s="107"/>
      <c r="BF888" s="107"/>
      <c r="BG888" s="107"/>
      <c r="BH888" s="107"/>
      <c r="BI888" s="107"/>
      <c r="BJ888" s="107"/>
      <c r="BK888" s="107"/>
      <c r="BL888" s="107"/>
      <c r="BM888" s="107"/>
      <c r="BN888" s="107"/>
      <c r="BO888" s="107"/>
      <c r="BP888" s="107"/>
      <c r="BQ888" s="107"/>
      <c r="BR888" s="107"/>
    </row>
    <row r="889" customFormat="false" ht="12.75" hidden="false" customHeight="false" outlineLevel="0" collapsed="false">
      <c r="A889" s="100"/>
      <c r="B889" s="100"/>
      <c r="C889" s="100"/>
      <c r="D889" s="100"/>
      <c r="E889" s="100"/>
      <c r="F889" s="277"/>
      <c r="H889" s="277"/>
      <c r="I889" s="277"/>
      <c r="J889" s="277"/>
      <c r="K889" s="277"/>
      <c r="L889" s="277"/>
      <c r="M889" s="277"/>
      <c r="N889" s="277"/>
      <c r="O889" s="277"/>
      <c r="P889" s="277"/>
      <c r="Q889" s="277"/>
      <c r="R889" s="277"/>
      <c r="T889" s="277"/>
      <c r="U889" s="277"/>
      <c r="W889" s="277"/>
      <c r="Y889" s="107"/>
      <c r="Z889" s="107"/>
      <c r="AA889" s="107"/>
      <c r="AB889" s="107"/>
      <c r="AC889" s="107"/>
      <c r="AD889" s="233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7"/>
      <c r="AV889" s="107"/>
      <c r="AW889" s="107"/>
      <c r="AX889" s="107"/>
      <c r="AY889" s="107"/>
      <c r="AZ889" s="107"/>
      <c r="BA889" s="107"/>
      <c r="BB889" s="107"/>
      <c r="BC889" s="107"/>
      <c r="BD889" s="107"/>
      <c r="BE889" s="107"/>
      <c r="BF889" s="107"/>
      <c r="BG889" s="107"/>
      <c r="BH889" s="107"/>
      <c r="BI889" s="107"/>
      <c r="BJ889" s="107"/>
      <c r="BK889" s="107"/>
      <c r="BL889" s="107"/>
      <c r="BM889" s="107"/>
      <c r="BN889" s="107"/>
      <c r="BO889" s="107"/>
      <c r="BP889" s="107"/>
      <c r="BQ889" s="107"/>
      <c r="BR889" s="107"/>
    </row>
    <row r="890" customFormat="false" ht="12.75" hidden="false" customHeight="false" outlineLevel="0" collapsed="false">
      <c r="A890" s="100"/>
      <c r="B890" s="100"/>
      <c r="C890" s="100"/>
      <c r="D890" s="100"/>
      <c r="E890" s="100"/>
      <c r="F890" s="277"/>
      <c r="H890" s="277"/>
      <c r="I890" s="277"/>
      <c r="J890" s="277"/>
      <c r="K890" s="277"/>
      <c r="L890" s="277"/>
      <c r="M890" s="277"/>
      <c r="N890" s="277"/>
      <c r="O890" s="277"/>
      <c r="P890" s="277"/>
      <c r="Q890" s="277"/>
      <c r="R890" s="277"/>
      <c r="T890" s="277"/>
      <c r="U890" s="277"/>
      <c r="W890" s="277"/>
      <c r="Y890" s="107"/>
      <c r="Z890" s="107"/>
      <c r="AA890" s="107"/>
      <c r="AB890" s="107"/>
      <c r="AC890" s="107"/>
      <c r="AD890" s="233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7"/>
      <c r="AV890" s="107"/>
      <c r="AW890" s="107"/>
      <c r="AX890" s="107"/>
      <c r="AY890" s="107"/>
      <c r="AZ890" s="107"/>
      <c r="BA890" s="107"/>
      <c r="BB890" s="107"/>
      <c r="BC890" s="107"/>
      <c r="BD890" s="107"/>
      <c r="BE890" s="107"/>
      <c r="BF890" s="107"/>
      <c r="BG890" s="107"/>
      <c r="BH890" s="107"/>
      <c r="BI890" s="107"/>
      <c r="BJ890" s="107"/>
      <c r="BK890" s="107"/>
      <c r="BL890" s="107"/>
      <c r="BM890" s="107"/>
      <c r="BN890" s="107"/>
      <c r="BO890" s="107"/>
      <c r="BP890" s="107"/>
      <c r="BQ890" s="107"/>
      <c r="BR890" s="107"/>
    </row>
    <row r="891" customFormat="false" ht="12.75" hidden="false" customHeight="false" outlineLevel="0" collapsed="false">
      <c r="A891" s="100"/>
      <c r="B891" s="100"/>
      <c r="C891" s="100"/>
      <c r="D891" s="100"/>
      <c r="E891" s="100"/>
      <c r="F891" s="277"/>
      <c r="H891" s="277"/>
      <c r="I891" s="277"/>
      <c r="J891" s="277"/>
      <c r="K891" s="277"/>
      <c r="L891" s="277"/>
      <c r="M891" s="277"/>
      <c r="N891" s="277"/>
      <c r="O891" s="277"/>
      <c r="P891" s="277"/>
      <c r="Q891" s="277"/>
      <c r="R891" s="277"/>
      <c r="T891" s="277"/>
      <c r="U891" s="277"/>
      <c r="W891" s="277"/>
      <c r="Y891" s="107"/>
      <c r="Z891" s="107"/>
      <c r="AA891" s="107"/>
      <c r="AB891" s="107"/>
      <c r="AC891" s="107"/>
      <c r="AD891" s="233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7"/>
      <c r="AV891" s="107"/>
      <c r="AW891" s="107"/>
      <c r="AX891" s="107"/>
      <c r="AY891" s="107"/>
      <c r="AZ891" s="107"/>
      <c r="BA891" s="107"/>
      <c r="BB891" s="107"/>
      <c r="BC891" s="107"/>
      <c r="BD891" s="107"/>
      <c r="BE891" s="107"/>
      <c r="BF891" s="107"/>
      <c r="BG891" s="107"/>
      <c r="BH891" s="107"/>
      <c r="BI891" s="107"/>
      <c r="BJ891" s="107"/>
      <c r="BK891" s="107"/>
      <c r="BL891" s="107"/>
      <c r="BM891" s="107"/>
      <c r="BN891" s="107"/>
      <c r="BO891" s="107"/>
      <c r="BP891" s="107"/>
      <c r="BQ891" s="107"/>
      <c r="BR891" s="107"/>
    </row>
    <row r="892" customFormat="false" ht="12.75" hidden="false" customHeight="false" outlineLevel="0" collapsed="false">
      <c r="A892" s="100"/>
      <c r="B892" s="100"/>
      <c r="C892" s="100"/>
      <c r="D892" s="100"/>
      <c r="E892" s="100"/>
      <c r="F892" s="277"/>
      <c r="H892" s="277"/>
      <c r="I892" s="277"/>
      <c r="J892" s="277"/>
      <c r="K892" s="277"/>
      <c r="L892" s="277"/>
      <c r="M892" s="277"/>
      <c r="N892" s="277"/>
      <c r="O892" s="277"/>
      <c r="P892" s="277"/>
      <c r="Q892" s="277"/>
      <c r="R892" s="277"/>
      <c r="T892" s="277"/>
      <c r="U892" s="277"/>
      <c r="W892" s="277"/>
      <c r="Y892" s="107"/>
      <c r="Z892" s="107"/>
      <c r="AA892" s="107"/>
      <c r="AB892" s="107"/>
      <c r="AC892" s="107"/>
      <c r="AD892" s="233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7"/>
      <c r="AV892" s="107"/>
      <c r="AW892" s="107"/>
      <c r="AX892" s="107"/>
      <c r="AY892" s="107"/>
      <c r="AZ892" s="107"/>
      <c r="BA892" s="107"/>
      <c r="BB892" s="107"/>
      <c r="BC892" s="107"/>
      <c r="BD892" s="107"/>
      <c r="BE892" s="107"/>
      <c r="BF892" s="107"/>
      <c r="BG892" s="107"/>
      <c r="BH892" s="107"/>
      <c r="BI892" s="107"/>
      <c r="BJ892" s="107"/>
      <c r="BK892" s="107"/>
      <c r="BL892" s="107"/>
      <c r="BM892" s="107"/>
      <c r="BN892" s="107"/>
      <c r="BO892" s="107"/>
      <c r="BP892" s="107"/>
      <c r="BQ892" s="107"/>
      <c r="BR892" s="107"/>
    </row>
    <row r="893" customFormat="false" ht="12.75" hidden="false" customHeight="false" outlineLevel="0" collapsed="false">
      <c r="A893" s="100"/>
      <c r="B893" s="100"/>
      <c r="C893" s="100"/>
      <c r="D893" s="100"/>
      <c r="E893" s="100"/>
      <c r="F893" s="277"/>
      <c r="H893" s="277"/>
      <c r="I893" s="277"/>
      <c r="J893" s="277"/>
      <c r="K893" s="277"/>
      <c r="L893" s="277"/>
      <c r="M893" s="277"/>
      <c r="N893" s="277"/>
      <c r="O893" s="277"/>
      <c r="P893" s="277"/>
      <c r="Q893" s="277"/>
      <c r="R893" s="277"/>
      <c r="T893" s="277"/>
      <c r="U893" s="277"/>
      <c r="W893" s="277"/>
      <c r="Y893" s="107"/>
      <c r="Z893" s="107"/>
      <c r="AA893" s="107"/>
      <c r="AB893" s="107"/>
      <c r="AC893" s="107"/>
      <c r="AD893" s="233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7"/>
      <c r="AV893" s="107"/>
      <c r="AW893" s="107"/>
      <c r="AX893" s="107"/>
      <c r="AY893" s="107"/>
      <c r="AZ893" s="107"/>
      <c r="BA893" s="107"/>
      <c r="BB893" s="107"/>
      <c r="BC893" s="107"/>
      <c r="BD893" s="107"/>
      <c r="BE893" s="107"/>
      <c r="BF893" s="107"/>
      <c r="BG893" s="107"/>
      <c r="BH893" s="107"/>
      <c r="BI893" s="107"/>
      <c r="BJ893" s="107"/>
      <c r="BK893" s="107"/>
      <c r="BL893" s="107"/>
      <c r="BM893" s="107"/>
      <c r="BN893" s="107"/>
      <c r="BO893" s="107"/>
      <c r="BP893" s="107"/>
      <c r="BQ893" s="107"/>
      <c r="BR893" s="107"/>
    </row>
    <row r="894" customFormat="false" ht="12.75" hidden="false" customHeight="false" outlineLevel="0" collapsed="false">
      <c r="A894" s="100"/>
      <c r="B894" s="100"/>
      <c r="C894" s="100"/>
      <c r="D894" s="100"/>
      <c r="E894" s="100"/>
      <c r="F894" s="277"/>
      <c r="H894" s="277"/>
      <c r="I894" s="277"/>
      <c r="J894" s="277"/>
      <c r="K894" s="277"/>
      <c r="L894" s="277"/>
      <c r="M894" s="277"/>
      <c r="N894" s="277"/>
      <c r="O894" s="277"/>
      <c r="P894" s="277"/>
      <c r="Q894" s="277"/>
      <c r="R894" s="277"/>
      <c r="T894" s="277"/>
      <c r="U894" s="277"/>
      <c r="W894" s="277"/>
      <c r="Y894" s="107"/>
      <c r="Z894" s="107"/>
      <c r="AA894" s="107"/>
      <c r="AB894" s="107"/>
      <c r="AC894" s="107"/>
      <c r="AD894" s="233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7"/>
      <c r="AV894" s="107"/>
      <c r="AW894" s="107"/>
      <c r="AX894" s="107"/>
      <c r="AY894" s="107"/>
      <c r="AZ894" s="107"/>
      <c r="BA894" s="107"/>
      <c r="BB894" s="107"/>
      <c r="BC894" s="107"/>
      <c r="BD894" s="107"/>
      <c r="BE894" s="107"/>
      <c r="BF894" s="107"/>
      <c r="BG894" s="107"/>
      <c r="BH894" s="107"/>
      <c r="BI894" s="107"/>
      <c r="BJ894" s="107"/>
      <c r="BK894" s="107"/>
      <c r="BL894" s="107"/>
      <c r="BM894" s="107"/>
      <c r="BN894" s="107"/>
      <c r="BO894" s="107"/>
      <c r="BP894" s="107"/>
      <c r="BQ894" s="107"/>
      <c r="BR894" s="107"/>
    </row>
    <row r="895" customFormat="false" ht="12.75" hidden="false" customHeight="false" outlineLevel="0" collapsed="false">
      <c r="A895" s="100"/>
      <c r="B895" s="100"/>
      <c r="C895" s="100"/>
      <c r="D895" s="100"/>
      <c r="E895" s="100"/>
      <c r="F895" s="277"/>
      <c r="H895" s="277"/>
      <c r="I895" s="277"/>
      <c r="J895" s="277"/>
      <c r="K895" s="277"/>
      <c r="L895" s="277"/>
      <c r="M895" s="277"/>
      <c r="N895" s="277"/>
      <c r="O895" s="277"/>
      <c r="P895" s="277"/>
      <c r="Q895" s="277"/>
      <c r="R895" s="277"/>
      <c r="T895" s="277"/>
      <c r="U895" s="277"/>
      <c r="W895" s="277"/>
      <c r="Y895" s="107"/>
      <c r="Z895" s="107"/>
      <c r="AA895" s="107"/>
      <c r="AB895" s="107"/>
      <c r="AC895" s="107"/>
      <c r="AD895" s="233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7"/>
      <c r="AV895" s="107"/>
      <c r="AW895" s="107"/>
      <c r="AX895" s="107"/>
      <c r="AY895" s="107"/>
      <c r="AZ895" s="107"/>
      <c r="BA895" s="107"/>
      <c r="BB895" s="107"/>
      <c r="BC895" s="107"/>
      <c r="BD895" s="107"/>
      <c r="BE895" s="107"/>
      <c r="BF895" s="107"/>
      <c r="BG895" s="107"/>
      <c r="BH895" s="107"/>
      <c r="BI895" s="107"/>
      <c r="BJ895" s="107"/>
      <c r="BK895" s="107"/>
      <c r="BL895" s="107"/>
      <c r="BM895" s="107"/>
      <c r="BN895" s="107"/>
      <c r="BO895" s="107"/>
      <c r="BP895" s="107"/>
      <c r="BQ895" s="107"/>
      <c r="BR895" s="107"/>
    </row>
    <row r="896" customFormat="false" ht="12.75" hidden="false" customHeight="false" outlineLevel="0" collapsed="false">
      <c r="A896" s="100"/>
      <c r="B896" s="100"/>
      <c r="C896" s="100"/>
      <c r="D896" s="100"/>
      <c r="E896" s="100"/>
      <c r="F896" s="277"/>
      <c r="H896" s="277"/>
      <c r="I896" s="277"/>
      <c r="J896" s="277"/>
      <c r="K896" s="277"/>
      <c r="L896" s="277"/>
      <c r="M896" s="277"/>
      <c r="N896" s="277"/>
      <c r="O896" s="277"/>
      <c r="P896" s="277"/>
      <c r="Q896" s="277"/>
      <c r="R896" s="277"/>
      <c r="T896" s="277"/>
      <c r="U896" s="277"/>
      <c r="W896" s="277"/>
      <c r="Y896" s="107"/>
      <c r="Z896" s="107"/>
      <c r="AA896" s="107"/>
      <c r="AB896" s="107"/>
      <c r="AC896" s="107"/>
      <c r="AD896" s="233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7"/>
      <c r="AV896" s="107"/>
      <c r="AW896" s="107"/>
      <c r="AX896" s="107"/>
      <c r="AY896" s="107"/>
      <c r="AZ896" s="107"/>
      <c r="BA896" s="107"/>
      <c r="BB896" s="107"/>
      <c r="BC896" s="107"/>
      <c r="BD896" s="107"/>
      <c r="BE896" s="107"/>
      <c r="BF896" s="107"/>
      <c r="BG896" s="107"/>
      <c r="BH896" s="107"/>
      <c r="BI896" s="107"/>
      <c r="BJ896" s="107"/>
      <c r="BK896" s="107"/>
      <c r="BL896" s="107"/>
      <c r="BM896" s="107"/>
      <c r="BN896" s="107"/>
      <c r="BO896" s="107"/>
      <c r="BP896" s="107"/>
      <c r="BQ896" s="107"/>
      <c r="BR896" s="107"/>
    </row>
    <row r="897" customFormat="false" ht="12.75" hidden="false" customHeight="false" outlineLevel="0" collapsed="false">
      <c r="A897" s="100"/>
      <c r="B897" s="100"/>
      <c r="C897" s="100"/>
      <c r="D897" s="100"/>
      <c r="E897" s="100"/>
      <c r="F897" s="277"/>
      <c r="H897" s="277"/>
      <c r="I897" s="277"/>
      <c r="J897" s="277"/>
      <c r="K897" s="277"/>
      <c r="L897" s="277"/>
      <c r="M897" s="277"/>
      <c r="N897" s="277"/>
      <c r="O897" s="277"/>
      <c r="P897" s="277"/>
      <c r="Q897" s="277"/>
      <c r="R897" s="277"/>
      <c r="T897" s="277"/>
      <c r="U897" s="277"/>
      <c r="W897" s="277"/>
      <c r="Y897" s="107"/>
      <c r="Z897" s="107"/>
      <c r="AA897" s="107"/>
      <c r="AB897" s="107"/>
      <c r="AC897" s="107"/>
      <c r="AD897" s="233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7"/>
      <c r="AV897" s="107"/>
      <c r="AW897" s="107"/>
      <c r="AX897" s="107"/>
      <c r="AY897" s="107"/>
      <c r="AZ897" s="107"/>
      <c r="BA897" s="107"/>
      <c r="BB897" s="107"/>
      <c r="BC897" s="107"/>
      <c r="BD897" s="107"/>
      <c r="BE897" s="107"/>
      <c r="BF897" s="107"/>
      <c r="BG897" s="107"/>
      <c r="BH897" s="107"/>
      <c r="BI897" s="107"/>
      <c r="BJ897" s="107"/>
      <c r="BK897" s="107"/>
      <c r="BL897" s="107"/>
      <c r="BM897" s="107"/>
      <c r="BN897" s="107"/>
      <c r="BO897" s="107"/>
      <c r="BP897" s="107"/>
      <c r="BQ897" s="107"/>
      <c r="BR897" s="107"/>
    </row>
    <row r="898" customFormat="false" ht="12.75" hidden="false" customHeight="false" outlineLevel="0" collapsed="false">
      <c r="A898" s="100"/>
      <c r="B898" s="100"/>
      <c r="C898" s="100"/>
      <c r="D898" s="100"/>
      <c r="E898" s="100"/>
      <c r="F898" s="277"/>
      <c r="H898" s="277"/>
      <c r="I898" s="277"/>
      <c r="J898" s="277"/>
      <c r="K898" s="277"/>
      <c r="L898" s="277"/>
      <c r="M898" s="277"/>
      <c r="N898" s="277"/>
      <c r="O898" s="277"/>
      <c r="P898" s="277"/>
      <c r="Q898" s="277"/>
      <c r="R898" s="277"/>
      <c r="T898" s="277"/>
      <c r="U898" s="277"/>
      <c r="W898" s="277"/>
      <c r="Y898" s="107"/>
      <c r="Z898" s="107"/>
      <c r="AA898" s="107"/>
      <c r="AB898" s="107"/>
      <c r="AC898" s="107"/>
      <c r="AD898" s="233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7"/>
      <c r="AV898" s="107"/>
      <c r="AW898" s="107"/>
      <c r="AX898" s="107"/>
      <c r="AY898" s="107"/>
      <c r="AZ898" s="107"/>
      <c r="BA898" s="107"/>
      <c r="BB898" s="107"/>
      <c r="BC898" s="107"/>
      <c r="BD898" s="107"/>
      <c r="BE898" s="107"/>
      <c r="BF898" s="107"/>
      <c r="BG898" s="107"/>
      <c r="BH898" s="107"/>
      <c r="BI898" s="107"/>
      <c r="BJ898" s="107"/>
      <c r="BK898" s="107"/>
      <c r="BL898" s="107"/>
      <c r="BM898" s="107"/>
      <c r="BN898" s="107"/>
      <c r="BO898" s="107"/>
      <c r="BP898" s="107"/>
      <c r="BQ898" s="107"/>
      <c r="BR898" s="107"/>
    </row>
    <row r="899" customFormat="false" ht="12.75" hidden="false" customHeight="false" outlineLevel="0" collapsed="false">
      <c r="A899" s="100"/>
      <c r="B899" s="100"/>
      <c r="C899" s="100"/>
      <c r="D899" s="100"/>
      <c r="E899" s="100"/>
      <c r="F899" s="277"/>
      <c r="H899" s="277"/>
      <c r="I899" s="277"/>
      <c r="J899" s="277"/>
      <c r="K899" s="277"/>
      <c r="L899" s="277"/>
      <c r="M899" s="277"/>
      <c r="N899" s="277"/>
      <c r="O899" s="277"/>
      <c r="P899" s="277"/>
      <c r="Q899" s="277"/>
      <c r="R899" s="277"/>
      <c r="T899" s="277"/>
      <c r="U899" s="277"/>
      <c r="W899" s="277"/>
      <c r="Y899" s="107"/>
      <c r="Z899" s="107"/>
      <c r="AA899" s="107"/>
      <c r="AB899" s="107"/>
      <c r="AC899" s="107"/>
      <c r="AD899" s="233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7"/>
      <c r="AV899" s="107"/>
      <c r="AW899" s="107"/>
      <c r="AX899" s="107"/>
      <c r="AY899" s="107"/>
      <c r="AZ899" s="107"/>
      <c r="BA899" s="107"/>
      <c r="BB899" s="107"/>
      <c r="BC899" s="107"/>
      <c r="BD899" s="107"/>
      <c r="BE899" s="107"/>
      <c r="BF899" s="107"/>
      <c r="BG899" s="107"/>
      <c r="BH899" s="107"/>
      <c r="BI899" s="107"/>
      <c r="BJ899" s="107"/>
      <c r="BK899" s="107"/>
      <c r="BL899" s="107"/>
      <c r="BM899" s="107"/>
      <c r="BN899" s="107"/>
      <c r="BO899" s="107"/>
      <c r="BP899" s="107"/>
      <c r="BQ899" s="107"/>
      <c r="BR899" s="107"/>
    </row>
    <row r="900" customFormat="false" ht="12.75" hidden="false" customHeight="false" outlineLevel="0" collapsed="false">
      <c r="A900" s="100"/>
      <c r="B900" s="100"/>
      <c r="C900" s="100"/>
      <c r="D900" s="100"/>
      <c r="E900" s="100"/>
      <c r="F900" s="277"/>
      <c r="H900" s="277"/>
      <c r="I900" s="277"/>
      <c r="J900" s="277"/>
      <c r="K900" s="277"/>
      <c r="L900" s="277"/>
      <c r="M900" s="277"/>
      <c r="N900" s="277"/>
      <c r="O900" s="277"/>
      <c r="P900" s="277"/>
      <c r="Q900" s="277"/>
      <c r="R900" s="277"/>
      <c r="T900" s="277"/>
      <c r="U900" s="277"/>
      <c r="W900" s="277"/>
      <c r="Y900" s="107"/>
      <c r="Z900" s="107"/>
      <c r="AA900" s="107"/>
      <c r="AB900" s="107"/>
      <c r="AC900" s="107"/>
      <c r="AD900" s="233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7"/>
      <c r="AV900" s="107"/>
      <c r="AW900" s="107"/>
      <c r="AX900" s="107"/>
      <c r="AY900" s="107"/>
      <c r="AZ900" s="107"/>
      <c r="BA900" s="107"/>
      <c r="BB900" s="107"/>
      <c r="BC900" s="107"/>
      <c r="BD900" s="107"/>
      <c r="BE900" s="107"/>
      <c r="BF900" s="107"/>
      <c r="BG900" s="107"/>
      <c r="BH900" s="107"/>
      <c r="BI900" s="107"/>
      <c r="BJ900" s="107"/>
      <c r="BK900" s="107"/>
      <c r="BL900" s="107"/>
      <c r="BM900" s="107"/>
      <c r="BN900" s="107"/>
      <c r="BO900" s="107"/>
      <c r="BP900" s="107"/>
      <c r="BQ900" s="107"/>
      <c r="BR900" s="107"/>
    </row>
    <row r="901" customFormat="false" ht="12.75" hidden="false" customHeight="false" outlineLevel="0" collapsed="false">
      <c r="A901" s="100"/>
      <c r="B901" s="100"/>
      <c r="C901" s="100"/>
      <c r="D901" s="100"/>
      <c r="E901" s="100"/>
      <c r="F901" s="277"/>
      <c r="H901" s="277"/>
      <c r="I901" s="277"/>
      <c r="J901" s="277"/>
      <c r="K901" s="277"/>
      <c r="L901" s="277"/>
      <c r="M901" s="277"/>
      <c r="N901" s="277"/>
      <c r="O901" s="277"/>
      <c r="P901" s="277"/>
      <c r="Q901" s="277"/>
      <c r="R901" s="277"/>
      <c r="T901" s="277"/>
      <c r="U901" s="277"/>
      <c r="W901" s="277"/>
      <c r="Y901" s="107"/>
      <c r="Z901" s="107"/>
      <c r="AA901" s="107"/>
      <c r="AB901" s="107"/>
      <c r="AC901" s="107"/>
      <c r="AD901" s="233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7"/>
      <c r="AV901" s="107"/>
      <c r="AW901" s="107"/>
      <c r="AX901" s="107"/>
      <c r="AY901" s="107"/>
      <c r="AZ901" s="107"/>
      <c r="BA901" s="107"/>
      <c r="BB901" s="107"/>
      <c r="BC901" s="107"/>
      <c r="BD901" s="107"/>
      <c r="BE901" s="107"/>
      <c r="BF901" s="107"/>
      <c r="BG901" s="107"/>
      <c r="BH901" s="107"/>
      <c r="BI901" s="107"/>
      <c r="BJ901" s="107"/>
      <c r="BK901" s="107"/>
      <c r="BL901" s="107"/>
      <c r="BM901" s="107"/>
      <c r="BN901" s="107"/>
      <c r="BO901" s="107"/>
      <c r="BP901" s="107"/>
      <c r="BQ901" s="107"/>
      <c r="BR901" s="107"/>
    </row>
    <row r="902" customFormat="false" ht="12.75" hidden="false" customHeight="false" outlineLevel="0" collapsed="false">
      <c r="A902" s="100"/>
      <c r="B902" s="100"/>
      <c r="C902" s="100"/>
      <c r="D902" s="100"/>
      <c r="E902" s="100"/>
      <c r="F902" s="277"/>
      <c r="H902" s="277"/>
      <c r="I902" s="277"/>
      <c r="J902" s="277"/>
      <c r="K902" s="277"/>
      <c r="L902" s="277"/>
      <c r="M902" s="277"/>
      <c r="N902" s="277"/>
      <c r="O902" s="277"/>
      <c r="P902" s="277"/>
      <c r="Q902" s="277"/>
      <c r="R902" s="277"/>
      <c r="T902" s="277"/>
      <c r="U902" s="277"/>
      <c r="W902" s="277"/>
      <c r="Y902" s="107"/>
      <c r="Z902" s="107"/>
      <c r="AA902" s="107"/>
      <c r="AB902" s="107"/>
      <c r="AC902" s="107"/>
      <c r="AD902" s="233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7"/>
      <c r="AV902" s="107"/>
      <c r="AW902" s="107"/>
      <c r="AX902" s="107"/>
      <c r="AY902" s="107"/>
      <c r="AZ902" s="107"/>
      <c r="BA902" s="107"/>
      <c r="BB902" s="107"/>
      <c r="BC902" s="107"/>
      <c r="BD902" s="107"/>
      <c r="BE902" s="107"/>
      <c r="BF902" s="107"/>
      <c r="BG902" s="107"/>
      <c r="BH902" s="107"/>
      <c r="BI902" s="107"/>
      <c r="BJ902" s="107"/>
      <c r="BK902" s="107"/>
      <c r="BL902" s="107"/>
      <c r="BM902" s="107"/>
      <c r="BN902" s="107"/>
      <c r="BO902" s="107"/>
      <c r="BP902" s="107"/>
      <c r="BQ902" s="107"/>
      <c r="BR902" s="107"/>
    </row>
    <row r="903" customFormat="false" ht="12.75" hidden="false" customHeight="false" outlineLevel="0" collapsed="false">
      <c r="A903" s="100"/>
      <c r="B903" s="100"/>
      <c r="C903" s="100"/>
      <c r="D903" s="100"/>
      <c r="E903" s="100"/>
      <c r="F903" s="277"/>
      <c r="H903" s="277"/>
      <c r="I903" s="277"/>
      <c r="J903" s="277"/>
      <c r="K903" s="277"/>
      <c r="L903" s="277"/>
      <c r="M903" s="277"/>
      <c r="N903" s="277"/>
      <c r="O903" s="277"/>
      <c r="P903" s="277"/>
      <c r="Q903" s="277"/>
      <c r="R903" s="277"/>
      <c r="T903" s="277"/>
      <c r="U903" s="277"/>
      <c r="W903" s="277"/>
      <c r="Y903" s="107"/>
      <c r="Z903" s="107"/>
      <c r="AA903" s="107"/>
      <c r="AB903" s="107"/>
      <c r="AC903" s="107"/>
      <c r="AD903" s="233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7"/>
      <c r="AV903" s="107"/>
      <c r="AW903" s="107"/>
      <c r="AX903" s="107"/>
      <c r="AY903" s="107"/>
      <c r="AZ903" s="107"/>
      <c r="BA903" s="107"/>
      <c r="BB903" s="107"/>
      <c r="BC903" s="107"/>
      <c r="BD903" s="107"/>
      <c r="BE903" s="107"/>
      <c r="BF903" s="107"/>
      <c r="BG903" s="107"/>
      <c r="BH903" s="107"/>
      <c r="BI903" s="107"/>
      <c r="BJ903" s="107"/>
      <c r="BK903" s="107"/>
      <c r="BL903" s="107"/>
      <c r="BM903" s="107"/>
      <c r="BN903" s="107"/>
      <c r="BO903" s="107"/>
      <c r="BP903" s="107"/>
      <c r="BQ903" s="107"/>
      <c r="BR903" s="107"/>
    </row>
    <row r="904" customFormat="false" ht="12.75" hidden="false" customHeight="false" outlineLevel="0" collapsed="false">
      <c r="A904" s="100"/>
      <c r="B904" s="100"/>
      <c r="C904" s="100"/>
      <c r="D904" s="100"/>
      <c r="E904" s="100"/>
      <c r="F904" s="277"/>
      <c r="H904" s="277"/>
      <c r="I904" s="277"/>
      <c r="J904" s="277"/>
      <c r="K904" s="277"/>
      <c r="L904" s="277"/>
      <c r="M904" s="277"/>
      <c r="N904" s="277"/>
      <c r="O904" s="277"/>
      <c r="P904" s="277"/>
      <c r="Q904" s="277"/>
      <c r="R904" s="277"/>
      <c r="T904" s="277"/>
      <c r="U904" s="277"/>
      <c r="W904" s="277"/>
      <c r="Y904" s="107"/>
      <c r="Z904" s="107"/>
      <c r="AA904" s="107"/>
      <c r="AB904" s="107"/>
      <c r="AC904" s="107"/>
      <c r="AD904" s="233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7"/>
      <c r="AV904" s="107"/>
      <c r="AW904" s="107"/>
      <c r="AX904" s="107"/>
      <c r="AY904" s="107"/>
      <c r="AZ904" s="107"/>
      <c r="BA904" s="107"/>
      <c r="BB904" s="107"/>
      <c r="BC904" s="107"/>
      <c r="BD904" s="107"/>
      <c r="BE904" s="107"/>
      <c r="BF904" s="107"/>
      <c r="BG904" s="107"/>
      <c r="BH904" s="107"/>
      <c r="BI904" s="107"/>
      <c r="BJ904" s="107"/>
      <c r="BK904" s="107"/>
      <c r="BL904" s="107"/>
      <c r="BM904" s="107"/>
      <c r="BN904" s="107"/>
      <c r="BO904" s="107"/>
      <c r="BP904" s="107"/>
      <c r="BQ904" s="107"/>
      <c r="BR904" s="107"/>
    </row>
    <row r="905" customFormat="false" ht="12.75" hidden="false" customHeight="false" outlineLevel="0" collapsed="false">
      <c r="A905" s="100"/>
      <c r="B905" s="100"/>
      <c r="C905" s="100"/>
      <c r="D905" s="100"/>
      <c r="E905" s="100"/>
      <c r="F905" s="277"/>
      <c r="H905" s="277"/>
      <c r="I905" s="277"/>
      <c r="J905" s="277"/>
      <c r="K905" s="277"/>
      <c r="L905" s="277"/>
      <c r="M905" s="277"/>
      <c r="N905" s="277"/>
      <c r="O905" s="277"/>
      <c r="P905" s="277"/>
      <c r="Q905" s="277"/>
      <c r="R905" s="277"/>
      <c r="T905" s="277"/>
      <c r="U905" s="277"/>
      <c r="W905" s="277"/>
      <c r="Y905" s="107"/>
      <c r="Z905" s="107"/>
      <c r="AA905" s="107"/>
      <c r="AB905" s="107"/>
      <c r="AC905" s="107"/>
      <c r="AD905" s="233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7"/>
      <c r="AV905" s="107"/>
      <c r="AW905" s="107"/>
      <c r="AX905" s="107"/>
      <c r="AY905" s="107"/>
      <c r="AZ905" s="107"/>
      <c r="BA905" s="107"/>
      <c r="BB905" s="107"/>
      <c r="BC905" s="107"/>
      <c r="BD905" s="107"/>
      <c r="BE905" s="107"/>
      <c r="BF905" s="107"/>
      <c r="BG905" s="107"/>
      <c r="BH905" s="107"/>
      <c r="BI905" s="107"/>
      <c r="BJ905" s="107"/>
      <c r="BK905" s="107"/>
      <c r="BL905" s="107"/>
      <c r="BM905" s="107"/>
      <c r="BN905" s="107"/>
      <c r="BO905" s="107"/>
      <c r="BP905" s="107"/>
      <c r="BQ905" s="107"/>
      <c r="BR905" s="107"/>
    </row>
    <row r="906" customFormat="false" ht="12.75" hidden="false" customHeight="false" outlineLevel="0" collapsed="false">
      <c r="A906" s="100"/>
      <c r="B906" s="100"/>
      <c r="C906" s="100"/>
      <c r="D906" s="100"/>
      <c r="E906" s="100"/>
      <c r="F906" s="277"/>
      <c r="H906" s="277"/>
      <c r="I906" s="277"/>
      <c r="J906" s="277"/>
      <c r="K906" s="277"/>
      <c r="L906" s="277"/>
      <c r="M906" s="277"/>
      <c r="N906" s="277"/>
      <c r="O906" s="277"/>
      <c r="P906" s="277"/>
      <c r="Q906" s="277"/>
      <c r="R906" s="277"/>
      <c r="T906" s="277"/>
      <c r="U906" s="277"/>
      <c r="W906" s="277"/>
      <c r="Y906" s="107"/>
      <c r="Z906" s="107"/>
      <c r="AA906" s="107"/>
      <c r="AB906" s="107"/>
      <c r="AC906" s="107"/>
      <c r="AD906" s="233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7"/>
      <c r="AV906" s="107"/>
      <c r="AW906" s="107"/>
      <c r="AX906" s="107"/>
      <c r="AY906" s="107"/>
      <c r="AZ906" s="107"/>
      <c r="BA906" s="107"/>
      <c r="BB906" s="107"/>
      <c r="BC906" s="107"/>
      <c r="BD906" s="107"/>
      <c r="BE906" s="107"/>
      <c r="BF906" s="107"/>
      <c r="BG906" s="107"/>
      <c r="BH906" s="107"/>
      <c r="BI906" s="107"/>
      <c r="BJ906" s="107"/>
      <c r="BK906" s="107"/>
      <c r="BL906" s="107"/>
      <c r="BM906" s="107"/>
      <c r="BN906" s="107"/>
      <c r="BO906" s="107"/>
      <c r="BP906" s="107"/>
      <c r="BQ906" s="107"/>
      <c r="BR906" s="107"/>
    </row>
    <row r="907" customFormat="false" ht="12.75" hidden="false" customHeight="false" outlineLevel="0" collapsed="false">
      <c r="A907" s="100"/>
      <c r="B907" s="100"/>
      <c r="C907" s="100"/>
      <c r="D907" s="100"/>
      <c r="E907" s="100"/>
      <c r="F907" s="277"/>
      <c r="H907" s="277"/>
      <c r="I907" s="277"/>
      <c r="J907" s="277"/>
      <c r="K907" s="277"/>
      <c r="L907" s="277"/>
      <c r="M907" s="277"/>
      <c r="N907" s="277"/>
      <c r="O907" s="277"/>
      <c r="P907" s="277"/>
      <c r="Q907" s="277"/>
      <c r="R907" s="277"/>
      <c r="T907" s="277"/>
      <c r="U907" s="277"/>
      <c r="W907" s="277"/>
      <c r="Y907" s="107"/>
      <c r="Z907" s="107"/>
      <c r="AA907" s="107"/>
      <c r="AB907" s="107"/>
      <c r="AC907" s="107"/>
      <c r="AD907" s="233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7"/>
      <c r="AV907" s="107"/>
      <c r="AW907" s="107"/>
      <c r="AX907" s="107"/>
      <c r="AY907" s="107"/>
      <c r="AZ907" s="107"/>
      <c r="BA907" s="107"/>
      <c r="BB907" s="107"/>
      <c r="BC907" s="107"/>
      <c r="BD907" s="107"/>
      <c r="BE907" s="107"/>
      <c r="BF907" s="107"/>
      <c r="BG907" s="107"/>
      <c r="BH907" s="107"/>
      <c r="BI907" s="107"/>
      <c r="BJ907" s="107"/>
      <c r="BK907" s="107"/>
      <c r="BL907" s="107"/>
      <c r="BM907" s="107"/>
      <c r="BN907" s="107"/>
      <c r="BO907" s="107"/>
      <c r="BP907" s="107"/>
      <c r="BQ907" s="107"/>
      <c r="BR907" s="107"/>
    </row>
    <row r="908" customFormat="false" ht="12.75" hidden="false" customHeight="false" outlineLevel="0" collapsed="false">
      <c r="A908" s="100"/>
      <c r="B908" s="100"/>
      <c r="C908" s="100"/>
      <c r="D908" s="100"/>
      <c r="E908" s="100"/>
      <c r="F908" s="277"/>
      <c r="H908" s="277"/>
      <c r="I908" s="277"/>
      <c r="J908" s="277"/>
      <c r="K908" s="277"/>
      <c r="L908" s="277"/>
      <c r="M908" s="277"/>
      <c r="N908" s="277"/>
      <c r="O908" s="277"/>
      <c r="P908" s="277"/>
      <c r="Q908" s="277"/>
      <c r="R908" s="277"/>
      <c r="T908" s="277"/>
      <c r="U908" s="277"/>
      <c r="W908" s="277"/>
      <c r="Y908" s="107"/>
      <c r="Z908" s="107"/>
      <c r="AA908" s="107"/>
      <c r="AB908" s="107"/>
      <c r="AC908" s="107"/>
      <c r="AD908" s="233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7"/>
      <c r="AV908" s="107"/>
      <c r="AW908" s="107"/>
      <c r="AX908" s="107"/>
      <c r="AY908" s="107"/>
      <c r="AZ908" s="107"/>
      <c r="BA908" s="107"/>
      <c r="BB908" s="107"/>
      <c r="BC908" s="107"/>
      <c r="BD908" s="107"/>
      <c r="BE908" s="107"/>
      <c r="BF908" s="107"/>
      <c r="BG908" s="107"/>
      <c r="BH908" s="107"/>
      <c r="BI908" s="107"/>
      <c r="BJ908" s="107"/>
      <c r="BK908" s="107"/>
      <c r="BL908" s="107"/>
      <c r="BM908" s="107"/>
      <c r="BN908" s="107"/>
      <c r="BO908" s="107"/>
      <c r="BP908" s="107"/>
      <c r="BQ908" s="107"/>
      <c r="BR908" s="107"/>
    </row>
    <row r="909" customFormat="false" ht="12.75" hidden="false" customHeight="false" outlineLevel="0" collapsed="false">
      <c r="A909" s="100"/>
      <c r="B909" s="100"/>
      <c r="C909" s="100"/>
      <c r="D909" s="100"/>
      <c r="E909" s="100"/>
      <c r="F909" s="277"/>
      <c r="H909" s="277"/>
      <c r="I909" s="277"/>
      <c r="J909" s="277"/>
      <c r="K909" s="277"/>
      <c r="L909" s="277"/>
      <c r="M909" s="277"/>
      <c r="N909" s="277"/>
      <c r="O909" s="277"/>
      <c r="P909" s="277"/>
      <c r="Q909" s="277"/>
      <c r="R909" s="277"/>
      <c r="T909" s="277"/>
      <c r="U909" s="277"/>
      <c r="W909" s="277"/>
      <c r="Y909" s="107"/>
      <c r="Z909" s="107"/>
      <c r="AA909" s="107"/>
      <c r="AB909" s="107"/>
      <c r="AC909" s="107"/>
      <c r="AD909" s="233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7"/>
      <c r="AV909" s="107"/>
      <c r="AW909" s="107"/>
      <c r="AX909" s="107"/>
      <c r="AY909" s="107"/>
      <c r="AZ909" s="107"/>
      <c r="BA909" s="107"/>
      <c r="BB909" s="107"/>
      <c r="BC909" s="107"/>
      <c r="BD909" s="107"/>
      <c r="BE909" s="107"/>
      <c r="BF909" s="107"/>
      <c r="BG909" s="107"/>
      <c r="BH909" s="107"/>
      <c r="BI909" s="107"/>
      <c r="BJ909" s="107"/>
      <c r="BK909" s="107"/>
      <c r="BL909" s="107"/>
      <c r="BM909" s="107"/>
      <c r="BN909" s="107"/>
      <c r="BO909" s="107"/>
      <c r="BP909" s="107"/>
      <c r="BQ909" s="107"/>
      <c r="BR909" s="107"/>
    </row>
    <row r="910" customFormat="false" ht="12.75" hidden="false" customHeight="false" outlineLevel="0" collapsed="false">
      <c r="A910" s="100"/>
      <c r="B910" s="100"/>
      <c r="C910" s="100"/>
      <c r="D910" s="100"/>
      <c r="E910" s="100"/>
      <c r="F910" s="277"/>
      <c r="H910" s="277"/>
      <c r="I910" s="277"/>
      <c r="J910" s="277"/>
      <c r="K910" s="277"/>
      <c r="L910" s="277"/>
      <c r="M910" s="277"/>
      <c r="N910" s="277"/>
      <c r="O910" s="277"/>
      <c r="P910" s="277"/>
      <c r="Q910" s="277"/>
      <c r="R910" s="277"/>
      <c r="T910" s="277"/>
      <c r="U910" s="277"/>
      <c r="W910" s="277"/>
      <c r="Y910" s="107"/>
      <c r="Z910" s="107"/>
      <c r="AA910" s="107"/>
      <c r="AB910" s="107"/>
      <c r="AC910" s="107"/>
      <c r="AD910" s="233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7"/>
      <c r="AV910" s="107"/>
      <c r="AW910" s="107"/>
      <c r="AX910" s="107"/>
      <c r="AY910" s="107"/>
      <c r="AZ910" s="107"/>
      <c r="BA910" s="107"/>
      <c r="BB910" s="107"/>
      <c r="BC910" s="107"/>
      <c r="BD910" s="107"/>
      <c r="BE910" s="107"/>
      <c r="BF910" s="107"/>
      <c r="BG910" s="107"/>
      <c r="BH910" s="107"/>
      <c r="BI910" s="107"/>
      <c r="BJ910" s="107"/>
      <c r="BK910" s="107"/>
      <c r="BL910" s="107"/>
      <c r="BM910" s="107"/>
      <c r="BN910" s="107"/>
      <c r="BO910" s="107"/>
      <c r="BP910" s="107"/>
      <c r="BQ910" s="107"/>
      <c r="BR910" s="107"/>
    </row>
    <row r="911" customFormat="false" ht="12.75" hidden="false" customHeight="false" outlineLevel="0" collapsed="false">
      <c r="A911" s="100"/>
      <c r="B911" s="100"/>
      <c r="C911" s="100"/>
      <c r="D911" s="100"/>
      <c r="E911" s="100"/>
      <c r="F911" s="277"/>
      <c r="H911" s="277"/>
      <c r="I911" s="277"/>
      <c r="J911" s="277"/>
      <c r="K911" s="277"/>
      <c r="L911" s="277"/>
      <c r="M911" s="277"/>
      <c r="N911" s="277"/>
      <c r="O911" s="277"/>
      <c r="P911" s="277"/>
      <c r="Q911" s="277"/>
      <c r="R911" s="277"/>
      <c r="T911" s="277"/>
      <c r="U911" s="277"/>
      <c r="W911" s="277"/>
      <c r="Y911" s="107"/>
      <c r="Z911" s="107"/>
      <c r="AA911" s="107"/>
      <c r="AB911" s="107"/>
      <c r="AC911" s="107"/>
      <c r="AD911" s="233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7"/>
      <c r="AV911" s="107"/>
      <c r="AW911" s="107"/>
      <c r="AX911" s="107"/>
      <c r="AY911" s="107"/>
      <c r="AZ911" s="107"/>
      <c r="BA911" s="107"/>
      <c r="BB911" s="107"/>
      <c r="BC911" s="107"/>
      <c r="BD911" s="107"/>
      <c r="BE911" s="107"/>
      <c r="BF911" s="107"/>
      <c r="BG911" s="107"/>
      <c r="BH911" s="107"/>
      <c r="BI911" s="107"/>
      <c r="BJ911" s="107"/>
      <c r="BK911" s="107"/>
      <c r="BL911" s="107"/>
      <c r="BM911" s="107"/>
      <c r="BN911" s="107"/>
      <c r="BO911" s="107"/>
      <c r="BP911" s="107"/>
      <c r="BQ911" s="107"/>
      <c r="BR911" s="107"/>
    </row>
    <row r="912" customFormat="false" ht="12.75" hidden="false" customHeight="false" outlineLevel="0" collapsed="false">
      <c r="A912" s="100"/>
      <c r="B912" s="100"/>
      <c r="C912" s="100"/>
      <c r="D912" s="100"/>
      <c r="E912" s="100"/>
      <c r="F912" s="277"/>
      <c r="H912" s="277"/>
      <c r="I912" s="277"/>
      <c r="J912" s="277"/>
      <c r="K912" s="277"/>
      <c r="L912" s="277"/>
      <c r="M912" s="277"/>
      <c r="N912" s="277"/>
      <c r="O912" s="277"/>
      <c r="P912" s="277"/>
      <c r="Q912" s="277"/>
      <c r="R912" s="277"/>
      <c r="T912" s="277"/>
      <c r="U912" s="277"/>
      <c r="W912" s="277"/>
      <c r="Y912" s="107"/>
      <c r="Z912" s="107"/>
      <c r="AA912" s="107"/>
      <c r="AB912" s="107"/>
      <c r="AC912" s="107"/>
      <c r="AD912" s="233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7"/>
      <c r="AV912" s="107"/>
      <c r="AW912" s="107"/>
      <c r="AX912" s="107"/>
      <c r="AY912" s="107"/>
      <c r="AZ912" s="107"/>
      <c r="BA912" s="107"/>
      <c r="BB912" s="107"/>
      <c r="BC912" s="107"/>
      <c r="BD912" s="107"/>
      <c r="BE912" s="107"/>
      <c r="BF912" s="107"/>
      <c r="BG912" s="107"/>
      <c r="BH912" s="107"/>
      <c r="BI912" s="107"/>
      <c r="BJ912" s="107"/>
      <c r="BK912" s="107"/>
      <c r="BL912" s="107"/>
      <c r="BM912" s="107"/>
      <c r="BN912" s="107"/>
      <c r="BO912" s="107"/>
      <c r="BP912" s="107"/>
      <c r="BQ912" s="107"/>
      <c r="BR912" s="107"/>
    </row>
    <row r="913" customFormat="false" ht="12.75" hidden="false" customHeight="false" outlineLevel="0" collapsed="false">
      <c r="A913" s="100"/>
      <c r="B913" s="100"/>
      <c r="C913" s="100"/>
      <c r="D913" s="100"/>
      <c r="E913" s="100"/>
      <c r="F913" s="277"/>
      <c r="H913" s="277"/>
      <c r="I913" s="277"/>
      <c r="J913" s="277"/>
      <c r="K913" s="277"/>
      <c r="L913" s="277"/>
      <c r="M913" s="277"/>
      <c r="N913" s="277"/>
      <c r="O913" s="277"/>
      <c r="P913" s="277"/>
      <c r="Q913" s="277"/>
      <c r="R913" s="277"/>
      <c r="T913" s="277"/>
      <c r="U913" s="277"/>
      <c r="W913" s="277"/>
      <c r="Y913" s="107"/>
      <c r="Z913" s="107"/>
      <c r="AA913" s="107"/>
      <c r="AB913" s="107"/>
      <c r="AC913" s="107"/>
      <c r="AD913" s="233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7"/>
      <c r="AV913" s="107"/>
      <c r="AW913" s="107"/>
      <c r="AX913" s="107"/>
      <c r="AY913" s="107"/>
      <c r="AZ913" s="107"/>
      <c r="BA913" s="107"/>
      <c r="BB913" s="107"/>
      <c r="BC913" s="107"/>
      <c r="BD913" s="107"/>
      <c r="BE913" s="107"/>
      <c r="BF913" s="107"/>
      <c r="BG913" s="107"/>
      <c r="BH913" s="107"/>
      <c r="BI913" s="107"/>
      <c r="BJ913" s="107"/>
      <c r="BK913" s="107"/>
      <c r="BL913" s="107"/>
      <c r="BM913" s="107"/>
      <c r="BN913" s="107"/>
      <c r="BO913" s="107"/>
      <c r="BP913" s="107"/>
      <c r="BQ913" s="107"/>
      <c r="BR913" s="107"/>
    </row>
    <row r="914" customFormat="false" ht="12.75" hidden="false" customHeight="false" outlineLevel="0" collapsed="false">
      <c r="A914" s="100"/>
      <c r="B914" s="100"/>
      <c r="C914" s="100"/>
      <c r="D914" s="100"/>
      <c r="E914" s="100"/>
      <c r="F914" s="277"/>
      <c r="H914" s="277"/>
      <c r="I914" s="277"/>
      <c r="J914" s="277"/>
      <c r="K914" s="277"/>
      <c r="L914" s="277"/>
      <c r="M914" s="277"/>
      <c r="N914" s="277"/>
      <c r="O914" s="277"/>
      <c r="P914" s="277"/>
      <c r="Q914" s="277"/>
      <c r="R914" s="277"/>
      <c r="T914" s="277"/>
      <c r="U914" s="277"/>
      <c r="W914" s="277"/>
      <c r="Y914" s="107"/>
      <c r="Z914" s="107"/>
      <c r="AA914" s="107"/>
      <c r="AB914" s="107"/>
      <c r="AC914" s="107"/>
      <c r="AD914" s="233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7"/>
      <c r="AV914" s="107"/>
      <c r="AW914" s="107"/>
      <c r="AX914" s="107"/>
      <c r="AY914" s="107"/>
      <c r="AZ914" s="107"/>
      <c r="BA914" s="107"/>
      <c r="BB914" s="107"/>
      <c r="BC914" s="107"/>
      <c r="BD914" s="107"/>
      <c r="BE914" s="107"/>
      <c r="BF914" s="107"/>
      <c r="BG914" s="107"/>
      <c r="BH914" s="107"/>
      <c r="BI914" s="107"/>
      <c r="BJ914" s="107"/>
      <c r="BK914" s="107"/>
      <c r="BL914" s="107"/>
      <c r="BM914" s="107"/>
      <c r="BN914" s="107"/>
      <c r="BO914" s="107"/>
      <c r="BP914" s="107"/>
      <c r="BQ914" s="107"/>
      <c r="BR914" s="107"/>
    </row>
    <row r="915" customFormat="false" ht="12.75" hidden="false" customHeight="false" outlineLevel="0" collapsed="false">
      <c r="A915" s="100"/>
      <c r="B915" s="100"/>
      <c r="C915" s="100"/>
      <c r="D915" s="100"/>
      <c r="E915" s="100"/>
      <c r="F915" s="277"/>
      <c r="H915" s="277"/>
      <c r="I915" s="277"/>
      <c r="J915" s="277"/>
      <c r="K915" s="277"/>
      <c r="L915" s="277"/>
      <c r="M915" s="277"/>
      <c r="N915" s="277"/>
      <c r="O915" s="277"/>
      <c r="P915" s="277"/>
      <c r="Q915" s="277"/>
      <c r="R915" s="277"/>
      <c r="T915" s="277"/>
      <c r="U915" s="277"/>
      <c r="W915" s="277"/>
      <c r="Y915" s="107"/>
      <c r="Z915" s="107"/>
      <c r="AA915" s="107"/>
      <c r="AB915" s="107"/>
      <c r="AC915" s="107"/>
      <c r="AD915" s="233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7"/>
      <c r="AV915" s="107"/>
      <c r="AW915" s="107"/>
      <c r="AX915" s="107"/>
      <c r="AY915" s="107"/>
      <c r="AZ915" s="107"/>
      <c r="BA915" s="107"/>
      <c r="BB915" s="107"/>
      <c r="BC915" s="107"/>
      <c r="BD915" s="107"/>
      <c r="BE915" s="107"/>
      <c r="BF915" s="107"/>
      <c r="BG915" s="107"/>
      <c r="BH915" s="107"/>
      <c r="BI915" s="107"/>
      <c r="BJ915" s="107"/>
      <c r="BK915" s="107"/>
      <c r="BL915" s="107"/>
      <c r="BM915" s="107"/>
      <c r="BN915" s="107"/>
      <c r="BO915" s="107"/>
      <c r="BP915" s="107"/>
      <c r="BQ915" s="107"/>
      <c r="BR915" s="107"/>
    </row>
    <row r="916" customFormat="false" ht="12.75" hidden="false" customHeight="false" outlineLevel="0" collapsed="false">
      <c r="A916" s="100"/>
      <c r="B916" s="100"/>
      <c r="C916" s="100"/>
      <c r="D916" s="100"/>
      <c r="E916" s="100"/>
      <c r="F916" s="277"/>
      <c r="H916" s="277"/>
      <c r="I916" s="277"/>
      <c r="J916" s="277"/>
      <c r="K916" s="277"/>
      <c r="L916" s="277"/>
      <c r="M916" s="277"/>
      <c r="N916" s="277"/>
      <c r="O916" s="277"/>
      <c r="P916" s="277"/>
      <c r="Q916" s="277"/>
      <c r="R916" s="277"/>
      <c r="T916" s="277"/>
      <c r="U916" s="277"/>
      <c r="W916" s="277"/>
      <c r="Y916" s="107"/>
      <c r="Z916" s="107"/>
      <c r="AA916" s="107"/>
      <c r="AB916" s="107"/>
      <c r="AC916" s="107"/>
      <c r="AD916" s="233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7"/>
      <c r="AV916" s="107"/>
      <c r="AW916" s="107"/>
      <c r="AX916" s="107"/>
      <c r="AY916" s="107"/>
      <c r="AZ916" s="107"/>
      <c r="BA916" s="107"/>
      <c r="BB916" s="107"/>
      <c r="BC916" s="107"/>
      <c r="BD916" s="107"/>
      <c r="BE916" s="107"/>
      <c r="BF916" s="107"/>
      <c r="BG916" s="107"/>
      <c r="BH916" s="107"/>
      <c r="BI916" s="107"/>
      <c r="BJ916" s="107"/>
      <c r="BK916" s="107"/>
      <c r="BL916" s="107"/>
      <c r="BM916" s="107"/>
      <c r="BN916" s="107"/>
      <c r="BO916" s="107"/>
      <c r="BP916" s="107"/>
      <c r="BQ916" s="107"/>
      <c r="BR916" s="107"/>
    </row>
    <row r="917" customFormat="false" ht="12.75" hidden="false" customHeight="false" outlineLevel="0" collapsed="false">
      <c r="A917" s="100"/>
      <c r="B917" s="100"/>
      <c r="C917" s="100"/>
      <c r="D917" s="100"/>
      <c r="E917" s="100"/>
      <c r="F917" s="277"/>
      <c r="H917" s="277"/>
      <c r="I917" s="277"/>
      <c r="J917" s="277"/>
      <c r="K917" s="277"/>
      <c r="L917" s="277"/>
      <c r="M917" s="277"/>
      <c r="N917" s="277"/>
      <c r="O917" s="277"/>
      <c r="P917" s="277"/>
      <c r="Q917" s="277"/>
      <c r="R917" s="277"/>
      <c r="T917" s="277"/>
      <c r="U917" s="277"/>
      <c r="W917" s="277"/>
      <c r="Y917" s="107"/>
      <c r="Z917" s="107"/>
      <c r="AA917" s="107"/>
      <c r="AB917" s="107"/>
      <c r="AC917" s="107"/>
      <c r="AD917" s="233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7"/>
      <c r="AV917" s="107"/>
      <c r="AW917" s="107"/>
      <c r="AX917" s="107"/>
      <c r="AY917" s="107"/>
      <c r="AZ917" s="107"/>
      <c r="BA917" s="107"/>
      <c r="BB917" s="107"/>
      <c r="BC917" s="107"/>
      <c r="BD917" s="107"/>
      <c r="BE917" s="107"/>
      <c r="BF917" s="107"/>
      <c r="BG917" s="107"/>
      <c r="BH917" s="107"/>
      <c r="BI917" s="107"/>
      <c r="BJ917" s="107"/>
      <c r="BK917" s="107"/>
      <c r="BL917" s="107"/>
      <c r="BM917" s="107"/>
      <c r="BN917" s="107"/>
      <c r="BO917" s="107"/>
      <c r="BP917" s="107"/>
      <c r="BQ917" s="107"/>
      <c r="BR917" s="107"/>
    </row>
    <row r="918" customFormat="false" ht="12.75" hidden="false" customHeight="false" outlineLevel="0" collapsed="false">
      <c r="A918" s="100"/>
      <c r="B918" s="100"/>
      <c r="C918" s="100"/>
      <c r="D918" s="100"/>
      <c r="E918" s="100"/>
      <c r="F918" s="277"/>
      <c r="H918" s="277"/>
      <c r="I918" s="277"/>
      <c r="J918" s="277"/>
      <c r="K918" s="277"/>
      <c r="L918" s="277"/>
      <c r="M918" s="277"/>
      <c r="N918" s="277"/>
      <c r="O918" s="277"/>
      <c r="P918" s="277"/>
      <c r="Q918" s="277"/>
      <c r="R918" s="277"/>
      <c r="T918" s="277"/>
      <c r="U918" s="277"/>
      <c r="W918" s="277"/>
      <c r="Y918" s="107"/>
      <c r="Z918" s="107"/>
      <c r="AA918" s="107"/>
      <c r="AB918" s="107"/>
      <c r="AC918" s="107"/>
      <c r="AD918" s="233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7"/>
      <c r="AV918" s="107"/>
      <c r="AW918" s="107"/>
      <c r="AX918" s="107"/>
      <c r="AY918" s="107"/>
      <c r="AZ918" s="107"/>
      <c r="BA918" s="107"/>
      <c r="BB918" s="107"/>
      <c r="BC918" s="107"/>
      <c r="BD918" s="107"/>
      <c r="BE918" s="107"/>
      <c r="BF918" s="107"/>
      <c r="BG918" s="107"/>
      <c r="BH918" s="107"/>
      <c r="BI918" s="107"/>
      <c r="BJ918" s="107"/>
      <c r="BK918" s="107"/>
      <c r="BL918" s="107"/>
      <c r="BM918" s="107"/>
      <c r="BN918" s="107"/>
      <c r="BO918" s="107"/>
      <c r="BP918" s="107"/>
      <c r="BQ918" s="107"/>
      <c r="BR918" s="107"/>
    </row>
    <row r="919" customFormat="false" ht="12.75" hidden="false" customHeight="false" outlineLevel="0" collapsed="false">
      <c r="A919" s="100"/>
      <c r="B919" s="100"/>
      <c r="C919" s="100"/>
      <c r="D919" s="100"/>
      <c r="E919" s="100"/>
      <c r="F919" s="277"/>
      <c r="H919" s="277"/>
      <c r="I919" s="277"/>
      <c r="J919" s="277"/>
      <c r="K919" s="277"/>
      <c r="L919" s="277"/>
      <c r="M919" s="277"/>
      <c r="N919" s="277"/>
      <c r="O919" s="277"/>
      <c r="P919" s="277"/>
      <c r="Q919" s="277"/>
      <c r="R919" s="277"/>
      <c r="T919" s="277"/>
      <c r="U919" s="277"/>
      <c r="W919" s="277"/>
      <c r="Y919" s="107"/>
      <c r="Z919" s="107"/>
      <c r="AA919" s="107"/>
      <c r="AB919" s="107"/>
      <c r="AC919" s="107"/>
      <c r="AD919" s="233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7"/>
      <c r="AV919" s="107"/>
      <c r="AW919" s="107"/>
      <c r="AX919" s="107"/>
      <c r="AY919" s="107"/>
      <c r="AZ919" s="107"/>
      <c r="BA919" s="107"/>
      <c r="BB919" s="107"/>
      <c r="BC919" s="107"/>
      <c r="BD919" s="107"/>
      <c r="BE919" s="107"/>
      <c r="BF919" s="107"/>
      <c r="BG919" s="107"/>
      <c r="BH919" s="107"/>
      <c r="BI919" s="107"/>
      <c r="BJ919" s="107"/>
      <c r="BK919" s="107"/>
      <c r="BL919" s="107"/>
      <c r="BM919" s="107"/>
      <c r="BN919" s="107"/>
      <c r="BO919" s="107"/>
      <c r="BP919" s="107"/>
      <c r="BQ919" s="107"/>
      <c r="BR919" s="107"/>
    </row>
    <row r="920" customFormat="false" ht="12.75" hidden="false" customHeight="false" outlineLevel="0" collapsed="false">
      <c r="A920" s="100"/>
      <c r="B920" s="100"/>
      <c r="C920" s="100"/>
      <c r="D920" s="100"/>
      <c r="E920" s="100"/>
      <c r="F920" s="277"/>
      <c r="H920" s="277"/>
      <c r="I920" s="277"/>
      <c r="J920" s="277"/>
      <c r="K920" s="277"/>
      <c r="L920" s="277"/>
      <c r="M920" s="277"/>
      <c r="N920" s="277"/>
      <c r="O920" s="277"/>
      <c r="P920" s="277"/>
      <c r="Q920" s="277"/>
      <c r="R920" s="277"/>
      <c r="T920" s="277"/>
      <c r="U920" s="277"/>
      <c r="W920" s="277"/>
      <c r="Y920" s="107"/>
      <c r="Z920" s="107"/>
      <c r="AA920" s="107"/>
      <c r="AB920" s="107"/>
      <c r="AC920" s="107"/>
      <c r="AD920" s="233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7"/>
      <c r="AV920" s="107"/>
      <c r="AW920" s="107"/>
      <c r="AX920" s="107"/>
      <c r="AY920" s="107"/>
      <c r="AZ920" s="107"/>
      <c r="BA920" s="107"/>
      <c r="BB920" s="107"/>
      <c r="BC920" s="107"/>
      <c r="BD920" s="107"/>
      <c r="BE920" s="107"/>
      <c r="BF920" s="107"/>
      <c r="BG920" s="107"/>
      <c r="BH920" s="107"/>
      <c r="BI920" s="107"/>
      <c r="BJ920" s="107"/>
      <c r="BK920" s="107"/>
      <c r="BL920" s="107"/>
      <c r="BM920" s="107"/>
      <c r="BN920" s="107"/>
      <c r="BO920" s="107"/>
      <c r="BP920" s="107"/>
      <c r="BQ920" s="107"/>
      <c r="BR920" s="107"/>
    </row>
    <row r="921" customFormat="false" ht="12.75" hidden="false" customHeight="false" outlineLevel="0" collapsed="false">
      <c r="A921" s="100"/>
      <c r="B921" s="100"/>
      <c r="C921" s="100"/>
      <c r="D921" s="100"/>
      <c r="E921" s="100"/>
      <c r="F921" s="277"/>
      <c r="H921" s="277"/>
      <c r="I921" s="277"/>
      <c r="J921" s="277"/>
      <c r="K921" s="277"/>
      <c r="L921" s="277"/>
      <c r="M921" s="277"/>
      <c r="N921" s="277"/>
      <c r="O921" s="277"/>
      <c r="P921" s="277"/>
      <c r="Q921" s="277"/>
      <c r="R921" s="277"/>
      <c r="T921" s="277"/>
      <c r="U921" s="277"/>
      <c r="W921" s="277"/>
      <c r="Y921" s="107"/>
      <c r="Z921" s="107"/>
      <c r="AA921" s="107"/>
      <c r="AB921" s="107"/>
      <c r="AC921" s="107"/>
      <c r="AD921" s="233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7"/>
      <c r="AV921" s="107"/>
      <c r="AW921" s="107"/>
      <c r="AX921" s="107"/>
      <c r="AY921" s="107"/>
      <c r="AZ921" s="107"/>
      <c r="BA921" s="107"/>
      <c r="BB921" s="107"/>
      <c r="BC921" s="107"/>
      <c r="BD921" s="107"/>
      <c r="BE921" s="107"/>
      <c r="BF921" s="107"/>
      <c r="BG921" s="107"/>
      <c r="BH921" s="107"/>
      <c r="BI921" s="107"/>
      <c r="BJ921" s="107"/>
      <c r="BK921" s="107"/>
      <c r="BL921" s="107"/>
      <c r="BM921" s="107"/>
      <c r="BN921" s="107"/>
      <c r="BO921" s="107"/>
      <c r="BP921" s="107"/>
      <c r="BQ921" s="107"/>
      <c r="BR921" s="107"/>
    </row>
    <row r="922" customFormat="false" ht="12.75" hidden="false" customHeight="false" outlineLevel="0" collapsed="false">
      <c r="A922" s="100"/>
      <c r="B922" s="100"/>
      <c r="C922" s="100"/>
      <c r="D922" s="100"/>
      <c r="E922" s="100"/>
      <c r="F922" s="277"/>
      <c r="H922" s="277"/>
      <c r="I922" s="277"/>
      <c r="J922" s="277"/>
      <c r="K922" s="277"/>
      <c r="L922" s="277"/>
      <c r="M922" s="277"/>
      <c r="N922" s="277"/>
      <c r="O922" s="277"/>
      <c r="P922" s="277"/>
      <c r="Q922" s="277"/>
      <c r="R922" s="277"/>
      <c r="T922" s="277"/>
      <c r="U922" s="277"/>
      <c r="W922" s="277"/>
      <c r="Y922" s="107"/>
      <c r="Z922" s="107"/>
      <c r="AA922" s="107"/>
      <c r="AB922" s="107"/>
      <c r="AC922" s="107"/>
      <c r="AD922" s="233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7"/>
      <c r="AV922" s="107"/>
      <c r="AW922" s="107"/>
      <c r="AX922" s="107"/>
      <c r="AY922" s="107"/>
      <c r="AZ922" s="107"/>
      <c r="BA922" s="107"/>
      <c r="BB922" s="107"/>
      <c r="BC922" s="107"/>
      <c r="BD922" s="107"/>
      <c r="BE922" s="107"/>
      <c r="BF922" s="107"/>
      <c r="BG922" s="107"/>
      <c r="BH922" s="107"/>
      <c r="BI922" s="107"/>
      <c r="BJ922" s="107"/>
      <c r="BK922" s="107"/>
      <c r="BL922" s="107"/>
      <c r="BM922" s="107"/>
      <c r="BN922" s="107"/>
      <c r="BO922" s="107"/>
      <c r="BP922" s="107"/>
      <c r="BQ922" s="107"/>
      <c r="BR922" s="107"/>
    </row>
    <row r="923" customFormat="false" ht="12.75" hidden="false" customHeight="false" outlineLevel="0" collapsed="false">
      <c r="A923" s="100"/>
      <c r="B923" s="100"/>
      <c r="C923" s="100"/>
      <c r="D923" s="100"/>
      <c r="E923" s="100"/>
      <c r="F923" s="277"/>
      <c r="H923" s="277"/>
      <c r="I923" s="277"/>
      <c r="J923" s="277"/>
      <c r="K923" s="277"/>
      <c r="L923" s="277"/>
      <c r="M923" s="277"/>
      <c r="N923" s="277"/>
      <c r="O923" s="277"/>
      <c r="P923" s="277"/>
      <c r="Q923" s="277"/>
      <c r="R923" s="277"/>
      <c r="T923" s="277"/>
      <c r="U923" s="277"/>
      <c r="W923" s="277"/>
      <c r="Y923" s="107"/>
      <c r="Z923" s="107"/>
      <c r="AA923" s="107"/>
      <c r="AB923" s="107"/>
      <c r="AC923" s="107"/>
      <c r="AD923" s="233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7"/>
      <c r="AV923" s="107"/>
      <c r="AW923" s="107"/>
      <c r="AX923" s="107"/>
      <c r="AY923" s="107"/>
      <c r="AZ923" s="107"/>
      <c r="BA923" s="107"/>
      <c r="BB923" s="107"/>
      <c r="BC923" s="107"/>
      <c r="BD923" s="107"/>
      <c r="BE923" s="107"/>
      <c r="BF923" s="107"/>
      <c r="BG923" s="107"/>
      <c r="BH923" s="107"/>
      <c r="BI923" s="107"/>
      <c r="BJ923" s="107"/>
      <c r="BK923" s="107"/>
      <c r="BL923" s="107"/>
      <c r="BM923" s="107"/>
      <c r="BN923" s="107"/>
      <c r="BO923" s="107"/>
      <c r="BP923" s="107"/>
      <c r="BQ923" s="107"/>
      <c r="BR923" s="107"/>
    </row>
    <row r="924" customFormat="false" ht="12.75" hidden="false" customHeight="false" outlineLevel="0" collapsed="false">
      <c r="A924" s="100"/>
      <c r="B924" s="100"/>
      <c r="C924" s="100"/>
      <c r="D924" s="100"/>
      <c r="E924" s="100"/>
      <c r="F924" s="277"/>
      <c r="H924" s="277"/>
      <c r="I924" s="277"/>
      <c r="J924" s="277"/>
      <c r="K924" s="277"/>
      <c r="L924" s="277"/>
      <c r="M924" s="277"/>
      <c r="N924" s="277"/>
      <c r="O924" s="277"/>
      <c r="P924" s="277"/>
      <c r="Q924" s="277"/>
      <c r="R924" s="277"/>
      <c r="T924" s="277"/>
      <c r="U924" s="277"/>
      <c r="W924" s="277"/>
      <c r="Y924" s="107"/>
      <c r="Z924" s="107"/>
      <c r="AA924" s="107"/>
      <c r="AB924" s="107"/>
      <c r="AC924" s="107"/>
      <c r="AD924" s="233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7"/>
      <c r="AV924" s="107"/>
      <c r="AW924" s="107"/>
      <c r="AX924" s="107"/>
      <c r="AY924" s="107"/>
      <c r="AZ924" s="107"/>
      <c r="BA924" s="107"/>
      <c r="BB924" s="107"/>
      <c r="BC924" s="107"/>
      <c r="BD924" s="107"/>
      <c r="BE924" s="107"/>
      <c r="BF924" s="107"/>
      <c r="BG924" s="107"/>
      <c r="BH924" s="107"/>
      <c r="BI924" s="107"/>
      <c r="BJ924" s="107"/>
      <c r="BK924" s="107"/>
      <c r="BL924" s="107"/>
      <c r="BM924" s="107"/>
      <c r="BN924" s="107"/>
      <c r="BO924" s="107"/>
      <c r="BP924" s="107"/>
      <c r="BQ924" s="107"/>
      <c r="BR924" s="107"/>
    </row>
    <row r="925" customFormat="false" ht="12.75" hidden="false" customHeight="false" outlineLevel="0" collapsed="false">
      <c r="A925" s="100"/>
      <c r="B925" s="100"/>
      <c r="C925" s="100"/>
      <c r="D925" s="100"/>
      <c r="E925" s="100"/>
      <c r="F925" s="277"/>
      <c r="H925" s="277"/>
      <c r="I925" s="277"/>
      <c r="J925" s="277"/>
      <c r="K925" s="277"/>
      <c r="L925" s="277"/>
      <c r="M925" s="277"/>
      <c r="N925" s="277"/>
      <c r="O925" s="277"/>
      <c r="P925" s="277"/>
      <c r="Q925" s="277"/>
      <c r="R925" s="277"/>
      <c r="T925" s="277"/>
      <c r="U925" s="277"/>
      <c r="W925" s="277"/>
      <c r="Y925" s="107"/>
      <c r="Z925" s="107"/>
      <c r="AA925" s="107"/>
      <c r="AB925" s="107"/>
      <c r="AC925" s="107"/>
      <c r="AD925" s="233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7"/>
      <c r="AV925" s="107"/>
      <c r="AW925" s="107"/>
      <c r="AX925" s="107"/>
      <c r="AY925" s="107"/>
      <c r="AZ925" s="107"/>
      <c r="BA925" s="107"/>
      <c r="BB925" s="107"/>
      <c r="BC925" s="107"/>
      <c r="BD925" s="107"/>
      <c r="BE925" s="107"/>
      <c r="BF925" s="107"/>
      <c r="BG925" s="107"/>
      <c r="BH925" s="107"/>
      <c r="BI925" s="107"/>
      <c r="BJ925" s="107"/>
      <c r="BK925" s="107"/>
      <c r="BL925" s="107"/>
      <c r="BM925" s="107"/>
      <c r="BN925" s="107"/>
      <c r="BO925" s="107"/>
      <c r="BP925" s="107"/>
      <c r="BQ925" s="107"/>
      <c r="BR925" s="107"/>
    </row>
    <row r="926" customFormat="false" ht="12.75" hidden="false" customHeight="false" outlineLevel="0" collapsed="false">
      <c r="A926" s="100"/>
      <c r="B926" s="100"/>
      <c r="C926" s="100"/>
      <c r="D926" s="100"/>
      <c r="E926" s="100"/>
      <c r="F926" s="277"/>
      <c r="H926" s="277"/>
      <c r="I926" s="277"/>
      <c r="J926" s="277"/>
      <c r="K926" s="277"/>
      <c r="L926" s="277"/>
      <c r="M926" s="277"/>
      <c r="N926" s="277"/>
      <c r="O926" s="277"/>
      <c r="P926" s="277"/>
      <c r="Q926" s="277"/>
      <c r="R926" s="277"/>
      <c r="T926" s="277"/>
      <c r="U926" s="277"/>
      <c r="W926" s="277"/>
      <c r="Y926" s="107"/>
      <c r="Z926" s="107"/>
      <c r="AA926" s="107"/>
      <c r="AB926" s="107"/>
      <c r="AC926" s="107"/>
      <c r="AD926" s="233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7"/>
      <c r="AV926" s="107"/>
      <c r="AW926" s="107"/>
      <c r="AX926" s="107"/>
      <c r="AY926" s="107"/>
      <c r="AZ926" s="107"/>
      <c r="BA926" s="107"/>
      <c r="BB926" s="107"/>
      <c r="BC926" s="107"/>
      <c r="BD926" s="107"/>
      <c r="BE926" s="107"/>
      <c r="BF926" s="107"/>
      <c r="BG926" s="107"/>
      <c r="BH926" s="107"/>
      <c r="BI926" s="107"/>
      <c r="BJ926" s="107"/>
      <c r="BK926" s="107"/>
      <c r="BL926" s="107"/>
      <c r="BM926" s="107"/>
      <c r="BN926" s="107"/>
      <c r="BO926" s="107"/>
      <c r="BP926" s="107"/>
      <c r="BQ926" s="107"/>
      <c r="BR926" s="107"/>
    </row>
    <row r="927" customFormat="false" ht="12.75" hidden="false" customHeight="false" outlineLevel="0" collapsed="false">
      <c r="A927" s="100"/>
      <c r="B927" s="100"/>
      <c r="C927" s="100"/>
      <c r="D927" s="100"/>
      <c r="E927" s="100"/>
      <c r="F927" s="277"/>
      <c r="H927" s="277"/>
      <c r="I927" s="277"/>
      <c r="J927" s="277"/>
      <c r="K927" s="277"/>
      <c r="L927" s="277"/>
      <c r="M927" s="277"/>
      <c r="N927" s="277"/>
      <c r="O927" s="277"/>
      <c r="P927" s="277"/>
      <c r="Q927" s="277"/>
      <c r="R927" s="277"/>
      <c r="T927" s="277"/>
      <c r="U927" s="277"/>
      <c r="W927" s="277"/>
      <c r="Y927" s="107"/>
      <c r="Z927" s="107"/>
      <c r="AA927" s="107"/>
      <c r="AB927" s="107"/>
      <c r="AC927" s="107"/>
      <c r="AD927" s="233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7"/>
      <c r="AV927" s="107"/>
      <c r="AW927" s="107"/>
      <c r="AX927" s="107"/>
      <c r="AY927" s="107"/>
      <c r="AZ927" s="107"/>
      <c r="BA927" s="107"/>
      <c r="BB927" s="107"/>
      <c r="BC927" s="107"/>
      <c r="BD927" s="107"/>
      <c r="BE927" s="107"/>
      <c r="BF927" s="107"/>
      <c r="BG927" s="107"/>
      <c r="BH927" s="107"/>
      <c r="BI927" s="107"/>
      <c r="BJ927" s="107"/>
      <c r="BK927" s="107"/>
      <c r="BL927" s="107"/>
      <c r="BM927" s="107"/>
      <c r="BN927" s="107"/>
      <c r="BO927" s="107"/>
      <c r="BP927" s="107"/>
      <c r="BQ927" s="107"/>
      <c r="BR927" s="107"/>
    </row>
    <row r="928" customFormat="false" ht="12.75" hidden="false" customHeight="false" outlineLevel="0" collapsed="false">
      <c r="A928" s="100"/>
      <c r="B928" s="100"/>
      <c r="C928" s="100"/>
      <c r="D928" s="100"/>
      <c r="E928" s="100"/>
      <c r="F928" s="277"/>
      <c r="H928" s="277"/>
      <c r="I928" s="277"/>
      <c r="J928" s="277"/>
      <c r="K928" s="277"/>
      <c r="L928" s="277"/>
      <c r="M928" s="277"/>
      <c r="N928" s="277"/>
      <c r="O928" s="277"/>
      <c r="P928" s="277"/>
      <c r="Q928" s="277"/>
      <c r="R928" s="277"/>
      <c r="T928" s="277"/>
      <c r="U928" s="277"/>
      <c r="W928" s="277"/>
      <c r="Y928" s="107"/>
      <c r="Z928" s="107"/>
      <c r="AA928" s="107"/>
      <c r="AB928" s="107"/>
      <c r="AC928" s="107"/>
      <c r="AD928" s="233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7"/>
      <c r="AV928" s="107"/>
      <c r="AW928" s="107"/>
      <c r="AX928" s="107"/>
      <c r="AY928" s="107"/>
      <c r="AZ928" s="107"/>
      <c r="BA928" s="107"/>
      <c r="BB928" s="107"/>
      <c r="BC928" s="107"/>
      <c r="BD928" s="107"/>
      <c r="BE928" s="107"/>
      <c r="BF928" s="107"/>
      <c r="BG928" s="107"/>
      <c r="BH928" s="107"/>
      <c r="BI928" s="107"/>
      <c r="BJ928" s="107"/>
      <c r="BK928" s="107"/>
      <c r="BL928" s="107"/>
      <c r="BM928" s="107"/>
      <c r="BN928" s="107"/>
      <c r="BO928" s="107"/>
      <c r="BP928" s="107"/>
      <c r="BQ928" s="107"/>
      <c r="BR928" s="107"/>
    </row>
    <row r="929" customFormat="false" ht="12.75" hidden="false" customHeight="false" outlineLevel="0" collapsed="false">
      <c r="A929" s="100"/>
      <c r="B929" s="100"/>
      <c r="C929" s="100"/>
      <c r="D929" s="100"/>
      <c r="E929" s="100"/>
      <c r="F929" s="277"/>
      <c r="H929" s="277"/>
      <c r="I929" s="277"/>
      <c r="J929" s="277"/>
      <c r="K929" s="277"/>
      <c r="L929" s="277"/>
      <c r="M929" s="277"/>
      <c r="N929" s="277"/>
      <c r="O929" s="277"/>
      <c r="P929" s="277"/>
      <c r="Q929" s="277"/>
      <c r="R929" s="277"/>
      <c r="T929" s="277"/>
      <c r="U929" s="277"/>
      <c r="W929" s="277"/>
      <c r="Y929" s="107"/>
      <c r="Z929" s="107"/>
      <c r="AA929" s="107"/>
      <c r="AB929" s="107"/>
      <c r="AC929" s="107"/>
      <c r="AD929" s="233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7"/>
      <c r="AV929" s="107"/>
      <c r="AW929" s="107"/>
      <c r="AX929" s="107"/>
      <c r="AY929" s="107"/>
      <c r="AZ929" s="107"/>
      <c r="BA929" s="107"/>
      <c r="BB929" s="107"/>
      <c r="BC929" s="107"/>
      <c r="BD929" s="107"/>
      <c r="BE929" s="107"/>
      <c r="BF929" s="107"/>
      <c r="BG929" s="107"/>
      <c r="BH929" s="107"/>
      <c r="BI929" s="107"/>
      <c r="BJ929" s="107"/>
      <c r="BK929" s="107"/>
      <c r="BL929" s="107"/>
      <c r="BM929" s="107"/>
      <c r="BN929" s="107"/>
      <c r="BO929" s="107"/>
      <c r="BP929" s="107"/>
      <c r="BQ929" s="107"/>
      <c r="BR929" s="107"/>
    </row>
    <row r="930" customFormat="false" ht="12.75" hidden="false" customHeight="false" outlineLevel="0" collapsed="false">
      <c r="A930" s="100"/>
      <c r="B930" s="100"/>
      <c r="C930" s="100"/>
      <c r="D930" s="100"/>
      <c r="E930" s="100"/>
      <c r="F930" s="277"/>
      <c r="H930" s="277"/>
      <c r="I930" s="277"/>
      <c r="J930" s="277"/>
      <c r="K930" s="277"/>
      <c r="L930" s="277"/>
      <c r="M930" s="277"/>
      <c r="N930" s="277"/>
      <c r="O930" s="277"/>
      <c r="P930" s="277"/>
      <c r="Q930" s="277"/>
      <c r="R930" s="277"/>
      <c r="T930" s="277"/>
      <c r="U930" s="277"/>
      <c r="W930" s="277"/>
      <c r="Y930" s="107"/>
      <c r="Z930" s="107"/>
      <c r="AA930" s="107"/>
      <c r="AB930" s="107"/>
      <c r="AC930" s="107"/>
      <c r="AD930" s="233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7"/>
      <c r="AV930" s="107"/>
      <c r="AW930" s="107"/>
      <c r="AX930" s="107"/>
      <c r="AY930" s="107"/>
      <c r="AZ930" s="107"/>
      <c r="BA930" s="107"/>
      <c r="BB930" s="107"/>
      <c r="BC930" s="107"/>
      <c r="BD930" s="107"/>
      <c r="BE930" s="107"/>
      <c r="BF930" s="107"/>
      <c r="BG930" s="107"/>
      <c r="BH930" s="107"/>
      <c r="BI930" s="107"/>
      <c r="BJ930" s="107"/>
      <c r="BK930" s="107"/>
      <c r="BL930" s="107"/>
      <c r="BM930" s="107"/>
      <c r="BN930" s="107"/>
      <c r="BO930" s="107"/>
      <c r="BP930" s="107"/>
      <c r="BQ930" s="107"/>
      <c r="BR930" s="107"/>
    </row>
    <row r="931" customFormat="false" ht="12.75" hidden="false" customHeight="false" outlineLevel="0" collapsed="false">
      <c r="A931" s="100"/>
      <c r="B931" s="100"/>
      <c r="C931" s="100"/>
      <c r="D931" s="100"/>
      <c r="E931" s="100"/>
      <c r="F931" s="277"/>
      <c r="H931" s="277"/>
      <c r="I931" s="277"/>
      <c r="J931" s="277"/>
      <c r="K931" s="277"/>
      <c r="L931" s="277"/>
      <c r="M931" s="277"/>
      <c r="N931" s="277"/>
      <c r="O931" s="277"/>
      <c r="P931" s="277"/>
      <c r="Q931" s="277"/>
      <c r="R931" s="277"/>
      <c r="T931" s="277"/>
      <c r="U931" s="277"/>
      <c r="W931" s="277"/>
      <c r="Y931" s="107"/>
      <c r="Z931" s="107"/>
      <c r="AA931" s="107"/>
      <c r="AB931" s="107"/>
      <c r="AC931" s="107"/>
      <c r="AD931" s="233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7"/>
      <c r="AV931" s="107"/>
      <c r="AW931" s="107"/>
      <c r="AX931" s="107"/>
      <c r="AY931" s="107"/>
      <c r="AZ931" s="107"/>
      <c r="BA931" s="107"/>
      <c r="BB931" s="107"/>
      <c r="BC931" s="107"/>
      <c r="BD931" s="107"/>
      <c r="BE931" s="107"/>
      <c r="BF931" s="107"/>
      <c r="BG931" s="107"/>
      <c r="BH931" s="107"/>
      <c r="BI931" s="107"/>
      <c r="BJ931" s="107"/>
      <c r="BK931" s="107"/>
      <c r="BL931" s="107"/>
      <c r="BM931" s="107"/>
      <c r="BN931" s="107"/>
      <c r="BO931" s="107"/>
      <c r="BP931" s="107"/>
      <c r="BQ931" s="107"/>
      <c r="BR931" s="107"/>
    </row>
    <row r="932" customFormat="false" ht="12.75" hidden="false" customHeight="false" outlineLevel="0" collapsed="false">
      <c r="A932" s="100"/>
      <c r="B932" s="100"/>
      <c r="C932" s="100"/>
      <c r="D932" s="100"/>
      <c r="E932" s="100"/>
      <c r="F932" s="277"/>
      <c r="H932" s="277"/>
      <c r="I932" s="277"/>
      <c r="J932" s="277"/>
      <c r="K932" s="277"/>
      <c r="L932" s="277"/>
      <c r="M932" s="277"/>
      <c r="N932" s="277"/>
      <c r="O932" s="277"/>
      <c r="P932" s="277"/>
      <c r="Q932" s="277"/>
      <c r="R932" s="277"/>
      <c r="T932" s="277"/>
      <c r="U932" s="277"/>
      <c r="W932" s="277"/>
      <c r="Y932" s="107"/>
      <c r="Z932" s="107"/>
      <c r="AA932" s="107"/>
      <c r="AB932" s="107"/>
      <c r="AC932" s="107"/>
      <c r="AD932" s="233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7"/>
      <c r="AV932" s="107"/>
      <c r="AW932" s="107"/>
      <c r="AX932" s="107"/>
      <c r="AY932" s="107"/>
      <c r="AZ932" s="107"/>
      <c r="BA932" s="107"/>
      <c r="BB932" s="107"/>
      <c r="BC932" s="107"/>
      <c r="BD932" s="107"/>
      <c r="BE932" s="107"/>
      <c r="BF932" s="107"/>
      <c r="BG932" s="107"/>
      <c r="BH932" s="107"/>
      <c r="BI932" s="107"/>
      <c r="BJ932" s="107"/>
      <c r="BK932" s="107"/>
      <c r="BL932" s="107"/>
      <c r="BM932" s="107"/>
      <c r="BN932" s="107"/>
      <c r="BO932" s="107"/>
      <c r="BP932" s="107"/>
      <c r="BQ932" s="107"/>
      <c r="BR932" s="107"/>
    </row>
    <row r="933" customFormat="false" ht="12.75" hidden="false" customHeight="false" outlineLevel="0" collapsed="false">
      <c r="A933" s="100"/>
      <c r="B933" s="100"/>
      <c r="C933" s="100"/>
      <c r="D933" s="100"/>
      <c r="E933" s="100"/>
      <c r="F933" s="277"/>
      <c r="H933" s="277"/>
      <c r="I933" s="277"/>
      <c r="J933" s="277"/>
      <c r="K933" s="277"/>
      <c r="L933" s="277"/>
      <c r="M933" s="277"/>
      <c r="N933" s="277"/>
      <c r="O933" s="277"/>
      <c r="P933" s="277"/>
      <c r="Q933" s="277"/>
      <c r="R933" s="277"/>
      <c r="T933" s="277"/>
      <c r="U933" s="277"/>
      <c r="W933" s="277"/>
      <c r="Y933" s="107"/>
      <c r="Z933" s="107"/>
      <c r="AA933" s="107"/>
      <c r="AB933" s="107"/>
      <c r="AC933" s="107"/>
      <c r="AD933" s="233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7"/>
      <c r="AV933" s="107"/>
      <c r="AW933" s="107"/>
      <c r="AX933" s="107"/>
      <c r="AY933" s="107"/>
      <c r="AZ933" s="107"/>
      <c r="BA933" s="107"/>
      <c r="BB933" s="107"/>
      <c r="BC933" s="107"/>
      <c r="BD933" s="107"/>
      <c r="BE933" s="107"/>
      <c r="BF933" s="107"/>
      <c r="BG933" s="107"/>
      <c r="BH933" s="107"/>
      <c r="BI933" s="107"/>
      <c r="BJ933" s="107"/>
      <c r="BK933" s="107"/>
      <c r="BL933" s="107"/>
      <c r="BM933" s="107"/>
      <c r="BN933" s="107"/>
      <c r="BO933" s="107"/>
      <c r="BP933" s="107"/>
      <c r="BQ933" s="107"/>
      <c r="BR933" s="107"/>
    </row>
    <row r="934" customFormat="false" ht="12.75" hidden="false" customHeight="false" outlineLevel="0" collapsed="false">
      <c r="A934" s="100"/>
      <c r="B934" s="100"/>
      <c r="C934" s="100"/>
      <c r="D934" s="100"/>
      <c r="E934" s="100"/>
      <c r="F934" s="277"/>
      <c r="H934" s="277"/>
      <c r="I934" s="277"/>
      <c r="J934" s="277"/>
      <c r="K934" s="277"/>
      <c r="L934" s="277"/>
      <c r="M934" s="277"/>
      <c r="N934" s="277"/>
      <c r="O934" s="277"/>
      <c r="P934" s="277"/>
      <c r="Q934" s="277"/>
      <c r="R934" s="277"/>
      <c r="T934" s="277"/>
      <c r="U934" s="277"/>
      <c r="W934" s="277"/>
      <c r="Y934" s="107"/>
      <c r="Z934" s="107"/>
      <c r="AA934" s="107"/>
      <c r="AB934" s="107"/>
      <c r="AC934" s="107"/>
      <c r="AD934" s="233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7"/>
      <c r="BC934" s="107"/>
      <c r="BD934" s="107"/>
      <c r="BE934" s="107"/>
      <c r="BF934" s="107"/>
      <c r="BG934" s="107"/>
      <c r="BH934" s="107"/>
      <c r="BI934" s="107"/>
      <c r="BJ934" s="107"/>
      <c r="BK934" s="107"/>
      <c r="BL934" s="107"/>
      <c r="BM934" s="107"/>
      <c r="BN934" s="107"/>
      <c r="BO934" s="107"/>
      <c r="BP934" s="107"/>
      <c r="BQ934" s="107"/>
      <c r="BR934" s="107"/>
    </row>
    <row r="935" customFormat="false" ht="12.75" hidden="false" customHeight="false" outlineLevel="0" collapsed="false">
      <c r="A935" s="100"/>
      <c r="B935" s="100"/>
      <c r="C935" s="100"/>
      <c r="D935" s="100"/>
      <c r="E935" s="100"/>
      <c r="F935" s="277"/>
      <c r="H935" s="277"/>
      <c r="I935" s="277"/>
      <c r="J935" s="277"/>
      <c r="K935" s="277"/>
      <c r="L935" s="277"/>
      <c r="M935" s="277"/>
      <c r="N935" s="277"/>
      <c r="O935" s="277"/>
      <c r="P935" s="277"/>
      <c r="Q935" s="277"/>
      <c r="R935" s="277"/>
      <c r="T935" s="277"/>
      <c r="U935" s="277"/>
      <c r="W935" s="277"/>
      <c r="Y935" s="107"/>
      <c r="Z935" s="107"/>
      <c r="AA935" s="107"/>
      <c r="AB935" s="107"/>
      <c r="AC935" s="107"/>
      <c r="AD935" s="233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7"/>
      <c r="AV935" s="107"/>
      <c r="AW935" s="107"/>
      <c r="AX935" s="107"/>
      <c r="AY935" s="107"/>
      <c r="AZ935" s="107"/>
      <c r="BA935" s="107"/>
      <c r="BB935" s="107"/>
      <c r="BC935" s="107"/>
      <c r="BD935" s="107"/>
      <c r="BE935" s="107"/>
      <c r="BF935" s="107"/>
      <c r="BG935" s="107"/>
      <c r="BH935" s="107"/>
      <c r="BI935" s="107"/>
      <c r="BJ935" s="107"/>
      <c r="BK935" s="107"/>
      <c r="BL935" s="107"/>
      <c r="BM935" s="107"/>
      <c r="BN935" s="107"/>
      <c r="BO935" s="107"/>
      <c r="BP935" s="107"/>
      <c r="BQ935" s="107"/>
      <c r="BR935" s="107"/>
    </row>
    <row r="936" customFormat="false" ht="12.75" hidden="false" customHeight="false" outlineLevel="0" collapsed="false">
      <c r="A936" s="100"/>
      <c r="B936" s="100"/>
      <c r="C936" s="100"/>
      <c r="D936" s="100"/>
      <c r="E936" s="100"/>
      <c r="F936" s="277"/>
      <c r="H936" s="277"/>
      <c r="I936" s="277"/>
      <c r="J936" s="277"/>
      <c r="K936" s="277"/>
      <c r="L936" s="277"/>
      <c r="M936" s="277"/>
      <c r="N936" s="277"/>
      <c r="O936" s="277"/>
      <c r="P936" s="277"/>
      <c r="Q936" s="277"/>
      <c r="R936" s="277"/>
      <c r="T936" s="277"/>
      <c r="U936" s="277"/>
      <c r="W936" s="277"/>
      <c r="Y936" s="107"/>
      <c r="Z936" s="107"/>
      <c r="AA936" s="107"/>
      <c r="AB936" s="107"/>
      <c r="AC936" s="107"/>
      <c r="AD936" s="233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7"/>
      <c r="AV936" s="107"/>
      <c r="AW936" s="107"/>
      <c r="AX936" s="107"/>
      <c r="AY936" s="107"/>
      <c r="AZ936" s="107"/>
      <c r="BA936" s="107"/>
      <c r="BB936" s="107"/>
      <c r="BC936" s="107"/>
      <c r="BD936" s="107"/>
      <c r="BE936" s="107"/>
      <c r="BF936" s="107"/>
      <c r="BG936" s="107"/>
      <c r="BH936" s="107"/>
      <c r="BI936" s="107"/>
      <c r="BJ936" s="107"/>
      <c r="BK936" s="107"/>
      <c r="BL936" s="107"/>
      <c r="BM936" s="107"/>
      <c r="BN936" s="107"/>
      <c r="BO936" s="107"/>
      <c r="BP936" s="107"/>
      <c r="BQ936" s="107"/>
      <c r="BR936" s="107"/>
    </row>
    <row r="937" customFormat="false" ht="12.75" hidden="false" customHeight="false" outlineLevel="0" collapsed="false">
      <c r="A937" s="100"/>
      <c r="B937" s="100"/>
      <c r="C937" s="100"/>
      <c r="D937" s="100"/>
      <c r="E937" s="100"/>
      <c r="F937" s="277"/>
      <c r="H937" s="277"/>
      <c r="I937" s="277"/>
      <c r="J937" s="277"/>
      <c r="K937" s="277"/>
      <c r="L937" s="277"/>
      <c r="M937" s="277"/>
      <c r="N937" s="277"/>
      <c r="O937" s="277"/>
      <c r="P937" s="277"/>
      <c r="Q937" s="277"/>
      <c r="R937" s="277"/>
      <c r="T937" s="277"/>
      <c r="U937" s="277"/>
      <c r="W937" s="277"/>
      <c r="Y937" s="107"/>
      <c r="Z937" s="107"/>
      <c r="AA937" s="107"/>
      <c r="AB937" s="107"/>
      <c r="AC937" s="107"/>
      <c r="AD937" s="233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7"/>
      <c r="AV937" s="107"/>
      <c r="AW937" s="107"/>
      <c r="AX937" s="107"/>
      <c r="AY937" s="107"/>
      <c r="AZ937" s="107"/>
      <c r="BA937" s="107"/>
      <c r="BB937" s="107"/>
      <c r="BC937" s="107"/>
      <c r="BD937" s="107"/>
      <c r="BE937" s="107"/>
      <c r="BF937" s="107"/>
      <c r="BG937" s="107"/>
      <c r="BH937" s="107"/>
      <c r="BI937" s="107"/>
      <c r="BJ937" s="107"/>
      <c r="BK937" s="107"/>
      <c r="BL937" s="107"/>
      <c r="BM937" s="107"/>
      <c r="BN937" s="107"/>
      <c r="BO937" s="107"/>
      <c r="BP937" s="107"/>
      <c r="BQ937" s="107"/>
      <c r="BR937" s="107"/>
    </row>
    <row r="938" customFormat="false" ht="12.75" hidden="false" customHeight="false" outlineLevel="0" collapsed="false">
      <c r="A938" s="100"/>
      <c r="B938" s="100"/>
      <c r="C938" s="100"/>
      <c r="D938" s="100"/>
      <c r="E938" s="100"/>
      <c r="F938" s="277"/>
      <c r="H938" s="277"/>
      <c r="I938" s="277"/>
      <c r="J938" s="277"/>
      <c r="K938" s="277"/>
      <c r="L938" s="277"/>
      <c r="M938" s="277"/>
      <c r="N938" s="277"/>
      <c r="O938" s="277"/>
      <c r="P938" s="277"/>
      <c r="Q938" s="277"/>
      <c r="R938" s="277"/>
      <c r="T938" s="277"/>
      <c r="U938" s="277"/>
      <c r="W938" s="277"/>
      <c r="Y938" s="107"/>
      <c r="Z938" s="107"/>
      <c r="AA938" s="107"/>
      <c r="AB938" s="107"/>
      <c r="AC938" s="107"/>
      <c r="AD938" s="233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7"/>
      <c r="AV938" s="107"/>
      <c r="AW938" s="107"/>
      <c r="AX938" s="107"/>
      <c r="AY938" s="107"/>
      <c r="AZ938" s="107"/>
      <c r="BA938" s="107"/>
      <c r="BB938" s="107"/>
      <c r="BC938" s="107"/>
      <c r="BD938" s="107"/>
      <c r="BE938" s="107"/>
      <c r="BF938" s="107"/>
      <c r="BG938" s="107"/>
      <c r="BH938" s="107"/>
      <c r="BI938" s="107"/>
      <c r="BJ938" s="107"/>
      <c r="BK938" s="107"/>
      <c r="BL938" s="107"/>
      <c r="BM938" s="107"/>
      <c r="BN938" s="107"/>
      <c r="BO938" s="107"/>
      <c r="BP938" s="107"/>
      <c r="BQ938" s="107"/>
      <c r="BR938" s="107"/>
    </row>
    <row r="939" customFormat="false" ht="12.75" hidden="false" customHeight="false" outlineLevel="0" collapsed="false">
      <c r="A939" s="100"/>
      <c r="B939" s="100"/>
      <c r="C939" s="100"/>
      <c r="D939" s="100"/>
      <c r="E939" s="100"/>
      <c r="F939" s="277"/>
      <c r="H939" s="277"/>
      <c r="I939" s="277"/>
      <c r="J939" s="277"/>
      <c r="K939" s="277"/>
      <c r="L939" s="277"/>
      <c r="M939" s="277"/>
      <c r="N939" s="277"/>
      <c r="O939" s="277"/>
      <c r="P939" s="277"/>
      <c r="Q939" s="277"/>
      <c r="R939" s="277"/>
      <c r="T939" s="277"/>
      <c r="U939" s="277"/>
      <c r="W939" s="277"/>
      <c r="Y939" s="107"/>
      <c r="Z939" s="107"/>
      <c r="AA939" s="107"/>
      <c r="AB939" s="107"/>
      <c r="AC939" s="107"/>
      <c r="AD939" s="233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7"/>
      <c r="AV939" s="107"/>
      <c r="AW939" s="107"/>
      <c r="AX939" s="107"/>
      <c r="AY939" s="107"/>
      <c r="AZ939" s="107"/>
      <c r="BA939" s="107"/>
      <c r="BB939" s="107"/>
      <c r="BC939" s="107"/>
      <c r="BD939" s="107"/>
      <c r="BE939" s="107"/>
      <c r="BF939" s="107"/>
      <c r="BG939" s="107"/>
      <c r="BH939" s="107"/>
      <c r="BI939" s="107"/>
      <c r="BJ939" s="107"/>
      <c r="BK939" s="107"/>
      <c r="BL939" s="107"/>
      <c r="BM939" s="107"/>
      <c r="BN939" s="107"/>
      <c r="BO939" s="107"/>
      <c r="BP939" s="107"/>
      <c r="BQ939" s="107"/>
      <c r="BR939" s="107"/>
    </row>
    <row r="940" customFormat="false" ht="12.75" hidden="false" customHeight="false" outlineLevel="0" collapsed="false">
      <c r="A940" s="100"/>
      <c r="B940" s="100"/>
      <c r="C940" s="100"/>
      <c r="D940" s="100"/>
      <c r="E940" s="100"/>
      <c r="F940" s="277"/>
      <c r="H940" s="277"/>
      <c r="I940" s="277"/>
      <c r="J940" s="277"/>
      <c r="K940" s="277"/>
      <c r="L940" s="277"/>
      <c r="M940" s="277"/>
      <c r="N940" s="277"/>
      <c r="O940" s="277"/>
      <c r="P940" s="277"/>
      <c r="Q940" s="277"/>
      <c r="R940" s="277"/>
      <c r="T940" s="277"/>
      <c r="U940" s="277"/>
      <c r="W940" s="277"/>
      <c r="Y940" s="107"/>
      <c r="Z940" s="107"/>
      <c r="AA940" s="107"/>
      <c r="AB940" s="107"/>
      <c r="AC940" s="107"/>
      <c r="AD940" s="233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7"/>
      <c r="AV940" s="107"/>
      <c r="AW940" s="107"/>
      <c r="AX940" s="107"/>
      <c r="AY940" s="107"/>
      <c r="AZ940" s="107"/>
      <c r="BA940" s="107"/>
      <c r="BB940" s="107"/>
      <c r="BC940" s="107"/>
      <c r="BD940" s="107"/>
      <c r="BE940" s="107"/>
      <c r="BF940" s="107"/>
      <c r="BG940" s="107"/>
      <c r="BH940" s="107"/>
      <c r="BI940" s="107"/>
      <c r="BJ940" s="107"/>
      <c r="BK940" s="107"/>
      <c r="BL940" s="107"/>
      <c r="BM940" s="107"/>
      <c r="BN940" s="107"/>
      <c r="BO940" s="107"/>
      <c r="BP940" s="107"/>
      <c r="BQ940" s="107"/>
      <c r="BR940" s="107"/>
    </row>
    <row r="941" customFormat="false" ht="12.75" hidden="false" customHeight="false" outlineLevel="0" collapsed="false">
      <c r="A941" s="100"/>
      <c r="B941" s="100"/>
      <c r="C941" s="100"/>
      <c r="D941" s="100"/>
      <c r="E941" s="100"/>
      <c r="F941" s="277"/>
      <c r="H941" s="277"/>
      <c r="I941" s="277"/>
      <c r="J941" s="277"/>
      <c r="K941" s="277"/>
      <c r="L941" s="277"/>
      <c r="M941" s="277"/>
      <c r="N941" s="277"/>
      <c r="O941" s="277"/>
      <c r="P941" s="277"/>
      <c r="Q941" s="277"/>
      <c r="R941" s="277"/>
      <c r="T941" s="277"/>
      <c r="U941" s="277"/>
      <c r="W941" s="277"/>
      <c r="Y941" s="107"/>
      <c r="Z941" s="107"/>
      <c r="AA941" s="107"/>
      <c r="AB941" s="107"/>
      <c r="AC941" s="107"/>
      <c r="AD941" s="233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7"/>
      <c r="AV941" s="107"/>
      <c r="AW941" s="107"/>
      <c r="AX941" s="107"/>
      <c r="AY941" s="107"/>
      <c r="AZ941" s="107"/>
      <c r="BA941" s="107"/>
      <c r="BB941" s="107"/>
      <c r="BC941" s="107"/>
      <c r="BD941" s="107"/>
      <c r="BE941" s="107"/>
      <c r="BF941" s="107"/>
      <c r="BG941" s="107"/>
      <c r="BH941" s="107"/>
      <c r="BI941" s="107"/>
      <c r="BJ941" s="107"/>
      <c r="BK941" s="107"/>
      <c r="BL941" s="107"/>
      <c r="BM941" s="107"/>
      <c r="BN941" s="107"/>
      <c r="BO941" s="107"/>
      <c r="BP941" s="107"/>
      <c r="BQ941" s="107"/>
      <c r="BR941" s="107"/>
    </row>
    <row r="942" customFormat="false" ht="12.75" hidden="false" customHeight="false" outlineLevel="0" collapsed="false">
      <c r="A942" s="100"/>
      <c r="B942" s="100"/>
      <c r="C942" s="100"/>
      <c r="D942" s="100"/>
      <c r="E942" s="100"/>
      <c r="F942" s="277"/>
      <c r="H942" s="277"/>
      <c r="I942" s="277"/>
      <c r="J942" s="277"/>
      <c r="K942" s="277"/>
      <c r="L942" s="277"/>
      <c r="M942" s="277"/>
      <c r="N942" s="277"/>
      <c r="O942" s="277"/>
      <c r="P942" s="277"/>
      <c r="Q942" s="277"/>
      <c r="R942" s="277"/>
      <c r="T942" s="277"/>
      <c r="U942" s="277"/>
      <c r="W942" s="277"/>
      <c r="Y942" s="107"/>
      <c r="Z942" s="107"/>
      <c r="AA942" s="107"/>
      <c r="AB942" s="107"/>
      <c r="AC942" s="107"/>
      <c r="AD942" s="233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7"/>
      <c r="AV942" s="107"/>
      <c r="AW942" s="107"/>
      <c r="AX942" s="107"/>
      <c r="AY942" s="107"/>
      <c r="AZ942" s="107"/>
      <c r="BA942" s="107"/>
      <c r="BB942" s="107"/>
      <c r="BC942" s="107"/>
      <c r="BD942" s="107"/>
      <c r="BE942" s="107"/>
      <c r="BF942" s="107"/>
      <c r="BG942" s="107"/>
      <c r="BH942" s="107"/>
      <c r="BI942" s="107"/>
      <c r="BJ942" s="107"/>
      <c r="BK942" s="107"/>
      <c r="BL942" s="107"/>
      <c r="BM942" s="107"/>
      <c r="BN942" s="107"/>
      <c r="BO942" s="107"/>
      <c r="BP942" s="107"/>
      <c r="BQ942" s="107"/>
      <c r="BR942" s="107"/>
    </row>
    <row r="943" customFormat="false" ht="12.75" hidden="false" customHeight="false" outlineLevel="0" collapsed="false">
      <c r="A943" s="100"/>
      <c r="B943" s="100"/>
      <c r="C943" s="100"/>
      <c r="D943" s="100"/>
      <c r="E943" s="100"/>
      <c r="F943" s="277"/>
      <c r="H943" s="277"/>
      <c r="I943" s="277"/>
      <c r="J943" s="277"/>
      <c r="K943" s="277"/>
      <c r="L943" s="277"/>
      <c r="M943" s="277"/>
      <c r="N943" s="277"/>
      <c r="O943" s="277"/>
      <c r="P943" s="277"/>
      <c r="Q943" s="277"/>
      <c r="R943" s="277"/>
      <c r="T943" s="277"/>
      <c r="U943" s="277"/>
      <c r="W943" s="277"/>
      <c r="Y943" s="107"/>
      <c r="Z943" s="107"/>
      <c r="AA943" s="107"/>
      <c r="AB943" s="107"/>
      <c r="AC943" s="107"/>
      <c r="AD943" s="233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7"/>
      <c r="AV943" s="107"/>
      <c r="AW943" s="107"/>
      <c r="AX943" s="107"/>
      <c r="AY943" s="107"/>
      <c r="AZ943" s="107"/>
      <c r="BA943" s="107"/>
      <c r="BB943" s="107"/>
      <c r="BC943" s="107"/>
      <c r="BD943" s="107"/>
      <c r="BE943" s="107"/>
      <c r="BF943" s="107"/>
      <c r="BG943" s="107"/>
      <c r="BH943" s="107"/>
      <c r="BI943" s="107"/>
      <c r="BJ943" s="107"/>
      <c r="BK943" s="107"/>
      <c r="BL943" s="107"/>
      <c r="BM943" s="107"/>
      <c r="BN943" s="107"/>
      <c r="BO943" s="107"/>
      <c r="BP943" s="107"/>
      <c r="BQ943" s="107"/>
      <c r="BR943" s="107"/>
    </row>
    <row r="944" customFormat="false" ht="12.75" hidden="false" customHeight="false" outlineLevel="0" collapsed="false">
      <c r="A944" s="100"/>
      <c r="B944" s="100"/>
      <c r="C944" s="100"/>
      <c r="D944" s="100"/>
      <c r="E944" s="100"/>
      <c r="F944" s="277"/>
      <c r="H944" s="277"/>
      <c r="I944" s="277"/>
      <c r="J944" s="277"/>
      <c r="K944" s="277"/>
      <c r="L944" s="277"/>
      <c r="M944" s="277"/>
      <c r="N944" s="277"/>
      <c r="O944" s="277"/>
      <c r="P944" s="277"/>
      <c r="Q944" s="277"/>
      <c r="R944" s="277"/>
      <c r="T944" s="277"/>
      <c r="U944" s="277"/>
      <c r="W944" s="277"/>
      <c r="Y944" s="107"/>
      <c r="Z944" s="107"/>
      <c r="AA944" s="107"/>
      <c r="AB944" s="107"/>
      <c r="AC944" s="107"/>
      <c r="AD944" s="233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7"/>
      <c r="AV944" s="107"/>
      <c r="AW944" s="107"/>
      <c r="AX944" s="107"/>
      <c r="AY944" s="107"/>
      <c r="AZ944" s="107"/>
      <c r="BA944" s="107"/>
      <c r="BB944" s="107"/>
      <c r="BC944" s="107"/>
      <c r="BD944" s="107"/>
      <c r="BE944" s="107"/>
      <c r="BF944" s="107"/>
      <c r="BG944" s="107"/>
      <c r="BH944" s="107"/>
      <c r="BI944" s="107"/>
      <c r="BJ944" s="107"/>
      <c r="BK944" s="107"/>
      <c r="BL944" s="107"/>
      <c r="BM944" s="107"/>
      <c r="BN944" s="107"/>
      <c r="BO944" s="107"/>
      <c r="BP944" s="107"/>
      <c r="BQ944" s="107"/>
      <c r="BR944" s="107"/>
    </row>
    <row r="945" customFormat="false" ht="12.75" hidden="false" customHeight="false" outlineLevel="0" collapsed="false">
      <c r="A945" s="100"/>
      <c r="B945" s="100"/>
      <c r="C945" s="100"/>
      <c r="D945" s="100"/>
      <c r="E945" s="100"/>
      <c r="F945" s="277"/>
      <c r="H945" s="277"/>
      <c r="I945" s="277"/>
      <c r="J945" s="277"/>
      <c r="K945" s="277"/>
      <c r="L945" s="277"/>
      <c r="M945" s="277"/>
      <c r="N945" s="277"/>
      <c r="O945" s="277"/>
      <c r="P945" s="277"/>
      <c r="Q945" s="277"/>
      <c r="R945" s="277"/>
      <c r="T945" s="277"/>
      <c r="U945" s="277"/>
      <c r="W945" s="277"/>
      <c r="Y945" s="107"/>
      <c r="Z945" s="107"/>
      <c r="AA945" s="107"/>
      <c r="AB945" s="107"/>
      <c r="AC945" s="107"/>
      <c r="AD945" s="233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7"/>
      <c r="AV945" s="107"/>
      <c r="AW945" s="107"/>
      <c r="AX945" s="107"/>
      <c r="AY945" s="107"/>
      <c r="AZ945" s="107"/>
      <c r="BA945" s="107"/>
      <c r="BB945" s="107"/>
      <c r="BC945" s="107"/>
      <c r="BD945" s="107"/>
      <c r="BE945" s="107"/>
      <c r="BF945" s="107"/>
      <c r="BG945" s="107"/>
      <c r="BH945" s="107"/>
      <c r="BI945" s="107"/>
      <c r="BJ945" s="107"/>
      <c r="BK945" s="107"/>
      <c r="BL945" s="107"/>
      <c r="BM945" s="107"/>
      <c r="BN945" s="107"/>
      <c r="BO945" s="107"/>
      <c r="BP945" s="107"/>
      <c r="BQ945" s="107"/>
      <c r="BR945" s="107"/>
    </row>
    <row r="946" customFormat="false" ht="12.75" hidden="false" customHeight="false" outlineLevel="0" collapsed="false">
      <c r="A946" s="100"/>
      <c r="B946" s="100"/>
      <c r="C946" s="100"/>
      <c r="D946" s="100"/>
      <c r="E946" s="100"/>
      <c r="F946" s="277"/>
      <c r="H946" s="277"/>
      <c r="I946" s="277"/>
      <c r="J946" s="277"/>
      <c r="K946" s="277"/>
      <c r="L946" s="277"/>
      <c r="M946" s="277"/>
      <c r="N946" s="277"/>
      <c r="O946" s="277"/>
      <c r="P946" s="277"/>
      <c r="Q946" s="277"/>
      <c r="R946" s="277"/>
      <c r="T946" s="277"/>
      <c r="U946" s="277"/>
      <c r="W946" s="277"/>
      <c r="Y946" s="107"/>
      <c r="Z946" s="107"/>
      <c r="AA946" s="107"/>
      <c r="AB946" s="107"/>
      <c r="AC946" s="107"/>
      <c r="AD946" s="233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7"/>
      <c r="AV946" s="107"/>
      <c r="AW946" s="107"/>
      <c r="AX946" s="107"/>
      <c r="AY946" s="107"/>
      <c r="AZ946" s="107"/>
      <c r="BA946" s="107"/>
      <c r="BB946" s="107"/>
      <c r="BC946" s="107"/>
      <c r="BD946" s="107"/>
      <c r="BE946" s="107"/>
      <c r="BF946" s="107"/>
      <c r="BG946" s="107"/>
      <c r="BH946" s="107"/>
      <c r="BI946" s="107"/>
      <c r="BJ946" s="107"/>
      <c r="BK946" s="107"/>
      <c r="BL946" s="107"/>
      <c r="BM946" s="107"/>
      <c r="BN946" s="107"/>
      <c r="BO946" s="107"/>
      <c r="BP946" s="107"/>
      <c r="BQ946" s="107"/>
      <c r="BR946" s="107"/>
    </row>
    <row r="947" customFormat="false" ht="12.75" hidden="false" customHeight="false" outlineLevel="0" collapsed="false">
      <c r="A947" s="100"/>
      <c r="B947" s="100"/>
      <c r="C947" s="100"/>
      <c r="D947" s="100"/>
      <c r="E947" s="100"/>
      <c r="F947" s="277"/>
      <c r="H947" s="277"/>
      <c r="I947" s="277"/>
      <c r="J947" s="277"/>
      <c r="K947" s="277"/>
      <c r="L947" s="277"/>
      <c r="M947" s="277"/>
      <c r="N947" s="277"/>
      <c r="O947" s="277"/>
      <c r="P947" s="277"/>
      <c r="Q947" s="277"/>
      <c r="R947" s="277"/>
      <c r="T947" s="277"/>
      <c r="U947" s="277"/>
      <c r="W947" s="277"/>
      <c r="Y947" s="107"/>
      <c r="Z947" s="107"/>
      <c r="AA947" s="107"/>
      <c r="AB947" s="107"/>
      <c r="AC947" s="107"/>
      <c r="AD947" s="233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7"/>
      <c r="AV947" s="107"/>
      <c r="AW947" s="107"/>
      <c r="AX947" s="107"/>
      <c r="AY947" s="107"/>
      <c r="AZ947" s="107"/>
      <c r="BA947" s="107"/>
      <c r="BB947" s="107"/>
      <c r="BC947" s="107"/>
      <c r="BD947" s="107"/>
      <c r="BE947" s="107"/>
      <c r="BF947" s="107"/>
      <c r="BG947" s="107"/>
      <c r="BH947" s="107"/>
      <c r="BI947" s="107"/>
      <c r="BJ947" s="107"/>
      <c r="BK947" s="107"/>
      <c r="BL947" s="107"/>
      <c r="BM947" s="107"/>
      <c r="BN947" s="107"/>
      <c r="BO947" s="107"/>
      <c r="BP947" s="107"/>
      <c r="BQ947" s="107"/>
      <c r="BR947" s="107"/>
    </row>
    <row r="948" customFormat="false" ht="12.75" hidden="false" customHeight="false" outlineLevel="0" collapsed="false">
      <c r="A948" s="100"/>
      <c r="B948" s="100"/>
      <c r="C948" s="100"/>
      <c r="D948" s="100"/>
      <c r="E948" s="100"/>
      <c r="F948" s="277"/>
      <c r="H948" s="277"/>
      <c r="I948" s="277"/>
      <c r="J948" s="277"/>
      <c r="K948" s="277"/>
      <c r="L948" s="277"/>
      <c r="M948" s="277"/>
      <c r="N948" s="277"/>
      <c r="O948" s="277"/>
      <c r="P948" s="277"/>
      <c r="Q948" s="277"/>
      <c r="R948" s="277"/>
      <c r="T948" s="277"/>
      <c r="U948" s="277"/>
      <c r="W948" s="277"/>
      <c r="Y948" s="107"/>
      <c r="Z948" s="107"/>
      <c r="AA948" s="107"/>
      <c r="AB948" s="107"/>
      <c r="AC948" s="107"/>
      <c r="AD948" s="233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7"/>
      <c r="AV948" s="107"/>
      <c r="AW948" s="107"/>
      <c r="AX948" s="107"/>
      <c r="AY948" s="107"/>
      <c r="AZ948" s="107"/>
      <c r="BA948" s="107"/>
      <c r="BB948" s="107"/>
      <c r="BC948" s="107"/>
      <c r="BD948" s="107"/>
      <c r="BE948" s="107"/>
      <c r="BF948" s="107"/>
      <c r="BG948" s="107"/>
      <c r="BH948" s="107"/>
      <c r="BI948" s="107"/>
      <c r="BJ948" s="107"/>
      <c r="BK948" s="107"/>
      <c r="BL948" s="107"/>
      <c r="BM948" s="107"/>
      <c r="BN948" s="107"/>
      <c r="BO948" s="107"/>
      <c r="BP948" s="107"/>
      <c r="BQ948" s="107"/>
      <c r="BR948" s="107"/>
    </row>
    <row r="949" customFormat="false" ht="12.75" hidden="false" customHeight="false" outlineLevel="0" collapsed="false">
      <c r="A949" s="100"/>
      <c r="B949" s="100"/>
      <c r="C949" s="100"/>
      <c r="D949" s="100"/>
      <c r="E949" s="100"/>
      <c r="F949" s="277"/>
      <c r="H949" s="277"/>
      <c r="I949" s="277"/>
      <c r="J949" s="277"/>
      <c r="K949" s="277"/>
      <c r="L949" s="277"/>
      <c r="M949" s="277"/>
      <c r="N949" s="277"/>
      <c r="O949" s="277"/>
      <c r="P949" s="277"/>
      <c r="Q949" s="277"/>
      <c r="R949" s="277"/>
      <c r="T949" s="277"/>
      <c r="U949" s="277"/>
      <c r="W949" s="277"/>
      <c r="Y949" s="107"/>
      <c r="Z949" s="107"/>
      <c r="AA949" s="107"/>
      <c r="AB949" s="107"/>
      <c r="AC949" s="107"/>
      <c r="AD949" s="233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7"/>
      <c r="AV949" s="107"/>
      <c r="AW949" s="107"/>
      <c r="AX949" s="107"/>
      <c r="AY949" s="107"/>
      <c r="AZ949" s="107"/>
      <c r="BA949" s="107"/>
      <c r="BB949" s="107"/>
      <c r="BC949" s="107"/>
      <c r="BD949" s="107"/>
      <c r="BE949" s="107"/>
      <c r="BF949" s="107"/>
      <c r="BG949" s="107"/>
      <c r="BH949" s="107"/>
      <c r="BI949" s="107"/>
      <c r="BJ949" s="107"/>
      <c r="BK949" s="107"/>
      <c r="BL949" s="107"/>
      <c r="BM949" s="107"/>
      <c r="BN949" s="107"/>
      <c r="BO949" s="107"/>
      <c r="BP949" s="107"/>
      <c r="BQ949" s="107"/>
      <c r="BR949" s="107"/>
    </row>
    <row r="950" customFormat="false" ht="12.75" hidden="false" customHeight="false" outlineLevel="0" collapsed="false">
      <c r="A950" s="100"/>
      <c r="B950" s="100"/>
      <c r="C950" s="100"/>
      <c r="D950" s="100"/>
      <c r="E950" s="100"/>
      <c r="F950" s="277"/>
      <c r="H950" s="277"/>
      <c r="I950" s="277"/>
      <c r="J950" s="277"/>
      <c r="K950" s="277"/>
      <c r="L950" s="277"/>
      <c r="M950" s="277"/>
      <c r="N950" s="277"/>
      <c r="O950" s="277"/>
      <c r="P950" s="277"/>
      <c r="Q950" s="277"/>
      <c r="R950" s="277"/>
      <c r="T950" s="277"/>
      <c r="U950" s="277"/>
      <c r="W950" s="277"/>
      <c r="Y950" s="107"/>
      <c r="Z950" s="107"/>
      <c r="AA950" s="107"/>
      <c r="AB950" s="107"/>
      <c r="AC950" s="107"/>
      <c r="AD950" s="233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7"/>
      <c r="AV950" s="107"/>
      <c r="AW950" s="107"/>
      <c r="AX950" s="107"/>
      <c r="AY950" s="107"/>
      <c r="AZ950" s="107"/>
      <c r="BA950" s="107"/>
      <c r="BB950" s="107"/>
      <c r="BC950" s="107"/>
      <c r="BD950" s="107"/>
      <c r="BE950" s="107"/>
      <c r="BF950" s="107"/>
      <c r="BG950" s="107"/>
      <c r="BH950" s="107"/>
      <c r="BI950" s="107"/>
      <c r="BJ950" s="107"/>
      <c r="BK950" s="107"/>
      <c r="BL950" s="107"/>
      <c r="BM950" s="107"/>
      <c r="BN950" s="107"/>
      <c r="BO950" s="107"/>
      <c r="BP950" s="107"/>
      <c r="BQ950" s="107"/>
      <c r="BR950" s="107"/>
    </row>
    <row r="951" customFormat="false" ht="12.75" hidden="false" customHeight="false" outlineLevel="0" collapsed="false">
      <c r="A951" s="100"/>
      <c r="B951" s="100"/>
      <c r="C951" s="100"/>
      <c r="D951" s="100"/>
      <c r="E951" s="100"/>
      <c r="F951" s="277"/>
      <c r="H951" s="277"/>
      <c r="I951" s="277"/>
      <c r="J951" s="277"/>
      <c r="K951" s="277"/>
      <c r="L951" s="277"/>
      <c r="M951" s="277"/>
      <c r="N951" s="277"/>
      <c r="O951" s="277"/>
      <c r="P951" s="277"/>
      <c r="Q951" s="277"/>
      <c r="R951" s="277"/>
      <c r="T951" s="277"/>
      <c r="U951" s="277"/>
      <c r="W951" s="277"/>
      <c r="Y951" s="107"/>
      <c r="Z951" s="107"/>
      <c r="AA951" s="107"/>
      <c r="AB951" s="107"/>
      <c r="AC951" s="107"/>
      <c r="AD951" s="233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7"/>
      <c r="AV951" s="107"/>
      <c r="AW951" s="107"/>
      <c r="AX951" s="107"/>
      <c r="AY951" s="107"/>
      <c r="AZ951" s="107"/>
      <c r="BA951" s="107"/>
      <c r="BB951" s="107"/>
      <c r="BC951" s="107"/>
      <c r="BD951" s="107"/>
      <c r="BE951" s="107"/>
      <c r="BF951" s="107"/>
      <c r="BG951" s="107"/>
      <c r="BH951" s="107"/>
      <c r="BI951" s="107"/>
      <c r="BJ951" s="107"/>
      <c r="BK951" s="107"/>
      <c r="BL951" s="107"/>
      <c r="BM951" s="107"/>
      <c r="BN951" s="107"/>
      <c r="BO951" s="107"/>
      <c r="BP951" s="107"/>
      <c r="BQ951" s="107"/>
      <c r="BR951" s="107"/>
    </row>
    <row r="952" customFormat="false" ht="12.75" hidden="false" customHeight="false" outlineLevel="0" collapsed="false">
      <c r="A952" s="100"/>
      <c r="B952" s="100"/>
      <c r="C952" s="100"/>
      <c r="D952" s="100"/>
      <c r="E952" s="100"/>
      <c r="F952" s="277"/>
      <c r="H952" s="277"/>
      <c r="I952" s="277"/>
      <c r="J952" s="277"/>
      <c r="K952" s="277"/>
      <c r="L952" s="277"/>
      <c r="M952" s="277"/>
      <c r="N952" s="277"/>
      <c r="O952" s="277"/>
      <c r="P952" s="277"/>
      <c r="Q952" s="277"/>
      <c r="R952" s="277"/>
      <c r="T952" s="277"/>
      <c r="U952" s="277"/>
      <c r="W952" s="277"/>
      <c r="Y952" s="107"/>
      <c r="Z952" s="107"/>
      <c r="AA952" s="107"/>
      <c r="AB952" s="107"/>
      <c r="AC952" s="107"/>
      <c r="AD952" s="233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7"/>
      <c r="AV952" s="107"/>
      <c r="AW952" s="107"/>
      <c r="AX952" s="107"/>
      <c r="AY952" s="107"/>
      <c r="AZ952" s="107"/>
      <c r="BA952" s="107"/>
      <c r="BB952" s="107"/>
      <c r="BC952" s="107"/>
      <c r="BD952" s="107"/>
      <c r="BE952" s="107"/>
      <c r="BF952" s="107"/>
      <c r="BG952" s="107"/>
      <c r="BH952" s="107"/>
      <c r="BI952" s="107"/>
      <c r="BJ952" s="107"/>
      <c r="BK952" s="107"/>
      <c r="BL952" s="107"/>
      <c r="BM952" s="107"/>
      <c r="BN952" s="107"/>
      <c r="BO952" s="107"/>
      <c r="BP952" s="107"/>
      <c r="BQ952" s="107"/>
      <c r="BR952" s="107"/>
    </row>
    <row r="953" customFormat="false" ht="12.75" hidden="false" customHeight="false" outlineLevel="0" collapsed="false">
      <c r="A953" s="100"/>
      <c r="B953" s="100"/>
      <c r="C953" s="100"/>
      <c r="D953" s="100"/>
      <c r="E953" s="100"/>
      <c r="F953" s="277"/>
      <c r="H953" s="277"/>
      <c r="I953" s="277"/>
      <c r="J953" s="277"/>
      <c r="K953" s="277"/>
      <c r="L953" s="277"/>
      <c r="M953" s="277"/>
      <c r="N953" s="277"/>
      <c r="O953" s="277"/>
      <c r="P953" s="277"/>
      <c r="Q953" s="277"/>
      <c r="R953" s="277"/>
      <c r="T953" s="277"/>
      <c r="U953" s="277"/>
      <c r="W953" s="277"/>
      <c r="Y953" s="107"/>
      <c r="Z953" s="107"/>
      <c r="AA953" s="107"/>
      <c r="AB953" s="107"/>
      <c r="AC953" s="107"/>
      <c r="AD953" s="233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7"/>
      <c r="AV953" s="107"/>
      <c r="AW953" s="107"/>
      <c r="AX953" s="107"/>
      <c r="AY953" s="107"/>
      <c r="AZ953" s="107"/>
      <c r="BA953" s="107"/>
      <c r="BB953" s="107"/>
      <c r="BC953" s="107"/>
      <c r="BD953" s="107"/>
      <c r="BE953" s="107"/>
      <c r="BF953" s="107"/>
      <c r="BG953" s="107"/>
      <c r="BH953" s="107"/>
      <c r="BI953" s="107"/>
      <c r="BJ953" s="107"/>
      <c r="BK953" s="107"/>
      <c r="BL953" s="107"/>
      <c r="BM953" s="107"/>
      <c r="BN953" s="107"/>
      <c r="BO953" s="107"/>
      <c r="BP953" s="107"/>
      <c r="BQ953" s="107"/>
      <c r="BR953" s="107"/>
    </row>
    <row r="954" customFormat="false" ht="12.75" hidden="false" customHeight="false" outlineLevel="0" collapsed="false">
      <c r="A954" s="100"/>
      <c r="B954" s="100"/>
      <c r="C954" s="100"/>
      <c r="D954" s="100"/>
      <c r="E954" s="100"/>
      <c r="F954" s="277"/>
      <c r="H954" s="277"/>
      <c r="I954" s="277"/>
      <c r="J954" s="277"/>
      <c r="K954" s="277"/>
      <c r="L954" s="277"/>
      <c r="M954" s="277"/>
      <c r="N954" s="277"/>
      <c r="O954" s="277"/>
      <c r="P954" s="277"/>
      <c r="Q954" s="277"/>
      <c r="R954" s="277"/>
      <c r="T954" s="277"/>
      <c r="U954" s="277"/>
      <c r="W954" s="277"/>
      <c r="Y954" s="107"/>
      <c r="Z954" s="107"/>
      <c r="AA954" s="107"/>
      <c r="AB954" s="107"/>
      <c r="AC954" s="107"/>
      <c r="AD954" s="233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7"/>
      <c r="AV954" s="107"/>
      <c r="AW954" s="107"/>
      <c r="AX954" s="107"/>
      <c r="AY954" s="107"/>
      <c r="AZ954" s="107"/>
      <c r="BA954" s="107"/>
      <c r="BB954" s="107"/>
      <c r="BC954" s="107"/>
      <c r="BD954" s="107"/>
      <c r="BE954" s="107"/>
      <c r="BF954" s="107"/>
      <c r="BG954" s="107"/>
      <c r="BH954" s="107"/>
      <c r="BI954" s="107"/>
      <c r="BJ954" s="107"/>
      <c r="BK954" s="107"/>
      <c r="BL954" s="107"/>
      <c r="BM954" s="107"/>
      <c r="BN954" s="107"/>
      <c r="BO954" s="107"/>
      <c r="BP954" s="107"/>
      <c r="BQ954" s="107"/>
      <c r="BR954" s="107"/>
    </row>
    <row r="955" customFormat="false" ht="12.75" hidden="false" customHeight="false" outlineLevel="0" collapsed="false">
      <c r="A955" s="100"/>
      <c r="B955" s="100"/>
      <c r="C955" s="100"/>
      <c r="D955" s="100"/>
      <c r="E955" s="100"/>
      <c r="F955" s="277"/>
      <c r="H955" s="277"/>
      <c r="I955" s="277"/>
      <c r="J955" s="277"/>
      <c r="K955" s="277"/>
      <c r="L955" s="277"/>
      <c r="M955" s="277"/>
      <c r="N955" s="277"/>
      <c r="O955" s="277"/>
      <c r="P955" s="277"/>
      <c r="Q955" s="277"/>
      <c r="R955" s="277"/>
      <c r="T955" s="277"/>
      <c r="U955" s="277"/>
      <c r="W955" s="277"/>
      <c r="Y955" s="107"/>
      <c r="Z955" s="107"/>
      <c r="AA955" s="107"/>
      <c r="AB955" s="107"/>
      <c r="AC955" s="107"/>
      <c r="AD955" s="233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7"/>
      <c r="AV955" s="107"/>
      <c r="AW955" s="107"/>
      <c r="AX955" s="107"/>
      <c r="AY955" s="107"/>
      <c r="AZ955" s="107"/>
      <c r="BA955" s="107"/>
      <c r="BB955" s="107"/>
      <c r="BC955" s="107"/>
      <c r="BD955" s="107"/>
      <c r="BE955" s="107"/>
      <c r="BF955" s="107"/>
      <c r="BG955" s="107"/>
      <c r="BH955" s="107"/>
      <c r="BI955" s="107"/>
      <c r="BJ955" s="107"/>
      <c r="BK955" s="107"/>
      <c r="BL955" s="107"/>
      <c r="BM955" s="107"/>
      <c r="BN955" s="107"/>
      <c r="BO955" s="107"/>
      <c r="BP955" s="107"/>
      <c r="BQ955" s="107"/>
      <c r="BR955" s="107"/>
    </row>
    <row r="956" customFormat="false" ht="12.75" hidden="false" customHeight="false" outlineLevel="0" collapsed="false">
      <c r="A956" s="100"/>
      <c r="B956" s="100"/>
      <c r="C956" s="100"/>
      <c r="D956" s="100"/>
      <c r="E956" s="100"/>
      <c r="F956" s="277"/>
      <c r="H956" s="277"/>
      <c r="I956" s="277"/>
      <c r="J956" s="277"/>
      <c r="K956" s="277"/>
      <c r="L956" s="277"/>
      <c r="M956" s="277"/>
      <c r="N956" s="277"/>
      <c r="O956" s="277"/>
      <c r="P956" s="277"/>
      <c r="Q956" s="277"/>
      <c r="R956" s="277"/>
      <c r="T956" s="277"/>
      <c r="U956" s="277"/>
      <c r="W956" s="277"/>
      <c r="Y956" s="107"/>
      <c r="Z956" s="107"/>
      <c r="AA956" s="107"/>
      <c r="AB956" s="107"/>
      <c r="AC956" s="107"/>
      <c r="AD956" s="233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7"/>
      <c r="AV956" s="107"/>
      <c r="AW956" s="107"/>
      <c r="AX956" s="107"/>
      <c r="AY956" s="107"/>
      <c r="AZ956" s="107"/>
      <c r="BA956" s="107"/>
      <c r="BB956" s="107"/>
      <c r="BC956" s="107"/>
      <c r="BD956" s="107"/>
      <c r="BE956" s="107"/>
      <c r="BF956" s="107"/>
      <c r="BG956" s="107"/>
      <c r="BH956" s="107"/>
      <c r="BI956" s="107"/>
      <c r="BJ956" s="107"/>
      <c r="BK956" s="107"/>
      <c r="BL956" s="107"/>
      <c r="BM956" s="107"/>
      <c r="BN956" s="107"/>
      <c r="BO956" s="107"/>
      <c r="BP956" s="107"/>
      <c r="BQ956" s="107"/>
      <c r="BR956" s="107"/>
    </row>
    <row r="957" customFormat="false" ht="12.75" hidden="false" customHeight="false" outlineLevel="0" collapsed="false">
      <c r="A957" s="100"/>
      <c r="B957" s="100"/>
      <c r="C957" s="100"/>
      <c r="D957" s="100"/>
      <c r="E957" s="100"/>
      <c r="F957" s="277"/>
      <c r="H957" s="277"/>
      <c r="I957" s="277"/>
      <c r="J957" s="277"/>
      <c r="K957" s="277"/>
      <c r="L957" s="277"/>
      <c r="M957" s="277"/>
      <c r="N957" s="277"/>
      <c r="O957" s="277"/>
      <c r="P957" s="277"/>
      <c r="Q957" s="277"/>
      <c r="R957" s="277"/>
      <c r="T957" s="277"/>
      <c r="U957" s="277"/>
      <c r="W957" s="277"/>
      <c r="Y957" s="107"/>
      <c r="Z957" s="107"/>
      <c r="AA957" s="107"/>
      <c r="AB957" s="107"/>
      <c r="AC957" s="107"/>
      <c r="AD957" s="233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7"/>
      <c r="AV957" s="107"/>
      <c r="AW957" s="107"/>
      <c r="AX957" s="107"/>
      <c r="AY957" s="107"/>
      <c r="AZ957" s="107"/>
      <c r="BA957" s="107"/>
      <c r="BB957" s="107"/>
      <c r="BC957" s="107"/>
      <c r="BD957" s="107"/>
      <c r="BE957" s="107"/>
      <c r="BF957" s="107"/>
      <c r="BG957" s="107"/>
      <c r="BH957" s="107"/>
      <c r="BI957" s="107"/>
      <c r="BJ957" s="107"/>
      <c r="BK957" s="107"/>
      <c r="BL957" s="107"/>
      <c r="BM957" s="107"/>
      <c r="BN957" s="107"/>
      <c r="BO957" s="107"/>
      <c r="BP957" s="107"/>
      <c r="BQ957" s="107"/>
      <c r="BR957" s="107"/>
    </row>
    <row r="958" customFormat="false" ht="12.75" hidden="false" customHeight="false" outlineLevel="0" collapsed="false">
      <c r="A958" s="100"/>
      <c r="B958" s="100"/>
      <c r="C958" s="100"/>
      <c r="D958" s="100"/>
      <c r="E958" s="100"/>
      <c r="F958" s="277"/>
      <c r="H958" s="277"/>
      <c r="I958" s="277"/>
      <c r="J958" s="277"/>
      <c r="K958" s="277"/>
      <c r="L958" s="277"/>
      <c r="M958" s="277"/>
      <c r="N958" s="277"/>
      <c r="O958" s="277"/>
      <c r="P958" s="277"/>
      <c r="Q958" s="277"/>
      <c r="R958" s="277"/>
      <c r="T958" s="277"/>
      <c r="U958" s="277"/>
      <c r="W958" s="277"/>
      <c r="Y958" s="107"/>
      <c r="Z958" s="107"/>
      <c r="AA958" s="107"/>
      <c r="AB958" s="107"/>
      <c r="AC958" s="107"/>
      <c r="AD958" s="233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7"/>
      <c r="AV958" s="107"/>
      <c r="AW958" s="107"/>
      <c r="AX958" s="107"/>
      <c r="AY958" s="107"/>
      <c r="AZ958" s="107"/>
      <c r="BA958" s="107"/>
      <c r="BB958" s="107"/>
      <c r="BC958" s="107"/>
      <c r="BD958" s="107"/>
      <c r="BE958" s="107"/>
      <c r="BF958" s="107"/>
      <c r="BG958" s="107"/>
      <c r="BH958" s="107"/>
      <c r="BI958" s="107"/>
      <c r="BJ958" s="107"/>
      <c r="BK958" s="107"/>
      <c r="BL958" s="107"/>
      <c r="BM958" s="107"/>
      <c r="BN958" s="107"/>
      <c r="BO958" s="107"/>
      <c r="BP958" s="107"/>
      <c r="BQ958" s="107"/>
      <c r="BR958" s="107"/>
    </row>
    <row r="959" customFormat="false" ht="12.75" hidden="false" customHeight="false" outlineLevel="0" collapsed="false">
      <c r="A959" s="100"/>
      <c r="B959" s="100"/>
      <c r="C959" s="100"/>
      <c r="D959" s="100"/>
      <c r="E959" s="100"/>
      <c r="F959" s="277"/>
      <c r="H959" s="277"/>
      <c r="I959" s="277"/>
      <c r="J959" s="277"/>
      <c r="K959" s="277"/>
      <c r="L959" s="277"/>
      <c r="M959" s="277"/>
      <c r="N959" s="277"/>
      <c r="O959" s="277"/>
      <c r="P959" s="277"/>
      <c r="Q959" s="277"/>
      <c r="R959" s="277"/>
      <c r="T959" s="277"/>
      <c r="U959" s="277"/>
      <c r="W959" s="277"/>
      <c r="Y959" s="107"/>
      <c r="Z959" s="107"/>
      <c r="AA959" s="107"/>
      <c r="AB959" s="107"/>
      <c r="AC959" s="107"/>
      <c r="AD959" s="233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7"/>
      <c r="AV959" s="107"/>
      <c r="AW959" s="107"/>
      <c r="AX959" s="107"/>
      <c r="AY959" s="107"/>
      <c r="AZ959" s="107"/>
      <c r="BA959" s="107"/>
      <c r="BB959" s="107"/>
      <c r="BC959" s="107"/>
      <c r="BD959" s="107"/>
      <c r="BE959" s="107"/>
      <c r="BF959" s="107"/>
      <c r="BG959" s="107"/>
      <c r="BH959" s="107"/>
      <c r="BI959" s="107"/>
      <c r="BJ959" s="107"/>
      <c r="BK959" s="107"/>
      <c r="BL959" s="107"/>
      <c r="BM959" s="107"/>
      <c r="BN959" s="107"/>
      <c r="BO959" s="107"/>
      <c r="BP959" s="107"/>
      <c r="BQ959" s="107"/>
      <c r="BR959" s="107"/>
    </row>
    <row r="960" customFormat="false" ht="12.75" hidden="false" customHeight="false" outlineLevel="0" collapsed="false">
      <c r="A960" s="100"/>
      <c r="B960" s="100"/>
      <c r="C960" s="100"/>
      <c r="D960" s="100"/>
      <c r="E960" s="100"/>
      <c r="F960" s="277"/>
      <c r="H960" s="277"/>
      <c r="I960" s="277"/>
      <c r="J960" s="277"/>
      <c r="K960" s="277"/>
      <c r="L960" s="277"/>
      <c r="M960" s="277"/>
      <c r="N960" s="277"/>
      <c r="O960" s="277"/>
      <c r="P960" s="277"/>
      <c r="Q960" s="277"/>
      <c r="R960" s="277"/>
      <c r="T960" s="277"/>
      <c r="U960" s="277"/>
      <c r="W960" s="277"/>
      <c r="Y960" s="107"/>
      <c r="Z960" s="107"/>
      <c r="AA960" s="107"/>
      <c r="AB960" s="107"/>
      <c r="AC960" s="107"/>
      <c r="AD960" s="233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7"/>
      <c r="AV960" s="107"/>
      <c r="AW960" s="107"/>
      <c r="AX960" s="107"/>
      <c r="AY960" s="107"/>
      <c r="AZ960" s="107"/>
      <c r="BA960" s="107"/>
      <c r="BB960" s="107"/>
      <c r="BC960" s="107"/>
      <c r="BD960" s="107"/>
      <c r="BE960" s="107"/>
      <c r="BF960" s="107"/>
      <c r="BG960" s="107"/>
      <c r="BH960" s="107"/>
      <c r="BI960" s="107"/>
      <c r="BJ960" s="107"/>
      <c r="BK960" s="107"/>
      <c r="BL960" s="107"/>
      <c r="BM960" s="107"/>
      <c r="BN960" s="107"/>
      <c r="BO960" s="107"/>
      <c r="BP960" s="107"/>
      <c r="BQ960" s="107"/>
      <c r="BR960" s="107"/>
    </row>
    <row r="961" customFormat="false" ht="12.75" hidden="false" customHeight="false" outlineLevel="0" collapsed="false">
      <c r="A961" s="100"/>
      <c r="B961" s="100"/>
      <c r="C961" s="100"/>
      <c r="D961" s="100"/>
      <c r="E961" s="100"/>
      <c r="F961" s="277"/>
      <c r="H961" s="277"/>
      <c r="I961" s="277"/>
      <c r="J961" s="277"/>
      <c r="K961" s="277"/>
      <c r="L961" s="277"/>
      <c r="M961" s="277"/>
      <c r="N961" s="277"/>
      <c r="O961" s="277"/>
      <c r="P961" s="277"/>
      <c r="Q961" s="277"/>
      <c r="R961" s="277"/>
      <c r="T961" s="277"/>
      <c r="U961" s="277"/>
      <c r="W961" s="277"/>
      <c r="Y961" s="107"/>
      <c r="Z961" s="107"/>
      <c r="AA961" s="107"/>
      <c r="AB961" s="107"/>
      <c r="AC961" s="107"/>
      <c r="AD961" s="233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7"/>
      <c r="AV961" s="107"/>
      <c r="AW961" s="107"/>
      <c r="AX961" s="107"/>
      <c r="AY961" s="107"/>
      <c r="AZ961" s="107"/>
      <c r="BA961" s="107"/>
      <c r="BB961" s="107"/>
      <c r="BC961" s="107"/>
      <c r="BD961" s="107"/>
      <c r="BE961" s="107"/>
      <c r="BF961" s="107"/>
      <c r="BG961" s="107"/>
      <c r="BH961" s="107"/>
      <c r="BI961" s="107"/>
      <c r="BJ961" s="107"/>
      <c r="BK961" s="107"/>
      <c r="BL961" s="107"/>
      <c r="BM961" s="107"/>
      <c r="BN961" s="107"/>
      <c r="BO961" s="107"/>
      <c r="BP961" s="107"/>
      <c r="BQ961" s="107"/>
      <c r="BR961" s="107"/>
    </row>
    <row r="962" customFormat="false" ht="12.75" hidden="false" customHeight="false" outlineLevel="0" collapsed="false">
      <c r="A962" s="100"/>
      <c r="B962" s="100"/>
      <c r="C962" s="100"/>
      <c r="D962" s="100"/>
      <c r="E962" s="100"/>
      <c r="F962" s="277"/>
      <c r="H962" s="277"/>
      <c r="I962" s="277"/>
      <c r="J962" s="277"/>
      <c r="K962" s="277"/>
      <c r="L962" s="277"/>
      <c r="M962" s="277"/>
      <c r="N962" s="277"/>
      <c r="O962" s="277"/>
      <c r="P962" s="277"/>
      <c r="Q962" s="277"/>
      <c r="R962" s="277"/>
      <c r="T962" s="277"/>
      <c r="U962" s="277"/>
      <c r="W962" s="277"/>
      <c r="Y962" s="107"/>
      <c r="Z962" s="107"/>
      <c r="AA962" s="107"/>
      <c r="AB962" s="107"/>
      <c r="AC962" s="107"/>
      <c r="AD962" s="233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7"/>
      <c r="AV962" s="107"/>
      <c r="AW962" s="107"/>
      <c r="AX962" s="107"/>
      <c r="AY962" s="107"/>
      <c r="AZ962" s="107"/>
      <c r="BA962" s="107"/>
      <c r="BB962" s="107"/>
      <c r="BC962" s="107"/>
      <c r="BD962" s="107"/>
      <c r="BE962" s="107"/>
      <c r="BF962" s="107"/>
      <c r="BG962" s="107"/>
      <c r="BH962" s="107"/>
      <c r="BI962" s="107"/>
      <c r="BJ962" s="107"/>
      <c r="BK962" s="107"/>
      <c r="BL962" s="107"/>
      <c r="BM962" s="107"/>
      <c r="BN962" s="107"/>
      <c r="BO962" s="107"/>
      <c r="BP962" s="107"/>
      <c r="BQ962" s="107"/>
      <c r="BR962" s="107"/>
    </row>
    <row r="963" customFormat="false" ht="12.75" hidden="false" customHeight="false" outlineLevel="0" collapsed="false">
      <c r="A963" s="100"/>
      <c r="B963" s="100"/>
      <c r="C963" s="100"/>
      <c r="D963" s="100"/>
      <c r="E963" s="100"/>
      <c r="F963" s="277"/>
      <c r="H963" s="277"/>
      <c r="I963" s="277"/>
      <c r="J963" s="277"/>
      <c r="K963" s="277"/>
      <c r="L963" s="277"/>
      <c r="M963" s="277"/>
      <c r="N963" s="277"/>
      <c r="O963" s="277"/>
      <c r="P963" s="277"/>
      <c r="Q963" s="277"/>
      <c r="R963" s="277"/>
      <c r="T963" s="277"/>
      <c r="U963" s="277"/>
      <c r="W963" s="277"/>
      <c r="Y963" s="107"/>
      <c r="Z963" s="107"/>
      <c r="AA963" s="107"/>
      <c r="AB963" s="107"/>
      <c r="AC963" s="107"/>
      <c r="AD963" s="233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7"/>
      <c r="AV963" s="107"/>
      <c r="AW963" s="107"/>
      <c r="AX963" s="107"/>
      <c r="AY963" s="107"/>
      <c r="AZ963" s="107"/>
      <c r="BA963" s="107"/>
      <c r="BB963" s="107"/>
      <c r="BC963" s="107"/>
      <c r="BD963" s="107"/>
      <c r="BE963" s="107"/>
      <c r="BF963" s="107"/>
      <c r="BG963" s="107"/>
      <c r="BH963" s="107"/>
      <c r="BI963" s="107"/>
      <c r="BJ963" s="107"/>
      <c r="BK963" s="107"/>
      <c r="BL963" s="107"/>
      <c r="BM963" s="107"/>
      <c r="BN963" s="107"/>
      <c r="BO963" s="107"/>
      <c r="BP963" s="107"/>
      <c r="BQ963" s="107"/>
      <c r="BR963" s="107"/>
    </row>
    <row r="964" customFormat="false" ht="12.75" hidden="false" customHeight="false" outlineLevel="0" collapsed="false">
      <c r="A964" s="100"/>
      <c r="B964" s="100"/>
      <c r="C964" s="100"/>
      <c r="D964" s="100"/>
      <c r="E964" s="100"/>
      <c r="F964" s="277"/>
      <c r="H964" s="277"/>
      <c r="I964" s="277"/>
      <c r="J964" s="277"/>
      <c r="K964" s="277"/>
      <c r="L964" s="277"/>
      <c r="M964" s="277"/>
      <c r="N964" s="277"/>
      <c r="O964" s="277"/>
      <c r="P964" s="277"/>
      <c r="Q964" s="277"/>
      <c r="R964" s="277"/>
      <c r="T964" s="277"/>
      <c r="U964" s="277"/>
      <c r="W964" s="277"/>
      <c r="Y964" s="107"/>
      <c r="Z964" s="107"/>
      <c r="AA964" s="107"/>
      <c r="AB964" s="107"/>
      <c r="AC964" s="107"/>
      <c r="AD964" s="233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7"/>
      <c r="AV964" s="107"/>
      <c r="AW964" s="107"/>
      <c r="AX964" s="107"/>
      <c r="AY964" s="107"/>
      <c r="AZ964" s="107"/>
      <c r="BA964" s="107"/>
      <c r="BB964" s="107"/>
      <c r="BC964" s="107"/>
      <c r="BD964" s="107"/>
      <c r="BE964" s="107"/>
      <c r="BF964" s="107"/>
      <c r="BG964" s="107"/>
      <c r="BH964" s="107"/>
      <c r="BI964" s="107"/>
      <c r="BJ964" s="107"/>
      <c r="BK964" s="107"/>
      <c r="BL964" s="107"/>
      <c r="BM964" s="107"/>
      <c r="BN964" s="107"/>
      <c r="BO964" s="107"/>
      <c r="BP964" s="107"/>
      <c r="BQ964" s="107"/>
      <c r="BR964" s="107"/>
    </row>
    <row r="965" customFormat="false" ht="12.75" hidden="false" customHeight="false" outlineLevel="0" collapsed="false">
      <c r="A965" s="100"/>
      <c r="B965" s="100"/>
      <c r="C965" s="100"/>
      <c r="D965" s="100"/>
      <c r="E965" s="100"/>
      <c r="F965" s="277"/>
      <c r="H965" s="277"/>
      <c r="I965" s="277"/>
      <c r="J965" s="277"/>
      <c r="K965" s="277"/>
      <c r="L965" s="277"/>
      <c r="M965" s="277"/>
      <c r="N965" s="277"/>
      <c r="O965" s="277"/>
      <c r="P965" s="277"/>
      <c r="Q965" s="277"/>
      <c r="R965" s="277"/>
      <c r="T965" s="277"/>
      <c r="U965" s="277"/>
      <c r="W965" s="277"/>
      <c r="Y965" s="107"/>
      <c r="Z965" s="107"/>
      <c r="AA965" s="107"/>
      <c r="AB965" s="107"/>
      <c r="AC965" s="107"/>
      <c r="AD965" s="233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7"/>
      <c r="AV965" s="107"/>
      <c r="AW965" s="107"/>
      <c r="AX965" s="107"/>
      <c r="AY965" s="107"/>
      <c r="AZ965" s="107"/>
      <c r="BA965" s="107"/>
      <c r="BB965" s="107"/>
      <c r="BC965" s="107"/>
      <c r="BD965" s="107"/>
      <c r="BE965" s="107"/>
      <c r="BF965" s="107"/>
      <c r="BG965" s="107"/>
      <c r="BH965" s="107"/>
      <c r="BI965" s="107"/>
      <c r="BJ965" s="107"/>
      <c r="BK965" s="107"/>
      <c r="BL965" s="107"/>
      <c r="BM965" s="107"/>
      <c r="BN965" s="107"/>
      <c r="BO965" s="107"/>
      <c r="BP965" s="107"/>
      <c r="BQ965" s="107"/>
      <c r="BR965" s="107"/>
    </row>
    <row r="966" customFormat="false" ht="12.75" hidden="false" customHeight="false" outlineLevel="0" collapsed="false">
      <c r="A966" s="100"/>
      <c r="B966" s="100"/>
      <c r="C966" s="100"/>
      <c r="D966" s="100"/>
      <c r="E966" s="100"/>
      <c r="F966" s="277"/>
      <c r="H966" s="277"/>
      <c r="I966" s="277"/>
      <c r="J966" s="277"/>
      <c r="K966" s="277"/>
      <c r="L966" s="277"/>
      <c r="M966" s="277"/>
      <c r="N966" s="277"/>
      <c r="O966" s="277"/>
      <c r="P966" s="277"/>
      <c r="Q966" s="277"/>
      <c r="R966" s="277"/>
      <c r="T966" s="277"/>
      <c r="U966" s="277"/>
      <c r="W966" s="277"/>
      <c r="Y966" s="107"/>
      <c r="Z966" s="107"/>
      <c r="AA966" s="107"/>
      <c r="AB966" s="107"/>
      <c r="AC966" s="107"/>
      <c r="AD966" s="233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7"/>
      <c r="AV966" s="107"/>
      <c r="AW966" s="107"/>
      <c r="AX966" s="107"/>
      <c r="AY966" s="107"/>
      <c r="AZ966" s="107"/>
      <c r="BA966" s="107"/>
      <c r="BB966" s="107"/>
      <c r="BC966" s="107"/>
      <c r="BD966" s="107"/>
      <c r="BE966" s="107"/>
      <c r="BF966" s="107"/>
      <c r="BG966" s="107"/>
      <c r="BH966" s="107"/>
      <c r="BI966" s="107"/>
      <c r="BJ966" s="107"/>
      <c r="BK966" s="107"/>
      <c r="BL966" s="107"/>
      <c r="BM966" s="107"/>
      <c r="BN966" s="107"/>
      <c r="BO966" s="107"/>
      <c r="BP966" s="107"/>
      <c r="BQ966" s="107"/>
      <c r="BR966" s="107"/>
    </row>
    <row r="967" customFormat="false" ht="12.75" hidden="false" customHeight="false" outlineLevel="0" collapsed="false">
      <c r="A967" s="100"/>
      <c r="B967" s="100"/>
      <c r="C967" s="100"/>
      <c r="D967" s="100"/>
      <c r="E967" s="100"/>
      <c r="F967" s="277"/>
      <c r="H967" s="277"/>
      <c r="I967" s="277"/>
      <c r="J967" s="277"/>
      <c r="K967" s="277"/>
      <c r="L967" s="277"/>
      <c r="M967" s="277"/>
      <c r="N967" s="277"/>
      <c r="O967" s="277"/>
      <c r="P967" s="277"/>
      <c r="Q967" s="277"/>
      <c r="R967" s="277"/>
      <c r="T967" s="277"/>
      <c r="U967" s="277"/>
      <c r="W967" s="277"/>
      <c r="Y967" s="107"/>
      <c r="Z967" s="107"/>
      <c r="AA967" s="107"/>
      <c r="AB967" s="107"/>
      <c r="AC967" s="107"/>
      <c r="AD967" s="233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7"/>
      <c r="AV967" s="107"/>
      <c r="AW967" s="107"/>
      <c r="AX967" s="107"/>
      <c r="AY967" s="107"/>
      <c r="AZ967" s="107"/>
      <c r="BA967" s="107"/>
      <c r="BB967" s="107"/>
      <c r="BC967" s="107"/>
      <c r="BD967" s="107"/>
      <c r="BE967" s="107"/>
      <c r="BF967" s="107"/>
      <c r="BG967" s="107"/>
      <c r="BH967" s="107"/>
      <c r="BI967" s="107"/>
      <c r="BJ967" s="107"/>
      <c r="BK967" s="107"/>
      <c r="BL967" s="107"/>
      <c r="BM967" s="107"/>
      <c r="BN967" s="107"/>
      <c r="BO967" s="107"/>
      <c r="BP967" s="107"/>
      <c r="BQ967" s="107"/>
      <c r="BR967" s="107"/>
    </row>
    <row r="968" customFormat="false" ht="12.75" hidden="false" customHeight="false" outlineLevel="0" collapsed="false">
      <c r="A968" s="100"/>
      <c r="B968" s="100"/>
      <c r="C968" s="100"/>
      <c r="D968" s="100"/>
      <c r="E968" s="100"/>
      <c r="F968" s="277"/>
      <c r="H968" s="277"/>
      <c r="I968" s="277"/>
      <c r="J968" s="277"/>
      <c r="K968" s="277"/>
      <c r="L968" s="277"/>
      <c r="M968" s="277"/>
      <c r="N968" s="277"/>
      <c r="O968" s="277"/>
      <c r="P968" s="277"/>
      <c r="Q968" s="277"/>
      <c r="R968" s="277"/>
      <c r="T968" s="277"/>
      <c r="U968" s="277"/>
      <c r="W968" s="277"/>
      <c r="Y968" s="107"/>
      <c r="Z968" s="107"/>
      <c r="AA968" s="107"/>
      <c r="AB968" s="107"/>
      <c r="AC968" s="107"/>
      <c r="AD968" s="233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7"/>
      <c r="AV968" s="107"/>
      <c r="AW968" s="107"/>
      <c r="AX968" s="107"/>
      <c r="AY968" s="107"/>
      <c r="AZ968" s="107"/>
      <c r="BA968" s="107"/>
      <c r="BB968" s="107"/>
      <c r="BC968" s="107"/>
      <c r="BD968" s="107"/>
      <c r="BE968" s="107"/>
      <c r="BF968" s="107"/>
      <c r="BG968" s="107"/>
      <c r="BH968" s="107"/>
      <c r="BI968" s="107"/>
      <c r="BJ968" s="107"/>
      <c r="BK968" s="107"/>
      <c r="BL968" s="107"/>
      <c r="BM968" s="107"/>
      <c r="BN968" s="107"/>
      <c r="BO968" s="107"/>
      <c r="BP968" s="107"/>
      <c r="BQ968" s="107"/>
      <c r="BR968" s="107"/>
    </row>
    <row r="969" customFormat="false" ht="12.75" hidden="false" customHeight="false" outlineLevel="0" collapsed="false">
      <c r="A969" s="100"/>
      <c r="B969" s="100"/>
      <c r="C969" s="100"/>
      <c r="D969" s="100"/>
      <c r="E969" s="100"/>
      <c r="F969" s="277"/>
      <c r="H969" s="277"/>
      <c r="I969" s="277"/>
      <c r="J969" s="277"/>
      <c r="K969" s="277"/>
      <c r="L969" s="277"/>
      <c r="M969" s="277"/>
      <c r="N969" s="277"/>
      <c r="O969" s="277"/>
      <c r="P969" s="277"/>
      <c r="Q969" s="277"/>
      <c r="R969" s="277"/>
      <c r="T969" s="277"/>
      <c r="U969" s="277"/>
      <c r="W969" s="277"/>
      <c r="Y969" s="107"/>
      <c r="Z969" s="107"/>
      <c r="AA969" s="107"/>
      <c r="AB969" s="107"/>
      <c r="AC969" s="107"/>
      <c r="AD969" s="233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7"/>
      <c r="AV969" s="107"/>
      <c r="AW969" s="107"/>
      <c r="AX969" s="107"/>
      <c r="AY969" s="107"/>
      <c r="AZ969" s="107"/>
      <c r="BA969" s="107"/>
      <c r="BB969" s="107"/>
      <c r="BC969" s="107"/>
      <c r="BD969" s="107"/>
      <c r="BE969" s="107"/>
      <c r="BF969" s="107"/>
      <c r="BG969" s="107"/>
      <c r="BH969" s="107"/>
      <c r="BI969" s="107"/>
      <c r="BJ969" s="107"/>
      <c r="BK969" s="107"/>
      <c r="BL969" s="107"/>
      <c r="BM969" s="107"/>
      <c r="BN969" s="107"/>
      <c r="BO969" s="107"/>
      <c r="BP969" s="107"/>
      <c r="BQ969" s="107"/>
      <c r="BR969" s="107"/>
    </row>
    <row r="970" customFormat="false" ht="12.75" hidden="false" customHeight="false" outlineLevel="0" collapsed="false">
      <c r="A970" s="100"/>
      <c r="B970" s="100"/>
      <c r="C970" s="100"/>
      <c r="D970" s="100"/>
      <c r="E970" s="100"/>
      <c r="F970" s="277"/>
      <c r="H970" s="277"/>
      <c r="I970" s="277"/>
      <c r="J970" s="277"/>
      <c r="K970" s="277"/>
      <c r="L970" s="277"/>
      <c r="M970" s="277"/>
      <c r="N970" s="277"/>
      <c r="O970" s="277"/>
      <c r="P970" s="277"/>
      <c r="Q970" s="277"/>
      <c r="R970" s="277"/>
      <c r="T970" s="277"/>
      <c r="U970" s="277"/>
      <c r="W970" s="277"/>
      <c r="Y970" s="107"/>
      <c r="Z970" s="107"/>
      <c r="AA970" s="107"/>
      <c r="AB970" s="107"/>
      <c r="AC970" s="107"/>
      <c r="AD970" s="233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7"/>
      <c r="AV970" s="107"/>
      <c r="AW970" s="107"/>
      <c r="AX970" s="107"/>
      <c r="AY970" s="107"/>
      <c r="AZ970" s="107"/>
      <c r="BA970" s="107"/>
      <c r="BB970" s="107"/>
      <c r="BC970" s="107"/>
      <c r="BD970" s="107"/>
      <c r="BE970" s="107"/>
      <c r="BF970" s="107"/>
      <c r="BG970" s="107"/>
      <c r="BH970" s="107"/>
      <c r="BI970" s="107"/>
      <c r="BJ970" s="107"/>
      <c r="BK970" s="107"/>
      <c r="BL970" s="107"/>
      <c r="BM970" s="107"/>
      <c r="BN970" s="107"/>
      <c r="BO970" s="107"/>
      <c r="BP970" s="107"/>
      <c r="BQ970" s="107"/>
      <c r="BR970" s="107"/>
    </row>
    <row r="971" customFormat="false" ht="12.75" hidden="false" customHeight="false" outlineLevel="0" collapsed="false">
      <c r="A971" s="100"/>
      <c r="B971" s="100"/>
      <c r="C971" s="100"/>
      <c r="D971" s="100"/>
      <c r="E971" s="100"/>
      <c r="F971" s="277"/>
      <c r="H971" s="277"/>
      <c r="I971" s="277"/>
      <c r="J971" s="277"/>
      <c r="K971" s="277"/>
      <c r="L971" s="277"/>
      <c r="M971" s="277"/>
      <c r="N971" s="277"/>
      <c r="O971" s="277"/>
      <c r="P971" s="277"/>
      <c r="Q971" s="277"/>
      <c r="R971" s="277"/>
      <c r="T971" s="277"/>
      <c r="U971" s="277"/>
      <c r="W971" s="277"/>
      <c r="Y971" s="107"/>
      <c r="Z971" s="107"/>
      <c r="AA971" s="107"/>
      <c r="AB971" s="107"/>
      <c r="AC971" s="107"/>
      <c r="AD971" s="233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7"/>
      <c r="AV971" s="107"/>
      <c r="AW971" s="107"/>
      <c r="AX971" s="107"/>
      <c r="AY971" s="107"/>
      <c r="AZ971" s="107"/>
      <c r="BA971" s="107"/>
      <c r="BB971" s="107"/>
      <c r="BC971" s="107"/>
      <c r="BD971" s="107"/>
      <c r="BE971" s="107"/>
      <c r="BF971" s="107"/>
      <c r="BG971" s="107"/>
      <c r="BH971" s="107"/>
      <c r="BI971" s="107"/>
      <c r="BJ971" s="107"/>
      <c r="BK971" s="107"/>
      <c r="BL971" s="107"/>
      <c r="BM971" s="107"/>
      <c r="BN971" s="107"/>
      <c r="BO971" s="107"/>
      <c r="BP971" s="107"/>
      <c r="BQ971" s="107"/>
      <c r="BR971" s="107"/>
    </row>
    <row r="972" customFormat="false" ht="12.75" hidden="false" customHeight="false" outlineLevel="0" collapsed="false">
      <c r="A972" s="100"/>
      <c r="B972" s="100"/>
      <c r="C972" s="100"/>
      <c r="D972" s="100"/>
      <c r="E972" s="100"/>
      <c r="F972" s="277"/>
      <c r="H972" s="277"/>
      <c r="I972" s="277"/>
      <c r="J972" s="277"/>
      <c r="K972" s="277"/>
      <c r="L972" s="277"/>
      <c r="M972" s="277"/>
      <c r="N972" s="277"/>
      <c r="O972" s="277"/>
      <c r="P972" s="277"/>
      <c r="Q972" s="277"/>
      <c r="R972" s="277"/>
      <c r="T972" s="277"/>
      <c r="U972" s="277"/>
      <c r="W972" s="277"/>
      <c r="Y972" s="107"/>
      <c r="Z972" s="107"/>
      <c r="AA972" s="107"/>
      <c r="AB972" s="107"/>
      <c r="AC972" s="107"/>
      <c r="AD972" s="233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7"/>
      <c r="AV972" s="107"/>
      <c r="AW972" s="107"/>
      <c r="AX972" s="107"/>
      <c r="AY972" s="107"/>
      <c r="AZ972" s="107"/>
      <c r="BA972" s="107"/>
      <c r="BB972" s="107"/>
      <c r="BC972" s="107"/>
      <c r="BD972" s="107"/>
      <c r="BE972" s="107"/>
      <c r="BF972" s="107"/>
      <c r="BG972" s="107"/>
      <c r="BH972" s="107"/>
      <c r="BI972" s="107"/>
      <c r="BJ972" s="107"/>
      <c r="BK972" s="107"/>
      <c r="BL972" s="107"/>
      <c r="BM972" s="107"/>
      <c r="BN972" s="107"/>
      <c r="BO972" s="107"/>
      <c r="BP972" s="107"/>
      <c r="BQ972" s="107"/>
      <c r="BR972" s="107"/>
    </row>
    <row r="973" customFormat="false" ht="12.75" hidden="false" customHeight="false" outlineLevel="0" collapsed="false">
      <c r="A973" s="100"/>
      <c r="B973" s="100"/>
      <c r="C973" s="100"/>
      <c r="D973" s="100"/>
      <c r="E973" s="100"/>
      <c r="F973" s="277"/>
      <c r="H973" s="277"/>
      <c r="I973" s="277"/>
      <c r="J973" s="277"/>
      <c r="K973" s="277"/>
      <c r="L973" s="277"/>
      <c r="M973" s="277"/>
      <c r="N973" s="277"/>
      <c r="O973" s="277"/>
      <c r="P973" s="277"/>
      <c r="Q973" s="277"/>
      <c r="R973" s="277"/>
      <c r="T973" s="277"/>
      <c r="U973" s="277"/>
      <c r="W973" s="277"/>
      <c r="Y973" s="107"/>
      <c r="Z973" s="107"/>
      <c r="AA973" s="107"/>
      <c r="AB973" s="107"/>
      <c r="AC973" s="107"/>
      <c r="AD973" s="233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7"/>
      <c r="AV973" s="107"/>
      <c r="AW973" s="107"/>
      <c r="AX973" s="107"/>
      <c r="AY973" s="107"/>
      <c r="AZ973" s="107"/>
      <c r="BA973" s="107"/>
      <c r="BB973" s="107"/>
      <c r="BC973" s="107"/>
      <c r="BD973" s="107"/>
      <c r="BE973" s="107"/>
      <c r="BF973" s="107"/>
      <c r="BG973" s="107"/>
      <c r="BH973" s="107"/>
      <c r="BI973" s="107"/>
      <c r="BJ973" s="107"/>
      <c r="BK973" s="107"/>
      <c r="BL973" s="107"/>
      <c r="BM973" s="107"/>
      <c r="BN973" s="107"/>
      <c r="BO973" s="107"/>
      <c r="BP973" s="107"/>
      <c r="BQ973" s="107"/>
      <c r="BR973" s="107"/>
    </row>
    <row r="974" customFormat="false" ht="12.75" hidden="false" customHeight="false" outlineLevel="0" collapsed="false">
      <c r="A974" s="100"/>
      <c r="B974" s="100"/>
      <c r="C974" s="100"/>
      <c r="D974" s="100"/>
      <c r="E974" s="100"/>
      <c r="F974" s="277"/>
      <c r="H974" s="277"/>
      <c r="I974" s="277"/>
      <c r="J974" s="277"/>
      <c r="K974" s="277"/>
      <c r="L974" s="277"/>
      <c r="M974" s="277"/>
      <c r="N974" s="277"/>
      <c r="O974" s="277"/>
      <c r="P974" s="277"/>
      <c r="Q974" s="277"/>
      <c r="R974" s="277"/>
      <c r="T974" s="277"/>
      <c r="U974" s="277"/>
      <c r="W974" s="277"/>
      <c r="Y974" s="107"/>
      <c r="Z974" s="107"/>
      <c r="AA974" s="107"/>
      <c r="AB974" s="107"/>
      <c r="AC974" s="107"/>
      <c r="AD974" s="233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7"/>
      <c r="AV974" s="107"/>
      <c r="AW974" s="107"/>
      <c r="AX974" s="107"/>
      <c r="AY974" s="107"/>
      <c r="AZ974" s="107"/>
      <c r="BA974" s="107"/>
      <c r="BB974" s="107"/>
      <c r="BC974" s="107"/>
      <c r="BD974" s="107"/>
      <c r="BE974" s="107"/>
      <c r="BF974" s="107"/>
      <c r="BG974" s="107"/>
      <c r="BH974" s="107"/>
      <c r="BI974" s="107"/>
      <c r="BJ974" s="107"/>
      <c r="BK974" s="107"/>
      <c r="BL974" s="107"/>
      <c r="BM974" s="107"/>
      <c r="BN974" s="107"/>
      <c r="BO974" s="107"/>
      <c r="BP974" s="107"/>
      <c r="BQ974" s="107"/>
      <c r="BR974" s="107"/>
    </row>
    <row r="975" customFormat="false" ht="12.75" hidden="false" customHeight="false" outlineLevel="0" collapsed="false">
      <c r="A975" s="100"/>
      <c r="B975" s="100"/>
      <c r="C975" s="100"/>
      <c r="D975" s="100"/>
      <c r="E975" s="100"/>
      <c r="F975" s="277"/>
      <c r="H975" s="277"/>
      <c r="I975" s="277"/>
      <c r="J975" s="277"/>
      <c r="K975" s="277"/>
      <c r="L975" s="277"/>
      <c r="M975" s="277"/>
      <c r="N975" s="277"/>
      <c r="O975" s="277"/>
      <c r="P975" s="277"/>
      <c r="Q975" s="277"/>
      <c r="R975" s="277"/>
      <c r="T975" s="277"/>
      <c r="U975" s="277"/>
      <c r="W975" s="277"/>
      <c r="Y975" s="107"/>
      <c r="Z975" s="107"/>
      <c r="AA975" s="107"/>
      <c r="AB975" s="107"/>
      <c r="AC975" s="107"/>
      <c r="AD975" s="233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7"/>
      <c r="AV975" s="107"/>
      <c r="AW975" s="107"/>
      <c r="AX975" s="107"/>
      <c r="AY975" s="107"/>
      <c r="AZ975" s="107"/>
      <c r="BA975" s="107"/>
      <c r="BB975" s="107"/>
      <c r="BC975" s="107"/>
      <c r="BD975" s="107"/>
      <c r="BE975" s="107"/>
      <c r="BF975" s="107"/>
      <c r="BG975" s="107"/>
      <c r="BH975" s="107"/>
      <c r="BI975" s="107"/>
      <c r="BJ975" s="107"/>
      <c r="BK975" s="107"/>
      <c r="BL975" s="107"/>
      <c r="BM975" s="107"/>
      <c r="BN975" s="107"/>
      <c r="BO975" s="107"/>
      <c r="BP975" s="107"/>
      <c r="BQ975" s="107"/>
      <c r="BR975" s="107"/>
    </row>
    <row r="976" customFormat="false" ht="12.75" hidden="false" customHeight="false" outlineLevel="0" collapsed="false">
      <c r="A976" s="100"/>
      <c r="B976" s="100"/>
      <c r="C976" s="100"/>
      <c r="D976" s="100"/>
      <c r="E976" s="100"/>
      <c r="F976" s="277"/>
      <c r="H976" s="277"/>
      <c r="I976" s="277"/>
      <c r="J976" s="277"/>
      <c r="K976" s="277"/>
      <c r="L976" s="277"/>
      <c r="M976" s="277"/>
      <c r="N976" s="277"/>
      <c r="O976" s="277"/>
      <c r="P976" s="277"/>
      <c r="Q976" s="277"/>
      <c r="R976" s="277"/>
      <c r="T976" s="277"/>
      <c r="U976" s="277"/>
      <c r="W976" s="277"/>
      <c r="Y976" s="107"/>
      <c r="Z976" s="107"/>
      <c r="AA976" s="107"/>
      <c r="AB976" s="107"/>
      <c r="AC976" s="107"/>
      <c r="AD976" s="233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7"/>
      <c r="AV976" s="107"/>
      <c r="AW976" s="107"/>
      <c r="AX976" s="107"/>
      <c r="AY976" s="107"/>
      <c r="AZ976" s="107"/>
      <c r="BA976" s="107"/>
      <c r="BB976" s="107"/>
      <c r="BC976" s="107"/>
      <c r="BD976" s="107"/>
      <c r="BE976" s="107"/>
      <c r="BF976" s="107"/>
      <c r="BG976" s="107"/>
      <c r="BH976" s="107"/>
      <c r="BI976" s="107"/>
      <c r="BJ976" s="107"/>
      <c r="BK976" s="107"/>
      <c r="BL976" s="107"/>
      <c r="BM976" s="107"/>
      <c r="BN976" s="107"/>
      <c r="BO976" s="107"/>
      <c r="BP976" s="107"/>
      <c r="BQ976" s="107"/>
      <c r="BR976" s="107"/>
    </row>
    <row r="977" customFormat="false" ht="12.75" hidden="false" customHeight="false" outlineLevel="0" collapsed="false">
      <c r="A977" s="100"/>
      <c r="B977" s="100"/>
      <c r="C977" s="100"/>
      <c r="D977" s="100"/>
      <c r="E977" s="100"/>
      <c r="F977" s="277"/>
      <c r="H977" s="277"/>
      <c r="I977" s="277"/>
      <c r="J977" s="277"/>
      <c r="K977" s="277"/>
      <c r="L977" s="277"/>
      <c r="M977" s="277"/>
      <c r="N977" s="277"/>
      <c r="O977" s="277"/>
      <c r="P977" s="277"/>
      <c r="Q977" s="277"/>
      <c r="R977" s="277"/>
      <c r="T977" s="277"/>
      <c r="U977" s="277"/>
      <c r="W977" s="277"/>
      <c r="Y977" s="107"/>
      <c r="Z977" s="107"/>
      <c r="AA977" s="107"/>
      <c r="AB977" s="107"/>
      <c r="AC977" s="107"/>
      <c r="AD977" s="233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7"/>
      <c r="AV977" s="107"/>
      <c r="AW977" s="107"/>
      <c r="AX977" s="107"/>
      <c r="AY977" s="107"/>
      <c r="AZ977" s="107"/>
      <c r="BA977" s="107"/>
      <c r="BB977" s="107"/>
      <c r="BC977" s="107"/>
      <c r="BD977" s="107"/>
      <c r="BE977" s="107"/>
      <c r="BF977" s="107"/>
      <c r="BG977" s="107"/>
      <c r="BH977" s="107"/>
      <c r="BI977" s="107"/>
      <c r="BJ977" s="107"/>
      <c r="BK977" s="107"/>
      <c r="BL977" s="107"/>
      <c r="BM977" s="107"/>
      <c r="BN977" s="107"/>
      <c r="BO977" s="107"/>
      <c r="BP977" s="107"/>
      <c r="BQ977" s="107"/>
      <c r="BR977" s="107"/>
    </row>
    <row r="978" customFormat="false" ht="12.75" hidden="false" customHeight="false" outlineLevel="0" collapsed="false">
      <c r="A978" s="100"/>
      <c r="B978" s="100"/>
      <c r="C978" s="100"/>
      <c r="D978" s="100"/>
      <c r="E978" s="100"/>
      <c r="F978" s="277"/>
      <c r="H978" s="277"/>
      <c r="I978" s="277"/>
      <c r="J978" s="277"/>
      <c r="K978" s="277"/>
      <c r="L978" s="277"/>
      <c r="M978" s="277"/>
      <c r="N978" s="277"/>
      <c r="O978" s="277"/>
      <c r="P978" s="277"/>
      <c r="Q978" s="277"/>
      <c r="R978" s="277"/>
      <c r="T978" s="277"/>
      <c r="U978" s="277"/>
      <c r="W978" s="277"/>
      <c r="Y978" s="107"/>
      <c r="Z978" s="107"/>
      <c r="AA978" s="107"/>
      <c r="AB978" s="107"/>
      <c r="AC978" s="107"/>
      <c r="AD978" s="233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7"/>
      <c r="AV978" s="107"/>
      <c r="AW978" s="107"/>
      <c r="AX978" s="107"/>
      <c r="AY978" s="107"/>
      <c r="AZ978" s="107"/>
      <c r="BA978" s="107"/>
      <c r="BB978" s="107"/>
      <c r="BC978" s="107"/>
      <c r="BD978" s="107"/>
      <c r="BE978" s="107"/>
      <c r="BF978" s="107"/>
      <c r="BG978" s="107"/>
      <c r="BH978" s="107"/>
      <c r="BI978" s="107"/>
      <c r="BJ978" s="107"/>
      <c r="BK978" s="107"/>
      <c r="BL978" s="107"/>
      <c r="BM978" s="107"/>
      <c r="BN978" s="107"/>
      <c r="BO978" s="107"/>
      <c r="BP978" s="107"/>
      <c r="BQ978" s="107"/>
      <c r="BR978" s="107"/>
    </row>
    <row r="979" customFormat="false" ht="12.75" hidden="false" customHeight="false" outlineLevel="0" collapsed="false">
      <c r="A979" s="100"/>
      <c r="B979" s="100"/>
      <c r="C979" s="100"/>
      <c r="D979" s="100"/>
      <c r="E979" s="100"/>
      <c r="F979" s="277"/>
      <c r="H979" s="277"/>
      <c r="I979" s="277"/>
      <c r="J979" s="277"/>
      <c r="K979" s="277"/>
      <c r="L979" s="277"/>
      <c r="M979" s="277"/>
      <c r="N979" s="277"/>
      <c r="O979" s="277"/>
      <c r="P979" s="277"/>
      <c r="Q979" s="277"/>
      <c r="R979" s="277"/>
      <c r="T979" s="277"/>
      <c r="U979" s="277"/>
      <c r="W979" s="277"/>
      <c r="Y979" s="107"/>
      <c r="Z979" s="107"/>
      <c r="AA979" s="107"/>
      <c r="AB979" s="107"/>
      <c r="AC979" s="107"/>
      <c r="AD979" s="233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7"/>
      <c r="AV979" s="107"/>
      <c r="AW979" s="107"/>
      <c r="AX979" s="107"/>
      <c r="AY979" s="107"/>
      <c r="AZ979" s="107"/>
      <c r="BA979" s="107"/>
      <c r="BB979" s="107"/>
      <c r="BC979" s="107"/>
      <c r="BD979" s="107"/>
      <c r="BE979" s="107"/>
      <c r="BF979" s="107"/>
      <c r="BG979" s="107"/>
      <c r="BH979" s="107"/>
      <c r="BI979" s="107"/>
      <c r="BJ979" s="107"/>
      <c r="BK979" s="107"/>
      <c r="BL979" s="107"/>
      <c r="BM979" s="107"/>
      <c r="BN979" s="107"/>
      <c r="BO979" s="107"/>
      <c r="BP979" s="107"/>
      <c r="BQ979" s="107"/>
      <c r="BR979" s="107"/>
    </row>
    <row r="980" customFormat="false" ht="12.75" hidden="false" customHeight="false" outlineLevel="0" collapsed="false">
      <c r="A980" s="100"/>
      <c r="B980" s="100"/>
      <c r="C980" s="100"/>
      <c r="D980" s="100"/>
      <c r="E980" s="100"/>
      <c r="F980" s="277"/>
      <c r="H980" s="277"/>
      <c r="I980" s="277"/>
      <c r="J980" s="277"/>
      <c r="K980" s="277"/>
      <c r="L980" s="277"/>
      <c r="M980" s="277"/>
      <c r="N980" s="277"/>
      <c r="O980" s="277"/>
      <c r="P980" s="277"/>
      <c r="Q980" s="277"/>
      <c r="R980" s="277"/>
      <c r="T980" s="277"/>
      <c r="U980" s="277"/>
      <c r="W980" s="277"/>
      <c r="Y980" s="107"/>
      <c r="Z980" s="107"/>
      <c r="AA980" s="107"/>
      <c r="AB980" s="107"/>
      <c r="AC980" s="107"/>
      <c r="AD980" s="233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7"/>
      <c r="AV980" s="107"/>
      <c r="AW980" s="107"/>
      <c r="AX980" s="107"/>
      <c r="AY980" s="107"/>
      <c r="AZ980" s="107"/>
      <c r="BA980" s="107"/>
      <c r="BB980" s="107"/>
      <c r="BC980" s="107"/>
      <c r="BD980" s="107"/>
      <c r="BE980" s="107"/>
      <c r="BF980" s="107"/>
      <c r="BG980" s="107"/>
      <c r="BH980" s="107"/>
      <c r="BI980" s="107"/>
      <c r="BJ980" s="107"/>
      <c r="BK980" s="107"/>
      <c r="BL980" s="107"/>
      <c r="BM980" s="107"/>
      <c r="BN980" s="107"/>
      <c r="BO980" s="107"/>
      <c r="BP980" s="107"/>
      <c r="BQ980" s="107"/>
      <c r="BR980" s="107"/>
    </row>
    <row r="981" customFormat="false" ht="12.75" hidden="false" customHeight="false" outlineLevel="0" collapsed="false">
      <c r="A981" s="100"/>
      <c r="B981" s="100"/>
      <c r="C981" s="100"/>
      <c r="D981" s="100"/>
      <c r="E981" s="100"/>
      <c r="F981" s="277"/>
      <c r="H981" s="277"/>
      <c r="I981" s="277"/>
      <c r="J981" s="277"/>
      <c r="K981" s="277"/>
      <c r="L981" s="277"/>
      <c r="M981" s="277"/>
      <c r="N981" s="277"/>
      <c r="O981" s="277"/>
      <c r="P981" s="277"/>
      <c r="Q981" s="277"/>
      <c r="R981" s="277"/>
      <c r="T981" s="277"/>
      <c r="U981" s="277"/>
      <c r="W981" s="277"/>
      <c r="Y981" s="107"/>
      <c r="Z981" s="107"/>
      <c r="AA981" s="107"/>
      <c r="AB981" s="107"/>
      <c r="AC981" s="107"/>
      <c r="AD981" s="233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7"/>
      <c r="AV981" s="107"/>
      <c r="AW981" s="107"/>
      <c r="AX981" s="107"/>
      <c r="AY981" s="107"/>
      <c r="AZ981" s="107"/>
      <c r="BA981" s="107"/>
      <c r="BB981" s="107"/>
      <c r="BC981" s="107"/>
      <c r="BD981" s="107"/>
      <c r="BE981" s="107"/>
      <c r="BF981" s="107"/>
      <c r="BG981" s="107"/>
      <c r="BH981" s="107"/>
      <c r="BI981" s="107"/>
      <c r="BJ981" s="107"/>
      <c r="BK981" s="107"/>
      <c r="BL981" s="107"/>
      <c r="BM981" s="107"/>
      <c r="BN981" s="107"/>
      <c r="BO981" s="107"/>
      <c r="BP981" s="107"/>
      <c r="BQ981" s="107"/>
      <c r="BR981" s="107"/>
    </row>
    <row r="982" customFormat="false" ht="12.75" hidden="false" customHeight="false" outlineLevel="0" collapsed="false">
      <c r="A982" s="100"/>
      <c r="B982" s="100"/>
      <c r="C982" s="100"/>
      <c r="D982" s="100"/>
      <c r="E982" s="100"/>
      <c r="F982" s="277"/>
      <c r="H982" s="277"/>
      <c r="I982" s="277"/>
      <c r="J982" s="277"/>
      <c r="K982" s="277"/>
      <c r="L982" s="277"/>
      <c r="M982" s="277"/>
      <c r="N982" s="277"/>
      <c r="O982" s="277"/>
      <c r="P982" s="277"/>
      <c r="Q982" s="277"/>
      <c r="R982" s="277"/>
      <c r="T982" s="277"/>
      <c r="U982" s="277"/>
      <c r="W982" s="277"/>
      <c r="Y982" s="107"/>
      <c r="Z982" s="107"/>
      <c r="AA982" s="107"/>
      <c r="AB982" s="107"/>
      <c r="AC982" s="107"/>
      <c r="AD982" s="233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7"/>
      <c r="AV982" s="107"/>
      <c r="AW982" s="107"/>
      <c r="AX982" s="107"/>
      <c r="AY982" s="107"/>
      <c r="AZ982" s="107"/>
      <c r="BA982" s="107"/>
      <c r="BB982" s="107"/>
      <c r="BC982" s="107"/>
      <c r="BD982" s="107"/>
      <c r="BE982" s="107"/>
      <c r="BF982" s="107"/>
      <c r="BG982" s="107"/>
      <c r="BH982" s="107"/>
      <c r="BI982" s="107"/>
      <c r="BJ982" s="107"/>
      <c r="BK982" s="107"/>
      <c r="BL982" s="107"/>
      <c r="BM982" s="107"/>
      <c r="BN982" s="107"/>
      <c r="BO982" s="107"/>
      <c r="BP982" s="107"/>
      <c r="BQ982" s="107"/>
      <c r="BR982" s="107"/>
    </row>
    <row r="983" customFormat="false" ht="12.75" hidden="false" customHeight="false" outlineLevel="0" collapsed="false">
      <c r="A983" s="100"/>
      <c r="B983" s="100"/>
      <c r="C983" s="100"/>
      <c r="D983" s="100"/>
      <c r="E983" s="100"/>
      <c r="F983" s="277"/>
      <c r="H983" s="277"/>
      <c r="I983" s="277"/>
      <c r="J983" s="277"/>
      <c r="K983" s="277"/>
      <c r="L983" s="277"/>
      <c r="M983" s="277"/>
      <c r="N983" s="277"/>
      <c r="O983" s="277"/>
      <c r="P983" s="277"/>
      <c r="Q983" s="277"/>
      <c r="R983" s="277"/>
      <c r="T983" s="277"/>
      <c r="U983" s="277"/>
      <c r="W983" s="277"/>
      <c r="Y983" s="107"/>
      <c r="Z983" s="107"/>
      <c r="AA983" s="107"/>
      <c r="AB983" s="107"/>
      <c r="AC983" s="107"/>
      <c r="AD983" s="233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7"/>
      <c r="AV983" s="107"/>
      <c r="AW983" s="107"/>
      <c r="AX983" s="107"/>
      <c r="AY983" s="107"/>
      <c r="AZ983" s="107"/>
      <c r="BA983" s="107"/>
      <c r="BB983" s="107"/>
      <c r="BC983" s="107"/>
      <c r="BD983" s="107"/>
      <c r="BE983" s="107"/>
      <c r="BF983" s="107"/>
      <c r="BG983" s="107"/>
      <c r="BH983" s="107"/>
      <c r="BI983" s="107"/>
      <c r="BJ983" s="107"/>
      <c r="BK983" s="107"/>
      <c r="BL983" s="107"/>
      <c r="BM983" s="107"/>
      <c r="BN983" s="107"/>
      <c r="BO983" s="107"/>
      <c r="BP983" s="107"/>
      <c r="BQ983" s="107"/>
      <c r="BR983" s="107"/>
    </row>
    <row r="984" customFormat="false" ht="12.75" hidden="false" customHeight="false" outlineLevel="0" collapsed="false">
      <c r="A984" s="100"/>
      <c r="B984" s="100"/>
      <c r="C984" s="100"/>
      <c r="D984" s="100"/>
      <c r="E984" s="100"/>
      <c r="F984" s="277"/>
      <c r="H984" s="277"/>
      <c r="I984" s="277"/>
      <c r="J984" s="277"/>
      <c r="K984" s="277"/>
      <c r="L984" s="277"/>
      <c r="M984" s="277"/>
      <c r="N984" s="277"/>
      <c r="O984" s="277"/>
      <c r="P984" s="277"/>
      <c r="Q984" s="277"/>
      <c r="R984" s="277"/>
      <c r="T984" s="277"/>
      <c r="U984" s="277"/>
      <c r="W984" s="277"/>
      <c r="Y984" s="107"/>
      <c r="Z984" s="107"/>
      <c r="AA984" s="107"/>
      <c r="AB984" s="107"/>
      <c r="AC984" s="107"/>
      <c r="AD984" s="233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7"/>
      <c r="AV984" s="107"/>
      <c r="AW984" s="107"/>
      <c r="AX984" s="107"/>
      <c r="AY984" s="107"/>
      <c r="AZ984" s="107"/>
      <c r="BA984" s="107"/>
      <c r="BB984" s="107"/>
      <c r="BC984" s="107"/>
      <c r="BD984" s="107"/>
      <c r="BE984" s="107"/>
      <c r="BF984" s="107"/>
      <c r="BG984" s="107"/>
      <c r="BH984" s="107"/>
      <c r="BI984" s="107"/>
      <c r="BJ984" s="107"/>
      <c r="BK984" s="107"/>
      <c r="BL984" s="107"/>
      <c r="BM984" s="107"/>
      <c r="BN984" s="107"/>
      <c r="BO984" s="107"/>
      <c r="BP984" s="107"/>
      <c r="BQ984" s="107"/>
      <c r="BR984" s="107"/>
    </row>
    <row r="985" customFormat="false" ht="12.75" hidden="false" customHeight="false" outlineLevel="0" collapsed="false">
      <c r="A985" s="100"/>
      <c r="B985" s="100"/>
      <c r="C985" s="100"/>
      <c r="D985" s="100"/>
      <c r="E985" s="100"/>
      <c r="F985" s="277"/>
      <c r="H985" s="277"/>
      <c r="I985" s="277"/>
      <c r="J985" s="277"/>
      <c r="K985" s="277"/>
      <c r="L985" s="277"/>
      <c r="M985" s="277"/>
      <c r="N985" s="277"/>
      <c r="O985" s="277"/>
      <c r="P985" s="277"/>
      <c r="Q985" s="277"/>
      <c r="R985" s="277"/>
      <c r="T985" s="277"/>
      <c r="U985" s="277"/>
      <c r="W985" s="277"/>
      <c r="Y985" s="107"/>
      <c r="Z985" s="107"/>
      <c r="AA985" s="107"/>
      <c r="AB985" s="107"/>
      <c r="AC985" s="107"/>
      <c r="AD985" s="233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7"/>
      <c r="AV985" s="107"/>
      <c r="AW985" s="107"/>
      <c r="AX985" s="107"/>
      <c r="AY985" s="107"/>
      <c r="AZ985" s="107"/>
      <c r="BA985" s="107"/>
      <c r="BB985" s="107"/>
      <c r="BC985" s="107"/>
      <c r="BD985" s="107"/>
      <c r="BE985" s="107"/>
      <c r="BF985" s="107"/>
      <c r="BG985" s="107"/>
      <c r="BH985" s="107"/>
      <c r="BI985" s="107"/>
      <c r="BJ985" s="107"/>
      <c r="BK985" s="107"/>
      <c r="BL985" s="107"/>
      <c r="BM985" s="107"/>
      <c r="BN985" s="107"/>
      <c r="BO985" s="107"/>
      <c r="BP985" s="107"/>
      <c r="BQ985" s="107"/>
      <c r="BR985" s="107"/>
    </row>
    <row r="986" customFormat="false" ht="12.75" hidden="false" customHeight="false" outlineLevel="0" collapsed="false">
      <c r="A986" s="100"/>
      <c r="B986" s="100"/>
      <c r="C986" s="100"/>
      <c r="D986" s="100"/>
      <c r="E986" s="100"/>
      <c r="F986" s="277"/>
      <c r="H986" s="277"/>
      <c r="I986" s="277"/>
      <c r="J986" s="277"/>
      <c r="K986" s="277"/>
      <c r="L986" s="277"/>
      <c r="M986" s="277"/>
      <c r="N986" s="277"/>
      <c r="O986" s="277"/>
      <c r="P986" s="277"/>
      <c r="Q986" s="277"/>
      <c r="R986" s="277"/>
      <c r="T986" s="277"/>
      <c r="U986" s="277"/>
      <c r="W986" s="277"/>
      <c r="Y986" s="107"/>
      <c r="Z986" s="107"/>
      <c r="AA986" s="107"/>
      <c r="AB986" s="107"/>
      <c r="AC986" s="107"/>
      <c r="AD986" s="233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7"/>
      <c r="AV986" s="107"/>
      <c r="AW986" s="107"/>
      <c r="AX986" s="107"/>
      <c r="AY986" s="107"/>
      <c r="AZ986" s="107"/>
      <c r="BA986" s="107"/>
      <c r="BB986" s="107"/>
      <c r="BC986" s="107"/>
      <c r="BD986" s="107"/>
      <c r="BE986" s="107"/>
      <c r="BF986" s="107"/>
      <c r="BG986" s="107"/>
      <c r="BH986" s="107"/>
      <c r="BI986" s="107"/>
      <c r="BJ986" s="107"/>
      <c r="BK986" s="107"/>
      <c r="BL986" s="107"/>
      <c r="BM986" s="107"/>
      <c r="BN986" s="107"/>
      <c r="BO986" s="107"/>
      <c r="BP986" s="107"/>
      <c r="BQ986" s="107"/>
      <c r="BR986" s="107"/>
    </row>
    <row r="987" customFormat="false" ht="12.75" hidden="false" customHeight="false" outlineLevel="0" collapsed="false">
      <c r="A987" s="100"/>
      <c r="B987" s="100"/>
      <c r="C987" s="100"/>
      <c r="D987" s="100"/>
      <c r="E987" s="100"/>
      <c r="F987" s="277"/>
      <c r="H987" s="277"/>
      <c r="I987" s="277"/>
      <c r="J987" s="277"/>
      <c r="K987" s="277"/>
      <c r="L987" s="277"/>
      <c r="M987" s="277"/>
      <c r="N987" s="277"/>
      <c r="O987" s="277"/>
      <c r="P987" s="277"/>
      <c r="Q987" s="277"/>
      <c r="R987" s="277"/>
      <c r="T987" s="277"/>
      <c r="U987" s="277"/>
      <c r="W987" s="277"/>
      <c r="Y987" s="107"/>
      <c r="Z987" s="107"/>
      <c r="AA987" s="107"/>
      <c r="AB987" s="107"/>
      <c r="AC987" s="107"/>
      <c r="AD987" s="233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7"/>
      <c r="AV987" s="107"/>
      <c r="AW987" s="107"/>
      <c r="AX987" s="107"/>
      <c r="AY987" s="107"/>
      <c r="AZ987" s="107"/>
      <c r="BA987" s="107"/>
      <c r="BB987" s="107"/>
      <c r="BC987" s="107"/>
      <c r="BD987" s="107"/>
      <c r="BE987" s="107"/>
      <c r="BF987" s="107"/>
      <c r="BG987" s="107"/>
      <c r="BH987" s="107"/>
      <c r="BI987" s="107"/>
      <c r="BJ987" s="107"/>
      <c r="BK987" s="107"/>
      <c r="BL987" s="107"/>
      <c r="BM987" s="107"/>
      <c r="BN987" s="107"/>
      <c r="BO987" s="107"/>
      <c r="BP987" s="107"/>
      <c r="BQ987" s="107"/>
      <c r="BR987" s="107"/>
    </row>
    <row r="988" customFormat="false" ht="12.75" hidden="false" customHeight="false" outlineLevel="0" collapsed="false">
      <c r="A988" s="100"/>
      <c r="B988" s="100"/>
      <c r="C988" s="100"/>
      <c r="D988" s="100"/>
      <c r="E988" s="100"/>
      <c r="F988" s="277"/>
      <c r="H988" s="277"/>
      <c r="I988" s="277"/>
      <c r="J988" s="277"/>
      <c r="K988" s="277"/>
      <c r="L988" s="277"/>
      <c r="M988" s="277"/>
      <c r="N988" s="277"/>
      <c r="O988" s="277"/>
      <c r="P988" s="277"/>
      <c r="Q988" s="277"/>
      <c r="R988" s="277"/>
      <c r="T988" s="277"/>
      <c r="U988" s="277"/>
      <c r="W988" s="277"/>
      <c r="Y988" s="107"/>
      <c r="Z988" s="107"/>
      <c r="AA988" s="107"/>
      <c r="AB988" s="107"/>
      <c r="AC988" s="107"/>
      <c r="AD988" s="233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7"/>
      <c r="AV988" s="107"/>
      <c r="AW988" s="107"/>
      <c r="AX988" s="107"/>
      <c r="AY988" s="107"/>
      <c r="AZ988" s="107"/>
      <c r="BA988" s="107"/>
      <c r="BB988" s="107"/>
      <c r="BC988" s="107"/>
      <c r="BD988" s="107"/>
      <c r="BE988" s="107"/>
      <c r="BF988" s="107"/>
      <c r="BG988" s="107"/>
      <c r="BH988" s="107"/>
      <c r="BI988" s="107"/>
      <c r="BJ988" s="107"/>
      <c r="BK988" s="107"/>
      <c r="BL988" s="107"/>
      <c r="BM988" s="107"/>
      <c r="BN988" s="107"/>
      <c r="BO988" s="107"/>
      <c r="BP988" s="107"/>
      <c r="BQ988" s="107"/>
      <c r="BR988" s="107"/>
    </row>
    <row r="989" customFormat="false" ht="12.75" hidden="false" customHeight="false" outlineLevel="0" collapsed="false">
      <c r="A989" s="100"/>
      <c r="B989" s="100"/>
      <c r="C989" s="100"/>
      <c r="D989" s="100"/>
      <c r="E989" s="100"/>
      <c r="F989" s="277"/>
      <c r="H989" s="277"/>
      <c r="I989" s="277"/>
      <c r="J989" s="277"/>
      <c r="K989" s="277"/>
      <c r="L989" s="277"/>
      <c r="M989" s="277"/>
      <c r="N989" s="277"/>
      <c r="O989" s="277"/>
      <c r="P989" s="277"/>
      <c r="Q989" s="277"/>
      <c r="R989" s="277"/>
      <c r="T989" s="277"/>
      <c r="U989" s="277"/>
      <c r="W989" s="277"/>
      <c r="Y989" s="107"/>
      <c r="Z989" s="107"/>
      <c r="AA989" s="107"/>
      <c r="AB989" s="107"/>
      <c r="AC989" s="107"/>
      <c r="AD989" s="233"/>
      <c r="AE989" s="107"/>
      <c r="AF989" s="107"/>
      <c r="AG989" s="107"/>
      <c r="AH989" s="107"/>
      <c r="AI989" s="107"/>
      <c r="AJ989" s="107"/>
      <c r="AK989" s="107"/>
      <c r="AL989" s="107"/>
      <c r="AM989" s="107"/>
      <c r="AN989" s="107"/>
      <c r="AO989" s="107"/>
      <c r="AP989" s="107"/>
      <c r="AQ989" s="107"/>
      <c r="AR989" s="107"/>
      <c r="AS989" s="107"/>
      <c r="AT989" s="107"/>
      <c r="AU989" s="107"/>
      <c r="AV989" s="107"/>
      <c r="AW989" s="107"/>
      <c r="AX989" s="107"/>
      <c r="AY989" s="107"/>
      <c r="AZ989" s="107"/>
      <c r="BA989" s="107"/>
      <c r="BB989" s="107"/>
      <c r="BC989" s="107"/>
      <c r="BD989" s="107"/>
      <c r="BE989" s="107"/>
      <c r="BF989" s="107"/>
      <c r="BG989" s="107"/>
      <c r="BH989" s="107"/>
      <c r="BI989" s="107"/>
      <c r="BJ989" s="107"/>
      <c r="BK989" s="107"/>
      <c r="BL989" s="107"/>
      <c r="BM989" s="107"/>
      <c r="BN989" s="107"/>
      <c r="BO989" s="107"/>
      <c r="BP989" s="107"/>
      <c r="BQ989" s="107"/>
      <c r="BR989" s="107"/>
    </row>
    <row r="990" customFormat="false" ht="12.75" hidden="false" customHeight="false" outlineLevel="0" collapsed="false">
      <c r="A990" s="100"/>
      <c r="B990" s="100"/>
      <c r="C990" s="100"/>
      <c r="D990" s="100"/>
      <c r="E990" s="100"/>
      <c r="F990" s="277"/>
      <c r="H990" s="277"/>
      <c r="I990" s="277"/>
      <c r="J990" s="277"/>
      <c r="K990" s="277"/>
      <c r="L990" s="277"/>
      <c r="M990" s="277"/>
      <c r="N990" s="277"/>
      <c r="O990" s="277"/>
      <c r="P990" s="277"/>
      <c r="Q990" s="277"/>
      <c r="R990" s="277"/>
      <c r="T990" s="277"/>
      <c r="U990" s="277"/>
      <c r="W990" s="277"/>
      <c r="Y990" s="107"/>
      <c r="Z990" s="107"/>
      <c r="AA990" s="107"/>
      <c r="AB990" s="107"/>
      <c r="AC990" s="107"/>
      <c r="AD990" s="233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7"/>
      <c r="AV990" s="107"/>
      <c r="AW990" s="107"/>
      <c r="AX990" s="107"/>
      <c r="AY990" s="107"/>
      <c r="AZ990" s="107"/>
      <c r="BA990" s="107"/>
      <c r="BB990" s="107"/>
      <c r="BC990" s="107"/>
      <c r="BD990" s="107"/>
      <c r="BE990" s="107"/>
      <c r="BF990" s="107"/>
      <c r="BG990" s="107"/>
      <c r="BH990" s="107"/>
      <c r="BI990" s="107"/>
      <c r="BJ990" s="107"/>
      <c r="BK990" s="107"/>
      <c r="BL990" s="107"/>
      <c r="BM990" s="107"/>
      <c r="BN990" s="107"/>
      <c r="BO990" s="107"/>
      <c r="BP990" s="107"/>
      <c r="BQ990" s="107"/>
      <c r="BR990" s="107"/>
    </row>
    <row r="991" customFormat="false" ht="12.75" hidden="false" customHeight="false" outlineLevel="0" collapsed="false">
      <c r="A991" s="100"/>
      <c r="B991" s="100"/>
      <c r="C991" s="100"/>
      <c r="D991" s="100"/>
      <c r="E991" s="100"/>
      <c r="F991" s="277"/>
      <c r="H991" s="277"/>
      <c r="I991" s="277"/>
      <c r="J991" s="277"/>
      <c r="K991" s="277"/>
      <c r="L991" s="277"/>
      <c r="M991" s="277"/>
      <c r="N991" s="277"/>
      <c r="O991" s="277"/>
      <c r="P991" s="277"/>
      <c r="Q991" s="277"/>
      <c r="R991" s="277"/>
      <c r="T991" s="277"/>
      <c r="U991" s="277"/>
      <c r="W991" s="277"/>
      <c r="Y991" s="107"/>
      <c r="Z991" s="107"/>
      <c r="AA991" s="107"/>
      <c r="AB991" s="107"/>
      <c r="AC991" s="107"/>
      <c r="AD991" s="233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7"/>
      <c r="AV991" s="107"/>
      <c r="AW991" s="107"/>
      <c r="AX991" s="107"/>
      <c r="AY991" s="107"/>
      <c r="AZ991" s="107"/>
      <c r="BA991" s="107"/>
      <c r="BB991" s="107"/>
      <c r="BC991" s="107"/>
      <c r="BD991" s="107"/>
      <c r="BE991" s="107"/>
      <c r="BF991" s="107"/>
      <c r="BG991" s="107"/>
      <c r="BH991" s="107"/>
      <c r="BI991" s="107"/>
      <c r="BJ991" s="107"/>
      <c r="BK991" s="107"/>
      <c r="BL991" s="107"/>
      <c r="BM991" s="107"/>
      <c r="BN991" s="107"/>
      <c r="BO991" s="107"/>
      <c r="BP991" s="107"/>
      <c r="BQ991" s="107"/>
      <c r="BR991" s="107"/>
    </row>
    <row r="992" customFormat="false" ht="12.75" hidden="false" customHeight="false" outlineLevel="0" collapsed="false">
      <c r="A992" s="100"/>
      <c r="B992" s="100"/>
      <c r="C992" s="100"/>
      <c r="D992" s="100"/>
      <c r="E992" s="100"/>
      <c r="F992" s="277"/>
      <c r="H992" s="277"/>
      <c r="I992" s="277"/>
      <c r="J992" s="277"/>
      <c r="K992" s="277"/>
      <c r="L992" s="277"/>
      <c r="M992" s="277"/>
      <c r="N992" s="277"/>
      <c r="O992" s="277"/>
      <c r="P992" s="277"/>
      <c r="Q992" s="277"/>
      <c r="R992" s="277"/>
      <c r="T992" s="277"/>
      <c r="U992" s="277"/>
      <c r="W992" s="277"/>
      <c r="Y992" s="107"/>
      <c r="Z992" s="107"/>
      <c r="AA992" s="107"/>
      <c r="AB992" s="107"/>
      <c r="AC992" s="107"/>
      <c r="AD992" s="233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7"/>
      <c r="AV992" s="107"/>
      <c r="AW992" s="107"/>
      <c r="AX992" s="107"/>
      <c r="AY992" s="107"/>
      <c r="AZ992" s="107"/>
      <c r="BA992" s="107"/>
      <c r="BB992" s="107"/>
      <c r="BC992" s="107"/>
      <c r="BD992" s="107"/>
      <c r="BE992" s="107"/>
      <c r="BF992" s="107"/>
      <c r="BG992" s="107"/>
      <c r="BH992" s="107"/>
      <c r="BI992" s="107"/>
      <c r="BJ992" s="107"/>
      <c r="BK992" s="107"/>
      <c r="BL992" s="107"/>
      <c r="BM992" s="107"/>
      <c r="BN992" s="107"/>
      <c r="BO992" s="107"/>
      <c r="BP992" s="107"/>
      <c r="BQ992" s="107"/>
      <c r="BR992" s="107"/>
    </row>
    <row r="993" customFormat="false" ht="12.75" hidden="false" customHeight="false" outlineLevel="0" collapsed="false">
      <c r="A993" s="100"/>
      <c r="B993" s="100"/>
      <c r="C993" s="100"/>
      <c r="D993" s="100"/>
      <c r="E993" s="100"/>
      <c r="F993" s="277"/>
      <c r="H993" s="277"/>
      <c r="I993" s="277"/>
      <c r="J993" s="277"/>
      <c r="K993" s="277"/>
      <c r="L993" s="277"/>
      <c r="M993" s="277"/>
      <c r="N993" s="277"/>
      <c r="O993" s="277"/>
      <c r="P993" s="277"/>
      <c r="Q993" s="277"/>
      <c r="R993" s="277"/>
      <c r="T993" s="277"/>
      <c r="U993" s="277"/>
      <c r="W993" s="277"/>
      <c r="Y993" s="107"/>
      <c r="Z993" s="107"/>
      <c r="AA993" s="107"/>
      <c r="AB993" s="107"/>
      <c r="AC993" s="107"/>
      <c r="AD993" s="233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7"/>
      <c r="AV993" s="107"/>
      <c r="AW993" s="107"/>
      <c r="AX993" s="107"/>
      <c r="AY993" s="107"/>
      <c r="AZ993" s="107"/>
      <c r="BA993" s="107"/>
      <c r="BB993" s="107"/>
      <c r="BC993" s="107"/>
      <c r="BD993" s="107"/>
      <c r="BE993" s="107"/>
      <c r="BF993" s="107"/>
      <c r="BG993" s="107"/>
      <c r="BH993" s="107"/>
      <c r="BI993" s="107"/>
      <c r="BJ993" s="107"/>
      <c r="BK993" s="107"/>
      <c r="BL993" s="107"/>
      <c r="BM993" s="107"/>
      <c r="BN993" s="107"/>
      <c r="BO993" s="107"/>
      <c r="BP993" s="107"/>
      <c r="BQ993" s="107"/>
      <c r="BR993" s="107"/>
    </row>
    <row r="994" customFormat="false" ht="12.75" hidden="false" customHeight="false" outlineLevel="0" collapsed="false">
      <c r="A994" s="100"/>
      <c r="B994" s="100"/>
      <c r="C994" s="100"/>
      <c r="D994" s="100"/>
      <c r="E994" s="100"/>
      <c r="F994" s="277"/>
      <c r="H994" s="277"/>
      <c r="I994" s="277"/>
      <c r="J994" s="277"/>
      <c r="K994" s="277"/>
      <c r="L994" s="277"/>
      <c r="M994" s="277"/>
      <c r="N994" s="277"/>
      <c r="O994" s="277"/>
      <c r="P994" s="277"/>
      <c r="Q994" s="277"/>
      <c r="R994" s="277"/>
      <c r="T994" s="277"/>
      <c r="U994" s="277"/>
      <c r="W994" s="277"/>
      <c r="Y994" s="107"/>
      <c r="Z994" s="107"/>
      <c r="AA994" s="107"/>
      <c r="AB994" s="107"/>
      <c r="AC994" s="107"/>
      <c r="AD994" s="233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7"/>
      <c r="AV994" s="107"/>
      <c r="AW994" s="107"/>
      <c r="AX994" s="107"/>
      <c r="AY994" s="107"/>
      <c r="AZ994" s="107"/>
      <c r="BA994" s="107"/>
      <c r="BB994" s="107"/>
      <c r="BC994" s="107"/>
      <c r="BD994" s="107"/>
      <c r="BE994" s="107"/>
      <c r="BF994" s="107"/>
      <c r="BG994" s="107"/>
      <c r="BH994" s="107"/>
      <c r="BI994" s="107"/>
      <c r="BJ994" s="107"/>
      <c r="BK994" s="107"/>
      <c r="BL994" s="107"/>
      <c r="BM994" s="107"/>
      <c r="BN994" s="107"/>
      <c r="BO994" s="107"/>
      <c r="BP994" s="107"/>
      <c r="BQ994" s="107"/>
      <c r="BR994" s="107"/>
    </row>
    <row r="995" customFormat="false" ht="12.75" hidden="false" customHeight="false" outlineLevel="0" collapsed="false">
      <c r="A995" s="100"/>
      <c r="B995" s="100"/>
      <c r="C995" s="100"/>
      <c r="D995" s="100"/>
      <c r="E995" s="100"/>
      <c r="F995" s="277"/>
      <c r="H995" s="277"/>
      <c r="I995" s="277"/>
      <c r="J995" s="277"/>
      <c r="K995" s="277"/>
      <c r="L995" s="277"/>
      <c r="M995" s="277"/>
      <c r="N995" s="277"/>
      <c r="O995" s="277"/>
      <c r="P995" s="277"/>
      <c r="Q995" s="277"/>
      <c r="R995" s="277"/>
      <c r="T995" s="277"/>
      <c r="U995" s="277"/>
      <c r="W995" s="277"/>
      <c r="Y995" s="107"/>
      <c r="Z995" s="107"/>
      <c r="AA995" s="107"/>
      <c r="AB995" s="107"/>
      <c r="AC995" s="107"/>
      <c r="AD995" s="233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7"/>
      <c r="AV995" s="107"/>
      <c r="AW995" s="107"/>
      <c r="AX995" s="107"/>
      <c r="AY995" s="107"/>
      <c r="AZ995" s="107"/>
      <c r="BA995" s="107"/>
      <c r="BB995" s="107"/>
      <c r="BC995" s="107"/>
      <c r="BD995" s="107"/>
      <c r="BE995" s="107"/>
      <c r="BF995" s="107"/>
      <c r="BG995" s="107"/>
      <c r="BH995" s="107"/>
      <c r="BI995" s="107"/>
      <c r="BJ995" s="107"/>
      <c r="BK995" s="107"/>
      <c r="BL995" s="107"/>
      <c r="BM995" s="107"/>
      <c r="BN995" s="107"/>
      <c r="BO995" s="107"/>
      <c r="BP995" s="107"/>
      <c r="BQ995" s="107"/>
      <c r="BR995" s="107"/>
    </row>
    <row r="996" customFormat="false" ht="12.75" hidden="false" customHeight="false" outlineLevel="0" collapsed="false">
      <c r="A996" s="100"/>
      <c r="B996" s="100"/>
      <c r="C996" s="100"/>
      <c r="D996" s="100"/>
      <c r="E996" s="100"/>
      <c r="F996" s="277"/>
      <c r="H996" s="277"/>
      <c r="I996" s="277"/>
      <c r="J996" s="277"/>
      <c r="K996" s="277"/>
      <c r="L996" s="277"/>
      <c r="M996" s="277"/>
      <c r="N996" s="277"/>
      <c r="O996" s="277"/>
      <c r="P996" s="277"/>
      <c r="Q996" s="277"/>
      <c r="R996" s="277"/>
      <c r="T996" s="277"/>
      <c r="U996" s="277"/>
      <c r="W996" s="277"/>
      <c r="Y996" s="107"/>
      <c r="Z996" s="107"/>
      <c r="AA996" s="107"/>
      <c r="AB996" s="107"/>
      <c r="AC996" s="107"/>
      <c r="AD996" s="233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7"/>
      <c r="AV996" s="107"/>
      <c r="AW996" s="107"/>
      <c r="AX996" s="107"/>
      <c r="AY996" s="107"/>
      <c r="AZ996" s="107"/>
      <c r="BA996" s="107"/>
      <c r="BB996" s="107"/>
      <c r="BC996" s="107"/>
      <c r="BD996" s="107"/>
      <c r="BE996" s="107"/>
      <c r="BF996" s="107"/>
      <c r="BG996" s="107"/>
      <c r="BH996" s="107"/>
      <c r="BI996" s="107"/>
      <c r="BJ996" s="107"/>
      <c r="BK996" s="107"/>
      <c r="BL996" s="107"/>
      <c r="BM996" s="107"/>
      <c r="BN996" s="107"/>
      <c r="BO996" s="107"/>
      <c r="BP996" s="107"/>
      <c r="BQ996" s="107"/>
      <c r="BR996" s="107"/>
    </row>
    <row r="997" customFormat="false" ht="12.75" hidden="false" customHeight="false" outlineLevel="0" collapsed="false">
      <c r="A997" s="100"/>
      <c r="B997" s="100"/>
      <c r="C997" s="100"/>
      <c r="D997" s="100"/>
      <c r="E997" s="100"/>
      <c r="F997" s="277"/>
      <c r="H997" s="277"/>
      <c r="I997" s="277"/>
      <c r="J997" s="277"/>
      <c r="K997" s="277"/>
      <c r="L997" s="277"/>
      <c r="M997" s="277"/>
      <c r="N997" s="277"/>
      <c r="O997" s="277"/>
      <c r="P997" s="277"/>
      <c r="Q997" s="277"/>
      <c r="R997" s="277"/>
      <c r="T997" s="277"/>
      <c r="U997" s="277"/>
      <c r="W997" s="277"/>
      <c r="Y997" s="107"/>
      <c r="Z997" s="107"/>
      <c r="AA997" s="107"/>
      <c r="AB997" s="107"/>
      <c r="AC997" s="107"/>
      <c r="AD997" s="233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7"/>
      <c r="AV997" s="107"/>
      <c r="AW997" s="107"/>
      <c r="AX997" s="107"/>
      <c r="AY997" s="107"/>
      <c r="AZ997" s="107"/>
      <c r="BA997" s="107"/>
      <c r="BB997" s="107"/>
      <c r="BC997" s="107"/>
      <c r="BD997" s="107"/>
      <c r="BE997" s="107"/>
      <c r="BF997" s="107"/>
      <c r="BG997" s="107"/>
      <c r="BH997" s="107"/>
      <c r="BI997" s="107"/>
      <c r="BJ997" s="107"/>
      <c r="BK997" s="107"/>
      <c r="BL997" s="107"/>
      <c r="BM997" s="107"/>
      <c r="BN997" s="107"/>
      <c r="BO997" s="107"/>
      <c r="BP997" s="107"/>
      <c r="BQ997" s="107"/>
      <c r="BR997" s="107"/>
    </row>
    <row r="998" customFormat="false" ht="12.75" hidden="false" customHeight="false" outlineLevel="0" collapsed="false">
      <c r="A998" s="100"/>
      <c r="B998" s="100"/>
      <c r="C998" s="100"/>
      <c r="D998" s="100"/>
      <c r="E998" s="100"/>
      <c r="F998" s="277"/>
      <c r="H998" s="277"/>
      <c r="I998" s="277"/>
      <c r="J998" s="277"/>
      <c r="K998" s="277"/>
      <c r="L998" s="277"/>
      <c r="M998" s="277"/>
      <c r="N998" s="277"/>
      <c r="O998" s="277"/>
      <c r="P998" s="277"/>
      <c r="Q998" s="277"/>
      <c r="R998" s="277"/>
      <c r="T998" s="277"/>
      <c r="U998" s="277"/>
      <c r="W998" s="277"/>
      <c r="Y998" s="107"/>
      <c r="Z998" s="107"/>
      <c r="AA998" s="107"/>
      <c r="AB998" s="107"/>
      <c r="AC998" s="107"/>
      <c r="AD998" s="233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7"/>
      <c r="AV998" s="107"/>
      <c r="AW998" s="107"/>
      <c r="AX998" s="107"/>
      <c r="AY998" s="107"/>
      <c r="AZ998" s="107"/>
      <c r="BA998" s="107"/>
      <c r="BB998" s="107"/>
      <c r="BC998" s="107"/>
      <c r="BD998" s="107"/>
      <c r="BE998" s="107"/>
      <c r="BF998" s="107"/>
      <c r="BG998" s="107"/>
      <c r="BH998" s="107"/>
      <c r="BI998" s="107"/>
      <c r="BJ998" s="107"/>
      <c r="BK998" s="107"/>
      <c r="BL998" s="107"/>
      <c r="BM998" s="107"/>
      <c r="BN998" s="107"/>
      <c r="BO998" s="107"/>
      <c r="BP998" s="107"/>
      <c r="BQ998" s="107"/>
      <c r="BR998" s="107"/>
    </row>
    <row r="999" customFormat="false" ht="12.75" hidden="false" customHeight="false" outlineLevel="0" collapsed="false">
      <c r="A999" s="100"/>
      <c r="B999" s="100"/>
      <c r="C999" s="100"/>
      <c r="D999" s="100"/>
      <c r="E999" s="100"/>
      <c r="F999" s="277"/>
      <c r="H999" s="277"/>
      <c r="I999" s="277"/>
      <c r="J999" s="277"/>
      <c r="K999" s="277"/>
      <c r="L999" s="277"/>
      <c r="M999" s="277"/>
      <c r="N999" s="277"/>
      <c r="O999" s="277"/>
      <c r="P999" s="277"/>
      <c r="Q999" s="277"/>
      <c r="R999" s="277"/>
      <c r="T999" s="277"/>
      <c r="U999" s="277"/>
      <c r="W999" s="277"/>
      <c r="Y999" s="107"/>
      <c r="Z999" s="107"/>
      <c r="AA999" s="107"/>
      <c r="AB999" s="107"/>
      <c r="AC999" s="107"/>
      <c r="AD999" s="233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7"/>
      <c r="AV999" s="107"/>
      <c r="AW999" s="107"/>
      <c r="AX999" s="107"/>
      <c r="AY999" s="107"/>
      <c r="AZ999" s="107"/>
      <c r="BA999" s="107"/>
      <c r="BB999" s="107"/>
      <c r="BC999" s="107"/>
      <c r="BD999" s="107"/>
      <c r="BE999" s="107"/>
      <c r="BF999" s="107"/>
      <c r="BG999" s="107"/>
      <c r="BH999" s="107"/>
      <c r="BI999" s="107"/>
      <c r="BJ999" s="107"/>
      <c r="BK999" s="107"/>
      <c r="BL999" s="107"/>
      <c r="BM999" s="107"/>
      <c r="BN999" s="107"/>
      <c r="BO999" s="107"/>
      <c r="BP999" s="107"/>
      <c r="BQ999" s="107"/>
      <c r="BR999" s="107"/>
    </row>
    <row r="1000" customFormat="false" ht="12.75" hidden="false" customHeight="false" outlineLevel="0" collapsed="false">
      <c r="A1000" s="100"/>
      <c r="B1000" s="100"/>
      <c r="C1000" s="100"/>
      <c r="D1000" s="100"/>
      <c r="E1000" s="100"/>
      <c r="F1000" s="277"/>
      <c r="H1000" s="277"/>
      <c r="I1000" s="277"/>
      <c r="J1000" s="277"/>
      <c r="K1000" s="277"/>
      <c r="L1000" s="277"/>
      <c r="M1000" s="277"/>
      <c r="N1000" s="277"/>
      <c r="O1000" s="277"/>
      <c r="P1000" s="277"/>
      <c r="Q1000" s="277"/>
      <c r="R1000" s="277"/>
      <c r="T1000" s="277"/>
      <c r="U1000" s="277"/>
      <c r="W1000" s="277"/>
      <c r="Y1000" s="107"/>
      <c r="Z1000" s="107"/>
      <c r="AA1000" s="107"/>
      <c r="AB1000" s="107"/>
      <c r="AC1000" s="107"/>
      <c r="AD1000" s="233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7"/>
      <c r="AV1000" s="107"/>
      <c r="AW1000" s="107"/>
      <c r="AX1000" s="107"/>
      <c r="AY1000" s="107"/>
      <c r="AZ1000" s="107"/>
      <c r="BA1000" s="107"/>
      <c r="BB1000" s="107"/>
      <c r="BC1000" s="107"/>
      <c r="BD1000" s="107"/>
      <c r="BE1000" s="107"/>
      <c r="BF1000" s="107"/>
      <c r="BG1000" s="107"/>
      <c r="BH1000" s="107"/>
      <c r="BI1000" s="107"/>
      <c r="BJ1000" s="107"/>
      <c r="BK1000" s="107"/>
      <c r="BL1000" s="107"/>
      <c r="BM1000" s="107"/>
      <c r="BN1000" s="107"/>
      <c r="BO1000" s="107"/>
      <c r="BP1000" s="107"/>
      <c r="BQ1000" s="107"/>
      <c r="BR1000" s="107"/>
    </row>
    <row r="1001" customFormat="false" ht="12.75" hidden="false" customHeight="false" outlineLevel="0" collapsed="false">
      <c r="A1001" s="100"/>
      <c r="B1001" s="100"/>
      <c r="C1001" s="100"/>
      <c r="D1001" s="100"/>
      <c r="E1001" s="100"/>
      <c r="F1001" s="277"/>
      <c r="H1001" s="277"/>
      <c r="I1001" s="277"/>
      <c r="J1001" s="277"/>
      <c r="K1001" s="277"/>
      <c r="L1001" s="277"/>
      <c r="M1001" s="277"/>
      <c r="N1001" s="277"/>
      <c r="O1001" s="277"/>
      <c r="P1001" s="277"/>
      <c r="Q1001" s="277"/>
      <c r="R1001" s="277"/>
      <c r="T1001" s="277"/>
      <c r="U1001" s="277"/>
      <c r="W1001" s="277"/>
      <c r="Y1001" s="107"/>
      <c r="Z1001" s="107"/>
      <c r="AA1001" s="107"/>
      <c r="AB1001" s="107"/>
      <c r="AC1001" s="107"/>
      <c r="AD1001" s="233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7"/>
      <c r="AV1001" s="107"/>
      <c r="AW1001" s="107"/>
      <c r="AX1001" s="107"/>
      <c r="AY1001" s="107"/>
      <c r="AZ1001" s="107"/>
      <c r="BA1001" s="107"/>
      <c r="BB1001" s="107"/>
      <c r="BC1001" s="107"/>
      <c r="BD1001" s="107"/>
      <c r="BE1001" s="107"/>
      <c r="BF1001" s="107"/>
      <c r="BG1001" s="107"/>
      <c r="BH1001" s="107"/>
      <c r="BI1001" s="107"/>
      <c r="BJ1001" s="107"/>
      <c r="BK1001" s="107"/>
      <c r="BL1001" s="107"/>
      <c r="BM1001" s="107"/>
      <c r="BN1001" s="107"/>
      <c r="BO1001" s="107"/>
      <c r="BP1001" s="107"/>
      <c r="BQ1001" s="107"/>
      <c r="BR1001" s="107"/>
    </row>
    <row r="1002" customFormat="false" ht="12.75" hidden="false" customHeight="false" outlineLevel="0" collapsed="false">
      <c r="A1002" s="100"/>
      <c r="B1002" s="100"/>
      <c r="C1002" s="100"/>
      <c r="D1002" s="100"/>
      <c r="E1002" s="100"/>
      <c r="F1002" s="277"/>
      <c r="H1002" s="277"/>
      <c r="I1002" s="277"/>
      <c r="J1002" s="277"/>
      <c r="K1002" s="277"/>
      <c r="L1002" s="277"/>
      <c r="M1002" s="277"/>
      <c r="N1002" s="277"/>
      <c r="O1002" s="277"/>
      <c r="P1002" s="277"/>
      <c r="Q1002" s="277"/>
      <c r="R1002" s="277"/>
      <c r="T1002" s="277"/>
      <c r="U1002" s="277"/>
      <c r="W1002" s="277"/>
      <c r="Y1002" s="107"/>
      <c r="Z1002" s="107"/>
      <c r="AA1002" s="107"/>
      <c r="AB1002" s="107"/>
      <c r="AC1002" s="107"/>
      <c r="AD1002" s="233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7"/>
      <c r="AV1002" s="107"/>
      <c r="AW1002" s="107"/>
      <c r="AX1002" s="107"/>
      <c r="AY1002" s="107"/>
      <c r="AZ1002" s="107"/>
      <c r="BA1002" s="107"/>
      <c r="BB1002" s="107"/>
      <c r="BC1002" s="107"/>
      <c r="BD1002" s="107"/>
      <c r="BE1002" s="107"/>
      <c r="BF1002" s="107"/>
      <c r="BG1002" s="107"/>
      <c r="BH1002" s="107"/>
      <c r="BI1002" s="107"/>
      <c r="BJ1002" s="107"/>
      <c r="BK1002" s="107"/>
      <c r="BL1002" s="107"/>
      <c r="BM1002" s="107"/>
      <c r="BN1002" s="107"/>
      <c r="BO1002" s="107"/>
      <c r="BP1002" s="107"/>
      <c r="BQ1002" s="107"/>
      <c r="BR1002" s="107"/>
    </row>
    <row r="1003" customFormat="false" ht="12.75" hidden="false" customHeight="false" outlineLevel="0" collapsed="false">
      <c r="A1003" s="100"/>
      <c r="B1003" s="100"/>
      <c r="C1003" s="100"/>
      <c r="D1003" s="100"/>
      <c r="E1003" s="100"/>
      <c r="F1003" s="277"/>
      <c r="H1003" s="277"/>
      <c r="I1003" s="277"/>
      <c r="J1003" s="277"/>
      <c r="K1003" s="277"/>
      <c r="L1003" s="277"/>
      <c r="M1003" s="277"/>
      <c r="N1003" s="277"/>
      <c r="O1003" s="277"/>
      <c r="P1003" s="277"/>
      <c r="Q1003" s="277"/>
      <c r="R1003" s="277"/>
      <c r="T1003" s="277"/>
      <c r="U1003" s="277"/>
      <c r="W1003" s="277"/>
      <c r="Y1003" s="107"/>
      <c r="Z1003" s="107"/>
      <c r="AA1003" s="107"/>
      <c r="AB1003" s="107"/>
      <c r="AC1003" s="107"/>
      <c r="AD1003" s="233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7"/>
      <c r="AV1003" s="107"/>
      <c r="AW1003" s="107"/>
      <c r="AX1003" s="107"/>
      <c r="AY1003" s="107"/>
      <c r="AZ1003" s="107"/>
      <c r="BA1003" s="107"/>
      <c r="BB1003" s="107"/>
      <c r="BC1003" s="107"/>
      <c r="BD1003" s="107"/>
      <c r="BE1003" s="107"/>
      <c r="BF1003" s="107"/>
      <c r="BG1003" s="107"/>
      <c r="BH1003" s="107"/>
      <c r="BI1003" s="107"/>
      <c r="BJ1003" s="107"/>
      <c r="BK1003" s="107"/>
      <c r="BL1003" s="107"/>
      <c r="BM1003" s="107"/>
      <c r="BN1003" s="107"/>
      <c r="BO1003" s="107"/>
      <c r="BP1003" s="107"/>
      <c r="BQ1003" s="107"/>
      <c r="BR1003" s="107"/>
    </row>
    <row r="1004" customFormat="false" ht="12.75" hidden="false" customHeight="false" outlineLevel="0" collapsed="false">
      <c r="A1004" s="100"/>
      <c r="B1004" s="100"/>
      <c r="C1004" s="100"/>
      <c r="D1004" s="100"/>
      <c r="E1004" s="100"/>
      <c r="F1004" s="277"/>
      <c r="H1004" s="277"/>
      <c r="I1004" s="277"/>
      <c r="J1004" s="277"/>
      <c r="K1004" s="277"/>
      <c r="L1004" s="277"/>
      <c r="M1004" s="277"/>
      <c r="N1004" s="277"/>
      <c r="O1004" s="277"/>
      <c r="P1004" s="277"/>
      <c r="Q1004" s="277"/>
      <c r="R1004" s="277"/>
      <c r="T1004" s="277"/>
      <c r="U1004" s="277"/>
      <c r="W1004" s="277"/>
      <c r="Y1004" s="107"/>
      <c r="Z1004" s="107"/>
      <c r="AA1004" s="107"/>
      <c r="AB1004" s="107"/>
      <c r="AC1004" s="107"/>
      <c r="AD1004" s="233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7"/>
      <c r="AV1004" s="107"/>
      <c r="AW1004" s="107"/>
      <c r="AX1004" s="107"/>
      <c r="AY1004" s="107"/>
      <c r="AZ1004" s="107"/>
      <c r="BA1004" s="107"/>
      <c r="BB1004" s="107"/>
      <c r="BC1004" s="107"/>
      <c r="BD1004" s="107"/>
      <c r="BE1004" s="107"/>
      <c r="BF1004" s="107"/>
      <c r="BG1004" s="107"/>
      <c r="BH1004" s="107"/>
      <c r="BI1004" s="107"/>
      <c r="BJ1004" s="107"/>
      <c r="BK1004" s="107"/>
      <c r="BL1004" s="107"/>
      <c r="BM1004" s="107"/>
      <c r="BN1004" s="107"/>
      <c r="BO1004" s="107"/>
      <c r="BP1004" s="107"/>
      <c r="BQ1004" s="107"/>
      <c r="BR1004" s="107"/>
    </row>
    <row r="1005" customFormat="false" ht="12.75" hidden="false" customHeight="false" outlineLevel="0" collapsed="false">
      <c r="A1005" s="100"/>
      <c r="B1005" s="100"/>
      <c r="C1005" s="100"/>
      <c r="D1005" s="100"/>
      <c r="E1005" s="100"/>
      <c r="F1005" s="277"/>
      <c r="H1005" s="277"/>
      <c r="I1005" s="277"/>
      <c r="J1005" s="277"/>
      <c r="K1005" s="277"/>
      <c r="L1005" s="277"/>
      <c r="M1005" s="277"/>
      <c r="N1005" s="277"/>
      <c r="O1005" s="277"/>
      <c r="P1005" s="277"/>
      <c r="Q1005" s="277"/>
      <c r="R1005" s="277"/>
      <c r="T1005" s="277"/>
      <c r="U1005" s="277"/>
      <c r="W1005" s="277"/>
      <c r="Y1005" s="107"/>
      <c r="Z1005" s="107"/>
      <c r="AA1005" s="107"/>
      <c r="AB1005" s="107"/>
      <c r="AC1005" s="107"/>
      <c r="AD1005" s="233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7"/>
      <c r="AV1005" s="107"/>
      <c r="AW1005" s="107"/>
      <c r="AX1005" s="107"/>
      <c r="AY1005" s="107"/>
      <c r="AZ1005" s="107"/>
      <c r="BA1005" s="107"/>
      <c r="BB1005" s="107"/>
      <c r="BC1005" s="107"/>
      <c r="BD1005" s="107"/>
      <c r="BE1005" s="107"/>
      <c r="BF1005" s="107"/>
      <c r="BG1005" s="107"/>
      <c r="BH1005" s="107"/>
      <c r="BI1005" s="107"/>
      <c r="BJ1005" s="107"/>
      <c r="BK1005" s="107"/>
      <c r="BL1005" s="107"/>
      <c r="BM1005" s="107"/>
      <c r="BN1005" s="107"/>
      <c r="BO1005" s="107"/>
      <c r="BP1005" s="107"/>
      <c r="BQ1005" s="107"/>
      <c r="BR1005" s="107"/>
    </row>
    <row r="1006" customFormat="false" ht="12.75" hidden="false" customHeight="false" outlineLevel="0" collapsed="false">
      <c r="A1006" s="100"/>
      <c r="B1006" s="100"/>
      <c r="C1006" s="100"/>
      <c r="D1006" s="100"/>
      <c r="E1006" s="100"/>
      <c r="F1006" s="277"/>
      <c r="H1006" s="277"/>
      <c r="I1006" s="277"/>
      <c r="J1006" s="277"/>
      <c r="K1006" s="277"/>
      <c r="L1006" s="277"/>
      <c r="M1006" s="277"/>
      <c r="N1006" s="277"/>
      <c r="O1006" s="277"/>
      <c r="P1006" s="277"/>
      <c r="Q1006" s="277"/>
      <c r="R1006" s="277"/>
      <c r="T1006" s="277"/>
      <c r="U1006" s="277"/>
      <c r="W1006" s="277"/>
      <c r="Y1006" s="107"/>
      <c r="Z1006" s="107"/>
      <c r="AA1006" s="107"/>
      <c r="AB1006" s="107"/>
      <c r="AC1006" s="107"/>
      <c r="AD1006" s="233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7"/>
      <c r="AV1006" s="107"/>
      <c r="AW1006" s="107"/>
      <c r="AX1006" s="107"/>
      <c r="AY1006" s="107"/>
      <c r="AZ1006" s="107"/>
      <c r="BA1006" s="107"/>
      <c r="BB1006" s="107"/>
      <c r="BC1006" s="107"/>
      <c r="BD1006" s="107"/>
      <c r="BE1006" s="107"/>
      <c r="BF1006" s="107"/>
      <c r="BG1006" s="107"/>
      <c r="BH1006" s="107"/>
      <c r="BI1006" s="107"/>
      <c r="BJ1006" s="107"/>
      <c r="BK1006" s="107"/>
      <c r="BL1006" s="107"/>
      <c r="BM1006" s="107"/>
      <c r="BN1006" s="107"/>
      <c r="BO1006" s="107"/>
      <c r="BP1006" s="107"/>
      <c r="BQ1006" s="107"/>
      <c r="BR1006" s="107"/>
    </row>
    <row r="1007" customFormat="false" ht="12.75" hidden="false" customHeight="false" outlineLevel="0" collapsed="false">
      <c r="A1007" s="100"/>
      <c r="B1007" s="100"/>
      <c r="C1007" s="100"/>
      <c r="D1007" s="100"/>
      <c r="E1007" s="100"/>
      <c r="F1007" s="277"/>
      <c r="H1007" s="277"/>
      <c r="I1007" s="277"/>
      <c r="J1007" s="277"/>
      <c r="K1007" s="277"/>
      <c r="L1007" s="277"/>
      <c r="M1007" s="277"/>
      <c r="N1007" s="277"/>
      <c r="O1007" s="277"/>
      <c r="P1007" s="277"/>
      <c r="Q1007" s="277"/>
      <c r="R1007" s="277"/>
      <c r="T1007" s="277"/>
      <c r="U1007" s="277"/>
      <c r="W1007" s="277"/>
      <c r="Y1007" s="107"/>
      <c r="Z1007" s="107"/>
      <c r="AA1007" s="107"/>
      <c r="AB1007" s="107"/>
      <c r="AC1007" s="107"/>
      <c r="AD1007" s="233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7"/>
      <c r="AV1007" s="107"/>
      <c r="AW1007" s="107"/>
      <c r="AX1007" s="107"/>
      <c r="AY1007" s="107"/>
      <c r="AZ1007" s="107"/>
      <c r="BA1007" s="107"/>
      <c r="BB1007" s="107"/>
      <c r="BC1007" s="107"/>
      <c r="BD1007" s="107"/>
      <c r="BE1007" s="107"/>
      <c r="BF1007" s="107"/>
      <c r="BG1007" s="107"/>
      <c r="BH1007" s="107"/>
      <c r="BI1007" s="107"/>
      <c r="BJ1007" s="107"/>
      <c r="BK1007" s="107"/>
      <c r="BL1007" s="107"/>
      <c r="BM1007" s="107"/>
      <c r="BN1007" s="107"/>
      <c r="BO1007" s="107"/>
      <c r="BP1007" s="107"/>
      <c r="BQ1007" s="107"/>
      <c r="BR1007" s="107"/>
    </row>
    <row r="1008" customFormat="false" ht="12.75" hidden="false" customHeight="false" outlineLevel="0" collapsed="false">
      <c r="A1008" s="100"/>
      <c r="B1008" s="100"/>
      <c r="C1008" s="100"/>
      <c r="D1008" s="100"/>
      <c r="E1008" s="100"/>
      <c r="F1008" s="277"/>
      <c r="H1008" s="277"/>
      <c r="I1008" s="277"/>
      <c r="J1008" s="277"/>
      <c r="K1008" s="277"/>
      <c r="L1008" s="277"/>
      <c r="M1008" s="277"/>
      <c r="N1008" s="277"/>
      <c r="O1008" s="277"/>
      <c r="P1008" s="277"/>
      <c r="Q1008" s="277"/>
      <c r="R1008" s="277"/>
      <c r="T1008" s="277"/>
      <c r="U1008" s="277"/>
      <c r="W1008" s="277"/>
      <c r="Y1008" s="107"/>
      <c r="Z1008" s="107"/>
      <c r="AA1008" s="107"/>
      <c r="AB1008" s="107"/>
      <c r="AC1008" s="107"/>
      <c r="AD1008" s="233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7"/>
      <c r="AV1008" s="107"/>
      <c r="AW1008" s="107"/>
      <c r="AX1008" s="107"/>
      <c r="AY1008" s="107"/>
      <c r="AZ1008" s="107"/>
      <c r="BA1008" s="107"/>
      <c r="BB1008" s="107"/>
      <c r="BC1008" s="107"/>
      <c r="BD1008" s="107"/>
      <c r="BE1008" s="107"/>
      <c r="BF1008" s="107"/>
      <c r="BG1008" s="107"/>
      <c r="BH1008" s="107"/>
      <c r="BI1008" s="107"/>
      <c r="BJ1008" s="107"/>
      <c r="BK1008" s="107"/>
      <c r="BL1008" s="107"/>
      <c r="BM1008" s="107"/>
      <c r="BN1008" s="107"/>
      <c r="BO1008" s="107"/>
      <c r="BP1008" s="107"/>
      <c r="BQ1008" s="107"/>
      <c r="BR1008" s="107"/>
    </row>
    <row r="1009" customFormat="false" ht="12.75" hidden="false" customHeight="false" outlineLevel="0" collapsed="false">
      <c r="A1009" s="100"/>
      <c r="B1009" s="100"/>
      <c r="C1009" s="100"/>
      <c r="D1009" s="100"/>
      <c r="E1009" s="100"/>
      <c r="F1009" s="277"/>
      <c r="H1009" s="277"/>
      <c r="I1009" s="277"/>
      <c r="J1009" s="277"/>
      <c r="K1009" s="277"/>
      <c r="L1009" s="277"/>
      <c r="M1009" s="277"/>
      <c r="N1009" s="277"/>
      <c r="O1009" s="277"/>
      <c r="P1009" s="277"/>
      <c r="Q1009" s="277"/>
      <c r="R1009" s="277"/>
      <c r="T1009" s="277"/>
      <c r="U1009" s="277"/>
      <c r="W1009" s="277"/>
      <c r="Y1009" s="107"/>
      <c r="Z1009" s="107"/>
      <c r="AA1009" s="107"/>
      <c r="AB1009" s="107"/>
      <c r="AC1009" s="107"/>
      <c r="AD1009" s="233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7"/>
      <c r="AV1009" s="107"/>
      <c r="AW1009" s="107"/>
      <c r="AX1009" s="107"/>
      <c r="AY1009" s="107"/>
      <c r="AZ1009" s="107"/>
      <c r="BA1009" s="107"/>
      <c r="BB1009" s="107"/>
      <c r="BC1009" s="107"/>
      <c r="BD1009" s="107"/>
      <c r="BE1009" s="107"/>
      <c r="BF1009" s="107"/>
      <c r="BG1009" s="107"/>
      <c r="BH1009" s="107"/>
      <c r="BI1009" s="107"/>
      <c r="BJ1009" s="107"/>
      <c r="BK1009" s="107"/>
      <c r="BL1009" s="107"/>
      <c r="BM1009" s="107"/>
      <c r="BN1009" s="107"/>
      <c r="BO1009" s="107"/>
      <c r="BP1009" s="107"/>
      <c r="BQ1009" s="107"/>
      <c r="BR1009" s="107"/>
    </row>
    <row r="1010" customFormat="false" ht="12.75" hidden="false" customHeight="false" outlineLevel="0" collapsed="false">
      <c r="A1010" s="100"/>
      <c r="B1010" s="100"/>
      <c r="C1010" s="100"/>
      <c r="D1010" s="100"/>
      <c r="E1010" s="100"/>
      <c r="F1010" s="277"/>
      <c r="H1010" s="277"/>
      <c r="I1010" s="277"/>
      <c r="J1010" s="277"/>
      <c r="K1010" s="277"/>
      <c r="L1010" s="277"/>
      <c r="M1010" s="277"/>
      <c r="N1010" s="277"/>
      <c r="O1010" s="277"/>
      <c r="P1010" s="277"/>
      <c r="Q1010" s="277"/>
      <c r="R1010" s="277"/>
      <c r="T1010" s="277"/>
      <c r="U1010" s="277"/>
      <c r="W1010" s="277"/>
      <c r="Y1010" s="107"/>
      <c r="Z1010" s="107"/>
      <c r="AA1010" s="107"/>
      <c r="AB1010" s="107"/>
      <c r="AC1010" s="107"/>
      <c r="AD1010" s="233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7"/>
      <c r="AV1010" s="107"/>
      <c r="AW1010" s="107"/>
      <c r="AX1010" s="107"/>
      <c r="AY1010" s="107"/>
      <c r="AZ1010" s="107"/>
      <c r="BA1010" s="107"/>
      <c r="BB1010" s="107"/>
      <c r="BC1010" s="107"/>
      <c r="BD1010" s="107"/>
      <c r="BE1010" s="107"/>
      <c r="BF1010" s="107"/>
      <c r="BG1010" s="107"/>
      <c r="BH1010" s="107"/>
      <c r="BI1010" s="107"/>
      <c r="BJ1010" s="107"/>
      <c r="BK1010" s="107"/>
      <c r="BL1010" s="107"/>
      <c r="BM1010" s="107"/>
      <c r="BN1010" s="107"/>
      <c r="BO1010" s="107"/>
      <c r="BP1010" s="107"/>
      <c r="BQ1010" s="107"/>
      <c r="BR1010" s="107"/>
    </row>
    <row r="1011" customFormat="false" ht="12.75" hidden="false" customHeight="false" outlineLevel="0" collapsed="false">
      <c r="A1011" s="100"/>
      <c r="B1011" s="100"/>
      <c r="C1011" s="100"/>
      <c r="D1011" s="100"/>
      <c r="E1011" s="100"/>
      <c r="F1011" s="277"/>
      <c r="H1011" s="277"/>
      <c r="I1011" s="277"/>
      <c r="J1011" s="277"/>
      <c r="K1011" s="277"/>
      <c r="L1011" s="277"/>
      <c r="M1011" s="277"/>
      <c r="N1011" s="277"/>
      <c r="O1011" s="277"/>
      <c r="P1011" s="277"/>
      <c r="Q1011" s="277"/>
      <c r="R1011" s="277"/>
      <c r="T1011" s="277"/>
      <c r="U1011" s="277"/>
      <c r="W1011" s="277"/>
      <c r="Y1011" s="107"/>
      <c r="Z1011" s="107"/>
      <c r="AA1011" s="107"/>
      <c r="AB1011" s="107"/>
      <c r="AC1011" s="107"/>
      <c r="AD1011" s="233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7"/>
      <c r="AV1011" s="107"/>
      <c r="AW1011" s="107"/>
      <c r="AX1011" s="107"/>
      <c r="AY1011" s="107"/>
      <c r="AZ1011" s="107"/>
      <c r="BA1011" s="107"/>
      <c r="BB1011" s="107"/>
      <c r="BC1011" s="107"/>
      <c r="BD1011" s="107"/>
      <c r="BE1011" s="107"/>
      <c r="BF1011" s="107"/>
      <c r="BG1011" s="107"/>
      <c r="BH1011" s="107"/>
      <c r="BI1011" s="107"/>
      <c r="BJ1011" s="107"/>
      <c r="BK1011" s="107"/>
      <c r="BL1011" s="107"/>
      <c r="BM1011" s="107"/>
      <c r="BN1011" s="107"/>
      <c r="BO1011" s="107"/>
      <c r="BP1011" s="107"/>
      <c r="BQ1011" s="107"/>
      <c r="BR1011" s="107"/>
    </row>
    <row r="1012" customFormat="false" ht="12.75" hidden="false" customHeight="false" outlineLevel="0" collapsed="false">
      <c r="A1012" s="100"/>
      <c r="B1012" s="100"/>
      <c r="C1012" s="100"/>
      <c r="D1012" s="100"/>
      <c r="E1012" s="100"/>
      <c r="F1012" s="277"/>
      <c r="H1012" s="277"/>
      <c r="I1012" s="277"/>
      <c r="J1012" s="277"/>
      <c r="K1012" s="277"/>
      <c r="L1012" s="277"/>
      <c r="M1012" s="277"/>
      <c r="N1012" s="277"/>
      <c r="O1012" s="277"/>
      <c r="P1012" s="277"/>
      <c r="Q1012" s="277"/>
      <c r="R1012" s="277"/>
      <c r="T1012" s="277"/>
      <c r="U1012" s="277"/>
      <c r="W1012" s="277"/>
      <c r="Y1012" s="107"/>
      <c r="Z1012" s="107"/>
      <c r="AA1012" s="107"/>
      <c r="AB1012" s="107"/>
      <c r="AC1012" s="107"/>
      <c r="AD1012" s="233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7"/>
      <c r="AV1012" s="107"/>
      <c r="AW1012" s="107"/>
      <c r="AX1012" s="107"/>
      <c r="AY1012" s="107"/>
      <c r="AZ1012" s="107"/>
      <c r="BA1012" s="107"/>
      <c r="BB1012" s="107"/>
      <c r="BC1012" s="107"/>
      <c r="BD1012" s="107"/>
      <c r="BE1012" s="107"/>
      <c r="BF1012" s="107"/>
      <c r="BG1012" s="107"/>
      <c r="BH1012" s="107"/>
      <c r="BI1012" s="107"/>
      <c r="BJ1012" s="107"/>
      <c r="BK1012" s="107"/>
      <c r="BL1012" s="107"/>
      <c r="BM1012" s="107"/>
      <c r="BN1012" s="107"/>
      <c r="BO1012" s="107"/>
      <c r="BP1012" s="107"/>
      <c r="BQ1012" s="107"/>
      <c r="BR1012" s="107"/>
    </row>
    <row r="1013" customFormat="false" ht="12.75" hidden="false" customHeight="false" outlineLevel="0" collapsed="false">
      <c r="A1013" s="100"/>
      <c r="B1013" s="100"/>
      <c r="C1013" s="100"/>
      <c r="D1013" s="100"/>
      <c r="E1013" s="100"/>
      <c r="F1013" s="277"/>
      <c r="H1013" s="277"/>
      <c r="I1013" s="277"/>
      <c r="J1013" s="277"/>
      <c r="K1013" s="277"/>
      <c r="L1013" s="277"/>
      <c r="M1013" s="277"/>
      <c r="N1013" s="277"/>
      <c r="O1013" s="277"/>
      <c r="P1013" s="277"/>
      <c r="Q1013" s="277"/>
      <c r="R1013" s="277"/>
      <c r="T1013" s="277"/>
      <c r="U1013" s="277"/>
      <c r="W1013" s="277"/>
      <c r="Y1013" s="107"/>
      <c r="Z1013" s="107"/>
      <c r="AA1013" s="107"/>
      <c r="AB1013" s="107"/>
      <c r="AC1013" s="107"/>
      <c r="AD1013" s="233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7"/>
      <c r="AV1013" s="107"/>
      <c r="AW1013" s="107"/>
      <c r="AX1013" s="107"/>
      <c r="AY1013" s="107"/>
      <c r="AZ1013" s="107"/>
      <c r="BA1013" s="107"/>
      <c r="BB1013" s="107"/>
      <c r="BC1013" s="107"/>
      <c r="BD1013" s="107"/>
      <c r="BE1013" s="107"/>
      <c r="BF1013" s="107"/>
      <c r="BG1013" s="107"/>
      <c r="BH1013" s="107"/>
      <c r="BI1013" s="107"/>
      <c r="BJ1013" s="107"/>
      <c r="BK1013" s="107"/>
      <c r="BL1013" s="107"/>
      <c r="BM1013" s="107"/>
      <c r="BN1013" s="107"/>
      <c r="BO1013" s="107"/>
      <c r="BP1013" s="107"/>
      <c r="BQ1013" s="107"/>
      <c r="BR1013" s="107"/>
    </row>
    <row r="1014" customFormat="false" ht="12.75" hidden="false" customHeight="false" outlineLevel="0" collapsed="false">
      <c r="A1014" s="100"/>
      <c r="B1014" s="100"/>
      <c r="C1014" s="100"/>
      <c r="D1014" s="100"/>
      <c r="E1014" s="100"/>
      <c r="F1014" s="277"/>
      <c r="H1014" s="277"/>
      <c r="I1014" s="277"/>
      <c r="J1014" s="277"/>
      <c r="K1014" s="277"/>
      <c r="L1014" s="277"/>
      <c r="M1014" s="277"/>
      <c r="N1014" s="277"/>
      <c r="O1014" s="277"/>
      <c r="P1014" s="277"/>
      <c r="Q1014" s="277"/>
      <c r="R1014" s="277"/>
      <c r="T1014" s="277"/>
      <c r="U1014" s="277"/>
      <c r="W1014" s="277"/>
      <c r="Y1014" s="107"/>
      <c r="Z1014" s="107"/>
      <c r="AA1014" s="107"/>
      <c r="AB1014" s="107"/>
      <c r="AC1014" s="107"/>
      <c r="AD1014" s="233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7"/>
      <c r="AV1014" s="107"/>
      <c r="AW1014" s="107"/>
      <c r="AX1014" s="107"/>
      <c r="AY1014" s="107"/>
      <c r="AZ1014" s="107"/>
      <c r="BA1014" s="107"/>
      <c r="BB1014" s="107"/>
      <c r="BC1014" s="107"/>
      <c r="BD1014" s="107"/>
      <c r="BE1014" s="107"/>
      <c r="BF1014" s="107"/>
      <c r="BG1014" s="107"/>
      <c r="BH1014" s="107"/>
      <c r="BI1014" s="107"/>
      <c r="BJ1014" s="107"/>
      <c r="BK1014" s="107"/>
      <c r="BL1014" s="107"/>
      <c r="BM1014" s="107"/>
      <c r="BN1014" s="107"/>
      <c r="BO1014" s="107"/>
      <c r="BP1014" s="107"/>
      <c r="BQ1014" s="107"/>
      <c r="BR1014" s="107"/>
    </row>
    <row r="1015" customFormat="false" ht="12.75" hidden="false" customHeight="false" outlineLevel="0" collapsed="false">
      <c r="A1015" s="100"/>
      <c r="B1015" s="100"/>
      <c r="C1015" s="100"/>
      <c r="D1015" s="100"/>
      <c r="E1015" s="100"/>
      <c r="F1015" s="277"/>
      <c r="H1015" s="277"/>
      <c r="I1015" s="277"/>
      <c r="J1015" s="277"/>
      <c r="K1015" s="277"/>
      <c r="L1015" s="277"/>
      <c r="M1015" s="277"/>
      <c r="N1015" s="277"/>
      <c r="O1015" s="277"/>
      <c r="P1015" s="277"/>
      <c r="Q1015" s="277"/>
      <c r="R1015" s="277"/>
      <c r="T1015" s="277"/>
      <c r="U1015" s="277"/>
      <c r="W1015" s="277"/>
      <c r="Y1015" s="107"/>
      <c r="Z1015" s="107"/>
      <c r="AA1015" s="107"/>
      <c r="AB1015" s="107"/>
      <c r="AC1015" s="107"/>
      <c r="AD1015" s="233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7"/>
      <c r="AV1015" s="107"/>
      <c r="AW1015" s="107"/>
      <c r="AX1015" s="107"/>
      <c r="AY1015" s="107"/>
      <c r="AZ1015" s="107"/>
      <c r="BA1015" s="107"/>
      <c r="BB1015" s="107"/>
      <c r="BC1015" s="107"/>
      <c r="BD1015" s="107"/>
      <c r="BE1015" s="107"/>
      <c r="BF1015" s="107"/>
      <c r="BG1015" s="107"/>
      <c r="BH1015" s="107"/>
      <c r="BI1015" s="107"/>
      <c r="BJ1015" s="107"/>
      <c r="BK1015" s="107"/>
      <c r="BL1015" s="107"/>
      <c r="BM1015" s="107"/>
      <c r="BN1015" s="107"/>
      <c r="BO1015" s="107"/>
      <c r="BP1015" s="107"/>
      <c r="BQ1015" s="107"/>
      <c r="BR1015" s="107"/>
    </row>
    <row r="1016" customFormat="false" ht="12.75" hidden="false" customHeight="false" outlineLevel="0" collapsed="false">
      <c r="A1016" s="100"/>
      <c r="B1016" s="100"/>
      <c r="C1016" s="100"/>
      <c r="D1016" s="100"/>
      <c r="E1016" s="100"/>
      <c r="F1016" s="277"/>
      <c r="H1016" s="277"/>
      <c r="I1016" s="277"/>
      <c r="J1016" s="277"/>
      <c r="K1016" s="277"/>
      <c r="L1016" s="277"/>
      <c r="M1016" s="277"/>
      <c r="N1016" s="277"/>
      <c r="O1016" s="277"/>
      <c r="P1016" s="277"/>
      <c r="Q1016" s="277"/>
      <c r="R1016" s="277"/>
      <c r="T1016" s="277"/>
      <c r="U1016" s="277"/>
      <c r="W1016" s="277"/>
      <c r="Y1016" s="107"/>
      <c r="Z1016" s="107"/>
      <c r="AA1016" s="107"/>
      <c r="AB1016" s="107"/>
      <c r="AC1016" s="107"/>
      <c r="AD1016" s="233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7"/>
      <c r="AV1016" s="107"/>
      <c r="AW1016" s="107"/>
      <c r="AX1016" s="107"/>
      <c r="AY1016" s="107"/>
      <c r="AZ1016" s="107"/>
      <c r="BA1016" s="107"/>
      <c r="BB1016" s="107"/>
      <c r="BC1016" s="107"/>
      <c r="BD1016" s="107"/>
      <c r="BE1016" s="107"/>
      <c r="BF1016" s="107"/>
      <c r="BG1016" s="107"/>
      <c r="BH1016" s="107"/>
      <c r="BI1016" s="107"/>
      <c r="BJ1016" s="107"/>
      <c r="BK1016" s="107"/>
      <c r="BL1016" s="107"/>
      <c r="BM1016" s="107"/>
      <c r="BN1016" s="107"/>
      <c r="BO1016" s="107"/>
      <c r="BP1016" s="107"/>
      <c r="BQ1016" s="107"/>
      <c r="BR1016" s="107"/>
    </row>
    <row r="1017" customFormat="false" ht="12.75" hidden="false" customHeight="false" outlineLevel="0" collapsed="false">
      <c r="A1017" s="100"/>
      <c r="B1017" s="100"/>
      <c r="C1017" s="100"/>
      <c r="D1017" s="100"/>
      <c r="E1017" s="100"/>
      <c r="F1017" s="277"/>
      <c r="H1017" s="277"/>
      <c r="I1017" s="277"/>
      <c r="J1017" s="277"/>
      <c r="K1017" s="277"/>
      <c r="L1017" s="277"/>
      <c r="M1017" s="277"/>
      <c r="N1017" s="277"/>
      <c r="O1017" s="277"/>
      <c r="P1017" s="277"/>
      <c r="Q1017" s="277"/>
      <c r="R1017" s="277"/>
      <c r="T1017" s="277"/>
      <c r="U1017" s="277"/>
      <c r="W1017" s="277"/>
      <c r="Y1017" s="107"/>
      <c r="Z1017" s="107"/>
      <c r="AA1017" s="107"/>
      <c r="AB1017" s="107"/>
      <c r="AC1017" s="107"/>
      <c r="AD1017" s="233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7"/>
      <c r="AV1017" s="107"/>
      <c r="AW1017" s="107"/>
      <c r="AX1017" s="107"/>
      <c r="AY1017" s="107"/>
      <c r="AZ1017" s="107"/>
      <c r="BA1017" s="107"/>
      <c r="BB1017" s="107"/>
      <c r="BC1017" s="107"/>
      <c r="BD1017" s="107"/>
      <c r="BE1017" s="107"/>
      <c r="BF1017" s="107"/>
      <c r="BG1017" s="107"/>
      <c r="BH1017" s="107"/>
      <c r="BI1017" s="107"/>
      <c r="BJ1017" s="107"/>
      <c r="BK1017" s="107"/>
      <c r="BL1017" s="107"/>
      <c r="BM1017" s="107"/>
      <c r="BN1017" s="107"/>
      <c r="BO1017" s="107"/>
      <c r="BP1017" s="107"/>
      <c r="BQ1017" s="107"/>
      <c r="BR1017" s="107"/>
    </row>
    <row r="1018" customFormat="false" ht="12.75" hidden="false" customHeight="false" outlineLevel="0" collapsed="false">
      <c r="A1018" s="100"/>
      <c r="B1018" s="100"/>
      <c r="C1018" s="100"/>
      <c r="D1018" s="100"/>
      <c r="E1018" s="100"/>
      <c r="F1018" s="277"/>
      <c r="H1018" s="277"/>
      <c r="I1018" s="277"/>
      <c r="J1018" s="277"/>
      <c r="K1018" s="277"/>
      <c r="L1018" s="277"/>
      <c r="M1018" s="277"/>
      <c r="N1018" s="277"/>
      <c r="O1018" s="277"/>
      <c r="P1018" s="277"/>
      <c r="Q1018" s="277"/>
      <c r="R1018" s="277"/>
      <c r="T1018" s="277"/>
      <c r="U1018" s="277"/>
      <c r="W1018" s="277"/>
      <c r="Y1018" s="107"/>
      <c r="Z1018" s="107"/>
      <c r="AA1018" s="107"/>
      <c r="AB1018" s="107"/>
      <c r="AC1018" s="107"/>
      <c r="AD1018" s="233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7"/>
      <c r="AV1018" s="107"/>
      <c r="AW1018" s="107"/>
      <c r="AX1018" s="107"/>
      <c r="AY1018" s="107"/>
      <c r="AZ1018" s="107"/>
      <c r="BA1018" s="107"/>
      <c r="BB1018" s="107"/>
      <c r="BC1018" s="107"/>
      <c r="BD1018" s="107"/>
      <c r="BE1018" s="107"/>
      <c r="BF1018" s="107"/>
      <c r="BG1018" s="107"/>
      <c r="BH1018" s="107"/>
      <c r="BI1018" s="107"/>
      <c r="BJ1018" s="107"/>
      <c r="BK1018" s="107"/>
      <c r="BL1018" s="107"/>
      <c r="BM1018" s="107"/>
      <c r="BN1018" s="107"/>
      <c r="BO1018" s="107"/>
      <c r="BP1018" s="107"/>
      <c r="BQ1018" s="107"/>
      <c r="BR1018" s="107"/>
    </row>
    <row r="1019" customFormat="false" ht="12.75" hidden="false" customHeight="false" outlineLevel="0" collapsed="false">
      <c r="A1019" s="100"/>
      <c r="B1019" s="100"/>
      <c r="C1019" s="100"/>
      <c r="D1019" s="100"/>
      <c r="E1019" s="100"/>
      <c r="F1019" s="277"/>
      <c r="H1019" s="277"/>
      <c r="I1019" s="277"/>
      <c r="J1019" s="277"/>
      <c r="K1019" s="277"/>
      <c r="L1019" s="277"/>
      <c r="M1019" s="277"/>
      <c r="N1019" s="277"/>
      <c r="O1019" s="277"/>
      <c r="P1019" s="277"/>
      <c r="Q1019" s="277"/>
      <c r="R1019" s="277"/>
      <c r="T1019" s="277"/>
      <c r="U1019" s="277"/>
      <c r="W1019" s="277"/>
      <c r="Y1019" s="107"/>
      <c r="Z1019" s="107"/>
      <c r="AA1019" s="107"/>
      <c r="AB1019" s="107"/>
      <c r="AC1019" s="107"/>
      <c r="AD1019" s="233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7"/>
      <c r="AV1019" s="107"/>
      <c r="AW1019" s="107"/>
      <c r="AX1019" s="107"/>
      <c r="AY1019" s="107"/>
      <c r="AZ1019" s="107"/>
      <c r="BA1019" s="107"/>
      <c r="BB1019" s="107"/>
      <c r="BC1019" s="107"/>
      <c r="BD1019" s="107"/>
      <c r="BE1019" s="107"/>
      <c r="BF1019" s="107"/>
      <c r="BG1019" s="107"/>
      <c r="BH1019" s="107"/>
      <c r="BI1019" s="107"/>
      <c r="BJ1019" s="107"/>
      <c r="BK1019" s="107"/>
      <c r="BL1019" s="107"/>
      <c r="BM1019" s="107"/>
      <c r="BN1019" s="107"/>
      <c r="BO1019" s="107"/>
      <c r="BP1019" s="107"/>
      <c r="BQ1019" s="107"/>
      <c r="BR1019" s="107"/>
    </row>
    <row r="1020" customFormat="false" ht="12.75" hidden="false" customHeight="false" outlineLevel="0" collapsed="false">
      <c r="A1020" s="100"/>
      <c r="B1020" s="100"/>
      <c r="C1020" s="100"/>
      <c r="D1020" s="100"/>
      <c r="E1020" s="100"/>
      <c r="F1020" s="277"/>
      <c r="H1020" s="277"/>
      <c r="I1020" s="277"/>
      <c r="J1020" s="277"/>
      <c r="K1020" s="277"/>
      <c r="L1020" s="277"/>
      <c r="M1020" s="277"/>
      <c r="N1020" s="277"/>
      <c r="O1020" s="277"/>
      <c r="P1020" s="277"/>
      <c r="Q1020" s="277"/>
      <c r="R1020" s="277"/>
      <c r="T1020" s="277"/>
      <c r="U1020" s="277"/>
      <c r="W1020" s="277"/>
      <c r="Y1020" s="107"/>
      <c r="Z1020" s="107"/>
      <c r="AA1020" s="107"/>
      <c r="AB1020" s="107"/>
      <c r="AC1020" s="107"/>
      <c r="AD1020" s="233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7"/>
      <c r="AV1020" s="107"/>
      <c r="AW1020" s="107"/>
      <c r="AX1020" s="107"/>
      <c r="AY1020" s="107"/>
      <c r="AZ1020" s="107"/>
      <c r="BA1020" s="107"/>
      <c r="BB1020" s="107"/>
      <c r="BC1020" s="107"/>
      <c r="BD1020" s="107"/>
      <c r="BE1020" s="107"/>
      <c r="BF1020" s="107"/>
      <c r="BG1020" s="107"/>
      <c r="BH1020" s="107"/>
      <c r="BI1020" s="107"/>
      <c r="BJ1020" s="107"/>
      <c r="BK1020" s="107"/>
      <c r="BL1020" s="107"/>
      <c r="BM1020" s="107"/>
      <c r="BN1020" s="107"/>
      <c r="BO1020" s="107"/>
      <c r="BP1020" s="107"/>
      <c r="BQ1020" s="107"/>
      <c r="BR1020" s="107"/>
    </row>
    <row r="1021" customFormat="false" ht="12.75" hidden="false" customHeight="false" outlineLevel="0" collapsed="false">
      <c r="A1021" s="100"/>
      <c r="B1021" s="100"/>
      <c r="C1021" s="100"/>
      <c r="D1021" s="100"/>
      <c r="E1021" s="100"/>
      <c r="F1021" s="277"/>
      <c r="H1021" s="277"/>
      <c r="I1021" s="277"/>
      <c r="J1021" s="277"/>
      <c r="K1021" s="277"/>
      <c r="L1021" s="277"/>
      <c r="M1021" s="277"/>
      <c r="N1021" s="277"/>
      <c r="O1021" s="277"/>
      <c r="P1021" s="277"/>
      <c r="Q1021" s="277"/>
      <c r="R1021" s="277"/>
      <c r="T1021" s="277"/>
      <c r="U1021" s="277"/>
      <c r="W1021" s="277"/>
      <c r="Y1021" s="107"/>
      <c r="Z1021" s="107"/>
      <c r="AA1021" s="107"/>
      <c r="AB1021" s="107"/>
      <c r="AC1021" s="107"/>
      <c r="AD1021" s="233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7"/>
      <c r="AV1021" s="107"/>
      <c r="AW1021" s="107"/>
      <c r="AX1021" s="107"/>
      <c r="AY1021" s="107"/>
      <c r="AZ1021" s="107"/>
      <c r="BA1021" s="107"/>
      <c r="BB1021" s="107"/>
      <c r="BC1021" s="107"/>
      <c r="BD1021" s="107"/>
      <c r="BE1021" s="107"/>
      <c r="BF1021" s="107"/>
      <c r="BG1021" s="107"/>
      <c r="BH1021" s="107"/>
      <c r="BI1021" s="107"/>
      <c r="BJ1021" s="107"/>
      <c r="BK1021" s="107"/>
      <c r="BL1021" s="107"/>
      <c r="BM1021" s="107"/>
      <c r="BN1021" s="107"/>
      <c r="BO1021" s="107"/>
      <c r="BP1021" s="107"/>
      <c r="BQ1021" s="107"/>
      <c r="BR1021" s="107"/>
    </row>
    <row r="1022" customFormat="false" ht="12.75" hidden="false" customHeight="false" outlineLevel="0" collapsed="false">
      <c r="A1022" s="100"/>
      <c r="B1022" s="100"/>
      <c r="C1022" s="100"/>
      <c r="D1022" s="100"/>
      <c r="E1022" s="100"/>
      <c r="F1022" s="277"/>
      <c r="H1022" s="277"/>
      <c r="I1022" s="277"/>
      <c r="J1022" s="277"/>
      <c r="K1022" s="277"/>
      <c r="L1022" s="277"/>
      <c r="M1022" s="277"/>
      <c r="N1022" s="277"/>
      <c r="O1022" s="277"/>
      <c r="P1022" s="277"/>
      <c r="Q1022" s="277"/>
      <c r="R1022" s="277"/>
      <c r="T1022" s="277"/>
      <c r="U1022" s="277"/>
      <c r="W1022" s="277"/>
      <c r="Y1022" s="107"/>
      <c r="Z1022" s="107"/>
      <c r="AA1022" s="107"/>
      <c r="AB1022" s="107"/>
      <c r="AC1022" s="107"/>
      <c r="AD1022" s="233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7"/>
      <c r="AV1022" s="107"/>
      <c r="AW1022" s="107"/>
      <c r="AX1022" s="107"/>
      <c r="AY1022" s="107"/>
      <c r="AZ1022" s="107"/>
      <c r="BA1022" s="107"/>
      <c r="BB1022" s="107"/>
      <c r="BC1022" s="107"/>
      <c r="BD1022" s="107"/>
      <c r="BE1022" s="107"/>
      <c r="BF1022" s="107"/>
      <c r="BG1022" s="107"/>
      <c r="BH1022" s="107"/>
      <c r="BI1022" s="107"/>
      <c r="BJ1022" s="107"/>
      <c r="BK1022" s="107"/>
      <c r="BL1022" s="107"/>
      <c r="BM1022" s="107"/>
      <c r="BN1022" s="107"/>
      <c r="BO1022" s="107"/>
      <c r="BP1022" s="107"/>
      <c r="BQ1022" s="107"/>
      <c r="BR1022" s="107"/>
    </row>
    <row r="1023" customFormat="false" ht="12.75" hidden="false" customHeight="false" outlineLevel="0" collapsed="false">
      <c r="A1023" s="100"/>
      <c r="B1023" s="100"/>
      <c r="C1023" s="100"/>
      <c r="D1023" s="100"/>
      <c r="E1023" s="100"/>
      <c r="F1023" s="277"/>
      <c r="H1023" s="277"/>
      <c r="I1023" s="277"/>
      <c r="J1023" s="277"/>
      <c r="K1023" s="277"/>
      <c r="L1023" s="277"/>
      <c r="M1023" s="277"/>
      <c r="N1023" s="277"/>
      <c r="O1023" s="277"/>
      <c r="P1023" s="277"/>
      <c r="Q1023" s="277"/>
      <c r="R1023" s="277"/>
      <c r="T1023" s="277"/>
      <c r="U1023" s="277"/>
      <c r="W1023" s="277"/>
      <c r="Y1023" s="107"/>
      <c r="Z1023" s="107"/>
      <c r="AA1023" s="107"/>
      <c r="AB1023" s="107"/>
      <c r="AC1023" s="107"/>
      <c r="AD1023" s="233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7"/>
      <c r="AV1023" s="107"/>
      <c r="AW1023" s="107"/>
      <c r="AX1023" s="107"/>
      <c r="AY1023" s="107"/>
      <c r="AZ1023" s="107"/>
      <c r="BA1023" s="107"/>
      <c r="BB1023" s="107"/>
      <c r="BC1023" s="107"/>
      <c r="BD1023" s="107"/>
      <c r="BE1023" s="107"/>
      <c r="BF1023" s="107"/>
      <c r="BG1023" s="107"/>
      <c r="BH1023" s="107"/>
      <c r="BI1023" s="107"/>
      <c r="BJ1023" s="107"/>
      <c r="BK1023" s="107"/>
      <c r="BL1023" s="107"/>
      <c r="BM1023" s="107"/>
      <c r="BN1023" s="107"/>
      <c r="BO1023" s="107"/>
      <c r="BP1023" s="107"/>
      <c r="BQ1023" s="107"/>
      <c r="BR1023" s="107"/>
    </row>
    <row r="1024" customFormat="false" ht="12.75" hidden="false" customHeight="false" outlineLevel="0" collapsed="false">
      <c r="A1024" s="100"/>
      <c r="B1024" s="100"/>
      <c r="C1024" s="100"/>
      <c r="D1024" s="100"/>
      <c r="E1024" s="100"/>
      <c r="F1024" s="277"/>
      <c r="H1024" s="277"/>
      <c r="I1024" s="277"/>
      <c r="J1024" s="277"/>
      <c r="K1024" s="277"/>
      <c r="L1024" s="277"/>
      <c r="M1024" s="277"/>
      <c r="N1024" s="277"/>
      <c r="O1024" s="277"/>
      <c r="P1024" s="277"/>
      <c r="Q1024" s="277"/>
      <c r="R1024" s="277"/>
      <c r="T1024" s="277"/>
      <c r="U1024" s="277"/>
      <c r="W1024" s="277"/>
      <c r="Y1024" s="107"/>
      <c r="Z1024" s="107"/>
      <c r="AA1024" s="107"/>
      <c r="AB1024" s="107"/>
      <c r="AC1024" s="107"/>
      <c r="AD1024" s="233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7"/>
      <c r="AV1024" s="107"/>
      <c r="AW1024" s="107"/>
      <c r="AX1024" s="107"/>
      <c r="AY1024" s="107"/>
      <c r="AZ1024" s="107"/>
      <c r="BA1024" s="107"/>
      <c r="BB1024" s="107"/>
      <c r="BC1024" s="107"/>
      <c r="BD1024" s="107"/>
      <c r="BE1024" s="107"/>
      <c r="BF1024" s="107"/>
      <c r="BG1024" s="107"/>
      <c r="BH1024" s="107"/>
      <c r="BI1024" s="107"/>
      <c r="BJ1024" s="107"/>
      <c r="BK1024" s="107"/>
      <c r="BL1024" s="107"/>
      <c r="BM1024" s="107"/>
      <c r="BN1024" s="107"/>
      <c r="BO1024" s="107"/>
      <c r="BP1024" s="107"/>
      <c r="BQ1024" s="107"/>
      <c r="BR1024" s="107"/>
    </row>
    <row r="1025" customFormat="false" ht="12.75" hidden="false" customHeight="false" outlineLevel="0" collapsed="false">
      <c r="A1025" s="100"/>
      <c r="B1025" s="100"/>
      <c r="C1025" s="100"/>
      <c r="D1025" s="100"/>
      <c r="E1025" s="100"/>
      <c r="F1025" s="277"/>
      <c r="H1025" s="277"/>
      <c r="I1025" s="277"/>
      <c r="J1025" s="277"/>
      <c r="K1025" s="277"/>
      <c r="L1025" s="277"/>
      <c r="M1025" s="277"/>
      <c r="N1025" s="277"/>
      <c r="O1025" s="277"/>
      <c r="P1025" s="277"/>
      <c r="Q1025" s="277"/>
      <c r="R1025" s="277"/>
      <c r="T1025" s="277"/>
      <c r="U1025" s="277"/>
      <c r="W1025" s="277"/>
      <c r="Y1025" s="107"/>
      <c r="Z1025" s="107"/>
      <c r="AA1025" s="107"/>
      <c r="AB1025" s="107"/>
      <c r="AC1025" s="107"/>
      <c r="AD1025" s="233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7"/>
      <c r="AV1025" s="107"/>
      <c r="AW1025" s="107"/>
      <c r="AX1025" s="107"/>
      <c r="AY1025" s="107"/>
      <c r="AZ1025" s="107"/>
      <c r="BA1025" s="107"/>
      <c r="BB1025" s="107"/>
      <c r="BC1025" s="107"/>
      <c r="BD1025" s="107"/>
      <c r="BE1025" s="107"/>
      <c r="BF1025" s="107"/>
      <c r="BG1025" s="107"/>
      <c r="BH1025" s="107"/>
      <c r="BI1025" s="107"/>
      <c r="BJ1025" s="107"/>
      <c r="BK1025" s="107"/>
      <c r="BL1025" s="107"/>
      <c r="BM1025" s="107"/>
      <c r="BN1025" s="107"/>
      <c r="BO1025" s="107"/>
      <c r="BP1025" s="107"/>
      <c r="BQ1025" s="107"/>
      <c r="BR1025" s="107"/>
    </row>
    <row r="1026" customFormat="false" ht="12.75" hidden="false" customHeight="false" outlineLevel="0" collapsed="false">
      <c r="A1026" s="100"/>
      <c r="B1026" s="100"/>
      <c r="C1026" s="100"/>
      <c r="D1026" s="100"/>
      <c r="E1026" s="100"/>
      <c r="F1026" s="277"/>
      <c r="H1026" s="277"/>
      <c r="I1026" s="277"/>
      <c r="J1026" s="277"/>
      <c r="K1026" s="277"/>
      <c r="L1026" s="277"/>
      <c r="M1026" s="277"/>
      <c r="N1026" s="277"/>
      <c r="O1026" s="277"/>
      <c r="P1026" s="277"/>
      <c r="Q1026" s="277"/>
      <c r="R1026" s="277"/>
      <c r="T1026" s="277"/>
      <c r="U1026" s="277"/>
      <c r="W1026" s="277"/>
      <c r="Y1026" s="107"/>
      <c r="Z1026" s="107"/>
      <c r="AA1026" s="107"/>
      <c r="AB1026" s="107"/>
      <c r="AC1026" s="107"/>
      <c r="AD1026" s="233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7"/>
      <c r="AV1026" s="107"/>
      <c r="AW1026" s="107"/>
      <c r="AX1026" s="107"/>
      <c r="AY1026" s="107"/>
      <c r="AZ1026" s="107"/>
      <c r="BA1026" s="107"/>
      <c r="BB1026" s="107"/>
      <c r="BC1026" s="107"/>
      <c r="BD1026" s="107"/>
      <c r="BE1026" s="107"/>
      <c r="BF1026" s="107"/>
      <c r="BG1026" s="107"/>
      <c r="BH1026" s="107"/>
      <c r="BI1026" s="107"/>
      <c r="BJ1026" s="107"/>
      <c r="BK1026" s="107"/>
      <c r="BL1026" s="107"/>
      <c r="BM1026" s="107"/>
      <c r="BN1026" s="107"/>
      <c r="BO1026" s="107"/>
      <c r="BP1026" s="107"/>
      <c r="BQ1026" s="107"/>
      <c r="BR1026" s="107"/>
    </row>
    <row r="1027" customFormat="false" ht="12.75" hidden="false" customHeight="false" outlineLevel="0" collapsed="false">
      <c r="A1027" s="100"/>
      <c r="B1027" s="100"/>
      <c r="C1027" s="100"/>
      <c r="D1027" s="100"/>
      <c r="E1027" s="100"/>
      <c r="F1027" s="277"/>
      <c r="H1027" s="277"/>
      <c r="I1027" s="277"/>
      <c r="J1027" s="277"/>
      <c r="K1027" s="277"/>
      <c r="L1027" s="277"/>
      <c r="M1027" s="277"/>
      <c r="N1027" s="277"/>
      <c r="O1027" s="277"/>
      <c r="P1027" s="277"/>
      <c r="Q1027" s="277"/>
      <c r="R1027" s="277"/>
      <c r="T1027" s="277"/>
      <c r="U1027" s="277"/>
      <c r="W1027" s="277"/>
      <c r="Y1027" s="107"/>
      <c r="Z1027" s="107"/>
      <c r="AA1027" s="107"/>
      <c r="AB1027" s="107"/>
      <c r="AC1027" s="107"/>
      <c r="AD1027" s="233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7"/>
      <c r="AV1027" s="107"/>
      <c r="AW1027" s="107"/>
      <c r="AX1027" s="107"/>
      <c r="AY1027" s="107"/>
      <c r="AZ1027" s="107"/>
      <c r="BA1027" s="107"/>
      <c r="BB1027" s="107"/>
      <c r="BC1027" s="107"/>
      <c r="BD1027" s="107"/>
      <c r="BE1027" s="107"/>
      <c r="BF1027" s="107"/>
      <c r="BG1027" s="107"/>
      <c r="BH1027" s="107"/>
      <c r="BI1027" s="107"/>
      <c r="BJ1027" s="107"/>
      <c r="BK1027" s="107"/>
      <c r="BL1027" s="107"/>
      <c r="BM1027" s="107"/>
      <c r="BN1027" s="107"/>
      <c r="BO1027" s="107"/>
      <c r="BP1027" s="107"/>
      <c r="BQ1027" s="107"/>
      <c r="BR1027" s="107"/>
    </row>
    <row r="1028" customFormat="false" ht="12.75" hidden="false" customHeight="false" outlineLevel="0" collapsed="false">
      <c r="A1028" s="100"/>
      <c r="B1028" s="100"/>
      <c r="C1028" s="100"/>
      <c r="D1028" s="100"/>
      <c r="E1028" s="100"/>
      <c r="F1028" s="277"/>
      <c r="H1028" s="277"/>
      <c r="I1028" s="277"/>
      <c r="J1028" s="277"/>
      <c r="K1028" s="277"/>
      <c r="L1028" s="277"/>
      <c r="M1028" s="277"/>
      <c r="N1028" s="277"/>
      <c r="O1028" s="277"/>
      <c r="P1028" s="277"/>
      <c r="Q1028" s="277"/>
      <c r="R1028" s="277"/>
      <c r="T1028" s="277"/>
      <c r="U1028" s="277"/>
      <c r="W1028" s="277"/>
      <c r="Y1028" s="107"/>
      <c r="Z1028" s="107"/>
      <c r="AA1028" s="107"/>
      <c r="AB1028" s="107"/>
      <c r="AC1028" s="107"/>
      <c r="AD1028" s="233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7"/>
      <c r="AV1028" s="107"/>
      <c r="AW1028" s="107"/>
      <c r="AX1028" s="107"/>
      <c r="AY1028" s="107"/>
      <c r="AZ1028" s="107"/>
      <c r="BA1028" s="107"/>
      <c r="BB1028" s="107"/>
      <c r="BC1028" s="107"/>
      <c r="BD1028" s="107"/>
      <c r="BE1028" s="107"/>
      <c r="BF1028" s="107"/>
      <c r="BG1028" s="107"/>
      <c r="BH1028" s="107"/>
      <c r="BI1028" s="107"/>
      <c r="BJ1028" s="107"/>
      <c r="BK1028" s="107"/>
      <c r="BL1028" s="107"/>
      <c r="BM1028" s="107"/>
      <c r="BN1028" s="107"/>
      <c r="BO1028" s="107"/>
      <c r="BP1028" s="107"/>
      <c r="BQ1028" s="107"/>
      <c r="BR1028" s="107"/>
    </row>
    <row r="1029" customFormat="false" ht="12.75" hidden="false" customHeight="false" outlineLevel="0" collapsed="false">
      <c r="A1029" s="100"/>
      <c r="B1029" s="100"/>
      <c r="C1029" s="100"/>
      <c r="D1029" s="100"/>
      <c r="E1029" s="100"/>
      <c r="F1029" s="277"/>
      <c r="H1029" s="277"/>
      <c r="I1029" s="277"/>
      <c r="J1029" s="277"/>
      <c r="K1029" s="277"/>
      <c r="L1029" s="277"/>
      <c r="M1029" s="277"/>
      <c r="N1029" s="277"/>
      <c r="O1029" s="277"/>
      <c r="P1029" s="277"/>
      <c r="Q1029" s="277"/>
      <c r="R1029" s="277"/>
      <c r="T1029" s="277"/>
      <c r="U1029" s="277"/>
      <c r="W1029" s="277"/>
      <c r="Y1029" s="107"/>
      <c r="Z1029" s="107"/>
      <c r="AA1029" s="107"/>
      <c r="AB1029" s="107"/>
      <c r="AC1029" s="107"/>
      <c r="AD1029" s="233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7"/>
      <c r="AV1029" s="107"/>
      <c r="AW1029" s="107"/>
      <c r="AX1029" s="107"/>
      <c r="AY1029" s="107"/>
      <c r="AZ1029" s="107"/>
      <c r="BA1029" s="107"/>
      <c r="BB1029" s="107"/>
      <c r="BC1029" s="107"/>
      <c r="BD1029" s="107"/>
      <c r="BE1029" s="107"/>
      <c r="BF1029" s="107"/>
      <c r="BG1029" s="107"/>
      <c r="BH1029" s="107"/>
      <c r="BI1029" s="107"/>
      <c r="BJ1029" s="107"/>
      <c r="BK1029" s="107"/>
      <c r="BL1029" s="107"/>
      <c r="BM1029" s="107"/>
      <c r="BN1029" s="107"/>
      <c r="BO1029" s="107"/>
      <c r="BP1029" s="107"/>
      <c r="BQ1029" s="107"/>
      <c r="BR1029" s="107"/>
    </row>
    <row r="1030" customFormat="false" ht="12.75" hidden="false" customHeight="false" outlineLevel="0" collapsed="false">
      <c r="A1030" s="100"/>
      <c r="B1030" s="100"/>
      <c r="C1030" s="100"/>
      <c r="D1030" s="100"/>
      <c r="E1030" s="100"/>
      <c r="F1030" s="277"/>
      <c r="H1030" s="277"/>
      <c r="I1030" s="277"/>
      <c r="J1030" s="277"/>
      <c r="K1030" s="277"/>
      <c r="L1030" s="277"/>
      <c r="M1030" s="277"/>
      <c r="N1030" s="277"/>
      <c r="O1030" s="277"/>
      <c r="P1030" s="277"/>
      <c r="Q1030" s="277"/>
      <c r="R1030" s="277"/>
      <c r="T1030" s="277"/>
      <c r="U1030" s="277"/>
      <c r="W1030" s="277"/>
      <c r="Y1030" s="107"/>
      <c r="Z1030" s="107"/>
      <c r="AA1030" s="107"/>
      <c r="AB1030" s="107"/>
      <c r="AC1030" s="107"/>
      <c r="AD1030" s="233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7"/>
      <c r="AV1030" s="107"/>
      <c r="AW1030" s="107"/>
      <c r="AX1030" s="107"/>
      <c r="AY1030" s="107"/>
      <c r="AZ1030" s="107"/>
      <c r="BA1030" s="107"/>
      <c r="BB1030" s="107"/>
      <c r="BC1030" s="107"/>
      <c r="BD1030" s="107"/>
      <c r="BE1030" s="107"/>
      <c r="BF1030" s="107"/>
      <c r="BG1030" s="107"/>
      <c r="BH1030" s="107"/>
      <c r="BI1030" s="107"/>
      <c r="BJ1030" s="107"/>
      <c r="BK1030" s="107"/>
      <c r="BL1030" s="107"/>
      <c r="BM1030" s="107"/>
      <c r="BN1030" s="107"/>
      <c r="BO1030" s="107"/>
      <c r="BP1030" s="107"/>
      <c r="BQ1030" s="107"/>
      <c r="BR1030" s="107"/>
    </row>
    <row r="1031" customFormat="false" ht="12.75" hidden="false" customHeight="false" outlineLevel="0" collapsed="false">
      <c r="A1031" s="100"/>
      <c r="B1031" s="100"/>
      <c r="C1031" s="100"/>
      <c r="D1031" s="100"/>
      <c r="E1031" s="100"/>
      <c r="F1031" s="277"/>
      <c r="H1031" s="277"/>
      <c r="I1031" s="277"/>
      <c r="J1031" s="277"/>
      <c r="K1031" s="277"/>
      <c r="L1031" s="277"/>
      <c r="M1031" s="277"/>
      <c r="N1031" s="277"/>
      <c r="O1031" s="277"/>
      <c r="P1031" s="277"/>
      <c r="Q1031" s="277"/>
      <c r="R1031" s="277"/>
      <c r="T1031" s="277"/>
      <c r="U1031" s="277"/>
      <c r="W1031" s="277"/>
      <c r="Y1031" s="107"/>
      <c r="Z1031" s="107"/>
      <c r="AA1031" s="107"/>
      <c r="AB1031" s="107"/>
      <c r="AC1031" s="107"/>
      <c r="AD1031" s="233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7"/>
      <c r="AV1031" s="107"/>
      <c r="AW1031" s="107"/>
      <c r="AX1031" s="107"/>
      <c r="AY1031" s="107"/>
      <c r="AZ1031" s="107"/>
      <c r="BA1031" s="107"/>
      <c r="BB1031" s="107"/>
      <c r="BC1031" s="107"/>
      <c r="BD1031" s="107"/>
      <c r="BE1031" s="107"/>
      <c r="BF1031" s="107"/>
      <c r="BG1031" s="107"/>
      <c r="BH1031" s="107"/>
      <c r="BI1031" s="107"/>
      <c r="BJ1031" s="107"/>
      <c r="BK1031" s="107"/>
      <c r="BL1031" s="107"/>
      <c r="BM1031" s="107"/>
      <c r="BN1031" s="107"/>
      <c r="BO1031" s="107"/>
      <c r="BP1031" s="107"/>
      <c r="BQ1031" s="107"/>
      <c r="BR1031" s="107"/>
    </row>
    <row r="1032" customFormat="false" ht="12.75" hidden="false" customHeight="false" outlineLevel="0" collapsed="false">
      <c r="A1032" s="100"/>
      <c r="B1032" s="100"/>
      <c r="C1032" s="100"/>
      <c r="D1032" s="100"/>
      <c r="E1032" s="100"/>
      <c r="F1032" s="277"/>
      <c r="H1032" s="277"/>
      <c r="I1032" s="277"/>
      <c r="J1032" s="277"/>
      <c r="K1032" s="277"/>
      <c r="L1032" s="277"/>
      <c r="M1032" s="277"/>
      <c r="N1032" s="277"/>
      <c r="O1032" s="277"/>
      <c r="P1032" s="277"/>
      <c r="Q1032" s="277"/>
      <c r="R1032" s="277"/>
      <c r="T1032" s="277"/>
      <c r="U1032" s="277"/>
      <c r="W1032" s="277"/>
      <c r="Y1032" s="107"/>
      <c r="Z1032" s="107"/>
      <c r="AA1032" s="107"/>
      <c r="AB1032" s="107"/>
      <c r="AC1032" s="107"/>
      <c r="AD1032" s="233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7"/>
      <c r="AV1032" s="107"/>
      <c r="AW1032" s="107"/>
      <c r="AX1032" s="107"/>
      <c r="AY1032" s="107"/>
      <c r="AZ1032" s="107"/>
      <c r="BA1032" s="107"/>
      <c r="BB1032" s="107"/>
      <c r="BC1032" s="107"/>
      <c r="BD1032" s="107"/>
      <c r="BE1032" s="107"/>
      <c r="BF1032" s="107"/>
      <c r="BG1032" s="107"/>
      <c r="BH1032" s="107"/>
      <c r="BI1032" s="107"/>
      <c r="BJ1032" s="107"/>
      <c r="BK1032" s="107"/>
      <c r="BL1032" s="107"/>
      <c r="BM1032" s="107"/>
      <c r="BN1032" s="107"/>
      <c r="BO1032" s="107"/>
      <c r="BP1032" s="107"/>
      <c r="BQ1032" s="107"/>
      <c r="BR1032" s="107"/>
    </row>
    <row r="1033" customFormat="false" ht="12.75" hidden="false" customHeight="false" outlineLevel="0" collapsed="false">
      <c r="A1033" s="100"/>
      <c r="B1033" s="100"/>
      <c r="C1033" s="100"/>
      <c r="D1033" s="100"/>
      <c r="E1033" s="100"/>
      <c r="F1033" s="277"/>
      <c r="H1033" s="277"/>
      <c r="I1033" s="277"/>
      <c r="J1033" s="277"/>
      <c r="K1033" s="277"/>
      <c r="L1033" s="277"/>
      <c r="M1033" s="277"/>
      <c r="N1033" s="277"/>
      <c r="O1033" s="277"/>
      <c r="P1033" s="277"/>
      <c r="Q1033" s="277"/>
      <c r="R1033" s="277"/>
      <c r="T1033" s="277"/>
      <c r="U1033" s="277"/>
      <c r="W1033" s="277"/>
      <c r="Y1033" s="107"/>
      <c r="Z1033" s="107"/>
      <c r="AA1033" s="107"/>
      <c r="AB1033" s="107"/>
      <c r="AC1033" s="107"/>
      <c r="AD1033" s="233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7"/>
      <c r="AV1033" s="107"/>
      <c r="AW1033" s="107"/>
      <c r="AX1033" s="107"/>
      <c r="AY1033" s="107"/>
      <c r="AZ1033" s="107"/>
      <c r="BA1033" s="107"/>
      <c r="BB1033" s="107"/>
      <c r="BC1033" s="107"/>
      <c r="BD1033" s="107"/>
      <c r="BE1033" s="107"/>
      <c r="BF1033" s="107"/>
      <c r="BG1033" s="107"/>
      <c r="BH1033" s="107"/>
      <c r="BI1033" s="107"/>
      <c r="BJ1033" s="107"/>
      <c r="BK1033" s="107"/>
      <c r="BL1033" s="107"/>
      <c r="BM1033" s="107"/>
      <c r="BN1033" s="107"/>
      <c r="BO1033" s="107"/>
      <c r="BP1033" s="107"/>
      <c r="BQ1033" s="107"/>
      <c r="BR1033" s="107"/>
    </row>
    <row r="1034" customFormat="false" ht="12.75" hidden="false" customHeight="false" outlineLevel="0" collapsed="false">
      <c r="A1034" s="100"/>
      <c r="B1034" s="100"/>
      <c r="C1034" s="100"/>
      <c r="D1034" s="100"/>
      <c r="E1034" s="100"/>
      <c r="F1034" s="277"/>
      <c r="H1034" s="277"/>
      <c r="I1034" s="277"/>
      <c r="J1034" s="277"/>
      <c r="K1034" s="277"/>
      <c r="L1034" s="277"/>
      <c r="M1034" s="277"/>
      <c r="N1034" s="277"/>
      <c r="O1034" s="277"/>
      <c r="P1034" s="277"/>
      <c r="Q1034" s="277"/>
      <c r="R1034" s="277"/>
      <c r="T1034" s="277"/>
      <c r="U1034" s="277"/>
      <c r="W1034" s="277"/>
      <c r="Y1034" s="107"/>
      <c r="Z1034" s="107"/>
      <c r="AA1034" s="107"/>
      <c r="AB1034" s="107"/>
      <c r="AC1034" s="107"/>
      <c r="AD1034" s="233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7"/>
      <c r="AV1034" s="107"/>
      <c r="AW1034" s="107"/>
      <c r="AX1034" s="107"/>
      <c r="AY1034" s="107"/>
      <c r="AZ1034" s="107"/>
      <c r="BA1034" s="107"/>
      <c r="BB1034" s="107"/>
      <c r="BC1034" s="107"/>
      <c r="BD1034" s="107"/>
      <c r="BE1034" s="107"/>
      <c r="BF1034" s="107"/>
      <c r="BG1034" s="107"/>
      <c r="BH1034" s="107"/>
      <c r="BI1034" s="107"/>
      <c r="BJ1034" s="107"/>
      <c r="BK1034" s="107"/>
      <c r="BL1034" s="107"/>
      <c r="BM1034" s="107"/>
      <c r="BN1034" s="107"/>
      <c r="BO1034" s="107"/>
      <c r="BP1034" s="107"/>
      <c r="BQ1034" s="107"/>
      <c r="BR1034" s="107"/>
    </row>
    <row r="1035" customFormat="false" ht="12.75" hidden="false" customHeight="false" outlineLevel="0" collapsed="false">
      <c r="A1035" s="100"/>
      <c r="B1035" s="100"/>
      <c r="C1035" s="100"/>
      <c r="D1035" s="100"/>
      <c r="E1035" s="100"/>
      <c r="F1035" s="277"/>
      <c r="H1035" s="277"/>
      <c r="I1035" s="277"/>
      <c r="J1035" s="277"/>
      <c r="K1035" s="277"/>
      <c r="L1035" s="277"/>
      <c r="M1035" s="277"/>
      <c r="N1035" s="277"/>
      <c r="O1035" s="277"/>
      <c r="P1035" s="277"/>
      <c r="Q1035" s="277"/>
      <c r="R1035" s="277"/>
      <c r="T1035" s="277"/>
      <c r="U1035" s="277"/>
      <c r="W1035" s="277"/>
      <c r="Y1035" s="107"/>
      <c r="Z1035" s="107"/>
      <c r="AA1035" s="107"/>
      <c r="AB1035" s="107"/>
      <c r="AC1035" s="107"/>
      <c r="AD1035" s="233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7"/>
      <c r="AV1035" s="107"/>
      <c r="AW1035" s="107"/>
      <c r="AX1035" s="107"/>
      <c r="AY1035" s="107"/>
      <c r="AZ1035" s="107"/>
      <c r="BA1035" s="107"/>
      <c r="BB1035" s="107"/>
      <c r="BC1035" s="107"/>
      <c r="BD1035" s="107"/>
      <c r="BE1035" s="107"/>
      <c r="BF1035" s="107"/>
      <c r="BG1035" s="107"/>
      <c r="BH1035" s="107"/>
      <c r="BI1035" s="107"/>
      <c r="BJ1035" s="107"/>
      <c r="BK1035" s="107"/>
      <c r="BL1035" s="107"/>
      <c r="BM1035" s="107"/>
      <c r="BN1035" s="107"/>
      <c r="BO1035" s="107"/>
      <c r="BP1035" s="107"/>
      <c r="BQ1035" s="107"/>
      <c r="BR1035" s="107"/>
    </row>
    <row r="1036" customFormat="false" ht="12.75" hidden="false" customHeight="false" outlineLevel="0" collapsed="false">
      <c r="A1036" s="100"/>
      <c r="B1036" s="100"/>
      <c r="C1036" s="100"/>
      <c r="D1036" s="100"/>
      <c r="E1036" s="100"/>
      <c r="F1036" s="277"/>
      <c r="H1036" s="277"/>
      <c r="I1036" s="277"/>
      <c r="J1036" s="277"/>
      <c r="K1036" s="277"/>
      <c r="L1036" s="277"/>
      <c r="M1036" s="277"/>
      <c r="N1036" s="277"/>
      <c r="O1036" s="277"/>
      <c r="P1036" s="277"/>
      <c r="Q1036" s="277"/>
      <c r="R1036" s="277"/>
      <c r="T1036" s="277"/>
      <c r="U1036" s="277"/>
      <c r="W1036" s="277"/>
      <c r="Y1036" s="107"/>
      <c r="Z1036" s="107"/>
      <c r="AA1036" s="107"/>
      <c r="AB1036" s="107"/>
      <c r="AC1036" s="107"/>
      <c r="AD1036" s="233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7"/>
      <c r="AV1036" s="107"/>
      <c r="AW1036" s="107"/>
      <c r="AX1036" s="107"/>
      <c r="AY1036" s="107"/>
      <c r="AZ1036" s="107"/>
      <c r="BA1036" s="107"/>
      <c r="BB1036" s="107"/>
      <c r="BC1036" s="107"/>
      <c r="BD1036" s="107"/>
      <c r="BE1036" s="107"/>
      <c r="BF1036" s="107"/>
      <c r="BG1036" s="107"/>
      <c r="BH1036" s="107"/>
      <c r="BI1036" s="107"/>
      <c r="BJ1036" s="107"/>
      <c r="BK1036" s="107"/>
      <c r="BL1036" s="107"/>
      <c r="BM1036" s="107"/>
      <c r="BN1036" s="107"/>
      <c r="BO1036" s="107"/>
      <c r="BP1036" s="107"/>
      <c r="BQ1036" s="107"/>
      <c r="BR1036" s="107"/>
    </row>
    <row r="1037" customFormat="false" ht="12.75" hidden="false" customHeight="false" outlineLevel="0" collapsed="false">
      <c r="A1037" s="100"/>
      <c r="B1037" s="100"/>
      <c r="C1037" s="100"/>
      <c r="D1037" s="100"/>
      <c r="E1037" s="100"/>
      <c r="F1037" s="277"/>
      <c r="H1037" s="277"/>
      <c r="I1037" s="277"/>
      <c r="J1037" s="277"/>
      <c r="K1037" s="277"/>
      <c r="L1037" s="277"/>
      <c r="M1037" s="277"/>
      <c r="N1037" s="277"/>
      <c r="O1037" s="277"/>
      <c r="P1037" s="277"/>
      <c r="Q1037" s="277"/>
      <c r="R1037" s="277"/>
      <c r="T1037" s="277"/>
      <c r="U1037" s="277"/>
      <c r="W1037" s="277"/>
      <c r="Y1037" s="107"/>
      <c r="Z1037" s="107"/>
      <c r="AA1037" s="107"/>
      <c r="AB1037" s="107"/>
      <c r="AC1037" s="107"/>
      <c r="AD1037" s="233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7"/>
      <c r="AV1037" s="107"/>
      <c r="AW1037" s="107"/>
      <c r="AX1037" s="107"/>
      <c r="AY1037" s="107"/>
      <c r="AZ1037" s="107"/>
      <c r="BA1037" s="107"/>
      <c r="BB1037" s="107"/>
      <c r="BC1037" s="107"/>
      <c r="BD1037" s="107"/>
      <c r="BE1037" s="107"/>
      <c r="BF1037" s="107"/>
      <c r="BG1037" s="107"/>
      <c r="BH1037" s="107"/>
      <c r="BI1037" s="107"/>
      <c r="BJ1037" s="107"/>
      <c r="BK1037" s="107"/>
      <c r="BL1037" s="107"/>
      <c r="BM1037" s="107"/>
      <c r="BN1037" s="107"/>
      <c r="BO1037" s="107"/>
      <c r="BP1037" s="107"/>
      <c r="BQ1037" s="107"/>
      <c r="BR1037" s="107"/>
    </row>
    <row r="1038" customFormat="false" ht="12.75" hidden="false" customHeight="false" outlineLevel="0" collapsed="false">
      <c r="A1038" s="100"/>
      <c r="B1038" s="100"/>
      <c r="C1038" s="100"/>
      <c r="D1038" s="100"/>
      <c r="E1038" s="100"/>
      <c r="F1038" s="277"/>
      <c r="H1038" s="277"/>
      <c r="I1038" s="277"/>
      <c r="J1038" s="277"/>
      <c r="K1038" s="277"/>
      <c r="L1038" s="277"/>
      <c r="M1038" s="277"/>
      <c r="N1038" s="277"/>
      <c r="O1038" s="277"/>
      <c r="P1038" s="277"/>
      <c r="Q1038" s="277"/>
      <c r="R1038" s="277"/>
      <c r="T1038" s="277"/>
      <c r="U1038" s="277"/>
      <c r="W1038" s="277"/>
      <c r="Y1038" s="107"/>
      <c r="Z1038" s="107"/>
      <c r="AA1038" s="107"/>
      <c r="AB1038" s="107"/>
      <c r="AC1038" s="107"/>
      <c r="AD1038" s="233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7"/>
      <c r="AV1038" s="107"/>
      <c r="AW1038" s="107"/>
      <c r="AX1038" s="107"/>
      <c r="AY1038" s="107"/>
      <c r="AZ1038" s="107"/>
      <c r="BA1038" s="107"/>
      <c r="BB1038" s="107"/>
      <c r="BC1038" s="107"/>
      <c r="BD1038" s="107"/>
      <c r="BE1038" s="107"/>
      <c r="BF1038" s="107"/>
      <c r="BG1038" s="107"/>
      <c r="BH1038" s="107"/>
      <c r="BI1038" s="107"/>
      <c r="BJ1038" s="107"/>
      <c r="BK1038" s="107"/>
      <c r="BL1038" s="107"/>
      <c r="BM1038" s="107"/>
      <c r="BN1038" s="107"/>
      <c r="BO1038" s="107"/>
      <c r="BP1038" s="107"/>
      <c r="BQ1038" s="107"/>
      <c r="BR1038" s="107"/>
    </row>
    <row r="1039" customFormat="false" ht="12.75" hidden="false" customHeight="false" outlineLevel="0" collapsed="false">
      <c r="A1039" s="100"/>
      <c r="B1039" s="100"/>
      <c r="C1039" s="100"/>
      <c r="D1039" s="100"/>
      <c r="E1039" s="100"/>
      <c r="F1039" s="277"/>
      <c r="H1039" s="277"/>
      <c r="I1039" s="277"/>
      <c r="J1039" s="277"/>
      <c r="K1039" s="277"/>
      <c r="L1039" s="277"/>
      <c r="M1039" s="277"/>
      <c r="N1039" s="277"/>
      <c r="O1039" s="277"/>
      <c r="P1039" s="277"/>
      <c r="Q1039" s="277"/>
      <c r="R1039" s="277"/>
      <c r="T1039" s="277"/>
      <c r="U1039" s="277"/>
      <c r="W1039" s="277"/>
      <c r="Y1039" s="107"/>
      <c r="Z1039" s="107"/>
      <c r="AA1039" s="107"/>
      <c r="AB1039" s="107"/>
      <c r="AC1039" s="107"/>
      <c r="AD1039" s="233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7"/>
      <c r="AV1039" s="107"/>
      <c r="AW1039" s="107"/>
      <c r="AX1039" s="107"/>
      <c r="AY1039" s="107"/>
      <c r="AZ1039" s="107"/>
      <c r="BA1039" s="107"/>
      <c r="BB1039" s="107"/>
      <c r="BC1039" s="107"/>
      <c r="BD1039" s="107"/>
      <c r="BE1039" s="107"/>
      <c r="BF1039" s="107"/>
      <c r="BG1039" s="107"/>
      <c r="BH1039" s="107"/>
      <c r="BI1039" s="107"/>
      <c r="BJ1039" s="107"/>
      <c r="BK1039" s="107"/>
      <c r="BL1039" s="107"/>
      <c r="BM1039" s="107"/>
      <c r="BN1039" s="107"/>
      <c r="BO1039" s="107"/>
      <c r="BP1039" s="107"/>
      <c r="BQ1039" s="107"/>
      <c r="BR1039" s="107"/>
    </row>
    <row r="1040" customFormat="false" ht="12.75" hidden="false" customHeight="false" outlineLevel="0" collapsed="false">
      <c r="A1040" s="100"/>
      <c r="B1040" s="100"/>
      <c r="C1040" s="100"/>
      <c r="D1040" s="100"/>
      <c r="E1040" s="100"/>
      <c r="F1040" s="277"/>
      <c r="H1040" s="277"/>
      <c r="I1040" s="277"/>
      <c r="J1040" s="277"/>
      <c r="K1040" s="277"/>
      <c r="L1040" s="277"/>
      <c r="M1040" s="277"/>
      <c r="N1040" s="277"/>
      <c r="O1040" s="277"/>
      <c r="P1040" s="277"/>
      <c r="Q1040" s="277"/>
      <c r="R1040" s="277"/>
      <c r="T1040" s="277"/>
      <c r="U1040" s="277"/>
      <c r="W1040" s="277"/>
      <c r="Y1040" s="107"/>
      <c r="Z1040" s="107"/>
      <c r="AA1040" s="107"/>
      <c r="AB1040" s="107"/>
      <c r="AC1040" s="107"/>
      <c r="AD1040" s="233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7"/>
      <c r="AV1040" s="107"/>
      <c r="AW1040" s="107"/>
      <c r="AX1040" s="107"/>
      <c r="AY1040" s="107"/>
      <c r="AZ1040" s="107"/>
      <c r="BA1040" s="107"/>
      <c r="BB1040" s="107"/>
      <c r="BC1040" s="107"/>
      <c r="BD1040" s="107"/>
      <c r="BE1040" s="107"/>
      <c r="BF1040" s="107"/>
      <c r="BG1040" s="107"/>
      <c r="BH1040" s="107"/>
      <c r="BI1040" s="107"/>
      <c r="BJ1040" s="107"/>
      <c r="BK1040" s="107"/>
      <c r="BL1040" s="107"/>
      <c r="BM1040" s="107"/>
      <c r="BN1040" s="107"/>
      <c r="BO1040" s="107"/>
      <c r="BP1040" s="107"/>
      <c r="BQ1040" s="107"/>
      <c r="BR1040" s="107"/>
    </row>
    <row r="1041" customFormat="false" ht="12.75" hidden="false" customHeight="false" outlineLevel="0" collapsed="false">
      <c r="A1041" s="100"/>
      <c r="B1041" s="100"/>
      <c r="C1041" s="100"/>
      <c r="D1041" s="100"/>
      <c r="E1041" s="100"/>
      <c r="F1041" s="277"/>
      <c r="H1041" s="277"/>
      <c r="I1041" s="277"/>
      <c r="J1041" s="277"/>
      <c r="K1041" s="277"/>
      <c r="L1041" s="277"/>
      <c r="M1041" s="277"/>
      <c r="N1041" s="277"/>
      <c r="O1041" s="277"/>
      <c r="P1041" s="277"/>
      <c r="Q1041" s="277"/>
      <c r="R1041" s="277"/>
      <c r="T1041" s="277"/>
      <c r="U1041" s="277"/>
      <c r="W1041" s="277"/>
      <c r="Y1041" s="107"/>
      <c r="Z1041" s="107"/>
      <c r="AA1041" s="107"/>
      <c r="AB1041" s="107"/>
      <c r="AC1041" s="107"/>
      <c r="AD1041" s="233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7"/>
      <c r="AV1041" s="107"/>
      <c r="AW1041" s="107"/>
      <c r="AX1041" s="107"/>
      <c r="AY1041" s="107"/>
      <c r="AZ1041" s="107"/>
      <c r="BA1041" s="107"/>
      <c r="BB1041" s="107"/>
      <c r="BC1041" s="107"/>
      <c r="BD1041" s="107"/>
      <c r="BE1041" s="107"/>
      <c r="BF1041" s="107"/>
      <c r="BG1041" s="107"/>
      <c r="BH1041" s="107"/>
      <c r="BI1041" s="107"/>
      <c r="BJ1041" s="107"/>
      <c r="BK1041" s="107"/>
      <c r="BL1041" s="107"/>
      <c r="BM1041" s="107"/>
      <c r="BN1041" s="107"/>
      <c r="BO1041" s="107"/>
      <c r="BP1041" s="107"/>
      <c r="BQ1041" s="107"/>
      <c r="BR1041" s="107"/>
    </row>
    <row r="1042" customFormat="false" ht="12.75" hidden="false" customHeight="false" outlineLevel="0" collapsed="false">
      <c r="A1042" s="100"/>
      <c r="B1042" s="100"/>
      <c r="C1042" s="100"/>
      <c r="D1042" s="100"/>
      <c r="E1042" s="100"/>
      <c r="F1042" s="277"/>
      <c r="H1042" s="277"/>
      <c r="I1042" s="277"/>
      <c r="J1042" s="277"/>
      <c r="K1042" s="277"/>
      <c r="L1042" s="277"/>
      <c r="M1042" s="277"/>
      <c r="N1042" s="277"/>
      <c r="O1042" s="277"/>
      <c r="P1042" s="277"/>
      <c r="Q1042" s="277"/>
      <c r="R1042" s="277"/>
      <c r="T1042" s="277"/>
      <c r="U1042" s="277"/>
      <c r="W1042" s="277"/>
      <c r="Y1042" s="107"/>
      <c r="Z1042" s="107"/>
      <c r="AA1042" s="107"/>
      <c r="AB1042" s="107"/>
      <c r="AC1042" s="107"/>
      <c r="AD1042" s="233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7"/>
      <c r="AV1042" s="107"/>
      <c r="AW1042" s="107"/>
      <c r="AX1042" s="107"/>
      <c r="AY1042" s="107"/>
      <c r="AZ1042" s="107"/>
      <c r="BA1042" s="107"/>
      <c r="BB1042" s="107"/>
      <c r="BC1042" s="107"/>
      <c r="BD1042" s="107"/>
      <c r="BE1042" s="107"/>
      <c r="BF1042" s="107"/>
      <c r="BG1042" s="107"/>
      <c r="BH1042" s="107"/>
      <c r="BI1042" s="107"/>
      <c r="BJ1042" s="107"/>
      <c r="BK1042" s="107"/>
      <c r="BL1042" s="107"/>
      <c r="BM1042" s="107"/>
      <c r="BN1042" s="107"/>
      <c r="BO1042" s="107"/>
      <c r="BP1042" s="107"/>
      <c r="BQ1042" s="107"/>
      <c r="BR1042" s="107"/>
    </row>
    <row r="1043" customFormat="false" ht="12.75" hidden="false" customHeight="false" outlineLevel="0" collapsed="false">
      <c r="A1043" s="100"/>
      <c r="B1043" s="100"/>
      <c r="C1043" s="100"/>
      <c r="D1043" s="100"/>
      <c r="E1043" s="100"/>
      <c r="F1043" s="277"/>
      <c r="H1043" s="277"/>
      <c r="I1043" s="277"/>
      <c r="J1043" s="277"/>
      <c r="K1043" s="277"/>
      <c r="L1043" s="277"/>
      <c r="M1043" s="277"/>
      <c r="N1043" s="277"/>
      <c r="O1043" s="277"/>
      <c r="P1043" s="277"/>
      <c r="Q1043" s="277"/>
      <c r="R1043" s="277"/>
      <c r="T1043" s="277"/>
      <c r="U1043" s="277"/>
      <c r="W1043" s="277"/>
      <c r="Y1043" s="107"/>
      <c r="Z1043" s="107"/>
      <c r="AA1043" s="107"/>
      <c r="AB1043" s="107"/>
      <c r="AC1043" s="107"/>
      <c r="AD1043" s="233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7"/>
      <c r="AV1043" s="107"/>
      <c r="AW1043" s="107"/>
      <c r="AX1043" s="107"/>
      <c r="AY1043" s="107"/>
      <c r="AZ1043" s="107"/>
      <c r="BA1043" s="107"/>
      <c r="BB1043" s="107"/>
      <c r="BC1043" s="107"/>
      <c r="BD1043" s="107"/>
      <c r="BE1043" s="107"/>
      <c r="BF1043" s="107"/>
      <c r="BG1043" s="107"/>
      <c r="BH1043" s="107"/>
      <c r="BI1043" s="107"/>
      <c r="BJ1043" s="107"/>
      <c r="BK1043" s="107"/>
      <c r="BL1043" s="107"/>
      <c r="BM1043" s="107"/>
      <c r="BN1043" s="107"/>
      <c r="BO1043" s="107"/>
      <c r="BP1043" s="107"/>
      <c r="BQ1043" s="107"/>
      <c r="BR1043" s="107"/>
    </row>
    <row r="1044" customFormat="false" ht="12.75" hidden="false" customHeight="false" outlineLevel="0" collapsed="false">
      <c r="A1044" s="100"/>
      <c r="B1044" s="100"/>
      <c r="C1044" s="100"/>
      <c r="D1044" s="100"/>
      <c r="E1044" s="100"/>
      <c r="F1044" s="277"/>
      <c r="H1044" s="277"/>
      <c r="I1044" s="277"/>
      <c r="J1044" s="277"/>
      <c r="K1044" s="277"/>
      <c r="L1044" s="277"/>
      <c r="M1044" s="277"/>
      <c r="N1044" s="277"/>
      <c r="O1044" s="277"/>
      <c r="P1044" s="277"/>
      <c r="Q1044" s="277"/>
      <c r="R1044" s="277"/>
      <c r="T1044" s="277"/>
      <c r="U1044" s="277"/>
      <c r="W1044" s="277"/>
      <c r="Y1044" s="107"/>
      <c r="Z1044" s="107"/>
      <c r="AA1044" s="107"/>
      <c r="AB1044" s="107"/>
      <c r="AC1044" s="107"/>
      <c r="AD1044" s="233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7"/>
      <c r="AV1044" s="107"/>
      <c r="AW1044" s="107"/>
      <c r="AX1044" s="107"/>
      <c r="AY1044" s="107"/>
      <c r="AZ1044" s="107"/>
      <c r="BA1044" s="107"/>
      <c r="BB1044" s="107"/>
      <c r="BC1044" s="107"/>
      <c r="BD1044" s="107"/>
      <c r="BE1044" s="107"/>
      <c r="BF1044" s="107"/>
      <c r="BG1044" s="107"/>
      <c r="BH1044" s="107"/>
      <c r="BI1044" s="107"/>
      <c r="BJ1044" s="107"/>
      <c r="BK1044" s="107"/>
      <c r="BL1044" s="107"/>
      <c r="BM1044" s="107"/>
      <c r="BN1044" s="107"/>
      <c r="BO1044" s="107"/>
      <c r="BP1044" s="107"/>
      <c r="BQ1044" s="107"/>
      <c r="BR1044" s="107"/>
    </row>
    <row r="1045" customFormat="false" ht="12.75" hidden="false" customHeight="false" outlineLevel="0" collapsed="false">
      <c r="A1045" s="100"/>
      <c r="B1045" s="100"/>
      <c r="C1045" s="100"/>
      <c r="D1045" s="100"/>
      <c r="E1045" s="100"/>
      <c r="F1045" s="277"/>
      <c r="H1045" s="277"/>
      <c r="I1045" s="277"/>
      <c r="J1045" s="277"/>
      <c r="K1045" s="277"/>
      <c r="L1045" s="277"/>
      <c r="M1045" s="277"/>
      <c r="N1045" s="277"/>
      <c r="O1045" s="277"/>
      <c r="P1045" s="277"/>
      <c r="Q1045" s="277"/>
      <c r="R1045" s="277"/>
      <c r="T1045" s="277"/>
      <c r="U1045" s="277"/>
      <c r="W1045" s="277"/>
      <c r="Y1045" s="107"/>
      <c r="Z1045" s="107"/>
      <c r="AA1045" s="107"/>
      <c r="AB1045" s="107"/>
      <c r="AC1045" s="107"/>
      <c r="AD1045" s="233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7"/>
      <c r="AV1045" s="107"/>
      <c r="AW1045" s="107"/>
      <c r="AX1045" s="107"/>
      <c r="AY1045" s="107"/>
      <c r="AZ1045" s="107"/>
      <c r="BA1045" s="107"/>
      <c r="BB1045" s="107"/>
      <c r="BC1045" s="107"/>
      <c r="BD1045" s="107"/>
      <c r="BE1045" s="107"/>
      <c r="BF1045" s="107"/>
      <c r="BG1045" s="107"/>
      <c r="BH1045" s="107"/>
      <c r="BI1045" s="107"/>
      <c r="BJ1045" s="107"/>
      <c r="BK1045" s="107"/>
      <c r="BL1045" s="107"/>
      <c r="BM1045" s="107"/>
      <c r="BN1045" s="107"/>
      <c r="BO1045" s="107"/>
      <c r="BP1045" s="107"/>
      <c r="BQ1045" s="107"/>
      <c r="BR1045" s="107"/>
    </row>
    <row r="1046" customFormat="false" ht="12.75" hidden="false" customHeight="false" outlineLevel="0" collapsed="false">
      <c r="A1046" s="100"/>
      <c r="B1046" s="100"/>
      <c r="C1046" s="100"/>
      <c r="D1046" s="100"/>
      <c r="E1046" s="100"/>
      <c r="F1046" s="277"/>
      <c r="H1046" s="277"/>
      <c r="I1046" s="277"/>
      <c r="J1046" s="277"/>
      <c r="K1046" s="277"/>
      <c r="L1046" s="277"/>
      <c r="M1046" s="277"/>
      <c r="N1046" s="277"/>
      <c r="O1046" s="277"/>
      <c r="P1046" s="277"/>
      <c r="Q1046" s="277"/>
      <c r="R1046" s="277"/>
      <c r="T1046" s="277"/>
      <c r="U1046" s="277"/>
      <c r="W1046" s="277"/>
      <c r="Y1046" s="107"/>
      <c r="Z1046" s="107"/>
      <c r="AA1046" s="107"/>
      <c r="AB1046" s="107"/>
      <c r="AC1046" s="107"/>
      <c r="AD1046" s="233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7"/>
      <c r="AV1046" s="107"/>
      <c r="AW1046" s="107"/>
      <c r="AX1046" s="107"/>
      <c r="AY1046" s="107"/>
      <c r="AZ1046" s="107"/>
      <c r="BA1046" s="107"/>
      <c r="BB1046" s="107"/>
      <c r="BC1046" s="107"/>
      <c r="BD1046" s="107"/>
      <c r="BE1046" s="107"/>
      <c r="BF1046" s="107"/>
      <c r="BG1046" s="107"/>
      <c r="BH1046" s="107"/>
      <c r="BI1046" s="107"/>
      <c r="BJ1046" s="107"/>
      <c r="BK1046" s="107"/>
      <c r="BL1046" s="107"/>
      <c r="BM1046" s="107"/>
      <c r="BN1046" s="107"/>
      <c r="BO1046" s="107"/>
      <c r="BP1046" s="107"/>
      <c r="BQ1046" s="107"/>
      <c r="BR1046" s="107"/>
    </row>
    <row r="1047" customFormat="false" ht="12.75" hidden="false" customHeight="false" outlineLevel="0" collapsed="false">
      <c r="A1047" s="100"/>
      <c r="B1047" s="100"/>
      <c r="C1047" s="100"/>
      <c r="D1047" s="100"/>
      <c r="E1047" s="100"/>
      <c r="F1047" s="277"/>
      <c r="H1047" s="277"/>
      <c r="I1047" s="277"/>
      <c r="J1047" s="277"/>
      <c r="K1047" s="277"/>
      <c r="L1047" s="277"/>
      <c r="M1047" s="277"/>
      <c r="N1047" s="277"/>
      <c r="O1047" s="277"/>
      <c r="P1047" s="277"/>
      <c r="Q1047" s="277"/>
      <c r="R1047" s="277"/>
      <c r="T1047" s="277"/>
      <c r="U1047" s="277"/>
      <c r="W1047" s="277"/>
      <c r="Y1047" s="107"/>
      <c r="Z1047" s="107"/>
      <c r="AA1047" s="107"/>
      <c r="AB1047" s="107"/>
      <c r="AC1047" s="107"/>
      <c r="AD1047" s="233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7"/>
      <c r="AV1047" s="107"/>
      <c r="AW1047" s="107"/>
      <c r="AX1047" s="107"/>
      <c r="AY1047" s="107"/>
      <c r="AZ1047" s="107"/>
      <c r="BA1047" s="107"/>
      <c r="BB1047" s="107"/>
      <c r="BC1047" s="107"/>
      <c r="BD1047" s="107"/>
      <c r="BE1047" s="107"/>
      <c r="BF1047" s="107"/>
      <c r="BG1047" s="107"/>
      <c r="BH1047" s="107"/>
      <c r="BI1047" s="107"/>
      <c r="BJ1047" s="107"/>
      <c r="BK1047" s="107"/>
      <c r="BL1047" s="107"/>
      <c r="BM1047" s="107"/>
      <c r="BN1047" s="107"/>
      <c r="BO1047" s="107"/>
      <c r="BP1047" s="107"/>
      <c r="BQ1047" s="107"/>
      <c r="BR1047" s="107"/>
    </row>
    <row r="1048" customFormat="false" ht="12.75" hidden="false" customHeight="false" outlineLevel="0" collapsed="false">
      <c r="A1048" s="100"/>
      <c r="B1048" s="100"/>
      <c r="C1048" s="100"/>
      <c r="D1048" s="100"/>
      <c r="E1048" s="100"/>
      <c r="F1048" s="277"/>
      <c r="H1048" s="277"/>
      <c r="I1048" s="277"/>
      <c r="J1048" s="277"/>
      <c r="K1048" s="277"/>
      <c r="L1048" s="277"/>
      <c r="M1048" s="277"/>
      <c r="N1048" s="277"/>
      <c r="O1048" s="277"/>
      <c r="P1048" s="277"/>
      <c r="Q1048" s="277"/>
      <c r="R1048" s="277"/>
      <c r="T1048" s="277"/>
      <c r="U1048" s="277"/>
      <c r="W1048" s="277"/>
      <c r="Y1048" s="107"/>
      <c r="Z1048" s="107"/>
      <c r="AA1048" s="107"/>
      <c r="AB1048" s="107"/>
      <c r="AC1048" s="107"/>
      <c r="AD1048" s="233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7"/>
      <c r="AV1048" s="107"/>
      <c r="AW1048" s="107"/>
      <c r="AX1048" s="107"/>
      <c r="AY1048" s="107"/>
      <c r="AZ1048" s="107"/>
      <c r="BA1048" s="107"/>
      <c r="BB1048" s="107"/>
      <c r="BC1048" s="107"/>
      <c r="BD1048" s="107"/>
      <c r="BE1048" s="107"/>
      <c r="BF1048" s="107"/>
      <c r="BG1048" s="107"/>
      <c r="BH1048" s="107"/>
      <c r="BI1048" s="107"/>
      <c r="BJ1048" s="107"/>
      <c r="BK1048" s="107"/>
      <c r="BL1048" s="107"/>
      <c r="BM1048" s="107"/>
      <c r="BN1048" s="107"/>
      <c r="BO1048" s="107"/>
      <c r="BP1048" s="107"/>
      <c r="BQ1048" s="107"/>
      <c r="BR1048" s="107"/>
    </row>
    <row r="1049" customFormat="false" ht="12.75" hidden="false" customHeight="false" outlineLevel="0" collapsed="false">
      <c r="A1049" s="100"/>
      <c r="B1049" s="100"/>
      <c r="C1049" s="100"/>
      <c r="D1049" s="100"/>
      <c r="E1049" s="100"/>
      <c r="F1049" s="277"/>
      <c r="H1049" s="277"/>
      <c r="I1049" s="277"/>
      <c r="J1049" s="277"/>
      <c r="K1049" s="277"/>
      <c r="L1049" s="277"/>
      <c r="M1049" s="277"/>
      <c r="N1049" s="277"/>
      <c r="O1049" s="277"/>
      <c r="P1049" s="277"/>
      <c r="Q1049" s="277"/>
      <c r="R1049" s="277"/>
      <c r="T1049" s="277"/>
      <c r="U1049" s="277"/>
      <c r="W1049" s="277"/>
      <c r="Y1049" s="107"/>
      <c r="Z1049" s="107"/>
      <c r="AA1049" s="107"/>
      <c r="AB1049" s="107"/>
      <c r="AC1049" s="107"/>
      <c r="AD1049" s="233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7"/>
      <c r="AV1049" s="107"/>
      <c r="AW1049" s="107"/>
      <c r="AX1049" s="107"/>
      <c r="AY1049" s="107"/>
      <c r="AZ1049" s="107"/>
      <c r="BA1049" s="107"/>
      <c r="BB1049" s="107"/>
      <c r="BC1049" s="107"/>
      <c r="BD1049" s="107"/>
      <c r="BE1049" s="107"/>
      <c r="BF1049" s="107"/>
      <c r="BG1049" s="107"/>
      <c r="BH1049" s="107"/>
      <c r="BI1049" s="107"/>
      <c r="BJ1049" s="107"/>
      <c r="BK1049" s="107"/>
      <c r="BL1049" s="107"/>
      <c r="BM1049" s="107"/>
      <c r="BN1049" s="107"/>
      <c r="BO1049" s="107"/>
      <c r="BP1049" s="107"/>
      <c r="BQ1049" s="107"/>
      <c r="BR1049" s="107"/>
    </row>
    <row r="1050" customFormat="false" ht="12.75" hidden="false" customHeight="false" outlineLevel="0" collapsed="false">
      <c r="A1050" s="100"/>
      <c r="B1050" s="100"/>
      <c r="C1050" s="100"/>
      <c r="D1050" s="100"/>
      <c r="E1050" s="100"/>
      <c r="F1050" s="277"/>
      <c r="H1050" s="277"/>
      <c r="I1050" s="277"/>
      <c r="J1050" s="277"/>
      <c r="K1050" s="277"/>
      <c r="L1050" s="277"/>
      <c r="M1050" s="277"/>
      <c r="N1050" s="277"/>
      <c r="O1050" s="277"/>
      <c r="P1050" s="277"/>
      <c r="Q1050" s="277"/>
      <c r="R1050" s="277"/>
      <c r="T1050" s="277"/>
      <c r="U1050" s="277"/>
      <c r="W1050" s="277"/>
      <c r="Y1050" s="107"/>
      <c r="Z1050" s="107"/>
      <c r="AA1050" s="107"/>
      <c r="AB1050" s="107"/>
      <c r="AC1050" s="107"/>
      <c r="AD1050" s="233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7"/>
      <c r="AV1050" s="107"/>
      <c r="AW1050" s="107"/>
      <c r="AX1050" s="107"/>
      <c r="AY1050" s="107"/>
      <c r="AZ1050" s="107"/>
      <c r="BA1050" s="107"/>
      <c r="BB1050" s="107"/>
      <c r="BC1050" s="107"/>
      <c r="BD1050" s="107"/>
      <c r="BE1050" s="107"/>
      <c r="BF1050" s="107"/>
      <c r="BG1050" s="107"/>
      <c r="BH1050" s="107"/>
      <c r="BI1050" s="107"/>
      <c r="BJ1050" s="107"/>
      <c r="BK1050" s="107"/>
      <c r="BL1050" s="107"/>
      <c r="BM1050" s="107"/>
      <c r="BN1050" s="107"/>
      <c r="BO1050" s="107"/>
      <c r="BP1050" s="107"/>
      <c r="BQ1050" s="107"/>
      <c r="BR1050" s="107"/>
    </row>
    <row r="1051" customFormat="false" ht="12.75" hidden="false" customHeight="false" outlineLevel="0" collapsed="false">
      <c r="A1051" s="100"/>
      <c r="B1051" s="100"/>
      <c r="C1051" s="100"/>
      <c r="D1051" s="100"/>
      <c r="E1051" s="100"/>
      <c r="F1051" s="277"/>
      <c r="H1051" s="277"/>
      <c r="I1051" s="277"/>
      <c r="J1051" s="277"/>
      <c r="K1051" s="277"/>
      <c r="L1051" s="277"/>
      <c r="M1051" s="277"/>
      <c r="N1051" s="277"/>
      <c r="O1051" s="277"/>
      <c r="P1051" s="277"/>
      <c r="Q1051" s="277"/>
      <c r="R1051" s="277"/>
      <c r="T1051" s="277"/>
      <c r="U1051" s="277"/>
      <c r="W1051" s="277"/>
      <c r="Y1051" s="107"/>
      <c r="Z1051" s="107"/>
      <c r="AA1051" s="107"/>
      <c r="AB1051" s="107"/>
      <c r="AC1051" s="107"/>
      <c r="AD1051" s="233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7"/>
      <c r="AV1051" s="107"/>
      <c r="AW1051" s="107"/>
      <c r="AX1051" s="107"/>
      <c r="AY1051" s="107"/>
      <c r="AZ1051" s="107"/>
      <c r="BA1051" s="107"/>
      <c r="BB1051" s="107"/>
      <c r="BC1051" s="107"/>
      <c r="BD1051" s="107"/>
      <c r="BE1051" s="107"/>
      <c r="BF1051" s="107"/>
      <c r="BG1051" s="107"/>
      <c r="BH1051" s="107"/>
      <c r="BI1051" s="107"/>
      <c r="BJ1051" s="107"/>
      <c r="BK1051" s="107"/>
      <c r="BL1051" s="107"/>
      <c r="BM1051" s="107"/>
      <c r="BN1051" s="107"/>
      <c r="BO1051" s="107"/>
      <c r="BP1051" s="107"/>
      <c r="BQ1051" s="107"/>
      <c r="BR1051" s="107"/>
    </row>
    <row r="1052" customFormat="false" ht="12.75" hidden="false" customHeight="false" outlineLevel="0" collapsed="false">
      <c r="A1052" s="100"/>
      <c r="B1052" s="100"/>
      <c r="C1052" s="100"/>
      <c r="D1052" s="100"/>
      <c r="E1052" s="100"/>
      <c r="F1052" s="277"/>
      <c r="H1052" s="277"/>
      <c r="I1052" s="277"/>
      <c r="J1052" s="277"/>
      <c r="K1052" s="277"/>
      <c r="L1052" s="277"/>
      <c r="M1052" s="277"/>
      <c r="N1052" s="277"/>
      <c r="O1052" s="277"/>
      <c r="P1052" s="277"/>
      <c r="Q1052" s="277"/>
      <c r="R1052" s="277"/>
      <c r="T1052" s="277"/>
      <c r="U1052" s="277"/>
      <c r="W1052" s="277"/>
      <c r="Y1052" s="107"/>
      <c r="Z1052" s="107"/>
      <c r="AA1052" s="107"/>
      <c r="AB1052" s="107"/>
      <c r="AC1052" s="107"/>
      <c r="AD1052" s="233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7"/>
      <c r="AV1052" s="107"/>
      <c r="AW1052" s="107"/>
      <c r="AX1052" s="107"/>
      <c r="AY1052" s="107"/>
      <c r="AZ1052" s="107"/>
      <c r="BA1052" s="107"/>
      <c r="BB1052" s="107"/>
      <c r="BC1052" s="107"/>
      <c r="BD1052" s="107"/>
      <c r="BE1052" s="107"/>
      <c r="BF1052" s="107"/>
      <c r="BG1052" s="107"/>
      <c r="BH1052" s="107"/>
      <c r="BI1052" s="107"/>
      <c r="BJ1052" s="107"/>
      <c r="BK1052" s="107"/>
      <c r="BL1052" s="107"/>
      <c r="BM1052" s="107"/>
      <c r="BN1052" s="107"/>
      <c r="BO1052" s="107"/>
      <c r="BP1052" s="107"/>
      <c r="BQ1052" s="107"/>
      <c r="BR1052" s="107"/>
    </row>
    <row r="1053" customFormat="false" ht="12.75" hidden="false" customHeight="false" outlineLevel="0" collapsed="false">
      <c r="A1053" s="100"/>
      <c r="B1053" s="100"/>
      <c r="C1053" s="100"/>
      <c r="D1053" s="100"/>
      <c r="E1053" s="100"/>
      <c r="F1053" s="277"/>
      <c r="H1053" s="277"/>
      <c r="I1053" s="277"/>
      <c r="J1053" s="277"/>
      <c r="K1053" s="277"/>
      <c r="L1053" s="277"/>
      <c r="M1053" s="277"/>
      <c r="N1053" s="277"/>
      <c r="O1053" s="277"/>
      <c r="P1053" s="277"/>
      <c r="Q1053" s="277"/>
      <c r="R1053" s="277"/>
      <c r="T1053" s="277"/>
      <c r="U1053" s="277"/>
      <c r="W1053" s="277"/>
      <c r="Y1053" s="107"/>
      <c r="Z1053" s="107"/>
      <c r="AA1053" s="107"/>
      <c r="AB1053" s="107"/>
      <c r="AC1053" s="107"/>
      <c r="AD1053" s="233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7"/>
      <c r="AV1053" s="107"/>
      <c r="AW1053" s="107"/>
      <c r="AX1053" s="107"/>
      <c r="AY1053" s="107"/>
      <c r="AZ1053" s="107"/>
      <c r="BA1053" s="107"/>
      <c r="BB1053" s="107"/>
      <c r="BC1053" s="107"/>
      <c r="BD1053" s="107"/>
      <c r="BE1053" s="107"/>
      <c r="BF1053" s="107"/>
      <c r="BG1053" s="107"/>
      <c r="BH1053" s="107"/>
      <c r="BI1053" s="107"/>
      <c r="BJ1053" s="107"/>
      <c r="BK1053" s="107"/>
      <c r="BL1053" s="107"/>
      <c r="BM1053" s="107"/>
      <c r="BN1053" s="107"/>
      <c r="BO1053" s="107"/>
      <c r="BP1053" s="107"/>
      <c r="BQ1053" s="107"/>
      <c r="BR1053" s="107"/>
    </row>
    <row r="1054" customFormat="false" ht="12.75" hidden="false" customHeight="false" outlineLevel="0" collapsed="false">
      <c r="A1054" s="100"/>
      <c r="B1054" s="100"/>
      <c r="C1054" s="100"/>
      <c r="D1054" s="100"/>
      <c r="E1054" s="100"/>
      <c r="F1054" s="277"/>
      <c r="H1054" s="277"/>
      <c r="I1054" s="277"/>
      <c r="J1054" s="277"/>
      <c r="K1054" s="277"/>
      <c r="L1054" s="277"/>
      <c r="M1054" s="277"/>
      <c r="N1054" s="277"/>
      <c r="O1054" s="277"/>
      <c r="P1054" s="277"/>
      <c r="Q1054" s="277"/>
      <c r="R1054" s="277"/>
      <c r="T1054" s="277"/>
      <c r="U1054" s="277"/>
      <c r="W1054" s="277"/>
      <c r="Y1054" s="107"/>
      <c r="Z1054" s="107"/>
      <c r="AA1054" s="107"/>
      <c r="AB1054" s="107"/>
      <c r="AC1054" s="107"/>
      <c r="AD1054" s="233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7"/>
      <c r="AV1054" s="107"/>
      <c r="AW1054" s="107"/>
      <c r="AX1054" s="107"/>
      <c r="AY1054" s="107"/>
      <c r="AZ1054" s="107"/>
      <c r="BA1054" s="107"/>
      <c r="BB1054" s="107"/>
      <c r="BC1054" s="107"/>
      <c r="BD1054" s="107"/>
      <c r="BE1054" s="107"/>
      <c r="BF1054" s="107"/>
      <c r="BG1054" s="107"/>
      <c r="BH1054" s="107"/>
      <c r="BI1054" s="107"/>
      <c r="BJ1054" s="107"/>
      <c r="BK1054" s="107"/>
      <c r="BL1054" s="107"/>
      <c r="BM1054" s="107"/>
      <c r="BN1054" s="107"/>
      <c r="BO1054" s="107"/>
      <c r="BP1054" s="107"/>
      <c r="BQ1054" s="107"/>
      <c r="BR1054" s="107"/>
    </row>
    <row r="1055" customFormat="false" ht="12.75" hidden="false" customHeight="false" outlineLevel="0" collapsed="false">
      <c r="A1055" s="100"/>
      <c r="B1055" s="100"/>
      <c r="C1055" s="100"/>
      <c r="D1055" s="100"/>
      <c r="E1055" s="100"/>
      <c r="F1055" s="277"/>
      <c r="H1055" s="277"/>
      <c r="I1055" s="277"/>
      <c r="J1055" s="277"/>
      <c r="K1055" s="277"/>
      <c r="L1055" s="277"/>
      <c r="M1055" s="277"/>
      <c r="N1055" s="277"/>
      <c r="O1055" s="277"/>
      <c r="P1055" s="277"/>
      <c r="Q1055" s="277"/>
      <c r="R1055" s="277"/>
      <c r="T1055" s="277"/>
      <c r="U1055" s="277"/>
      <c r="W1055" s="277"/>
      <c r="Y1055" s="107"/>
      <c r="Z1055" s="107"/>
      <c r="AA1055" s="107"/>
      <c r="AB1055" s="107"/>
      <c r="AC1055" s="107"/>
      <c r="AD1055" s="233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7"/>
      <c r="AV1055" s="107"/>
      <c r="AW1055" s="107"/>
      <c r="AX1055" s="107"/>
      <c r="AY1055" s="107"/>
      <c r="AZ1055" s="107"/>
      <c r="BA1055" s="107"/>
      <c r="BB1055" s="107"/>
      <c r="BC1055" s="107"/>
      <c r="BD1055" s="107"/>
      <c r="BE1055" s="107"/>
      <c r="BF1055" s="107"/>
      <c r="BG1055" s="107"/>
      <c r="BH1055" s="107"/>
      <c r="BI1055" s="107"/>
      <c r="BJ1055" s="107"/>
      <c r="BK1055" s="107"/>
      <c r="BL1055" s="107"/>
      <c r="BM1055" s="107"/>
      <c r="BN1055" s="107"/>
      <c r="BO1055" s="107"/>
      <c r="BP1055" s="107"/>
      <c r="BQ1055" s="107"/>
      <c r="BR1055" s="107"/>
    </row>
    <row r="1056" customFormat="false" ht="12.75" hidden="false" customHeight="false" outlineLevel="0" collapsed="false">
      <c r="A1056" s="100"/>
      <c r="B1056" s="100"/>
      <c r="C1056" s="100"/>
      <c r="D1056" s="100"/>
      <c r="E1056" s="100"/>
      <c r="F1056" s="277"/>
      <c r="H1056" s="277"/>
      <c r="I1056" s="277"/>
      <c r="J1056" s="277"/>
      <c r="K1056" s="277"/>
      <c r="L1056" s="277"/>
      <c r="M1056" s="277"/>
      <c r="N1056" s="277"/>
      <c r="O1056" s="277"/>
      <c r="P1056" s="277"/>
      <c r="Q1056" s="277"/>
      <c r="R1056" s="277"/>
      <c r="T1056" s="277"/>
      <c r="U1056" s="277"/>
      <c r="W1056" s="277"/>
      <c r="Y1056" s="107"/>
      <c r="Z1056" s="107"/>
      <c r="AA1056" s="107"/>
      <c r="AB1056" s="107"/>
      <c r="AC1056" s="107"/>
      <c r="AD1056" s="233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7"/>
      <c r="AV1056" s="107"/>
      <c r="AW1056" s="107"/>
      <c r="AX1056" s="107"/>
      <c r="AY1056" s="107"/>
      <c r="AZ1056" s="107"/>
      <c r="BA1056" s="107"/>
      <c r="BB1056" s="107"/>
      <c r="BC1056" s="107"/>
      <c r="BD1056" s="107"/>
      <c r="BE1056" s="107"/>
      <c r="BF1056" s="107"/>
      <c r="BG1056" s="107"/>
      <c r="BH1056" s="107"/>
      <c r="BI1056" s="107"/>
      <c r="BJ1056" s="107"/>
      <c r="BK1056" s="107"/>
      <c r="BL1056" s="107"/>
      <c r="BM1056" s="107"/>
      <c r="BN1056" s="107"/>
      <c r="BO1056" s="107"/>
      <c r="BP1056" s="107"/>
      <c r="BQ1056" s="107"/>
      <c r="BR1056" s="107"/>
    </row>
    <row r="1057" customFormat="false" ht="12.75" hidden="false" customHeight="false" outlineLevel="0" collapsed="false">
      <c r="A1057" s="100"/>
      <c r="B1057" s="100"/>
      <c r="C1057" s="100"/>
      <c r="D1057" s="100"/>
      <c r="E1057" s="100"/>
      <c r="F1057" s="277"/>
      <c r="H1057" s="277"/>
      <c r="I1057" s="277"/>
      <c r="J1057" s="277"/>
      <c r="K1057" s="277"/>
      <c r="L1057" s="277"/>
      <c r="M1057" s="277"/>
      <c r="N1057" s="277"/>
      <c r="O1057" s="277"/>
      <c r="P1057" s="277"/>
      <c r="Q1057" s="277"/>
      <c r="R1057" s="277"/>
      <c r="T1057" s="277"/>
      <c r="U1057" s="277"/>
      <c r="W1057" s="277"/>
      <c r="Y1057" s="107"/>
      <c r="Z1057" s="107"/>
      <c r="AA1057" s="107"/>
      <c r="AB1057" s="107"/>
      <c r="AC1057" s="107"/>
      <c r="AD1057" s="233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7"/>
      <c r="AV1057" s="107"/>
      <c r="AW1057" s="107"/>
      <c r="AX1057" s="107"/>
      <c r="AY1057" s="107"/>
      <c r="AZ1057" s="107"/>
      <c r="BA1057" s="107"/>
      <c r="BB1057" s="107"/>
      <c r="BC1057" s="107"/>
      <c r="BD1057" s="107"/>
      <c r="BE1057" s="107"/>
      <c r="BF1057" s="107"/>
      <c r="BG1057" s="107"/>
      <c r="BH1057" s="107"/>
      <c r="BI1057" s="107"/>
      <c r="BJ1057" s="107"/>
      <c r="BK1057" s="107"/>
      <c r="BL1057" s="107"/>
      <c r="BM1057" s="107"/>
      <c r="BN1057" s="107"/>
      <c r="BO1057" s="107"/>
      <c r="BP1057" s="107"/>
      <c r="BQ1057" s="107"/>
      <c r="BR1057" s="107"/>
    </row>
    <row r="1058" customFormat="false" ht="12.75" hidden="false" customHeight="false" outlineLevel="0" collapsed="false">
      <c r="A1058" s="100"/>
      <c r="B1058" s="100"/>
      <c r="C1058" s="100"/>
      <c r="D1058" s="100"/>
      <c r="E1058" s="100"/>
      <c r="F1058" s="277"/>
      <c r="H1058" s="277"/>
      <c r="I1058" s="277"/>
      <c r="J1058" s="277"/>
      <c r="K1058" s="277"/>
      <c r="L1058" s="277"/>
      <c r="M1058" s="277"/>
      <c r="N1058" s="277"/>
      <c r="O1058" s="277"/>
      <c r="P1058" s="277"/>
      <c r="Q1058" s="277"/>
      <c r="R1058" s="277"/>
      <c r="T1058" s="277"/>
      <c r="U1058" s="277"/>
      <c r="W1058" s="277"/>
      <c r="Y1058" s="107"/>
      <c r="Z1058" s="107"/>
      <c r="AA1058" s="107"/>
      <c r="AB1058" s="107"/>
      <c r="AC1058" s="107"/>
      <c r="AD1058" s="233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7"/>
      <c r="AV1058" s="107"/>
      <c r="AW1058" s="107"/>
      <c r="AX1058" s="107"/>
      <c r="AY1058" s="107"/>
      <c r="AZ1058" s="107"/>
      <c r="BA1058" s="107"/>
      <c r="BB1058" s="107"/>
      <c r="BC1058" s="107"/>
      <c r="BD1058" s="107"/>
      <c r="BE1058" s="107"/>
      <c r="BF1058" s="107"/>
      <c r="BG1058" s="107"/>
      <c r="BH1058" s="107"/>
      <c r="BI1058" s="107"/>
      <c r="BJ1058" s="107"/>
      <c r="BK1058" s="107"/>
      <c r="BL1058" s="107"/>
      <c r="BM1058" s="107"/>
      <c r="BN1058" s="107"/>
      <c r="BO1058" s="107"/>
      <c r="BP1058" s="107"/>
      <c r="BQ1058" s="107"/>
      <c r="BR1058" s="107"/>
    </row>
    <row r="1059" customFormat="false" ht="12.75" hidden="false" customHeight="false" outlineLevel="0" collapsed="false">
      <c r="A1059" s="100"/>
      <c r="B1059" s="100"/>
      <c r="C1059" s="100"/>
      <c r="D1059" s="100"/>
      <c r="E1059" s="100"/>
      <c r="F1059" s="277"/>
      <c r="H1059" s="277"/>
      <c r="I1059" s="277"/>
      <c r="J1059" s="277"/>
      <c r="K1059" s="277"/>
      <c r="L1059" s="277"/>
      <c r="M1059" s="277"/>
      <c r="N1059" s="277"/>
      <c r="O1059" s="277"/>
      <c r="P1059" s="277"/>
      <c r="Q1059" s="277"/>
      <c r="R1059" s="277"/>
      <c r="T1059" s="277"/>
      <c r="U1059" s="277"/>
      <c r="W1059" s="277"/>
      <c r="Y1059" s="107"/>
      <c r="Z1059" s="107"/>
      <c r="AA1059" s="107"/>
      <c r="AB1059" s="107"/>
      <c r="AC1059" s="107"/>
      <c r="AD1059" s="233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7"/>
      <c r="AV1059" s="107"/>
      <c r="AW1059" s="107"/>
      <c r="AX1059" s="107"/>
      <c r="AY1059" s="107"/>
      <c r="AZ1059" s="107"/>
      <c r="BA1059" s="107"/>
      <c r="BB1059" s="107"/>
      <c r="BC1059" s="107"/>
      <c r="BD1059" s="107"/>
      <c r="BE1059" s="107"/>
      <c r="BF1059" s="107"/>
      <c r="BG1059" s="107"/>
      <c r="BH1059" s="107"/>
      <c r="BI1059" s="107"/>
      <c r="BJ1059" s="107"/>
      <c r="BK1059" s="107"/>
      <c r="BL1059" s="107"/>
      <c r="BM1059" s="107"/>
      <c r="BN1059" s="107"/>
      <c r="BO1059" s="107"/>
      <c r="BP1059" s="107"/>
      <c r="BQ1059" s="107"/>
      <c r="BR1059" s="107"/>
    </row>
    <row r="1060" customFormat="false" ht="12.75" hidden="false" customHeight="false" outlineLevel="0" collapsed="false">
      <c r="A1060" s="100"/>
      <c r="B1060" s="100"/>
      <c r="C1060" s="100"/>
      <c r="D1060" s="100"/>
      <c r="E1060" s="100"/>
      <c r="F1060" s="277"/>
      <c r="H1060" s="277"/>
      <c r="I1060" s="277"/>
      <c r="J1060" s="277"/>
      <c r="K1060" s="277"/>
      <c r="L1060" s="277"/>
      <c r="M1060" s="277"/>
      <c r="N1060" s="277"/>
      <c r="O1060" s="277"/>
      <c r="P1060" s="277"/>
      <c r="Q1060" s="277"/>
      <c r="R1060" s="277"/>
      <c r="T1060" s="277"/>
      <c r="U1060" s="277"/>
      <c r="W1060" s="277"/>
      <c r="Y1060" s="107"/>
      <c r="Z1060" s="107"/>
      <c r="AA1060" s="107"/>
      <c r="AB1060" s="107"/>
      <c r="AC1060" s="107"/>
      <c r="AD1060" s="233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7"/>
      <c r="AV1060" s="107"/>
      <c r="AW1060" s="107"/>
      <c r="AX1060" s="107"/>
      <c r="AY1060" s="107"/>
      <c r="AZ1060" s="107"/>
      <c r="BA1060" s="107"/>
      <c r="BB1060" s="107"/>
      <c r="BC1060" s="107"/>
      <c r="BD1060" s="107"/>
      <c r="BE1060" s="107"/>
      <c r="BF1060" s="107"/>
      <c r="BG1060" s="107"/>
      <c r="BH1060" s="107"/>
      <c r="BI1060" s="107"/>
      <c r="BJ1060" s="107"/>
      <c r="BK1060" s="107"/>
      <c r="BL1060" s="107"/>
      <c r="BM1060" s="107"/>
      <c r="BN1060" s="107"/>
      <c r="BO1060" s="107"/>
      <c r="BP1060" s="107"/>
      <c r="BQ1060" s="107"/>
      <c r="BR1060" s="107"/>
    </row>
    <row r="1061" customFormat="false" ht="12.75" hidden="false" customHeight="false" outlineLevel="0" collapsed="false">
      <c r="A1061" s="100"/>
      <c r="B1061" s="100"/>
      <c r="C1061" s="100"/>
      <c r="D1061" s="100"/>
      <c r="E1061" s="100"/>
      <c r="F1061" s="277"/>
      <c r="H1061" s="277"/>
      <c r="I1061" s="277"/>
      <c r="J1061" s="277"/>
      <c r="K1061" s="277"/>
      <c r="L1061" s="277"/>
      <c r="M1061" s="277"/>
      <c r="N1061" s="277"/>
      <c r="O1061" s="277"/>
      <c r="P1061" s="277"/>
      <c r="Q1061" s="277"/>
      <c r="R1061" s="277"/>
      <c r="T1061" s="277"/>
      <c r="U1061" s="277"/>
      <c r="W1061" s="277"/>
      <c r="Y1061" s="107"/>
      <c r="Z1061" s="107"/>
      <c r="AA1061" s="107"/>
      <c r="AB1061" s="107"/>
      <c r="AC1061" s="107"/>
      <c r="AD1061" s="233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7"/>
      <c r="AV1061" s="107"/>
      <c r="AW1061" s="107"/>
      <c r="AX1061" s="107"/>
      <c r="AY1061" s="107"/>
      <c r="AZ1061" s="107"/>
      <c r="BA1061" s="107"/>
      <c r="BB1061" s="107"/>
      <c r="BC1061" s="107"/>
      <c r="BD1061" s="107"/>
      <c r="BE1061" s="107"/>
      <c r="BF1061" s="107"/>
      <c r="BG1061" s="107"/>
      <c r="BH1061" s="107"/>
      <c r="BI1061" s="107"/>
      <c r="BJ1061" s="107"/>
      <c r="BK1061" s="107"/>
      <c r="BL1061" s="107"/>
      <c r="BM1061" s="107"/>
      <c r="BN1061" s="107"/>
      <c r="BO1061" s="107"/>
      <c r="BP1061" s="107"/>
      <c r="BQ1061" s="107"/>
      <c r="BR1061" s="107"/>
    </row>
    <row r="1062" customFormat="false" ht="12.75" hidden="false" customHeight="false" outlineLevel="0" collapsed="false">
      <c r="A1062" s="100"/>
      <c r="B1062" s="100"/>
      <c r="C1062" s="100"/>
      <c r="D1062" s="100"/>
      <c r="E1062" s="100"/>
      <c r="F1062" s="277"/>
      <c r="H1062" s="277"/>
      <c r="I1062" s="277"/>
      <c r="J1062" s="277"/>
      <c r="K1062" s="277"/>
      <c r="L1062" s="277"/>
      <c r="M1062" s="277"/>
      <c r="N1062" s="277"/>
      <c r="O1062" s="277"/>
      <c r="P1062" s="277"/>
      <c r="Q1062" s="277"/>
      <c r="R1062" s="277"/>
      <c r="T1062" s="277"/>
      <c r="U1062" s="277"/>
      <c r="W1062" s="277"/>
      <c r="Y1062" s="107"/>
      <c r="Z1062" s="107"/>
      <c r="AA1062" s="107"/>
      <c r="AB1062" s="107"/>
      <c r="AC1062" s="107"/>
      <c r="AD1062" s="233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7"/>
      <c r="AV1062" s="107"/>
      <c r="AW1062" s="107"/>
      <c r="AX1062" s="107"/>
      <c r="AY1062" s="107"/>
      <c r="AZ1062" s="107"/>
      <c r="BA1062" s="107"/>
      <c r="BB1062" s="107"/>
      <c r="BC1062" s="107"/>
      <c r="BD1062" s="107"/>
      <c r="BE1062" s="107"/>
      <c r="BF1062" s="107"/>
      <c r="BG1062" s="107"/>
      <c r="BH1062" s="107"/>
      <c r="BI1062" s="107"/>
      <c r="BJ1062" s="107"/>
      <c r="BK1062" s="107"/>
      <c r="BL1062" s="107"/>
      <c r="BM1062" s="107"/>
      <c r="BN1062" s="107"/>
      <c r="BO1062" s="107"/>
      <c r="BP1062" s="107"/>
      <c r="BQ1062" s="107"/>
      <c r="BR1062" s="107"/>
    </row>
    <row r="1063" customFormat="false" ht="12.75" hidden="false" customHeight="false" outlineLevel="0" collapsed="false">
      <c r="A1063" s="100"/>
      <c r="B1063" s="100"/>
      <c r="C1063" s="100"/>
      <c r="D1063" s="100"/>
      <c r="E1063" s="100"/>
      <c r="F1063" s="277"/>
      <c r="H1063" s="277"/>
      <c r="I1063" s="277"/>
      <c r="J1063" s="277"/>
      <c r="K1063" s="277"/>
      <c r="L1063" s="277"/>
      <c r="M1063" s="277"/>
      <c r="N1063" s="277"/>
      <c r="O1063" s="277"/>
      <c r="P1063" s="277"/>
      <c r="Q1063" s="277"/>
      <c r="R1063" s="277"/>
      <c r="T1063" s="277"/>
      <c r="U1063" s="277"/>
      <c r="W1063" s="277"/>
      <c r="Y1063" s="107"/>
      <c r="Z1063" s="107"/>
      <c r="AA1063" s="107"/>
      <c r="AB1063" s="107"/>
      <c r="AC1063" s="107"/>
      <c r="AD1063" s="233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7"/>
      <c r="AV1063" s="107"/>
      <c r="AW1063" s="107"/>
      <c r="AX1063" s="107"/>
      <c r="AY1063" s="107"/>
      <c r="AZ1063" s="107"/>
      <c r="BA1063" s="107"/>
      <c r="BB1063" s="107"/>
      <c r="BC1063" s="107"/>
      <c r="BD1063" s="107"/>
      <c r="BE1063" s="107"/>
      <c r="BF1063" s="107"/>
      <c r="BG1063" s="107"/>
      <c r="BH1063" s="107"/>
      <c r="BI1063" s="107"/>
      <c r="BJ1063" s="107"/>
      <c r="BK1063" s="107"/>
      <c r="BL1063" s="107"/>
      <c r="BM1063" s="107"/>
      <c r="BN1063" s="107"/>
      <c r="BO1063" s="107"/>
      <c r="BP1063" s="107"/>
      <c r="BQ1063" s="107"/>
      <c r="BR1063" s="107"/>
    </row>
    <row r="1064" customFormat="false" ht="12.75" hidden="false" customHeight="false" outlineLevel="0" collapsed="false">
      <c r="A1064" s="100"/>
      <c r="B1064" s="100"/>
      <c r="C1064" s="100"/>
      <c r="D1064" s="100"/>
      <c r="E1064" s="100"/>
      <c r="F1064" s="277"/>
      <c r="H1064" s="277"/>
      <c r="I1064" s="277"/>
      <c r="J1064" s="277"/>
      <c r="K1064" s="277"/>
      <c r="L1064" s="277"/>
      <c r="M1064" s="277"/>
      <c r="N1064" s="277"/>
      <c r="O1064" s="277"/>
      <c r="P1064" s="277"/>
      <c r="Q1064" s="277"/>
      <c r="R1064" s="277"/>
      <c r="T1064" s="277"/>
      <c r="U1064" s="277"/>
      <c r="W1064" s="277"/>
      <c r="Y1064" s="107"/>
      <c r="Z1064" s="107"/>
      <c r="AA1064" s="107"/>
      <c r="AB1064" s="107"/>
      <c r="AC1064" s="107"/>
      <c r="AD1064" s="233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7"/>
      <c r="AV1064" s="107"/>
      <c r="AW1064" s="107"/>
      <c r="AX1064" s="107"/>
      <c r="AY1064" s="107"/>
      <c r="AZ1064" s="107"/>
      <c r="BA1064" s="107"/>
      <c r="BB1064" s="107"/>
      <c r="BC1064" s="107"/>
      <c r="BD1064" s="107"/>
      <c r="BE1064" s="107"/>
      <c r="BF1064" s="107"/>
      <c r="BG1064" s="107"/>
      <c r="BH1064" s="107"/>
      <c r="BI1064" s="107"/>
      <c r="BJ1064" s="107"/>
      <c r="BK1064" s="107"/>
      <c r="BL1064" s="107"/>
      <c r="BM1064" s="107"/>
      <c r="BN1064" s="107"/>
      <c r="BO1064" s="107"/>
      <c r="BP1064" s="107"/>
      <c r="BQ1064" s="107"/>
      <c r="BR1064" s="107"/>
    </row>
    <row r="1065" customFormat="false" ht="12.75" hidden="false" customHeight="false" outlineLevel="0" collapsed="false">
      <c r="A1065" s="100"/>
      <c r="B1065" s="100"/>
      <c r="C1065" s="100"/>
      <c r="D1065" s="100"/>
      <c r="E1065" s="100"/>
      <c r="F1065" s="277"/>
      <c r="H1065" s="277"/>
      <c r="I1065" s="277"/>
      <c r="J1065" s="277"/>
      <c r="K1065" s="277"/>
      <c r="L1065" s="277"/>
      <c r="M1065" s="277"/>
      <c r="N1065" s="277"/>
      <c r="O1065" s="277"/>
      <c r="P1065" s="277"/>
      <c r="Q1065" s="277"/>
      <c r="R1065" s="277"/>
      <c r="T1065" s="277"/>
      <c r="U1065" s="277"/>
      <c r="W1065" s="277"/>
      <c r="Y1065" s="107"/>
      <c r="Z1065" s="107"/>
      <c r="AA1065" s="107"/>
      <c r="AB1065" s="107"/>
      <c r="AC1065" s="107"/>
      <c r="AD1065" s="233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7"/>
      <c r="AV1065" s="107"/>
      <c r="AW1065" s="107"/>
      <c r="AX1065" s="107"/>
      <c r="AY1065" s="107"/>
      <c r="AZ1065" s="107"/>
      <c r="BA1065" s="107"/>
      <c r="BB1065" s="107"/>
      <c r="BC1065" s="107"/>
      <c r="BD1065" s="107"/>
      <c r="BE1065" s="107"/>
      <c r="BF1065" s="107"/>
      <c r="BG1065" s="107"/>
      <c r="BH1065" s="107"/>
      <c r="BI1065" s="107"/>
      <c r="BJ1065" s="107"/>
      <c r="BK1065" s="107"/>
      <c r="BL1065" s="107"/>
      <c r="BM1065" s="107"/>
      <c r="BN1065" s="107"/>
      <c r="BO1065" s="107"/>
      <c r="BP1065" s="107"/>
      <c r="BQ1065" s="107"/>
      <c r="BR1065" s="107"/>
    </row>
    <row r="1066" customFormat="false" ht="12.75" hidden="false" customHeight="false" outlineLevel="0" collapsed="false">
      <c r="A1066" s="100"/>
      <c r="B1066" s="100"/>
      <c r="C1066" s="100"/>
      <c r="D1066" s="100"/>
      <c r="E1066" s="100"/>
      <c r="F1066" s="277"/>
      <c r="H1066" s="277"/>
      <c r="I1066" s="277"/>
      <c r="J1066" s="277"/>
      <c r="K1066" s="277"/>
      <c r="L1066" s="277"/>
      <c r="M1066" s="277"/>
      <c r="N1066" s="277"/>
      <c r="O1066" s="277"/>
      <c r="P1066" s="277"/>
      <c r="Q1066" s="277"/>
      <c r="R1066" s="277"/>
      <c r="T1066" s="277"/>
      <c r="U1066" s="277"/>
      <c r="W1066" s="277"/>
      <c r="Y1066" s="107"/>
      <c r="Z1066" s="107"/>
      <c r="AA1066" s="107"/>
      <c r="AB1066" s="107"/>
      <c r="AC1066" s="107"/>
      <c r="AD1066" s="233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7"/>
      <c r="AV1066" s="107"/>
      <c r="AW1066" s="107"/>
      <c r="AX1066" s="107"/>
      <c r="AY1066" s="107"/>
      <c r="AZ1066" s="107"/>
      <c r="BA1066" s="107"/>
      <c r="BB1066" s="107"/>
      <c r="BC1066" s="107"/>
      <c r="BD1066" s="107"/>
      <c r="BE1066" s="107"/>
      <c r="BF1066" s="107"/>
      <c r="BG1066" s="107"/>
      <c r="BH1066" s="107"/>
      <c r="BI1066" s="107"/>
      <c r="BJ1066" s="107"/>
      <c r="BK1066" s="107"/>
      <c r="BL1066" s="107"/>
      <c r="BM1066" s="107"/>
      <c r="BN1066" s="107"/>
      <c r="BO1066" s="107"/>
      <c r="BP1066" s="107"/>
      <c r="BQ1066" s="107"/>
      <c r="BR1066" s="107"/>
    </row>
    <row r="1067" customFormat="false" ht="12.75" hidden="false" customHeight="false" outlineLevel="0" collapsed="false">
      <c r="A1067" s="100"/>
      <c r="B1067" s="100"/>
      <c r="C1067" s="100"/>
      <c r="D1067" s="100"/>
      <c r="E1067" s="100"/>
      <c r="F1067" s="277"/>
      <c r="H1067" s="277"/>
      <c r="I1067" s="277"/>
      <c r="J1067" s="277"/>
      <c r="K1067" s="277"/>
      <c r="L1067" s="277"/>
      <c r="M1067" s="277"/>
      <c r="N1067" s="277"/>
      <c r="O1067" s="277"/>
      <c r="P1067" s="277"/>
      <c r="Q1067" s="277"/>
      <c r="R1067" s="277"/>
      <c r="T1067" s="277"/>
      <c r="U1067" s="277"/>
      <c r="W1067" s="277"/>
      <c r="Y1067" s="107"/>
      <c r="Z1067" s="107"/>
      <c r="AA1067" s="107"/>
      <c r="AB1067" s="107"/>
      <c r="AC1067" s="107"/>
      <c r="AD1067" s="233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7"/>
      <c r="AV1067" s="107"/>
      <c r="AW1067" s="107"/>
      <c r="AX1067" s="107"/>
      <c r="AY1067" s="107"/>
      <c r="AZ1067" s="107"/>
      <c r="BA1067" s="107"/>
      <c r="BB1067" s="107"/>
      <c r="BC1067" s="107"/>
      <c r="BD1067" s="107"/>
      <c r="BE1067" s="107"/>
      <c r="BF1067" s="107"/>
      <c r="BG1067" s="107"/>
      <c r="BH1067" s="107"/>
      <c r="BI1067" s="107"/>
      <c r="BJ1067" s="107"/>
      <c r="BK1067" s="107"/>
      <c r="BL1067" s="107"/>
      <c r="BM1067" s="107"/>
      <c r="BN1067" s="107"/>
      <c r="BO1067" s="107"/>
      <c r="BP1067" s="107"/>
      <c r="BQ1067" s="107"/>
      <c r="BR1067" s="107"/>
    </row>
    <row r="1068" customFormat="false" ht="12.75" hidden="false" customHeight="false" outlineLevel="0" collapsed="false">
      <c r="A1068" s="100"/>
      <c r="B1068" s="100"/>
      <c r="C1068" s="100"/>
      <c r="D1068" s="100"/>
      <c r="E1068" s="100"/>
      <c r="F1068" s="277"/>
      <c r="H1068" s="277"/>
      <c r="I1068" s="277"/>
      <c r="J1068" s="277"/>
      <c r="K1068" s="277"/>
      <c r="L1068" s="277"/>
      <c r="M1068" s="277"/>
      <c r="N1068" s="277"/>
      <c r="O1068" s="277"/>
      <c r="P1068" s="277"/>
      <c r="Q1068" s="277"/>
      <c r="R1068" s="277"/>
      <c r="T1068" s="277"/>
      <c r="U1068" s="277"/>
      <c r="W1068" s="277"/>
      <c r="Y1068" s="107"/>
      <c r="Z1068" s="107"/>
      <c r="AA1068" s="107"/>
      <c r="AB1068" s="107"/>
      <c r="AC1068" s="107"/>
      <c r="AD1068" s="233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7"/>
      <c r="AV1068" s="107"/>
      <c r="AW1068" s="107"/>
      <c r="AX1068" s="107"/>
      <c r="AY1068" s="107"/>
      <c r="AZ1068" s="107"/>
      <c r="BA1068" s="107"/>
      <c r="BB1068" s="107"/>
      <c r="BC1068" s="107"/>
      <c r="BD1068" s="107"/>
      <c r="BE1068" s="107"/>
      <c r="BF1068" s="107"/>
      <c r="BG1068" s="107"/>
      <c r="BH1068" s="107"/>
      <c r="BI1068" s="107"/>
      <c r="BJ1068" s="107"/>
      <c r="BK1068" s="107"/>
      <c r="BL1068" s="107"/>
      <c r="BM1068" s="107"/>
      <c r="BN1068" s="107"/>
      <c r="BO1068" s="107"/>
      <c r="BP1068" s="107"/>
      <c r="BQ1068" s="107"/>
      <c r="BR1068" s="107"/>
    </row>
    <row r="1069" customFormat="false" ht="12.75" hidden="false" customHeight="false" outlineLevel="0" collapsed="false">
      <c r="A1069" s="100"/>
      <c r="B1069" s="100"/>
      <c r="C1069" s="100"/>
      <c r="D1069" s="100"/>
      <c r="E1069" s="100"/>
      <c r="F1069" s="277"/>
      <c r="H1069" s="277"/>
      <c r="I1069" s="277"/>
      <c r="J1069" s="277"/>
      <c r="K1069" s="277"/>
      <c r="L1069" s="277"/>
      <c r="M1069" s="277"/>
      <c r="N1069" s="277"/>
      <c r="O1069" s="277"/>
      <c r="P1069" s="277"/>
      <c r="Q1069" s="277"/>
      <c r="R1069" s="277"/>
      <c r="T1069" s="277"/>
      <c r="U1069" s="277"/>
      <c r="W1069" s="277"/>
      <c r="Y1069" s="107"/>
      <c r="Z1069" s="107"/>
      <c r="AA1069" s="107"/>
      <c r="AB1069" s="107"/>
      <c r="AC1069" s="107"/>
      <c r="AD1069" s="233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7"/>
      <c r="AV1069" s="107"/>
      <c r="AW1069" s="107"/>
      <c r="AX1069" s="107"/>
      <c r="AY1069" s="107"/>
      <c r="AZ1069" s="107"/>
      <c r="BA1069" s="107"/>
      <c r="BB1069" s="107"/>
      <c r="BC1069" s="107"/>
      <c r="BD1069" s="107"/>
      <c r="BE1069" s="107"/>
      <c r="BF1069" s="107"/>
      <c r="BG1069" s="107"/>
      <c r="BH1069" s="107"/>
      <c r="BI1069" s="107"/>
      <c r="BJ1069" s="107"/>
      <c r="BK1069" s="107"/>
      <c r="BL1069" s="107"/>
      <c r="BM1069" s="107"/>
      <c r="BN1069" s="107"/>
      <c r="BO1069" s="107"/>
      <c r="BP1069" s="107"/>
      <c r="BQ1069" s="107"/>
      <c r="BR1069" s="107"/>
    </row>
    <row r="1070" customFormat="false" ht="12.75" hidden="false" customHeight="false" outlineLevel="0" collapsed="false">
      <c r="A1070" s="100"/>
      <c r="B1070" s="100"/>
      <c r="C1070" s="100"/>
      <c r="D1070" s="100"/>
      <c r="E1070" s="100"/>
      <c r="F1070" s="277"/>
      <c r="H1070" s="277"/>
      <c r="I1070" s="277"/>
      <c r="J1070" s="277"/>
      <c r="K1070" s="277"/>
      <c r="L1070" s="277"/>
      <c r="M1070" s="277"/>
      <c r="N1070" s="277"/>
      <c r="O1070" s="277"/>
      <c r="P1070" s="277"/>
      <c r="Q1070" s="277"/>
      <c r="R1070" s="277"/>
      <c r="T1070" s="277"/>
      <c r="U1070" s="277"/>
      <c r="W1070" s="277"/>
      <c r="Y1070" s="107"/>
      <c r="Z1070" s="107"/>
      <c r="AA1070" s="107"/>
      <c r="AB1070" s="107"/>
      <c r="AC1070" s="107"/>
      <c r="AD1070" s="233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7"/>
      <c r="AV1070" s="107"/>
      <c r="AW1070" s="107"/>
      <c r="AX1070" s="107"/>
      <c r="AY1070" s="107"/>
      <c r="AZ1070" s="107"/>
      <c r="BA1070" s="107"/>
      <c r="BB1070" s="107"/>
      <c r="BC1070" s="107"/>
      <c r="BD1070" s="107"/>
      <c r="BE1070" s="107"/>
      <c r="BF1070" s="107"/>
      <c r="BG1070" s="107"/>
      <c r="BH1070" s="107"/>
      <c r="BI1070" s="107"/>
      <c r="BJ1070" s="107"/>
      <c r="BK1070" s="107"/>
      <c r="BL1070" s="107"/>
      <c r="BM1070" s="107"/>
      <c r="BN1070" s="107"/>
      <c r="BO1070" s="107"/>
      <c r="BP1070" s="107"/>
      <c r="BQ1070" s="107"/>
      <c r="BR1070" s="107"/>
    </row>
    <row r="1071" customFormat="false" ht="12.75" hidden="false" customHeight="false" outlineLevel="0" collapsed="false">
      <c r="A1071" s="100"/>
      <c r="B1071" s="100"/>
      <c r="C1071" s="100"/>
      <c r="D1071" s="100"/>
      <c r="E1071" s="100"/>
      <c r="F1071" s="277"/>
      <c r="H1071" s="277"/>
      <c r="I1071" s="277"/>
      <c r="J1071" s="277"/>
      <c r="K1071" s="277"/>
      <c r="L1071" s="277"/>
      <c r="M1071" s="277"/>
      <c r="N1071" s="277"/>
      <c r="O1071" s="277"/>
      <c r="P1071" s="277"/>
      <c r="Q1071" s="277"/>
      <c r="R1071" s="277"/>
      <c r="T1071" s="277"/>
      <c r="U1071" s="277"/>
      <c r="W1071" s="277"/>
      <c r="Y1071" s="107"/>
      <c r="Z1071" s="107"/>
      <c r="AA1071" s="107"/>
      <c r="AB1071" s="107"/>
      <c r="AC1071" s="107"/>
      <c r="AD1071" s="233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7"/>
      <c r="AV1071" s="107"/>
      <c r="AW1071" s="107"/>
      <c r="AX1071" s="107"/>
      <c r="AY1071" s="107"/>
      <c r="AZ1071" s="107"/>
      <c r="BA1071" s="107"/>
      <c r="BB1071" s="107"/>
      <c r="BC1071" s="107"/>
      <c r="BD1071" s="107"/>
      <c r="BE1071" s="107"/>
      <c r="BF1071" s="107"/>
      <c r="BG1071" s="107"/>
      <c r="BH1071" s="107"/>
      <c r="BI1071" s="107"/>
      <c r="BJ1071" s="107"/>
      <c r="BK1071" s="107"/>
      <c r="BL1071" s="107"/>
      <c r="BM1071" s="107"/>
      <c r="BN1071" s="107"/>
      <c r="BO1071" s="107"/>
      <c r="BP1071" s="107"/>
      <c r="BQ1071" s="107"/>
      <c r="BR1071" s="107"/>
    </row>
    <row r="1072" customFormat="false" ht="12.75" hidden="false" customHeight="false" outlineLevel="0" collapsed="false">
      <c r="A1072" s="100"/>
      <c r="B1072" s="100"/>
      <c r="C1072" s="100"/>
      <c r="D1072" s="100"/>
      <c r="E1072" s="100"/>
      <c r="F1072" s="277"/>
      <c r="H1072" s="277"/>
      <c r="I1072" s="277"/>
      <c r="J1072" s="277"/>
      <c r="K1072" s="277"/>
      <c r="L1072" s="277"/>
      <c r="M1072" s="277"/>
      <c r="N1072" s="277"/>
      <c r="O1072" s="277"/>
      <c r="P1072" s="277"/>
      <c r="Q1072" s="277"/>
      <c r="R1072" s="277"/>
      <c r="T1072" s="277"/>
      <c r="U1072" s="277"/>
      <c r="W1072" s="277"/>
      <c r="Y1072" s="107"/>
      <c r="Z1072" s="107"/>
      <c r="AA1072" s="107"/>
      <c r="AB1072" s="107"/>
      <c r="AC1072" s="107"/>
      <c r="AD1072" s="233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7"/>
      <c r="AV1072" s="107"/>
      <c r="AW1072" s="107"/>
      <c r="AX1072" s="107"/>
      <c r="AY1072" s="107"/>
      <c r="AZ1072" s="107"/>
      <c r="BA1072" s="107"/>
      <c r="BB1072" s="107"/>
      <c r="BC1072" s="107"/>
      <c r="BD1072" s="107"/>
      <c r="BE1072" s="107"/>
      <c r="BF1072" s="107"/>
      <c r="BG1072" s="107"/>
      <c r="BH1072" s="107"/>
      <c r="BI1072" s="107"/>
      <c r="BJ1072" s="107"/>
      <c r="BK1072" s="107"/>
      <c r="BL1072" s="107"/>
      <c r="BM1072" s="107"/>
      <c r="BN1072" s="107"/>
      <c r="BO1072" s="107"/>
      <c r="BP1072" s="107"/>
      <c r="BQ1072" s="107"/>
      <c r="BR1072" s="107"/>
    </row>
    <row r="1073" customFormat="false" ht="12.75" hidden="false" customHeight="false" outlineLevel="0" collapsed="false">
      <c r="A1073" s="100"/>
      <c r="B1073" s="100"/>
      <c r="C1073" s="100"/>
      <c r="D1073" s="100"/>
      <c r="E1073" s="100"/>
      <c r="F1073" s="277"/>
      <c r="H1073" s="277"/>
      <c r="I1073" s="277"/>
      <c r="J1073" s="277"/>
      <c r="K1073" s="277"/>
      <c r="L1073" s="277"/>
      <c r="M1073" s="277"/>
      <c r="N1073" s="277"/>
      <c r="O1073" s="277"/>
      <c r="P1073" s="277"/>
      <c r="Q1073" s="277"/>
      <c r="R1073" s="277"/>
      <c r="T1073" s="277"/>
      <c r="U1073" s="277"/>
      <c r="W1073" s="277"/>
      <c r="Y1073" s="107"/>
      <c r="Z1073" s="107"/>
      <c r="AA1073" s="107"/>
      <c r="AB1073" s="107"/>
      <c r="AC1073" s="107"/>
      <c r="AD1073" s="233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7"/>
      <c r="AV1073" s="107"/>
      <c r="AW1073" s="107"/>
      <c r="AX1073" s="107"/>
      <c r="AY1073" s="107"/>
      <c r="AZ1073" s="107"/>
      <c r="BA1073" s="107"/>
      <c r="BB1073" s="107"/>
      <c r="BC1073" s="107"/>
      <c r="BD1073" s="107"/>
      <c r="BE1073" s="107"/>
      <c r="BF1073" s="107"/>
      <c r="BG1073" s="107"/>
      <c r="BH1073" s="107"/>
      <c r="BI1073" s="107"/>
      <c r="BJ1073" s="107"/>
      <c r="BK1073" s="107"/>
      <c r="BL1073" s="107"/>
      <c r="BM1073" s="107"/>
      <c r="BN1073" s="107"/>
      <c r="BO1073" s="107"/>
      <c r="BP1073" s="107"/>
      <c r="BQ1073" s="107"/>
      <c r="BR1073" s="107"/>
    </row>
    <row r="1074" customFormat="false" ht="12.75" hidden="false" customHeight="false" outlineLevel="0" collapsed="false">
      <c r="A1074" s="100"/>
      <c r="B1074" s="100"/>
      <c r="C1074" s="100"/>
      <c r="D1074" s="100"/>
      <c r="E1074" s="100"/>
      <c r="F1074" s="277"/>
      <c r="H1074" s="277"/>
      <c r="I1074" s="277"/>
      <c r="J1074" s="277"/>
      <c r="K1074" s="277"/>
      <c r="L1074" s="277"/>
      <c r="M1074" s="277"/>
      <c r="N1074" s="277"/>
      <c r="O1074" s="277"/>
      <c r="P1074" s="277"/>
      <c r="Q1074" s="277"/>
      <c r="R1074" s="277"/>
      <c r="T1074" s="277"/>
      <c r="U1074" s="277"/>
      <c r="W1074" s="277"/>
      <c r="Y1074" s="107"/>
      <c r="Z1074" s="107"/>
      <c r="AA1074" s="107"/>
      <c r="AB1074" s="107"/>
      <c r="AC1074" s="107"/>
      <c r="AD1074" s="233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7"/>
      <c r="AV1074" s="107"/>
      <c r="AW1074" s="107"/>
      <c r="AX1074" s="107"/>
      <c r="AY1074" s="107"/>
      <c r="AZ1074" s="107"/>
      <c r="BA1074" s="107"/>
      <c r="BB1074" s="107"/>
      <c r="BC1074" s="107"/>
      <c r="BD1074" s="107"/>
      <c r="BE1074" s="107"/>
      <c r="BF1074" s="107"/>
      <c r="BG1074" s="107"/>
      <c r="BH1074" s="107"/>
      <c r="BI1074" s="107"/>
      <c r="BJ1074" s="107"/>
      <c r="BK1074" s="107"/>
      <c r="BL1074" s="107"/>
      <c r="BM1074" s="107"/>
      <c r="BN1074" s="107"/>
      <c r="BO1074" s="107"/>
      <c r="BP1074" s="107"/>
      <c r="BQ1074" s="107"/>
      <c r="BR1074" s="107"/>
    </row>
    <row r="1075" customFormat="false" ht="12.75" hidden="false" customHeight="false" outlineLevel="0" collapsed="false">
      <c r="A1075" s="100"/>
      <c r="B1075" s="100"/>
      <c r="C1075" s="100"/>
      <c r="D1075" s="100"/>
      <c r="E1075" s="100"/>
      <c r="F1075" s="277"/>
      <c r="H1075" s="277"/>
      <c r="I1075" s="277"/>
      <c r="J1075" s="277"/>
      <c r="K1075" s="277"/>
      <c r="L1075" s="277"/>
      <c r="M1075" s="277"/>
      <c r="N1075" s="277"/>
      <c r="O1075" s="277"/>
      <c r="P1075" s="277"/>
      <c r="Q1075" s="277"/>
      <c r="R1075" s="277"/>
      <c r="T1075" s="277"/>
      <c r="U1075" s="277"/>
      <c r="W1075" s="277"/>
      <c r="Y1075" s="107"/>
      <c r="Z1075" s="107"/>
      <c r="AA1075" s="107"/>
      <c r="AB1075" s="107"/>
      <c r="AC1075" s="107"/>
      <c r="AD1075" s="233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7"/>
      <c r="AV1075" s="107"/>
      <c r="AW1075" s="107"/>
      <c r="AX1075" s="107"/>
      <c r="AY1075" s="107"/>
      <c r="AZ1075" s="107"/>
      <c r="BA1075" s="107"/>
      <c r="BB1075" s="107"/>
      <c r="BC1075" s="107"/>
      <c r="BD1075" s="107"/>
      <c r="BE1075" s="107"/>
      <c r="BF1075" s="107"/>
      <c r="BG1075" s="107"/>
      <c r="BH1075" s="107"/>
      <c r="BI1075" s="107"/>
      <c r="BJ1075" s="107"/>
      <c r="BK1075" s="107"/>
      <c r="BL1075" s="107"/>
      <c r="BM1075" s="107"/>
      <c r="BN1075" s="107"/>
      <c r="BO1075" s="107"/>
      <c r="BP1075" s="107"/>
      <c r="BQ1075" s="107"/>
      <c r="BR1075" s="107"/>
    </row>
    <row r="1076" customFormat="false" ht="12.75" hidden="false" customHeight="false" outlineLevel="0" collapsed="false">
      <c r="A1076" s="100"/>
      <c r="B1076" s="100"/>
      <c r="C1076" s="100"/>
      <c r="D1076" s="100"/>
      <c r="E1076" s="100"/>
      <c r="F1076" s="277"/>
      <c r="H1076" s="277"/>
      <c r="I1076" s="277"/>
      <c r="J1076" s="277"/>
      <c r="K1076" s="277"/>
      <c r="L1076" s="277"/>
      <c r="M1076" s="277"/>
      <c r="N1076" s="277"/>
      <c r="O1076" s="277"/>
      <c r="P1076" s="277"/>
      <c r="Q1076" s="277"/>
      <c r="R1076" s="277"/>
      <c r="T1076" s="277"/>
      <c r="U1076" s="277"/>
      <c r="W1076" s="277"/>
      <c r="Y1076" s="107"/>
      <c r="Z1076" s="107"/>
      <c r="AA1076" s="107"/>
      <c r="AB1076" s="107"/>
      <c r="AC1076" s="107"/>
      <c r="AD1076" s="233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7"/>
      <c r="AV1076" s="107"/>
      <c r="AW1076" s="107"/>
      <c r="AX1076" s="107"/>
      <c r="AY1076" s="107"/>
      <c r="AZ1076" s="107"/>
      <c r="BA1076" s="107"/>
      <c r="BB1076" s="107"/>
      <c r="BC1076" s="107"/>
      <c r="BD1076" s="107"/>
      <c r="BE1076" s="107"/>
      <c r="BF1076" s="107"/>
      <c r="BG1076" s="107"/>
      <c r="BH1076" s="107"/>
      <c r="BI1076" s="107"/>
      <c r="BJ1076" s="107"/>
      <c r="BK1076" s="107"/>
      <c r="BL1076" s="107"/>
      <c r="BM1076" s="107"/>
      <c r="BN1076" s="107"/>
      <c r="BO1076" s="107"/>
      <c r="BP1076" s="107"/>
      <c r="BQ1076" s="107"/>
      <c r="BR1076" s="107"/>
    </row>
    <row r="1077" customFormat="false" ht="12.75" hidden="false" customHeight="false" outlineLevel="0" collapsed="false">
      <c r="A1077" s="100"/>
      <c r="B1077" s="100"/>
      <c r="C1077" s="100"/>
      <c r="D1077" s="100"/>
      <c r="E1077" s="100"/>
      <c r="F1077" s="277"/>
      <c r="H1077" s="277"/>
      <c r="I1077" s="277"/>
      <c r="J1077" s="277"/>
      <c r="K1077" s="277"/>
      <c r="L1077" s="277"/>
      <c r="M1077" s="277"/>
      <c r="N1077" s="277"/>
      <c r="O1077" s="277"/>
      <c r="P1077" s="277"/>
      <c r="Q1077" s="277"/>
      <c r="R1077" s="277"/>
      <c r="T1077" s="277"/>
      <c r="U1077" s="277"/>
      <c r="W1077" s="277"/>
      <c r="Y1077" s="107"/>
      <c r="Z1077" s="107"/>
      <c r="AA1077" s="107"/>
      <c r="AB1077" s="107"/>
      <c r="AC1077" s="107"/>
      <c r="AD1077" s="233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7"/>
      <c r="AV1077" s="107"/>
      <c r="AW1077" s="107"/>
      <c r="AX1077" s="107"/>
      <c r="AY1077" s="107"/>
      <c r="AZ1077" s="107"/>
      <c r="BA1077" s="107"/>
      <c r="BB1077" s="107"/>
      <c r="BC1077" s="107"/>
      <c r="BD1077" s="107"/>
      <c r="BE1077" s="107"/>
      <c r="BF1077" s="107"/>
      <c r="BG1077" s="107"/>
      <c r="BH1077" s="107"/>
      <c r="BI1077" s="107"/>
      <c r="BJ1077" s="107"/>
      <c r="BK1077" s="107"/>
      <c r="BL1077" s="107"/>
      <c r="BM1077" s="107"/>
      <c r="BN1077" s="107"/>
      <c r="BO1077" s="107"/>
      <c r="BP1077" s="107"/>
      <c r="BQ1077" s="107"/>
      <c r="BR1077" s="107"/>
    </row>
    <row r="1078" customFormat="false" ht="12.75" hidden="false" customHeight="false" outlineLevel="0" collapsed="false">
      <c r="A1078" s="100"/>
      <c r="B1078" s="100"/>
      <c r="C1078" s="100"/>
      <c r="D1078" s="100"/>
      <c r="E1078" s="100"/>
      <c r="F1078" s="277"/>
      <c r="H1078" s="277"/>
      <c r="I1078" s="277"/>
      <c r="J1078" s="277"/>
      <c r="K1078" s="277"/>
      <c r="L1078" s="277"/>
      <c r="M1078" s="277"/>
      <c r="N1078" s="277"/>
      <c r="O1078" s="277"/>
      <c r="P1078" s="277"/>
      <c r="Q1078" s="277"/>
      <c r="R1078" s="277"/>
      <c r="T1078" s="277"/>
      <c r="U1078" s="277"/>
      <c r="W1078" s="277"/>
      <c r="Y1078" s="107"/>
      <c r="Z1078" s="107"/>
      <c r="AA1078" s="107"/>
      <c r="AB1078" s="107"/>
      <c r="AC1078" s="107"/>
      <c r="AD1078" s="233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7"/>
      <c r="AV1078" s="107"/>
      <c r="AW1078" s="107"/>
      <c r="AX1078" s="107"/>
      <c r="AY1078" s="107"/>
      <c r="AZ1078" s="107"/>
      <c r="BA1078" s="107"/>
      <c r="BB1078" s="107"/>
      <c r="BC1078" s="107"/>
      <c r="BD1078" s="107"/>
      <c r="BE1078" s="107"/>
      <c r="BF1078" s="107"/>
      <c r="BG1078" s="107"/>
      <c r="BH1078" s="107"/>
      <c r="BI1078" s="107"/>
      <c r="BJ1078" s="107"/>
      <c r="BK1078" s="107"/>
      <c r="BL1078" s="107"/>
      <c r="BM1078" s="107"/>
      <c r="BN1078" s="107"/>
      <c r="BO1078" s="107"/>
      <c r="BP1078" s="107"/>
      <c r="BQ1078" s="107"/>
      <c r="BR1078" s="107"/>
    </row>
    <row r="1079" customFormat="false" ht="12.75" hidden="false" customHeight="false" outlineLevel="0" collapsed="false">
      <c r="A1079" s="100"/>
      <c r="B1079" s="100"/>
      <c r="C1079" s="100"/>
      <c r="D1079" s="100"/>
      <c r="E1079" s="100"/>
      <c r="F1079" s="277"/>
      <c r="H1079" s="277"/>
      <c r="I1079" s="277"/>
      <c r="J1079" s="277"/>
      <c r="K1079" s="277"/>
      <c r="L1079" s="277"/>
      <c r="M1079" s="277"/>
      <c r="N1079" s="277"/>
      <c r="O1079" s="277"/>
      <c r="P1079" s="277"/>
      <c r="Q1079" s="277"/>
      <c r="R1079" s="277"/>
      <c r="T1079" s="277"/>
      <c r="U1079" s="277"/>
      <c r="W1079" s="277"/>
      <c r="Y1079" s="107"/>
      <c r="Z1079" s="107"/>
      <c r="AA1079" s="107"/>
      <c r="AB1079" s="107"/>
      <c r="AC1079" s="107"/>
      <c r="AD1079" s="233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7"/>
      <c r="AV1079" s="107"/>
      <c r="AW1079" s="107"/>
      <c r="AX1079" s="107"/>
      <c r="AY1079" s="107"/>
      <c r="AZ1079" s="107"/>
      <c r="BA1079" s="107"/>
      <c r="BB1079" s="107"/>
      <c r="BC1079" s="107"/>
      <c r="BD1079" s="107"/>
      <c r="BE1079" s="107"/>
      <c r="BF1079" s="107"/>
      <c r="BG1079" s="107"/>
      <c r="BH1079" s="107"/>
      <c r="BI1079" s="107"/>
      <c r="BJ1079" s="107"/>
      <c r="BK1079" s="107"/>
      <c r="BL1079" s="107"/>
      <c r="BM1079" s="107"/>
      <c r="BN1079" s="107"/>
      <c r="BO1079" s="107"/>
      <c r="BP1079" s="107"/>
      <c r="BQ1079" s="107"/>
      <c r="BR1079" s="107"/>
    </row>
    <row r="1080" customFormat="false" ht="12.75" hidden="false" customHeight="false" outlineLevel="0" collapsed="false">
      <c r="A1080" s="100"/>
      <c r="B1080" s="100"/>
      <c r="C1080" s="100"/>
      <c r="D1080" s="100"/>
      <c r="E1080" s="100"/>
      <c r="F1080" s="277"/>
      <c r="H1080" s="277"/>
      <c r="I1080" s="277"/>
      <c r="J1080" s="277"/>
      <c r="K1080" s="277"/>
      <c r="L1080" s="277"/>
      <c r="M1080" s="277"/>
      <c r="N1080" s="277"/>
      <c r="O1080" s="277"/>
      <c r="P1080" s="277"/>
      <c r="Q1080" s="277"/>
      <c r="R1080" s="277"/>
      <c r="T1080" s="277"/>
      <c r="U1080" s="277"/>
      <c r="W1080" s="277"/>
      <c r="Y1080" s="107"/>
      <c r="Z1080" s="107"/>
      <c r="AA1080" s="107"/>
      <c r="AB1080" s="107"/>
      <c r="AC1080" s="107"/>
      <c r="AD1080" s="233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7"/>
      <c r="AV1080" s="107"/>
      <c r="AW1080" s="107"/>
      <c r="AX1080" s="107"/>
      <c r="AY1080" s="107"/>
      <c r="AZ1080" s="107"/>
      <c r="BA1080" s="107"/>
      <c r="BB1080" s="107"/>
      <c r="BC1080" s="107"/>
      <c r="BD1080" s="107"/>
      <c r="BE1080" s="107"/>
      <c r="BF1080" s="107"/>
      <c r="BG1080" s="107"/>
      <c r="BH1080" s="107"/>
      <c r="BI1080" s="107"/>
      <c r="BJ1080" s="107"/>
      <c r="BK1080" s="107"/>
      <c r="BL1080" s="107"/>
      <c r="BM1080" s="107"/>
      <c r="BN1080" s="107"/>
      <c r="BO1080" s="107"/>
      <c r="BP1080" s="107"/>
      <c r="BQ1080" s="107"/>
      <c r="BR1080" s="107"/>
    </row>
    <row r="1081" customFormat="false" ht="12.75" hidden="false" customHeight="false" outlineLevel="0" collapsed="false">
      <c r="A1081" s="100"/>
      <c r="B1081" s="100"/>
      <c r="C1081" s="100"/>
      <c r="D1081" s="100"/>
      <c r="E1081" s="100"/>
      <c r="F1081" s="277"/>
      <c r="H1081" s="277"/>
      <c r="I1081" s="277"/>
      <c r="J1081" s="277"/>
      <c r="K1081" s="277"/>
      <c r="L1081" s="277"/>
      <c r="M1081" s="277"/>
      <c r="N1081" s="277"/>
      <c r="O1081" s="277"/>
      <c r="P1081" s="277"/>
      <c r="Q1081" s="277"/>
      <c r="R1081" s="277"/>
      <c r="T1081" s="277"/>
      <c r="U1081" s="277"/>
      <c r="W1081" s="277"/>
      <c r="Y1081" s="107"/>
      <c r="Z1081" s="107"/>
      <c r="AA1081" s="107"/>
      <c r="AB1081" s="107"/>
      <c r="AC1081" s="107"/>
      <c r="AD1081" s="233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7"/>
      <c r="AV1081" s="107"/>
      <c r="AW1081" s="107"/>
      <c r="AX1081" s="107"/>
      <c r="AY1081" s="107"/>
      <c r="AZ1081" s="107"/>
      <c r="BA1081" s="107"/>
      <c r="BB1081" s="107"/>
      <c r="BC1081" s="107"/>
      <c r="BD1081" s="107"/>
      <c r="BE1081" s="107"/>
      <c r="BF1081" s="107"/>
      <c r="BG1081" s="107"/>
      <c r="BH1081" s="107"/>
      <c r="BI1081" s="107"/>
      <c r="BJ1081" s="107"/>
      <c r="BK1081" s="107"/>
      <c r="BL1081" s="107"/>
      <c r="BM1081" s="107"/>
      <c r="BN1081" s="107"/>
      <c r="BO1081" s="107"/>
      <c r="BP1081" s="107"/>
      <c r="BQ1081" s="107"/>
      <c r="BR1081" s="107"/>
    </row>
    <row r="1082" customFormat="false" ht="12.75" hidden="false" customHeight="false" outlineLevel="0" collapsed="false">
      <c r="A1082" s="100"/>
      <c r="B1082" s="100"/>
      <c r="C1082" s="100"/>
      <c r="D1082" s="100"/>
      <c r="E1082" s="100"/>
      <c r="F1082" s="277"/>
      <c r="H1082" s="277"/>
      <c r="I1082" s="277"/>
      <c r="J1082" s="277"/>
      <c r="K1082" s="277"/>
      <c r="L1082" s="277"/>
      <c r="M1082" s="277"/>
      <c r="N1082" s="277"/>
      <c r="O1082" s="277"/>
      <c r="P1082" s="277"/>
      <c r="Q1082" s="277"/>
      <c r="R1082" s="277"/>
      <c r="T1082" s="277"/>
      <c r="U1082" s="277"/>
      <c r="W1082" s="277"/>
      <c r="Y1082" s="107"/>
      <c r="Z1082" s="107"/>
      <c r="AA1082" s="107"/>
      <c r="AB1082" s="107"/>
      <c r="AC1082" s="107"/>
      <c r="AD1082" s="233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7"/>
      <c r="AV1082" s="107"/>
      <c r="AW1082" s="107"/>
      <c r="AX1082" s="107"/>
      <c r="AY1082" s="107"/>
      <c r="AZ1082" s="107"/>
      <c r="BA1082" s="107"/>
      <c r="BB1082" s="107"/>
      <c r="BC1082" s="107"/>
      <c r="BD1082" s="107"/>
      <c r="BE1082" s="107"/>
      <c r="BF1082" s="107"/>
      <c r="BG1082" s="107"/>
      <c r="BH1082" s="107"/>
      <c r="BI1082" s="107"/>
      <c r="BJ1082" s="107"/>
      <c r="BK1082" s="107"/>
      <c r="BL1082" s="107"/>
      <c r="BM1082" s="107"/>
      <c r="BN1082" s="107"/>
      <c r="BO1082" s="107"/>
      <c r="BP1082" s="107"/>
      <c r="BQ1082" s="107"/>
      <c r="BR1082" s="107"/>
    </row>
    <row r="1083" customFormat="false" ht="12.75" hidden="false" customHeight="false" outlineLevel="0" collapsed="false">
      <c r="A1083" s="100"/>
      <c r="B1083" s="100"/>
      <c r="C1083" s="100"/>
      <c r="D1083" s="100"/>
      <c r="E1083" s="100"/>
      <c r="F1083" s="277"/>
      <c r="H1083" s="277"/>
      <c r="I1083" s="277"/>
      <c r="J1083" s="277"/>
      <c r="K1083" s="277"/>
      <c r="L1083" s="277"/>
      <c r="M1083" s="277"/>
      <c r="N1083" s="277"/>
      <c r="O1083" s="277"/>
      <c r="P1083" s="277"/>
      <c r="Q1083" s="277"/>
      <c r="R1083" s="277"/>
      <c r="T1083" s="277"/>
      <c r="U1083" s="277"/>
      <c r="W1083" s="277"/>
      <c r="Y1083" s="107"/>
      <c r="Z1083" s="107"/>
      <c r="AA1083" s="107"/>
      <c r="AB1083" s="107"/>
      <c r="AC1083" s="107"/>
      <c r="AD1083" s="233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7"/>
      <c r="AV1083" s="107"/>
      <c r="AW1083" s="107"/>
      <c r="AX1083" s="107"/>
      <c r="AY1083" s="107"/>
      <c r="AZ1083" s="107"/>
      <c r="BA1083" s="107"/>
      <c r="BB1083" s="107"/>
      <c r="BC1083" s="107"/>
      <c r="BD1083" s="107"/>
      <c r="BE1083" s="107"/>
      <c r="BF1083" s="107"/>
      <c r="BG1083" s="107"/>
      <c r="BH1083" s="107"/>
      <c r="BI1083" s="107"/>
      <c r="BJ1083" s="107"/>
      <c r="BK1083" s="107"/>
      <c r="BL1083" s="107"/>
      <c r="BM1083" s="107"/>
      <c r="BN1083" s="107"/>
      <c r="BO1083" s="107"/>
      <c r="BP1083" s="107"/>
      <c r="BQ1083" s="107"/>
      <c r="BR1083" s="107"/>
    </row>
    <row r="1084" customFormat="false" ht="12.75" hidden="false" customHeight="false" outlineLevel="0" collapsed="false">
      <c r="A1084" s="100"/>
      <c r="B1084" s="100"/>
      <c r="C1084" s="100"/>
      <c r="D1084" s="100"/>
      <c r="E1084" s="100"/>
      <c r="F1084" s="277"/>
      <c r="H1084" s="277"/>
      <c r="I1084" s="277"/>
      <c r="J1084" s="277"/>
      <c r="K1084" s="277"/>
      <c r="L1084" s="277"/>
      <c r="M1084" s="277"/>
      <c r="N1084" s="277"/>
      <c r="O1084" s="277"/>
      <c r="P1084" s="277"/>
      <c r="Q1084" s="277"/>
      <c r="R1084" s="277"/>
      <c r="T1084" s="277"/>
      <c r="U1084" s="277"/>
      <c r="W1084" s="277"/>
      <c r="Y1084" s="107"/>
      <c r="Z1084" s="107"/>
      <c r="AA1084" s="107"/>
      <c r="AB1084" s="107"/>
      <c r="AC1084" s="107"/>
      <c r="AD1084" s="233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7"/>
      <c r="AV1084" s="107"/>
      <c r="AW1084" s="107"/>
      <c r="AX1084" s="107"/>
      <c r="AY1084" s="107"/>
      <c r="AZ1084" s="107"/>
      <c r="BA1084" s="107"/>
      <c r="BB1084" s="107"/>
      <c r="BC1084" s="107"/>
      <c r="BD1084" s="107"/>
      <c r="BE1084" s="107"/>
      <c r="BF1084" s="107"/>
      <c r="BG1084" s="107"/>
      <c r="BH1084" s="107"/>
      <c r="BI1084" s="107"/>
      <c r="BJ1084" s="107"/>
      <c r="BK1084" s="107"/>
      <c r="BL1084" s="107"/>
      <c r="BM1084" s="107"/>
      <c r="BN1084" s="107"/>
      <c r="BO1084" s="107"/>
      <c r="BP1084" s="107"/>
      <c r="BQ1084" s="107"/>
      <c r="BR1084" s="107"/>
    </row>
    <row r="1085" customFormat="false" ht="12.75" hidden="false" customHeight="false" outlineLevel="0" collapsed="false">
      <c r="A1085" s="100"/>
      <c r="B1085" s="100"/>
      <c r="C1085" s="100"/>
      <c r="D1085" s="100"/>
      <c r="E1085" s="100"/>
      <c r="F1085" s="277"/>
      <c r="H1085" s="277"/>
      <c r="I1085" s="277"/>
      <c r="J1085" s="277"/>
      <c r="K1085" s="277"/>
      <c r="L1085" s="277"/>
      <c r="M1085" s="277"/>
      <c r="N1085" s="277"/>
      <c r="O1085" s="277"/>
      <c r="P1085" s="277"/>
      <c r="Q1085" s="277"/>
      <c r="R1085" s="277"/>
      <c r="T1085" s="277"/>
      <c r="U1085" s="277"/>
      <c r="W1085" s="277"/>
      <c r="Y1085" s="107"/>
      <c r="Z1085" s="107"/>
      <c r="AA1085" s="107"/>
      <c r="AB1085" s="107"/>
      <c r="AC1085" s="107"/>
      <c r="AD1085" s="233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7"/>
      <c r="AV1085" s="107"/>
      <c r="AW1085" s="107"/>
      <c r="AX1085" s="107"/>
      <c r="AY1085" s="107"/>
      <c r="AZ1085" s="107"/>
      <c r="BA1085" s="107"/>
      <c r="BB1085" s="107"/>
      <c r="BC1085" s="107"/>
      <c r="BD1085" s="107"/>
      <c r="BE1085" s="107"/>
      <c r="BF1085" s="107"/>
      <c r="BG1085" s="107"/>
      <c r="BH1085" s="107"/>
      <c r="BI1085" s="107"/>
      <c r="BJ1085" s="107"/>
      <c r="BK1085" s="107"/>
      <c r="BL1085" s="107"/>
      <c r="BM1085" s="107"/>
      <c r="BN1085" s="107"/>
      <c r="BO1085" s="107"/>
      <c r="BP1085" s="107"/>
      <c r="BQ1085" s="107"/>
      <c r="BR1085" s="107"/>
    </row>
    <row r="1086" customFormat="false" ht="12.75" hidden="false" customHeight="false" outlineLevel="0" collapsed="false">
      <c r="A1086" s="100"/>
      <c r="B1086" s="100"/>
      <c r="C1086" s="100"/>
      <c r="D1086" s="100"/>
      <c r="E1086" s="100"/>
      <c r="F1086" s="277"/>
      <c r="H1086" s="277"/>
      <c r="I1086" s="277"/>
      <c r="J1086" s="277"/>
      <c r="K1086" s="277"/>
      <c r="L1086" s="277"/>
      <c r="M1086" s="277"/>
      <c r="N1086" s="277"/>
      <c r="O1086" s="277"/>
      <c r="P1086" s="277"/>
      <c r="Q1086" s="277"/>
      <c r="R1086" s="277"/>
      <c r="T1086" s="277"/>
      <c r="U1086" s="277"/>
      <c r="W1086" s="277"/>
      <c r="Y1086" s="107"/>
      <c r="Z1086" s="107"/>
      <c r="AA1086" s="107"/>
      <c r="AB1086" s="107"/>
      <c r="AC1086" s="107"/>
      <c r="AD1086" s="233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7"/>
      <c r="AV1086" s="107"/>
      <c r="AW1086" s="107"/>
      <c r="AX1086" s="107"/>
      <c r="AY1086" s="107"/>
      <c r="AZ1086" s="107"/>
      <c r="BA1086" s="107"/>
      <c r="BB1086" s="107"/>
      <c r="BC1086" s="107"/>
      <c r="BD1086" s="107"/>
      <c r="BE1086" s="107"/>
      <c r="BF1086" s="107"/>
      <c r="BG1086" s="107"/>
      <c r="BH1086" s="107"/>
      <c r="BI1086" s="107"/>
      <c r="BJ1086" s="107"/>
      <c r="BK1086" s="107"/>
      <c r="BL1086" s="107"/>
      <c r="BM1086" s="107"/>
      <c r="BN1086" s="107"/>
      <c r="BO1086" s="107"/>
      <c r="BP1086" s="107"/>
      <c r="BQ1086" s="107"/>
      <c r="BR1086" s="107"/>
    </row>
    <row r="1087" customFormat="false" ht="12.75" hidden="false" customHeight="false" outlineLevel="0" collapsed="false">
      <c r="A1087" s="100"/>
      <c r="B1087" s="100"/>
      <c r="C1087" s="100"/>
      <c r="D1087" s="100"/>
      <c r="E1087" s="100"/>
      <c r="F1087" s="277"/>
      <c r="H1087" s="277"/>
      <c r="I1087" s="277"/>
      <c r="J1087" s="277"/>
      <c r="K1087" s="277"/>
      <c r="L1087" s="277"/>
      <c r="M1087" s="277"/>
      <c r="N1087" s="277"/>
      <c r="O1087" s="277"/>
      <c r="P1087" s="277"/>
      <c r="Q1087" s="277"/>
      <c r="R1087" s="277"/>
      <c r="T1087" s="277"/>
      <c r="U1087" s="277"/>
      <c r="W1087" s="277"/>
      <c r="Y1087" s="107"/>
      <c r="Z1087" s="107"/>
      <c r="AA1087" s="107"/>
      <c r="AB1087" s="107"/>
      <c r="AC1087" s="107"/>
      <c r="AD1087" s="233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7"/>
      <c r="AV1087" s="107"/>
      <c r="AW1087" s="107"/>
      <c r="AX1087" s="107"/>
      <c r="AY1087" s="107"/>
      <c r="AZ1087" s="107"/>
      <c r="BA1087" s="107"/>
      <c r="BB1087" s="107"/>
      <c r="BC1087" s="107"/>
      <c r="BD1087" s="107"/>
      <c r="BE1087" s="107"/>
      <c r="BF1087" s="107"/>
      <c r="BG1087" s="107"/>
      <c r="BH1087" s="107"/>
      <c r="BI1087" s="107"/>
      <c r="BJ1087" s="107"/>
      <c r="BK1087" s="107"/>
      <c r="BL1087" s="107"/>
      <c r="BM1087" s="107"/>
      <c r="BN1087" s="107"/>
      <c r="BO1087" s="107"/>
      <c r="BP1087" s="107"/>
      <c r="BQ1087" s="107"/>
      <c r="BR1087" s="107"/>
    </row>
    <row r="1088" customFormat="false" ht="12.75" hidden="false" customHeight="false" outlineLevel="0" collapsed="false">
      <c r="A1088" s="100"/>
      <c r="B1088" s="100"/>
      <c r="C1088" s="100"/>
      <c r="D1088" s="100"/>
      <c r="E1088" s="100"/>
      <c r="F1088" s="277"/>
      <c r="H1088" s="277"/>
      <c r="I1088" s="277"/>
      <c r="J1088" s="277"/>
      <c r="K1088" s="277"/>
      <c r="L1088" s="277"/>
      <c r="M1088" s="277"/>
      <c r="N1088" s="277"/>
      <c r="O1088" s="277"/>
      <c r="P1088" s="277"/>
      <c r="Q1088" s="277"/>
      <c r="R1088" s="277"/>
      <c r="T1088" s="277"/>
      <c r="U1088" s="277"/>
      <c r="W1088" s="277"/>
      <c r="Y1088" s="107"/>
      <c r="Z1088" s="107"/>
      <c r="AA1088" s="107"/>
      <c r="AB1088" s="107"/>
      <c r="AC1088" s="107"/>
      <c r="AD1088" s="233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7"/>
      <c r="AV1088" s="107"/>
      <c r="AW1088" s="107"/>
      <c r="AX1088" s="107"/>
      <c r="AY1088" s="107"/>
      <c r="AZ1088" s="107"/>
      <c r="BA1088" s="107"/>
      <c r="BB1088" s="107"/>
      <c r="BC1088" s="107"/>
      <c r="BD1088" s="107"/>
      <c r="BE1088" s="107"/>
      <c r="BF1088" s="107"/>
      <c r="BG1088" s="107"/>
      <c r="BH1088" s="107"/>
      <c r="BI1088" s="107"/>
      <c r="BJ1088" s="107"/>
      <c r="BK1088" s="107"/>
      <c r="BL1088" s="107"/>
      <c r="BM1088" s="107"/>
      <c r="BN1088" s="107"/>
      <c r="BO1088" s="107"/>
      <c r="BP1088" s="107"/>
      <c r="BQ1088" s="107"/>
      <c r="BR1088" s="107"/>
    </row>
    <row r="1089" customFormat="false" ht="12.75" hidden="false" customHeight="false" outlineLevel="0" collapsed="false">
      <c r="A1089" s="100"/>
      <c r="B1089" s="100"/>
      <c r="C1089" s="100"/>
      <c r="D1089" s="100"/>
      <c r="E1089" s="100"/>
      <c r="F1089" s="277"/>
      <c r="H1089" s="277"/>
      <c r="I1089" s="277"/>
      <c r="J1089" s="277"/>
      <c r="K1089" s="277"/>
      <c r="L1089" s="277"/>
      <c r="M1089" s="277"/>
      <c r="N1089" s="277"/>
      <c r="O1089" s="277"/>
      <c r="P1089" s="277"/>
      <c r="Q1089" s="277"/>
      <c r="R1089" s="277"/>
      <c r="T1089" s="277"/>
      <c r="U1089" s="277"/>
      <c r="W1089" s="277"/>
      <c r="Y1089" s="107"/>
      <c r="Z1089" s="107"/>
      <c r="AA1089" s="107"/>
      <c r="AB1089" s="107"/>
      <c r="AC1089" s="107"/>
      <c r="AD1089" s="233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7"/>
      <c r="AV1089" s="107"/>
      <c r="AW1089" s="107"/>
      <c r="AX1089" s="107"/>
      <c r="AY1089" s="107"/>
      <c r="AZ1089" s="107"/>
      <c r="BA1089" s="107"/>
      <c r="BB1089" s="107"/>
      <c r="BC1089" s="107"/>
      <c r="BD1089" s="107"/>
      <c r="BE1089" s="107"/>
      <c r="BF1089" s="107"/>
      <c r="BG1089" s="107"/>
      <c r="BH1089" s="107"/>
      <c r="BI1089" s="107"/>
      <c r="BJ1089" s="107"/>
      <c r="BK1089" s="107"/>
      <c r="BL1089" s="107"/>
      <c r="BM1089" s="107"/>
      <c r="BN1089" s="107"/>
      <c r="BO1089" s="107"/>
      <c r="BP1089" s="107"/>
      <c r="BQ1089" s="107"/>
      <c r="BR1089" s="107"/>
    </row>
    <row r="1090" customFormat="false" ht="12.75" hidden="false" customHeight="false" outlineLevel="0" collapsed="false">
      <c r="A1090" s="100"/>
      <c r="B1090" s="100"/>
      <c r="C1090" s="100"/>
      <c r="D1090" s="100"/>
      <c r="E1090" s="100"/>
      <c r="F1090" s="277"/>
      <c r="H1090" s="277"/>
      <c r="I1090" s="277"/>
      <c r="J1090" s="277"/>
      <c r="K1090" s="277"/>
      <c r="L1090" s="277"/>
      <c r="M1090" s="277"/>
      <c r="N1090" s="277"/>
      <c r="O1090" s="277"/>
      <c r="P1090" s="277"/>
      <c r="Q1090" s="277"/>
      <c r="R1090" s="277"/>
      <c r="T1090" s="277"/>
      <c r="U1090" s="277"/>
      <c r="W1090" s="277"/>
      <c r="Y1090" s="107"/>
      <c r="Z1090" s="107"/>
      <c r="AA1090" s="107"/>
      <c r="AB1090" s="107"/>
      <c r="AC1090" s="107"/>
      <c r="AD1090" s="233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7"/>
      <c r="AV1090" s="107"/>
      <c r="AW1090" s="107"/>
      <c r="AX1090" s="107"/>
      <c r="AY1090" s="107"/>
      <c r="AZ1090" s="107"/>
      <c r="BA1090" s="107"/>
      <c r="BB1090" s="107"/>
      <c r="BC1090" s="107"/>
      <c r="BD1090" s="107"/>
      <c r="BE1090" s="107"/>
      <c r="BF1090" s="107"/>
      <c r="BG1090" s="107"/>
      <c r="BH1090" s="107"/>
      <c r="BI1090" s="107"/>
      <c r="BJ1090" s="107"/>
      <c r="BK1090" s="107"/>
      <c r="BL1090" s="107"/>
      <c r="BM1090" s="107"/>
      <c r="BN1090" s="107"/>
      <c r="BO1090" s="107"/>
      <c r="BP1090" s="107"/>
      <c r="BQ1090" s="107"/>
      <c r="BR1090" s="107"/>
    </row>
    <row r="1091" customFormat="false" ht="12.75" hidden="false" customHeight="false" outlineLevel="0" collapsed="false">
      <c r="A1091" s="100"/>
      <c r="B1091" s="100"/>
      <c r="C1091" s="100"/>
      <c r="D1091" s="100"/>
      <c r="E1091" s="100"/>
      <c r="F1091" s="277"/>
      <c r="H1091" s="277"/>
      <c r="I1091" s="277"/>
      <c r="J1091" s="277"/>
      <c r="K1091" s="277"/>
      <c r="L1091" s="277"/>
      <c r="M1091" s="277"/>
      <c r="N1091" s="277"/>
      <c r="O1091" s="277"/>
      <c r="P1091" s="277"/>
      <c r="Q1091" s="277"/>
      <c r="R1091" s="277"/>
      <c r="T1091" s="277"/>
      <c r="U1091" s="277"/>
      <c r="W1091" s="277"/>
      <c r="Y1091" s="107"/>
      <c r="Z1091" s="107"/>
      <c r="AA1091" s="107"/>
      <c r="AB1091" s="107"/>
      <c r="AC1091" s="107"/>
      <c r="AD1091" s="233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7"/>
      <c r="AV1091" s="107"/>
      <c r="AW1091" s="107"/>
      <c r="AX1091" s="107"/>
      <c r="AY1091" s="107"/>
      <c r="AZ1091" s="107"/>
      <c r="BA1091" s="107"/>
      <c r="BB1091" s="107"/>
      <c r="BC1091" s="107"/>
      <c r="BD1091" s="107"/>
      <c r="BE1091" s="107"/>
      <c r="BF1091" s="107"/>
      <c r="BG1091" s="107"/>
      <c r="BH1091" s="107"/>
      <c r="BI1091" s="107"/>
      <c r="BJ1091" s="107"/>
      <c r="BK1091" s="107"/>
      <c r="BL1091" s="107"/>
      <c r="BM1091" s="107"/>
      <c r="BN1091" s="107"/>
      <c r="BO1091" s="107"/>
      <c r="BP1091" s="107"/>
      <c r="BQ1091" s="107"/>
      <c r="BR1091" s="107"/>
    </row>
    <row r="1092" customFormat="false" ht="12.75" hidden="false" customHeight="false" outlineLevel="0" collapsed="false">
      <c r="A1092" s="100"/>
      <c r="B1092" s="100"/>
      <c r="C1092" s="100"/>
      <c r="D1092" s="100"/>
      <c r="E1092" s="100"/>
      <c r="F1092" s="277"/>
      <c r="H1092" s="277"/>
      <c r="I1092" s="277"/>
      <c r="J1092" s="277"/>
      <c r="K1092" s="277"/>
      <c r="L1092" s="277"/>
      <c r="M1092" s="277"/>
      <c r="N1092" s="277"/>
      <c r="O1092" s="277"/>
      <c r="P1092" s="277"/>
      <c r="Q1092" s="277"/>
      <c r="R1092" s="277"/>
      <c r="T1092" s="277"/>
      <c r="U1092" s="277"/>
      <c r="W1092" s="277"/>
      <c r="Y1092" s="107"/>
      <c r="Z1092" s="107"/>
      <c r="AA1092" s="107"/>
      <c r="AB1092" s="107"/>
      <c r="AC1092" s="107"/>
      <c r="AD1092" s="233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7"/>
      <c r="AV1092" s="107"/>
      <c r="AW1092" s="107"/>
      <c r="AX1092" s="107"/>
      <c r="AY1092" s="107"/>
      <c r="AZ1092" s="107"/>
      <c r="BA1092" s="107"/>
      <c r="BB1092" s="107"/>
      <c r="BC1092" s="107"/>
      <c r="BD1092" s="107"/>
      <c r="BE1092" s="107"/>
      <c r="BF1092" s="107"/>
      <c r="BG1092" s="107"/>
      <c r="BH1092" s="107"/>
      <c r="BI1092" s="107"/>
      <c r="BJ1092" s="107"/>
      <c r="BK1092" s="107"/>
      <c r="BL1092" s="107"/>
      <c r="BM1092" s="107"/>
      <c r="BN1092" s="107"/>
      <c r="BO1092" s="107"/>
      <c r="BP1092" s="107"/>
      <c r="BQ1092" s="107"/>
      <c r="BR1092" s="107"/>
    </row>
    <row r="1093" customFormat="false" ht="12.75" hidden="false" customHeight="false" outlineLevel="0" collapsed="false">
      <c r="A1093" s="100"/>
      <c r="B1093" s="100"/>
      <c r="C1093" s="100"/>
      <c r="D1093" s="100"/>
      <c r="E1093" s="100"/>
      <c r="F1093" s="277"/>
      <c r="H1093" s="277"/>
      <c r="I1093" s="277"/>
      <c r="J1093" s="277"/>
      <c r="K1093" s="277"/>
      <c r="L1093" s="277"/>
      <c r="M1093" s="277"/>
      <c r="N1093" s="277"/>
      <c r="O1093" s="277"/>
      <c r="P1093" s="277"/>
      <c r="Q1093" s="277"/>
      <c r="R1093" s="277"/>
      <c r="T1093" s="277"/>
      <c r="U1093" s="277"/>
      <c r="W1093" s="277"/>
      <c r="Y1093" s="107"/>
      <c r="Z1093" s="107"/>
      <c r="AA1093" s="107"/>
      <c r="AB1093" s="107"/>
      <c r="AC1093" s="107"/>
      <c r="AD1093" s="233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7"/>
      <c r="AV1093" s="107"/>
      <c r="AW1093" s="107"/>
      <c r="AX1093" s="107"/>
      <c r="AY1093" s="107"/>
      <c r="AZ1093" s="107"/>
      <c r="BA1093" s="107"/>
      <c r="BB1093" s="107"/>
      <c r="BC1093" s="107"/>
      <c r="BD1093" s="107"/>
      <c r="BE1093" s="107"/>
      <c r="BF1093" s="107"/>
      <c r="BG1093" s="107"/>
      <c r="BH1093" s="107"/>
      <c r="BI1093" s="107"/>
      <c r="BJ1093" s="107"/>
      <c r="BK1093" s="107"/>
      <c r="BL1093" s="107"/>
      <c r="BM1093" s="107"/>
      <c r="BN1093" s="107"/>
      <c r="BO1093" s="107"/>
      <c r="BP1093" s="107"/>
      <c r="BQ1093" s="107"/>
      <c r="BR1093" s="107"/>
    </row>
    <row r="1094" customFormat="false" ht="12.75" hidden="false" customHeight="false" outlineLevel="0" collapsed="false">
      <c r="A1094" s="100"/>
      <c r="B1094" s="100"/>
      <c r="C1094" s="100"/>
      <c r="D1094" s="100"/>
      <c r="E1094" s="100"/>
      <c r="F1094" s="277"/>
      <c r="H1094" s="277"/>
      <c r="I1094" s="277"/>
      <c r="J1094" s="277"/>
      <c r="K1094" s="277"/>
      <c r="L1094" s="277"/>
      <c r="M1094" s="277"/>
      <c r="N1094" s="277"/>
      <c r="O1094" s="277"/>
      <c r="P1094" s="277"/>
      <c r="Q1094" s="277"/>
      <c r="R1094" s="277"/>
      <c r="T1094" s="277"/>
      <c r="U1094" s="277"/>
      <c r="W1094" s="277"/>
      <c r="Y1094" s="107"/>
      <c r="Z1094" s="107"/>
      <c r="AA1094" s="107"/>
      <c r="AB1094" s="107"/>
      <c r="AC1094" s="107"/>
      <c r="AD1094" s="233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7"/>
      <c r="AV1094" s="107"/>
      <c r="AW1094" s="107"/>
      <c r="AX1094" s="107"/>
      <c r="AY1094" s="107"/>
      <c r="AZ1094" s="107"/>
      <c r="BA1094" s="107"/>
      <c r="BB1094" s="107"/>
      <c r="BC1094" s="107"/>
      <c r="BD1094" s="107"/>
      <c r="BE1094" s="107"/>
      <c r="BF1094" s="107"/>
      <c r="BG1094" s="107"/>
      <c r="BH1094" s="107"/>
      <c r="BI1094" s="107"/>
      <c r="BJ1094" s="107"/>
      <c r="BK1094" s="107"/>
      <c r="BL1094" s="107"/>
      <c r="BM1094" s="107"/>
      <c r="BN1094" s="107"/>
      <c r="BO1094" s="107"/>
      <c r="BP1094" s="107"/>
      <c r="BQ1094" s="107"/>
      <c r="BR1094" s="107"/>
    </row>
    <row r="1095" customFormat="false" ht="12.75" hidden="false" customHeight="false" outlineLevel="0" collapsed="false">
      <c r="A1095" s="100"/>
      <c r="B1095" s="100"/>
      <c r="C1095" s="100"/>
      <c r="D1095" s="100"/>
      <c r="E1095" s="100"/>
      <c r="F1095" s="277"/>
      <c r="H1095" s="277"/>
      <c r="I1095" s="277"/>
      <c r="J1095" s="277"/>
      <c r="K1095" s="277"/>
      <c r="L1095" s="277"/>
      <c r="M1095" s="277"/>
      <c r="N1095" s="277"/>
      <c r="O1095" s="277"/>
      <c r="P1095" s="277"/>
      <c r="Q1095" s="277"/>
      <c r="R1095" s="277"/>
      <c r="T1095" s="277"/>
      <c r="U1095" s="277"/>
      <c r="W1095" s="277"/>
      <c r="Y1095" s="107"/>
      <c r="Z1095" s="107"/>
      <c r="AA1095" s="107"/>
      <c r="AB1095" s="107"/>
      <c r="AC1095" s="107"/>
      <c r="AD1095" s="233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7"/>
      <c r="AV1095" s="107"/>
      <c r="AW1095" s="107"/>
      <c r="AX1095" s="107"/>
      <c r="AY1095" s="107"/>
      <c r="AZ1095" s="107"/>
      <c r="BA1095" s="107"/>
      <c r="BB1095" s="107"/>
      <c r="BC1095" s="107"/>
      <c r="BD1095" s="107"/>
      <c r="BE1095" s="107"/>
      <c r="BF1095" s="107"/>
      <c r="BG1095" s="107"/>
      <c r="BH1095" s="107"/>
      <c r="BI1095" s="107"/>
      <c r="BJ1095" s="107"/>
      <c r="BK1095" s="107"/>
      <c r="BL1095" s="107"/>
      <c r="BM1095" s="107"/>
      <c r="BN1095" s="107"/>
      <c r="BO1095" s="107"/>
      <c r="BP1095" s="107"/>
      <c r="BQ1095" s="107"/>
      <c r="BR1095" s="107"/>
    </row>
    <row r="1096" customFormat="false" ht="12.75" hidden="false" customHeight="false" outlineLevel="0" collapsed="false">
      <c r="A1096" s="100"/>
      <c r="B1096" s="100"/>
      <c r="C1096" s="100"/>
      <c r="D1096" s="100"/>
      <c r="E1096" s="100"/>
      <c r="F1096" s="277"/>
      <c r="H1096" s="277"/>
      <c r="I1096" s="277"/>
      <c r="J1096" s="277"/>
      <c r="K1096" s="277"/>
      <c r="L1096" s="277"/>
      <c r="M1096" s="277"/>
      <c r="N1096" s="277"/>
      <c r="O1096" s="277"/>
      <c r="P1096" s="277"/>
      <c r="Q1096" s="277"/>
      <c r="R1096" s="277"/>
      <c r="T1096" s="277"/>
      <c r="U1096" s="277"/>
      <c r="W1096" s="277"/>
      <c r="Y1096" s="107"/>
      <c r="Z1096" s="107"/>
      <c r="AA1096" s="107"/>
      <c r="AB1096" s="107"/>
      <c r="AC1096" s="107"/>
      <c r="AD1096" s="233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7"/>
      <c r="AV1096" s="107"/>
      <c r="AW1096" s="107"/>
      <c r="AX1096" s="107"/>
      <c r="AY1096" s="107"/>
      <c r="AZ1096" s="107"/>
      <c r="BA1096" s="107"/>
      <c r="BB1096" s="107"/>
      <c r="BC1096" s="107"/>
      <c r="BD1096" s="107"/>
      <c r="BE1096" s="107"/>
      <c r="BF1096" s="107"/>
      <c r="BG1096" s="107"/>
      <c r="BH1096" s="107"/>
      <c r="BI1096" s="107"/>
      <c r="BJ1096" s="107"/>
      <c r="BK1096" s="107"/>
      <c r="BL1096" s="107"/>
      <c r="BM1096" s="107"/>
      <c r="BN1096" s="107"/>
      <c r="BO1096" s="107"/>
      <c r="BP1096" s="107"/>
      <c r="BQ1096" s="107"/>
      <c r="BR1096" s="107"/>
    </row>
    <row r="1097" customFormat="false" ht="12.75" hidden="false" customHeight="false" outlineLevel="0" collapsed="false">
      <c r="A1097" s="100"/>
      <c r="B1097" s="100"/>
      <c r="C1097" s="100"/>
      <c r="D1097" s="100"/>
      <c r="E1097" s="100"/>
      <c r="F1097" s="277"/>
      <c r="H1097" s="277"/>
      <c r="I1097" s="277"/>
      <c r="J1097" s="277"/>
      <c r="K1097" s="277"/>
      <c r="L1097" s="277"/>
      <c r="M1097" s="277"/>
      <c r="N1097" s="277"/>
      <c r="O1097" s="277"/>
      <c r="P1097" s="277"/>
      <c r="Q1097" s="277"/>
      <c r="R1097" s="277"/>
      <c r="T1097" s="277"/>
      <c r="U1097" s="277"/>
      <c r="W1097" s="277"/>
      <c r="Y1097" s="107"/>
      <c r="Z1097" s="107"/>
      <c r="AA1097" s="107"/>
      <c r="AB1097" s="107"/>
      <c r="AC1097" s="107"/>
      <c r="AD1097" s="233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7"/>
      <c r="AV1097" s="107"/>
      <c r="AW1097" s="107"/>
      <c r="AX1097" s="107"/>
      <c r="AY1097" s="107"/>
      <c r="AZ1097" s="107"/>
      <c r="BA1097" s="107"/>
      <c r="BB1097" s="107"/>
      <c r="BC1097" s="107"/>
      <c r="BD1097" s="107"/>
      <c r="BE1097" s="107"/>
      <c r="BF1097" s="107"/>
      <c r="BG1097" s="107"/>
      <c r="BH1097" s="107"/>
      <c r="BI1097" s="107"/>
      <c r="BJ1097" s="107"/>
      <c r="BK1097" s="107"/>
      <c r="BL1097" s="107"/>
      <c r="BM1097" s="107"/>
      <c r="BN1097" s="107"/>
      <c r="BO1097" s="107"/>
      <c r="BP1097" s="107"/>
      <c r="BQ1097" s="107"/>
      <c r="BR1097" s="107"/>
    </row>
    <row r="1098" customFormat="false" ht="12.75" hidden="false" customHeight="false" outlineLevel="0" collapsed="false">
      <c r="A1098" s="100"/>
      <c r="B1098" s="100"/>
      <c r="C1098" s="100"/>
      <c r="D1098" s="100"/>
      <c r="E1098" s="100"/>
      <c r="F1098" s="277"/>
      <c r="H1098" s="277"/>
      <c r="I1098" s="277"/>
      <c r="J1098" s="277"/>
      <c r="K1098" s="277"/>
      <c r="L1098" s="277"/>
      <c r="M1098" s="277"/>
      <c r="N1098" s="277"/>
      <c r="O1098" s="277"/>
      <c r="P1098" s="277"/>
      <c r="Q1098" s="277"/>
      <c r="R1098" s="277"/>
      <c r="T1098" s="277"/>
      <c r="U1098" s="277"/>
      <c r="W1098" s="277"/>
      <c r="Y1098" s="107"/>
      <c r="Z1098" s="107"/>
      <c r="AA1098" s="107"/>
      <c r="AB1098" s="107"/>
      <c r="AC1098" s="107"/>
      <c r="AD1098" s="233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7"/>
      <c r="AV1098" s="107"/>
      <c r="AW1098" s="107"/>
      <c r="AX1098" s="107"/>
      <c r="AY1098" s="107"/>
      <c r="AZ1098" s="107"/>
      <c r="BA1098" s="107"/>
      <c r="BB1098" s="107"/>
      <c r="BC1098" s="107"/>
      <c r="BD1098" s="107"/>
      <c r="BE1098" s="107"/>
      <c r="BF1098" s="107"/>
      <c r="BG1098" s="107"/>
      <c r="BH1098" s="107"/>
      <c r="BI1098" s="107"/>
      <c r="BJ1098" s="107"/>
      <c r="BK1098" s="107"/>
      <c r="BL1098" s="107"/>
      <c r="BM1098" s="107"/>
      <c r="BN1098" s="107"/>
      <c r="BO1098" s="107"/>
      <c r="BP1098" s="107"/>
      <c r="BQ1098" s="107"/>
      <c r="BR1098" s="107"/>
    </row>
    <row r="1099" customFormat="false" ht="12.75" hidden="false" customHeight="false" outlineLevel="0" collapsed="false">
      <c r="A1099" s="100"/>
      <c r="B1099" s="100"/>
      <c r="C1099" s="100"/>
      <c r="D1099" s="100"/>
      <c r="E1099" s="100"/>
      <c r="F1099" s="277"/>
      <c r="H1099" s="277"/>
      <c r="I1099" s="277"/>
      <c r="J1099" s="277"/>
      <c r="K1099" s="277"/>
      <c r="L1099" s="277"/>
      <c r="M1099" s="277"/>
      <c r="N1099" s="277"/>
      <c r="O1099" s="277"/>
      <c r="P1099" s="277"/>
      <c r="Q1099" s="277"/>
      <c r="R1099" s="277"/>
      <c r="T1099" s="277"/>
      <c r="U1099" s="277"/>
      <c r="W1099" s="277"/>
      <c r="Y1099" s="107"/>
      <c r="Z1099" s="107"/>
      <c r="AA1099" s="107"/>
      <c r="AB1099" s="107"/>
      <c r="AC1099" s="107"/>
      <c r="AD1099" s="233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7"/>
      <c r="AV1099" s="107"/>
      <c r="AW1099" s="107"/>
      <c r="AX1099" s="107"/>
      <c r="AY1099" s="107"/>
      <c r="AZ1099" s="107"/>
      <c r="BA1099" s="107"/>
      <c r="BB1099" s="107"/>
      <c r="BC1099" s="107"/>
      <c r="BD1099" s="107"/>
      <c r="BE1099" s="107"/>
      <c r="BF1099" s="107"/>
      <c r="BG1099" s="107"/>
      <c r="BH1099" s="107"/>
      <c r="BI1099" s="107"/>
      <c r="BJ1099" s="107"/>
      <c r="BK1099" s="107"/>
      <c r="BL1099" s="107"/>
      <c r="BM1099" s="107"/>
      <c r="BN1099" s="107"/>
      <c r="BO1099" s="107"/>
      <c r="BP1099" s="107"/>
      <c r="BQ1099" s="107"/>
      <c r="BR1099" s="107"/>
    </row>
    <row r="1100" customFormat="false" ht="12.75" hidden="false" customHeight="false" outlineLevel="0" collapsed="false">
      <c r="A1100" s="100"/>
      <c r="B1100" s="100"/>
      <c r="C1100" s="100"/>
      <c r="D1100" s="100"/>
      <c r="E1100" s="100"/>
      <c r="F1100" s="277"/>
      <c r="H1100" s="277"/>
      <c r="I1100" s="277"/>
      <c r="J1100" s="277"/>
      <c r="K1100" s="277"/>
      <c r="L1100" s="277"/>
      <c r="M1100" s="277"/>
      <c r="N1100" s="277"/>
      <c r="O1100" s="277"/>
      <c r="P1100" s="277"/>
      <c r="Q1100" s="277"/>
      <c r="R1100" s="277"/>
      <c r="T1100" s="277"/>
      <c r="U1100" s="277"/>
      <c r="W1100" s="277"/>
      <c r="Y1100" s="107"/>
      <c r="Z1100" s="107"/>
      <c r="AA1100" s="107"/>
      <c r="AB1100" s="107"/>
      <c r="AC1100" s="107"/>
      <c r="AD1100" s="233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7"/>
      <c r="AV1100" s="107"/>
      <c r="AW1100" s="107"/>
      <c r="AX1100" s="107"/>
      <c r="AY1100" s="107"/>
      <c r="AZ1100" s="107"/>
      <c r="BA1100" s="107"/>
      <c r="BB1100" s="107"/>
      <c r="BC1100" s="107"/>
      <c r="BD1100" s="107"/>
      <c r="BE1100" s="107"/>
      <c r="BF1100" s="107"/>
      <c r="BG1100" s="107"/>
      <c r="BH1100" s="107"/>
      <c r="BI1100" s="107"/>
      <c r="BJ1100" s="107"/>
      <c r="BK1100" s="107"/>
      <c r="BL1100" s="107"/>
      <c r="BM1100" s="107"/>
      <c r="BN1100" s="107"/>
      <c r="BO1100" s="107"/>
      <c r="BP1100" s="107"/>
      <c r="BQ1100" s="107"/>
      <c r="BR1100" s="107"/>
    </row>
    <row r="1101" customFormat="false" ht="12.75" hidden="false" customHeight="false" outlineLevel="0" collapsed="false">
      <c r="A1101" s="100"/>
      <c r="B1101" s="100"/>
      <c r="C1101" s="100"/>
      <c r="D1101" s="100"/>
      <c r="E1101" s="100"/>
      <c r="F1101" s="277"/>
      <c r="H1101" s="277"/>
      <c r="I1101" s="277"/>
      <c r="J1101" s="277"/>
      <c r="K1101" s="277"/>
      <c r="L1101" s="277"/>
      <c r="M1101" s="277"/>
      <c r="N1101" s="277"/>
      <c r="O1101" s="277"/>
      <c r="P1101" s="277"/>
      <c r="Q1101" s="277"/>
      <c r="R1101" s="277"/>
      <c r="T1101" s="277"/>
      <c r="U1101" s="277"/>
      <c r="W1101" s="277"/>
      <c r="Y1101" s="107"/>
      <c r="Z1101" s="107"/>
      <c r="AA1101" s="107"/>
      <c r="AB1101" s="107"/>
      <c r="AC1101" s="107"/>
      <c r="AD1101" s="233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7"/>
      <c r="AV1101" s="107"/>
      <c r="AW1101" s="107"/>
      <c r="AX1101" s="107"/>
      <c r="AY1101" s="107"/>
      <c r="AZ1101" s="107"/>
      <c r="BA1101" s="107"/>
      <c r="BB1101" s="107"/>
      <c r="BC1101" s="107"/>
      <c r="BD1101" s="107"/>
      <c r="BE1101" s="107"/>
      <c r="BF1101" s="107"/>
      <c r="BG1101" s="107"/>
      <c r="BH1101" s="107"/>
      <c r="BI1101" s="107"/>
      <c r="BJ1101" s="107"/>
      <c r="BK1101" s="107"/>
      <c r="BL1101" s="107"/>
      <c r="BM1101" s="107"/>
      <c r="BN1101" s="107"/>
      <c r="BO1101" s="107"/>
      <c r="BP1101" s="107"/>
      <c r="BQ1101" s="107"/>
      <c r="BR1101" s="107"/>
    </row>
    <row r="1102" customFormat="false" ht="12.75" hidden="false" customHeight="false" outlineLevel="0" collapsed="false">
      <c r="A1102" s="100"/>
      <c r="B1102" s="100"/>
      <c r="C1102" s="100"/>
      <c r="D1102" s="100"/>
      <c r="E1102" s="100"/>
      <c r="F1102" s="277"/>
      <c r="H1102" s="277"/>
      <c r="I1102" s="277"/>
      <c r="J1102" s="277"/>
      <c r="K1102" s="277"/>
      <c r="L1102" s="277"/>
      <c r="M1102" s="277"/>
      <c r="N1102" s="277"/>
      <c r="O1102" s="277"/>
      <c r="P1102" s="277"/>
      <c r="Q1102" s="277"/>
      <c r="R1102" s="277"/>
      <c r="T1102" s="277"/>
      <c r="U1102" s="277"/>
      <c r="W1102" s="277"/>
      <c r="Y1102" s="107"/>
      <c r="Z1102" s="107"/>
      <c r="AA1102" s="107"/>
      <c r="AB1102" s="107"/>
      <c r="AC1102" s="107"/>
      <c r="AD1102" s="233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7"/>
      <c r="AV1102" s="107"/>
      <c r="AW1102" s="107"/>
      <c r="AX1102" s="107"/>
      <c r="AY1102" s="107"/>
      <c r="AZ1102" s="107"/>
      <c r="BA1102" s="107"/>
      <c r="BB1102" s="107"/>
      <c r="BC1102" s="107"/>
      <c r="BD1102" s="107"/>
      <c r="BE1102" s="107"/>
      <c r="BF1102" s="107"/>
      <c r="BG1102" s="107"/>
      <c r="BH1102" s="107"/>
      <c r="BI1102" s="107"/>
      <c r="BJ1102" s="107"/>
      <c r="BK1102" s="107"/>
      <c r="BL1102" s="107"/>
      <c r="BM1102" s="107"/>
      <c r="BN1102" s="107"/>
      <c r="BO1102" s="107"/>
      <c r="BP1102" s="107"/>
      <c r="BQ1102" s="107"/>
      <c r="BR1102" s="107"/>
    </row>
    <row r="1103" customFormat="false" ht="12.75" hidden="false" customHeight="false" outlineLevel="0" collapsed="false">
      <c r="A1103" s="100"/>
      <c r="B1103" s="100"/>
      <c r="C1103" s="100"/>
      <c r="D1103" s="100"/>
      <c r="E1103" s="100"/>
      <c r="F1103" s="277"/>
      <c r="H1103" s="277"/>
      <c r="I1103" s="277"/>
      <c r="J1103" s="277"/>
      <c r="K1103" s="277"/>
      <c r="L1103" s="277"/>
      <c r="M1103" s="277"/>
      <c r="N1103" s="277"/>
      <c r="O1103" s="277"/>
      <c r="P1103" s="277"/>
      <c r="Q1103" s="277"/>
      <c r="R1103" s="277"/>
      <c r="T1103" s="277"/>
      <c r="U1103" s="277"/>
      <c r="W1103" s="277"/>
      <c r="Y1103" s="107"/>
      <c r="Z1103" s="107"/>
      <c r="AA1103" s="107"/>
      <c r="AB1103" s="107"/>
      <c r="AC1103" s="107"/>
      <c r="AD1103" s="233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7"/>
      <c r="AV1103" s="107"/>
      <c r="AW1103" s="107"/>
      <c r="AX1103" s="107"/>
      <c r="AY1103" s="107"/>
      <c r="AZ1103" s="107"/>
      <c r="BA1103" s="107"/>
      <c r="BB1103" s="107"/>
      <c r="BC1103" s="107"/>
      <c r="BD1103" s="107"/>
      <c r="BE1103" s="107"/>
      <c r="BF1103" s="107"/>
      <c r="BG1103" s="107"/>
      <c r="BH1103" s="107"/>
      <c r="BI1103" s="107"/>
      <c r="BJ1103" s="107"/>
      <c r="BK1103" s="107"/>
      <c r="BL1103" s="107"/>
      <c r="BM1103" s="107"/>
      <c r="BN1103" s="107"/>
      <c r="BO1103" s="107"/>
      <c r="BP1103" s="107"/>
      <c r="BQ1103" s="107"/>
      <c r="BR1103" s="107"/>
    </row>
    <row r="1104" customFormat="false" ht="12.75" hidden="false" customHeight="false" outlineLevel="0" collapsed="false">
      <c r="A1104" s="100"/>
      <c r="B1104" s="100"/>
      <c r="C1104" s="100"/>
      <c r="D1104" s="100"/>
      <c r="E1104" s="100"/>
      <c r="F1104" s="277"/>
      <c r="H1104" s="277"/>
      <c r="I1104" s="277"/>
      <c r="J1104" s="277"/>
      <c r="K1104" s="277"/>
      <c r="L1104" s="277"/>
      <c r="M1104" s="277"/>
      <c r="N1104" s="277"/>
      <c r="O1104" s="277"/>
      <c r="P1104" s="277"/>
      <c r="Q1104" s="277"/>
      <c r="R1104" s="277"/>
      <c r="T1104" s="277"/>
      <c r="U1104" s="277"/>
      <c r="W1104" s="277"/>
      <c r="Y1104" s="107"/>
      <c r="Z1104" s="107"/>
      <c r="AA1104" s="107"/>
      <c r="AB1104" s="107"/>
      <c r="AC1104" s="107"/>
      <c r="AD1104" s="233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7"/>
      <c r="AV1104" s="107"/>
      <c r="AW1104" s="107"/>
      <c r="AX1104" s="107"/>
      <c r="AY1104" s="107"/>
      <c r="AZ1104" s="107"/>
      <c r="BA1104" s="107"/>
      <c r="BB1104" s="107"/>
      <c r="BC1104" s="107"/>
      <c r="BD1104" s="107"/>
      <c r="BE1104" s="107"/>
      <c r="BF1104" s="107"/>
      <c r="BG1104" s="107"/>
      <c r="BH1104" s="107"/>
      <c r="BI1104" s="107"/>
      <c r="BJ1104" s="107"/>
      <c r="BK1104" s="107"/>
      <c r="BL1104" s="107"/>
      <c r="BM1104" s="107"/>
      <c r="BN1104" s="107"/>
      <c r="BO1104" s="107"/>
      <c r="BP1104" s="107"/>
      <c r="BQ1104" s="107"/>
      <c r="BR1104" s="107"/>
    </row>
    <row r="1105" customFormat="false" ht="12.75" hidden="false" customHeight="false" outlineLevel="0" collapsed="false">
      <c r="A1105" s="100"/>
      <c r="B1105" s="100"/>
      <c r="C1105" s="100"/>
      <c r="D1105" s="100"/>
      <c r="E1105" s="100"/>
      <c r="F1105" s="277"/>
      <c r="H1105" s="277"/>
      <c r="I1105" s="277"/>
      <c r="J1105" s="277"/>
      <c r="K1105" s="277"/>
      <c r="L1105" s="277"/>
      <c r="M1105" s="277"/>
      <c r="N1105" s="277"/>
      <c r="O1105" s="277"/>
      <c r="P1105" s="277"/>
      <c r="Q1105" s="277"/>
      <c r="R1105" s="277"/>
      <c r="T1105" s="277"/>
      <c r="U1105" s="277"/>
      <c r="W1105" s="277"/>
      <c r="Y1105" s="107"/>
      <c r="Z1105" s="107"/>
      <c r="AA1105" s="107"/>
      <c r="AB1105" s="107"/>
      <c r="AC1105" s="107"/>
      <c r="AD1105" s="233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7"/>
      <c r="AV1105" s="107"/>
      <c r="AW1105" s="107"/>
      <c r="AX1105" s="107"/>
      <c r="AY1105" s="107"/>
      <c r="AZ1105" s="107"/>
      <c r="BA1105" s="107"/>
      <c r="BB1105" s="107"/>
      <c r="BC1105" s="107"/>
      <c r="BD1105" s="107"/>
      <c r="BE1105" s="107"/>
      <c r="BF1105" s="107"/>
      <c r="BG1105" s="107"/>
      <c r="BH1105" s="107"/>
      <c r="BI1105" s="107"/>
      <c r="BJ1105" s="107"/>
      <c r="BK1105" s="107"/>
      <c r="BL1105" s="107"/>
      <c r="BM1105" s="107"/>
      <c r="BN1105" s="107"/>
      <c r="BO1105" s="107"/>
      <c r="BP1105" s="107"/>
      <c r="BQ1105" s="107"/>
      <c r="BR1105" s="107"/>
    </row>
    <row r="1106" customFormat="false" ht="12.75" hidden="false" customHeight="false" outlineLevel="0" collapsed="false">
      <c r="A1106" s="100"/>
      <c r="B1106" s="100"/>
      <c r="C1106" s="100"/>
      <c r="D1106" s="100"/>
      <c r="E1106" s="100"/>
      <c r="F1106" s="277"/>
      <c r="H1106" s="277"/>
      <c r="I1106" s="277"/>
      <c r="J1106" s="277"/>
      <c r="K1106" s="277"/>
      <c r="L1106" s="277"/>
      <c r="M1106" s="277"/>
      <c r="N1106" s="277"/>
      <c r="O1106" s="277"/>
      <c r="P1106" s="277"/>
      <c r="Q1106" s="277"/>
      <c r="R1106" s="277"/>
      <c r="T1106" s="277"/>
      <c r="U1106" s="277"/>
      <c r="W1106" s="277"/>
      <c r="Y1106" s="107"/>
      <c r="Z1106" s="107"/>
      <c r="AA1106" s="107"/>
      <c r="AB1106" s="107"/>
      <c r="AC1106" s="107"/>
      <c r="AD1106" s="233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7"/>
      <c r="AV1106" s="107"/>
      <c r="AW1106" s="107"/>
      <c r="AX1106" s="107"/>
      <c r="AY1106" s="107"/>
      <c r="AZ1106" s="107"/>
      <c r="BA1106" s="107"/>
      <c r="BB1106" s="107"/>
      <c r="BC1106" s="107"/>
      <c r="BD1106" s="107"/>
      <c r="BE1106" s="107"/>
      <c r="BF1106" s="107"/>
      <c r="BG1106" s="107"/>
      <c r="BH1106" s="107"/>
      <c r="BI1106" s="107"/>
      <c r="BJ1106" s="107"/>
      <c r="BK1106" s="107"/>
      <c r="BL1106" s="107"/>
      <c r="BM1106" s="107"/>
      <c r="BN1106" s="107"/>
      <c r="BO1106" s="107"/>
      <c r="BP1106" s="107"/>
      <c r="BQ1106" s="107"/>
      <c r="BR1106" s="107"/>
    </row>
    <row r="1107" customFormat="false" ht="12.75" hidden="false" customHeight="false" outlineLevel="0" collapsed="false">
      <c r="A1107" s="100"/>
      <c r="B1107" s="100"/>
      <c r="C1107" s="100"/>
      <c r="D1107" s="100"/>
      <c r="E1107" s="100"/>
      <c r="F1107" s="277"/>
      <c r="H1107" s="277"/>
      <c r="I1107" s="277"/>
      <c r="J1107" s="277"/>
      <c r="K1107" s="277"/>
      <c r="L1107" s="277"/>
      <c r="M1107" s="277"/>
      <c r="N1107" s="277"/>
      <c r="O1107" s="277"/>
      <c r="P1107" s="277"/>
      <c r="Q1107" s="277"/>
      <c r="R1107" s="277"/>
      <c r="T1107" s="277"/>
      <c r="U1107" s="277"/>
      <c r="W1107" s="277"/>
      <c r="Y1107" s="107"/>
      <c r="Z1107" s="107"/>
      <c r="AA1107" s="107"/>
      <c r="AB1107" s="107"/>
      <c r="AC1107" s="107"/>
      <c r="AD1107" s="233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7"/>
      <c r="AV1107" s="107"/>
      <c r="AW1107" s="107"/>
      <c r="AX1107" s="107"/>
      <c r="AY1107" s="107"/>
      <c r="AZ1107" s="107"/>
      <c r="BA1107" s="107"/>
      <c r="BB1107" s="107"/>
      <c r="BC1107" s="107"/>
      <c r="BD1107" s="107"/>
      <c r="BE1107" s="107"/>
      <c r="BF1107" s="107"/>
      <c r="BG1107" s="107"/>
      <c r="BH1107" s="107"/>
      <c r="BI1107" s="107"/>
      <c r="BJ1107" s="107"/>
      <c r="BK1107" s="107"/>
      <c r="BL1107" s="107"/>
      <c r="BM1107" s="107"/>
      <c r="BN1107" s="107"/>
      <c r="BO1107" s="107"/>
      <c r="BP1107" s="107"/>
      <c r="BQ1107" s="107"/>
      <c r="BR1107" s="107"/>
    </row>
    <row r="1108" customFormat="false" ht="12.75" hidden="false" customHeight="false" outlineLevel="0" collapsed="false">
      <c r="A1108" s="100"/>
      <c r="B1108" s="100"/>
      <c r="C1108" s="100"/>
      <c r="D1108" s="100"/>
      <c r="E1108" s="100"/>
      <c r="F1108" s="277"/>
      <c r="H1108" s="277"/>
      <c r="I1108" s="277"/>
      <c r="J1108" s="277"/>
      <c r="K1108" s="277"/>
      <c r="L1108" s="277"/>
      <c r="M1108" s="277"/>
      <c r="N1108" s="277"/>
      <c r="O1108" s="277"/>
      <c r="P1108" s="277"/>
      <c r="Q1108" s="277"/>
      <c r="R1108" s="277"/>
      <c r="T1108" s="277"/>
      <c r="U1108" s="277"/>
      <c r="W1108" s="277"/>
      <c r="Y1108" s="107"/>
      <c r="Z1108" s="107"/>
      <c r="AA1108" s="107"/>
      <c r="AB1108" s="107"/>
      <c r="AC1108" s="107"/>
      <c r="AD1108" s="233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7"/>
      <c r="AV1108" s="107"/>
      <c r="AW1108" s="107"/>
      <c r="AX1108" s="107"/>
      <c r="AY1108" s="107"/>
      <c r="AZ1108" s="107"/>
      <c r="BA1108" s="107"/>
      <c r="BB1108" s="107"/>
      <c r="BC1108" s="107"/>
      <c r="BD1108" s="107"/>
      <c r="BE1108" s="107"/>
      <c r="BF1108" s="107"/>
      <c r="BG1108" s="107"/>
      <c r="BH1108" s="107"/>
      <c r="BI1108" s="107"/>
      <c r="BJ1108" s="107"/>
      <c r="BK1108" s="107"/>
      <c r="BL1108" s="107"/>
      <c r="BM1108" s="107"/>
      <c r="BN1108" s="107"/>
      <c r="BO1108" s="107"/>
      <c r="BP1108" s="107"/>
      <c r="BQ1108" s="107"/>
      <c r="BR1108" s="107"/>
    </row>
    <row r="1109" customFormat="false" ht="12.75" hidden="false" customHeight="false" outlineLevel="0" collapsed="false">
      <c r="A1109" s="100"/>
      <c r="B1109" s="100"/>
      <c r="C1109" s="100"/>
      <c r="D1109" s="100"/>
      <c r="E1109" s="100"/>
      <c r="F1109" s="277"/>
      <c r="H1109" s="277"/>
      <c r="I1109" s="277"/>
      <c r="J1109" s="277"/>
      <c r="K1109" s="277"/>
      <c r="L1109" s="277"/>
      <c r="M1109" s="277"/>
      <c r="N1109" s="277"/>
      <c r="O1109" s="277"/>
      <c r="P1109" s="277"/>
      <c r="Q1109" s="277"/>
      <c r="R1109" s="277"/>
      <c r="T1109" s="277"/>
      <c r="U1109" s="277"/>
      <c r="W1109" s="277"/>
      <c r="Y1109" s="107"/>
      <c r="Z1109" s="107"/>
      <c r="AA1109" s="107"/>
      <c r="AB1109" s="107"/>
      <c r="AC1109" s="107"/>
      <c r="AD1109" s="233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7"/>
      <c r="AV1109" s="107"/>
      <c r="AW1109" s="107"/>
      <c r="AX1109" s="107"/>
      <c r="AY1109" s="107"/>
      <c r="AZ1109" s="107"/>
      <c r="BA1109" s="107"/>
      <c r="BB1109" s="107"/>
      <c r="BC1109" s="107"/>
      <c r="BD1109" s="107"/>
      <c r="BE1109" s="107"/>
      <c r="BF1109" s="107"/>
      <c r="BG1109" s="107"/>
      <c r="BH1109" s="107"/>
      <c r="BI1109" s="107"/>
      <c r="BJ1109" s="107"/>
      <c r="BK1109" s="107"/>
      <c r="BL1109" s="107"/>
      <c r="BM1109" s="107"/>
      <c r="BN1109" s="107"/>
      <c r="BO1109" s="107"/>
      <c r="BP1109" s="107"/>
      <c r="BQ1109" s="107"/>
      <c r="BR1109" s="107"/>
    </row>
    <row r="1110" customFormat="false" ht="12.75" hidden="false" customHeight="false" outlineLevel="0" collapsed="false">
      <c r="A1110" s="100"/>
      <c r="B1110" s="100"/>
      <c r="C1110" s="100"/>
      <c r="D1110" s="100"/>
      <c r="E1110" s="100"/>
      <c r="F1110" s="277"/>
      <c r="H1110" s="277"/>
      <c r="I1110" s="277"/>
      <c r="J1110" s="277"/>
      <c r="K1110" s="277"/>
      <c r="L1110" s="277"/>
      <c r="M1110" s="277"/>
      <c r="N1110" s="277"/>
      <c r="O1110" s="277"/>
      <c r="P1110" s="277"/>
      <c r="Q1110" s="277"/>
      <c r="R1110" s="277"/>
      <c r="T1110" s="277"/>
      <c r="U1110" s="277"/>
      <c r="W1110" s="277"/>
      <c r="Y1110" s="107"/>
      <c r="Z1110" s="107"/>
      <c r="AA1110" s="107"/>
      <c r="AB1110" s="107"/>
      <c r="AC1110" s="107"/>
      <c r="AD1110" s="233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7"/>
      <c r="AV1110" s="107"/>
      <c r="AW1110" s="107"/>
      <c r="AX1110" s="107"/>
      <c r="AY1110" s="107"/>
      <c r="AZ1110" s="107"/>
      <c r="BA1110" s="107"/>
      <c r="BB1110" s="107"/>
      <c r="BC1110" s="107"/>
      <c r="BD1110" s="107"/>
      <c r="BE1110" s="107"/>
      <c r="BF1110" s="107"/>
      <c r="BG1110" s="107"/>
      <c r="BH1110" s="107"/>
      <c r="BI1110" s="107"/>
      <c r="BJ1110" s="107"/>
      <c r="BK1110" s="107"/>
      <c r="BL1110" s="107"/>
      <c r="BM1110" s="107"/>
      <c r="BN1110" s="107"/>
      <c r="BO1110" s="107"/>
      <c r="BP1110" s="107"/>
      <c r="BQ1110" s="107"/>
      <c r="BR1110" s="107"/>
    </row>
    <row r="1111" customFormat="false" ht="12.75" hidden="false" customHeight="false" outlineLevel="0" collapsed="false">
      <c r="A1111" s="100"/>
      <c r="B1111" s="100"/>
      <c r="C1111" s="100"/>
      <c r="D1111" s="100"/>
      <c r="E1111" s="100"/>
      <c r="F1111" s="277"/>
      <c r="H1111" s="277"/>
      <c r="I1111" s="277"/>
      <c r="J1111" s="277"/>
      <c r="K1111" s="277"/>
      <c r="L1111" s="277"/>
      <c r="M1111" s="277"/>
      <c r="N1111" s="277"/>
      <c r="O1111" s="277"/>
      <c r="P1111" s="277"/>
      <c r="Q1111" s="277"/>
      <c r="R1111" s="277"/>
      <c r="T1111" s="277"/>
      <c r="U1111" s="277"/>
      <c r="W1111" s="277"/>
      <c r="Y1111" s="107"/>
      <c r="Z1111" s="107"/>
      <c r="AA1111" s="107"/>
      <c r="AB1111" s="107"/>
      <c r="AC1111" s="107"/>
      <c r="AD1111" s="233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7"/>
      <c r="AV1111" s="107"/>
      <c r="AW1111" s="107"/>
      <c r="AX1111" s="107"/>
      <c r="AY1111" s="107"/>
      <c r="AZ1111" s="107"/>
      <c r="BA1111" s="107"/>
      <c r="BB1111" s="107"/>
      <c r="BC1111" s="107"/>
      <c r="BD1111" s="107"/>
      <c r="BE1111" s="107"/>
      <c r="BF1111" s="107"/>
      <c r="BG1111" s="107"/>
      <c r="BH1111" s="107"/>
      <c r="BI1111" s="107"/>
      <c r="BJ1111" s="107"/>
      <c r="BK1111" s="107"/>
      <c r="BL1111" s="107"/>
      <c r="BM1111" s="107"/>
      <c r="BN1111" s="107"/>
      <c r="BO1111" s="107"/>
      <c r="BP1111" s="107"/>
      <c r="BQ1111" s="107"/>
      <c r="BR1111" s="107"/>
    </row>
    <row r="1112" customFormat="false" ht="12.75" hidden="false" customHeight="false" outlineLevel="0" collapsed="false">
      <c r="A1112" s="100"/>
      <c r="B1112" s="100"/>
      <c r="C1112" s="100"/>
      <c r="D1112" s="100"/>
      <c r="E1112" s="100"/>
      <c r="F1112" s="277"/>
      <c r="H1112" s="277"/>
      <c r="I1112" s="277"/>
      <c r="J1112" s="277"/>
      <c r="K1112" s="277"/>
      <c r="L1112" s="277"/>
      <c r="M1112" s="277"/>
      <c r="N1112" s="277"/>
      <c r="O1112" s="277"/>
      <c r="P1112" s="277"/>
      <c r="Q1112" s="277"/>
      <c r="R1112" s="277"/>
      <c r="T1112" s="277"/>
      <c r="U1112" s="277"/>
      <c r="W1112" s="277"/>
      <c r="Y1112" s="107"/>
      <c r="Z1112" s="107"/>
      <c r="AA1112" s="107"/>
      <c r="AB1112" s="107"/>
      <c r="AC1112" s="107"/>
      <c r="AD1112" s="233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7"/>
      <c r="AV1112" s="107"/>
      <c r="AW1112" s="107"/>
      <c r="AX1112" s="107"/>
      <c r="AY1112" s="107"/>
      <c r="AZ1112" s="107"/>
      <c r="BA1112" s="107"/>
      <c r="BB1112" s="107"/>
      <c r="BC1112" s="107"/>
      <c r="BD1112" s="107"/>
      <c r="BE1112" s="107"/>
      <c r="BF1112" s="107"/>
      <c r="BG1112" s="107"/>
      <c r="BH1112" s="107"/>
      <c r="BI1112" s="107"/>
      <c r="BJ1112" s="107"/>
      <c r="BK1112" s="107"/>
      <c r="BL1112" s="107"/>
      <c r="BM1112" s="107"/>
      <c r="BN1112" s="107"/>
      <c r="BO1112" s="107"/>
      <c r="BP1112" s="107"/>
      <c r="BQ1112" s="107"/>
      <c r="BR1112" s="107"/>
    </row>
    <row r="1113" customFormat="false" ht="12.75" hidden="false" customHeight="false" outlineLevel="0" collapsed="false">
      <c r="A1113" s="100"/>
      <c r="B1113" s="100"/>
      <c r="C1113" s="100"/>
      <c r="D1113" s="100"/>
      <c r="E1113" s="100"/>
      <c r="F1113" s="277"/>
      <c r="H1113" s="277"/>
      <c r="I1113" s="277"/>
      <c r="J1113" s="277"/>
      <c r="K1113" s="277"/>
      <c r="L1113" s="277"/>
      <c r="M1113" s="277"/>
      <c r="N1113" s="277"/>
      <c r="O1113" s="277"/>
      <c r="P1113" s="277"/>
      <c r="Q1113" s="277"/>
      <c r="R1113" s="277"/>
      <c r="T1113" s="277"/>
      <c r="U1113" s="277"/>
      <c r="W1113" s="277"/>
      <c r="Y1113" s="107"/>
      <c r="Z1113" s="107"/>
      <c r="AA1113" s="107"/>
      <c r="AB1113" s="107"/>
      <c r="AC1113" s="107"/>
      <c r="AD1113" s="233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7"/>
      <c r="AV1113" s="107"/>
      <c r="AW1113" s="107"/>
      <c r="AX1113" s="107"/>
      <c r="AY1113" s="107"/>
      <c r="AZ1113" s="107"/>
      <c r="BA1113" s="107"/>
      <c r="BB1113" s="107"/>
      <c r="BC1113" s="107"/>
      <c r="BD1113" s="107"/>
      <c r="BE1113" s="107"/>
      <c r="BF1113" s="107"/>
      <c r="BG1113" s="107"/>
      <c r="BH1113" s="107"/>
      <c r="BI1113" s="107"/>
      <c r="BJ1113" s="107"/>
      <c r="BK1113" s="107"/>
      <c r="BL1113" s="107"/>
      <c r="BM1113" s="107"/>
      <c r="BN1113" s="107"/>
      <c r="BO1113" s="107"/>
      <c r="BP1113" s="107"/>
      <c r="BQ1113" s="107"/>
      <c r="BR1113" s="107"/>
    </row>
    <row r="1114" customFormat="false" ht="12.75" hidden="false" customHeight="false" outlineLevel="0" collapsed="false">
      <c r="A1114" s="100"/>
      <c r="B1114" s="100"/>
      <c r="C1114" s="100"/>
      <c r="D1114" s="100"/>
      <c r="E1114" s="100"/>
      <c r="F1114" s="277"/>
      <c r="H1114" s="277"/>
      <c r="I1114" s="277"/>
      <c r="J1114" s="277"/>
      <c r="K1114" s="277"/>
      <c r="L1114" s="277"/>
      <c r="M1114" s="277"/>
      <c r="N1114" s="277"/>
      <c r="O1114" s="277"/>
      <c r="P1114" s="277"/>
      <c r="Q1114" s="277"/>
      <c r="R1114" s="277"/>
      <c r="T1114" s="277"/>
      <c r="U1114" s="277"/>
      <c r="W1114" s="277"/>
      <c r="Y1114" s="107"/>
      <c r="Z1114" s="107"/>
      <c r="AA1114" s="107"/>
      <c r="AB1114" s="107"/>
      <c r="AC1114" s="107"/>
      <c r="AD1114" s="233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7"/>
      <c r="AV1114" s="107"/>
      <c r="AW1114" s="107"/>
      <c r="AX1114" s="107"/>
      <c r="AY1114" s="107"/>
      <c r="AZ1114" s="107"/>
      <c r="BA1114" s="107"/>
      <c r="BB1114" s="107"/>
      <c r="BC1114" s="107"/>
      <c r="BD1114" s="107"/>
      <c r="BE1114" s="107"/>
      <c r="BF1114" s="107"/>
      <c r="BG1114" s="107"/>
      <c r="BH1114" s="107"/>
      <c r="BI1114" s="107"/>
      <c r="BJ1114" s="107"/>
      <c r="BK1114" s="107"/>
      <c r="BL1114" s="107"/>
      <c r="BM1114" s="107"/>
      <c r="BN1114" s="107"/>
      <c r="BO1114" s="107"/>
      <c r="BP1114" s="107"/>
      <c r="BQ1114" s="107"/>
      <c r="BR1114" s="107"/>
    </row>
    <row r="1115" customFormat="false" ht="12.75" hidden="false" customHeight="false" outlineLevel="0" collapsed="false">
      <c r="A1115" s="100"/>
      <c r="B1115" s="100"/>
      <c r="C1115" s="100"/>
      <c r="D1115" s="100"/>
      <c r="E1115" s="100"/>
      <c r="F1115" s="277"/>
      <c r="H1115" s="277"/>
      <c r="I1115" s="277"/>
      <c r="J1115" s="277"/>
      <c r="K1115" s="277"/>
      <c r="L1115" s="277"/>
      <c r="M1115" s="277"/>
      <c r="N1115" s="277"/>
      <c r="O1115" s="277"/>
      <c r="P1115" s="277"/>
      <c r="Q1115" s="277"/>
      <c r="R1115" s="277"/>
      <c r="T1115" s="277"/>
      <c r="U1115" s="277"/>
      <c r="W1115" s="277"/>
      <c r="Y1115" s="107"/>
      <c r="Z1115" s="107"/>
      <c r="AA1115" s="107"/>
      <c r="AB1115" s="107"/>
      <c r="AC1115" s="107"/>
      <c r="AD1115" s="233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7"/>
      <c r="AV1115" s="107"/>
      <c r="AW1115" s="107"/>
      <c r="AX1115" s="107"/>
      <c r="AY1115" s="107"/>
      <c r="AZ1115" s="107"/>
      <c r="BA1115" s="107"/>
      <c r="BB1115" s="107"/>
      <c r="BC1115" s="107"/>
      <c r="BD1115" s="107"/>
      <c r="BE1115" s="107"/>
      <c r="BF1115" s="107"/>
      <c r="BG1115" s="107"/>
      <c r="BH1115" s="107"/>
      <c r="BI1115" s="107"/>
      <c r="BJ1115" s="107"/>
      <c r="BK1115" s="107"/>
      <c r="BL1115" s="107"/>
      <c r="BM1115" s="107"/>
      <c r="BN1115" s="107"/>
      <c r="BO1115" s="107"/>
      <c r="BP1115" s="107"/>
      <c r="BQ1115" s="107"/>
      <c r="BR1115" s="107"/>
    </row>
    <row r="1116" customFormat="false" ht="12.75" hidden="false" customHeight="false" outlineLevel="0" collapsed="false">
      <c r="A1116" s="100"/>
      <c r="B1116" s="100"/>
      <c r="C1116" s="100"/>
      <c r="D1116" s="100"/>
      <c r="E1116" s="100"/>
      <c r="F1116" s="277"/>
      <c r="H1116" s="277"/>
      <c r="I1116" s="277"/>
      <c r="J1116" s="277"/>
      <c r="K1116" s="277"/>
      <c r="L1116" s="277"/>
      <c r="M1116" s="277"/>
      <c r="N1116" s="277"/>
      <c r="O1116" s="277"/>
      <c r="P1116" s="277"/>
      <c r="Q1116" s="277"/>
      <c r="R1116" s="277"/>
      <c r="T1116" s="277"/>
      <c r="U1116" s="277"/>
      <c r="W1116" s="277"/>
      <c r="Y1116" s="107"/>
      <c r="Z1116" s="107"/>
      <c r="AA1116" s="107"/>
      <c r="AB1116" s="107"/>
      <c r="AC1116" s="107"/>
      <c r="AD1116" s="233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7"/>
      <c r="AV1116" s="107"/>
      <c r="AW1116" s="107"/>
      <c r="AX1116" s="107"/>
      <c r="AY1116" s="107"/>
      <c r="AZ1116" s="107"/>
      <c r="BA1116" s="107"/>
      <c r="BB1116" s="107"/>
      <c r="BC1116" s="107"/>
      <c r="BD1116" s="107"/>
      <c r="BE1116" s="107"/>
      <c r="BF1116" s="107"/>
      <c r="BG1116" s="107"/>
      <c r="BH1116" s="107"/>
      <c r="BI1116" s="107"/>
      <c r="BJ1116" s="107"/>
      <c r="BK1116" s="107"/>
      <c r="BL1116" s="107"/>
      <c r="BM1116" s="107"/>
      <c r="BN1116" s="107"/>
      <c r="BO1116" s="107"/>
      <c r="BP1116" s="107"/>
      <c r="BQ1116" s="107"/>
      <c r="BR1116" s="107"/>
    </row>
    <row r="1117" customFormat="false" ht="12.75" hidden="false" customHeight="false" outlineLevel="0" collapsed="false">
      <c r="A1117" s="100"/>
      <c r="B1117" s="100"/>
      <c r="C1117" s="100"/>
      <c r="D1117" s="100"/>
      <c r="E1117" s="100"/>
      <c r="F1117" s="277"/>
      <c r="H1117" s="277"/>
      <c r="I1117" s="277"/>
      <c r="J1117" s="277"/>
      <c r="K1117" s="277"/>
      <c r="L1117" s="277"/>
      <c r="M1117" s="277"/>
      <c r="N1117" s="277"/>
      <c r="O1117" s="277"/>
      <c r="P1117" s="277"/>
      <c r="Q1117" s="277"/>
      <c r="R1117" s="277"/>
      <c r="T1117" s="277"/>
      <c r="U1117" s="277"/>
      <c r="W1117" s="277"/>
      <c r="Y1117" s="107"/>
      <c r="Z1117" s="107"/>
      <c r="AA1117" s="107"/>
      <c r="AB1117" s="107"/>
      <c r="AC1117" s="107"/>
      <c r="AD1117" s="233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7"/>
      <c r="AV1117" s="107"/>
      <c r="AW1117" s="107"/>
      <c r="AX1117" s="107"/>
      <c r="AY1117" s="107"/>
      <c r="AZ1117" s="107"/>
      <c r="BA1117" s="107"/>
      <c r="BB1117" s="107"/>
      <c r="BC1117" s="107"/>
      <c r="BD1117" s="107"/>
      <c r="BE1117" s="107"/>
      <c r="BF1117" s="107"/>
      <c r="BG1117" s="107"/>
      <c r="BH1117" s="107"/>
      <c r="BI1117" s="107"/>
      <c r="BJ1117" s="107"/>
      <c r="BK1117" s="107"/>
      <c r="BL1117" s="107"/>
      <c r="BM1117" s="107"/>
      <c r="BN1117" s="107"/>
      <c r="BO1117" s="107"/>
      <c r="BP1117" s="107"/>
      <c r="BQ1117" s="107"/>
      <c r="BR1117" s="107"/>
    </row>
    <row r="1118" customFormat="false" ht="12.75" hidden="false" customHeight="false" outlineLevel="0" collapsed="false">
      <c r="A1118" s="100"/>
      <c r="B1118" s="100"/>
      <c r="C1118" s="100"/>
      <c r="D1118" s="100"/>
      <c r="E1118" s="100"/>
      <c r="F1118" s="277"/>
      <c r="H1118" s="277"/>
      <c r="I1118" s="277"/>
      <c r="J1118" s="277"/>
      <c r="K1118" s="277"/>
      <c r="L1118" s="277"/>
      <c r="M1118" s="277"/>
      <c r="N1118" s="277"/>
      <c r="O1118" s="277"/>
      <c r="P1118" s="277"/>
      <c r="Q1118" s="277"/>
      <c r="R1118" s="277"/>
      <c r="T1118" s="277"/>
      <c r="U1118" s="277"/>
      <c r="W1118" s="277"/>
      <c r="Y1118" s="107"/>
      <c r="Z1118" s="107"/>
      <c r="AA1118" s="107"/>
      <c r="AB1118" s="107"/>
      <c r="AC1118" s="107"/>
      <c r="AD1118" s="233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7"/>
      <c r="AV1118" s="107"/>
      <c r="AW1118" s="107"/>
      <c r="AX1118" s="107"/>
      <c r="AY1118" s="107"/>
      <c r="AZ1118" s="107"/>
      <c r="BA1118" s="107"/>
      <c r="BB1118" s="107"/>
      <c r="BC1118" s="107"/>
      <c r="BD1118" s="107"/>
      <c r="BE1118" s="107"/>
      <c r="BF1118" s="107"/>
      <c r="BG1118" s="107"/>
      <c r="BH1118" s="107"/>
      <c r="BI1118" s="107"/>
      <c r="BJ1118" s="107"/>
      <c r="BK1118" s="107"/>
      <c r="BL1118" s="107"/>
      <c r="BM1118" s="107"/>
      <c r="BN1118" s="107"/>
      <c r="BO1118" s="107"/>
      <c r="BP1118" s="107"/>
      <c r="BQ1118" s="107"/>
      <c r="BR1118" s="107"/>
    </row>
    <row r="1119" customFormat="false" ht="12.75" hidden="false" customHeight="false" outlineLevel="0" collapsed="false">
      <c r="A1119" s="100"/>
      <c r="B1119" s="100"/>
      <c r="C1119" s="100"/>
      <c r="D1119" s="100"/>
      <c r="E1119" s="100"/>
      <c r="F1119" s="277"/>
      <c r="H1119" s="277"/>
      <c r="I1119" s="277"/>
      <c r="J1119" s="277"/>
      <c r="K1119" s="277"/>
      <c r="L1119" s="277"/>
      <c r="M1119" s="277"/>
      <c r="N1119" s="277"/>
      <c r="O1119" s="277"/>
      <c r="P1119" s="277"/>
      <c r="Q1119" s="277"/>
      <c r="R1119" s="277"/>
      <c r="T1119" s="277"/>
      <c r="U1119" s="277"/>
      <c r="W1119" s="277"/>
      <c r="Y1119" s="107"/>
      <c r="Z1119" s="107"/>
      <c r="AA1119" s="107"/>
      <c r="AB1119" s="107"/>
      <c r="AC1119" s="107"/>
      <c r="AD1119" s="233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7"/>
      <c r="AV1119" s="107"/>
      <c r="AW1119" s="107"/>
      <c r="AX1119" s="107"/>
      <c r="AY1119" s="107"/>
      <c r="AZ1119" s="107"/>
      <c r="BA1119" s="107"/>
      <c r="BB1119" s="107"/>
      <c r="BC1119" s="107"/>
      <c r="BD1119" s="107"/>
      <c r="BE1119" s="107"/>
      <c r="BF1119" s="107"/>
      <c r="BG1119" s="107"/>
      <c r="BH1119" s="107"/>
      <c r="BI1119" s="107"/>
      <c r="BJ1119" s="107"/>
      <c r="BK1119" s="107"/>
      <c r="BL1119" s="107"/>
      <c r="BM1119" s="107"/>
      <c r="BN1119" s="107"/>
      <c r="BO1119" s="107"/>
      <c r="BP1119" s="107"/>
      <c r="BQ1119" s="107"/>
      <c r="BR1119" s="107"/>
    </row>
    <row r="1120" customFormat="false" ht="12.75" hidden="false" customHeight="false" outlineLevel="0" collapsed="false">
      <c r="A1120" s="100"/>
      <c r="B1120" s="100"/>
      <c r="C1120" s="100"/>
      <c r="D1120" s="100"/>
      <c r="E1120" s="100"/>
      <c r="F1120" s="277"/>
      <c r="H1120" s="277"/>
      <c r="I1120" s="277"/>
      <c r="J1120" s="277"/>
      <c r="K1120" s="277"/>
      <c r="L1120" s="277"/>
      <c r="M1120" s="277"/>
      <c r="N1120" s="277"/>
      <c r="O1120" s="277"/>
      <c r="P1120" s="277"/>
      <c r="Q1120" s="277"/>
      <c r="R1120" s="277"/>
      <c r="T1120" s="277"/>
      <c r="U1120" s="277"/>
      <c r="W1120" s="277"/>
      <c r="Y1120" s="107"/>
      <c r="Z1120" s="107"/>
      <c r="AA1120" s="107"/>
      <c r="AB1120" s="107"/>
      <c r="AC1120" s="107"/>
      <c r="AD1120" s="233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7"/>
      <c r="AV1120" s="107"/>
      <c r="AW1120" s="107"/>
      <c r="AX1120" s="107"/>
      <c r="AY1120" s="107"/>
      <c r="AZ1120" s="107"/>
      <c r="BA1120" s="107"/>
      <c r="BB1120" s="107"/>
      <c r="BC1120" s="107"/>
      <c r="BD1120" s="107"/>
      <c r="BE1120" s="107"/>
      <c r="BF1120" s="107"/>
      <c r="BG1120" s="107"/>
      <c r="BH1120" s="107"/>
      <c r="BI1120" s="107"/>
      <c r="BJ1120" s="107"/>
      <c r="BK1120" s="107"/>
      <c r="BL1120" s="107"/>
      <c r="BM1120" s="107"/>
      <c r="BN1120" s="107"/>
      <c r="BO1120" s="107"/>
      <c r="BP1120" s="107"/>
      <c r="BQ1120" s="107"/>
      <c r="BR1120" s="107"/>
    </row>
    <row r="1121" customFormat="false" ht="12.75" hidden="false" customHeight="false" outlineLevel="0" collapsed="false">
      <c r="A1121" s="100"/>
      <c r="B1121" s="100"/>
      <c r="C1121" s="100"/>
      <c r="D1121" s="100"/>
      <c r="E1121" s="100"/>
      <c r="F1121" s="277"/>
      <c r="H1121" s="277"/>
      <c r="I1121" s="277"/>
      <c r="J1121" s="277"/>
      <c r="K1121" s="277"/>
      <c r="L1121" s="277"/>
      <c r="M1121" s="277"/>
      <c r="N1121" s="277"/>
      <c r="O1121" s="277"/>
      <c r="P1121" s="277"/>
      <c r="Q1121" s="277"/>
      <c r="R1121" s="277"/>
      <c r="T1121" s="277"/>
      <c r="U1121" s="277"/>
      <c r="W1121" s="277"/>
      <c r="Y1121" s="107"/>
      <c r="Z1121" s="107"/>
      <c r="AA1121" s="107"/>
      <c r="AB1121" s="107"/>
      <c r="AC1121" s="107"/>
      <c r="AD1121" s="233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7"/>
      <c r="AV1121" s="107"/>
      <c r="AW1121" s="107"/>
      <c r="AX1121" s="107"/>
      <c r="AY1121" s="107"/>
      <c r="AZ1121" s="107"/>
      <c r="BA1121" s="107"/>
      <c r="BB1121" s="107"/>
      <c r="BC1121" s="107"/>
      <c r="BD1121" s="107"/>
      <c r="BE1121" s="107"/>
      <c r="BF1121" s="107"/>
      <c r="BG1121" s="107"/>
      <c r="BH1121" s="107"/>
      <c r="BI1121" s="107"/>
      <c r="BJ1121" s="107"/>
      <c r="BK1121" s="107"/>
      <c r="BL1121" s="107"/>
      <c r="BM1121" s="107"/>
      <c r="BN1121" s="107"/>
      <c r="BO1121" s="107"/>
      <c r="BP1121" s="107"/>
      <c r="BQ1121" s="107"/>
      <c r="BR1121" s="107"/>
    </row>
    <row r="1122" customFormat="false" ht="12.75" hidden="false" customHeight="false" outlineLevel="0" collapsed="false">
      <c r="A1122" s="100"/>
      <c r="B1122" s="100"/>
      <c r="C1122" s="100"/>
      <c r="D1122" s="100"/>
      <c r="E1122" s="100"/>
      <c r="F1122" s="277"/>
      <c r="H1122" s="277"/>
      <c r="I1122" s="277"/>
      <c r="J1122" s="277"/>
      <c r="K1122" s="277"/>
      <c r="L1122" s="277"/>
      <c r="M1122" s="277"/>
      <c r="N1122" s="277"/>
      <c r="O1122" s="277"/>
      <c r="P1122" s="277"/>
      <c r="Q1122" s="277"/>
      <c r="R1122" s="277"/>
      <c r="T1122" s="277"/>
      <c r="U1122" s="277"/>
      <c r="W1122" s="277"/>
      <c r="Y1122" s="107"/>
      <c r="Z1122" s="107"/>
      <c r="AA1122" s="107"/>
      <c r="AB1122" s="107"/>
      <c r="AC1122" s="107"/>
      <c r="AD1122" s="233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7"/>
      <c r="AV1122" s="107"/>
      <c r="AW1122" s="107"/>
      <c r="AX1122" s="107"/>
      <c r="AY1122" s="107"/>
      <c r="AZ1122" s="107"/>
      <c r="BA1122" s="107"/>
      <c r="BB1122" s="107"/>
      <c r="BC1122" s="107"/>
      <c r="BD1122" s="107"/>
      <c r="BE1122" s="107"/>
      <c r="BF1122" s="107"/>
      <c r="BG1122" s="107"/>
      <c r="BH1122" s="107"/>
      <c r="BI1122" s="107"/>
      <c r="BJ1122" s="107"/>
      <c r="BK1122" s="107"/>
      <c r="BL1122" s="107"/>
      <c r="BM1122" s="107"/>
      <c r="BN1122" s="107"/>
      <c r="BO1122" s="107"/>
      <c r="BP1122" s="107"/>
      <c r="BQ1122" s="107"/>
      <c r="BR1122" s="107"/>
    </row>
    <row r="1123" customFormat="false" ht="12.75" hidden="false" customHeight="false" outlineLevel="0" collapsed="false">
      <c r="A1123" s="100"/>
      <c r="B1123" s="100"/>
      <c r="C1123" s="100"/>
      <c r="D1123" s="100"/>
      <c r="E1123" s="100"/>
      <c r="F1123" s="277"/>
      <c r="H1123" s="277"/>
      <c r="I1123" s="277"/>
      <c r="J1123" s="277"/>
      <c r="K1123" s="277"/>
      <c r="L1123" s="277"/>
      <c r="M1123" s="277"/>
      <c r="N1123" s="277"/>
      <c r="O1123" s="277"/>
      <c r="P1123" s="277"/>
      <c r="Q1123" s="277"/>
      <c r="R1123" s="277"/>
      <c r="T1123" s="277"/>
      <c r="U1123" s="277"/>
      <c r="W1123" s="277"/>
      <c r="Y1123" s="107"/>
      <c r="Z1123" s="107"/>
      <c r="AA1123" s="107"/>
      <c r="AB1123" s="107"/>
      <c r="AC1123" s="107"/>
      <c r="AD1123" s="233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7"/>
      <c r="AV1123" s="107"/>
      <c r="AW1123" s="107"/>
      <c r="AX1123" s="107"/>
      <c r="AY1123" s="107"/>
      <c r="AZ1123" s="107"/>
      <c r="BA1123" s="107"/>
      <c r="BB1123" s="107"/>
      <c r="BC1123" s="107"/>
      <c r="BD1123" s="107"/>
      <c r="BE1123" s="107"/>
      <c r="BF1123" s="107"/>
      <c r="BG1123" s="107"/>
      <c r="BH1123" s="107"/>
      <c r="BI1123" s="107"/>
      <c r="BJ1123" s="107"/>
      <c r="BK1123" s="107"/>
      <c r="BL1123" s="107"/>
      <c r="BM1123" s="107"/>
      <c r="BN1123" s="107"/>
      <c r="BO1123" s="107"/>
      <c r="BP1123" s="107"/>
      <c r="BQ1123" s="107"/>
      <c r="BR1123" s="107"/>
    </row>
    <row r="1124" customFormat="false" ht="12.75" hidden="false" customHeight="false" outlineLevel="0" collapsed="false">
      <c r="A1124" s="100"/>
      <c r="B1124" s="100"/>
      <c r="C1124" s="100"/>
      <c r="D1124" s="100"/>
      <c r="E1124" s="100"/>
      <c r="F1124" s="277"/>
      <c r="H1124" s="277"/>
      <c r="I1124" s="277"/>
      <c r="J1124" s="277"/>
      <c r="K1124" s="277"/>
      <c r="L1124" s="277"/>
      <c r="M1124" s="277"/>
      <c r="N1124" s="277"/>
      <c r="O1124" s="277"/>
      <c r="P1124" s="277"/>
      <c r="Q1124" s="277"/>
      <c r="R1124" s="277"/>
      <c r="T1124" s="277"/>
      <c r="U1124" s="277"/>
      <c r="W1124" s="277"/>
      <c r="Y1124" s="107"/>
      <c r="Z1124" s="107"/>
      <c r="AA1124" s="107"/>
      <c r="AB1124" s="107"/>
      <c r="AC1124" s="107"/>
      <c r="AD1124" s="233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7"/>
      <c r="AV1124" s="107"/>
      <c r="AW1124" s="107"/>
      <c r="AX1124" s="107"/>
      <c r="AY1124" s="107"/>
      <c r="AZ1124" s="107"/>
      <c r="BA1124" s="107"/>
      <c r="BB1124" s="107"/>
      <c r="BC1124" s="107"/>
      <c r="BD1124" s="107"/>
      <c r="BE1124" s="107"/>
      <c r="BF1124" s="107"/>
      <c r="BG1124" s="107"/>
      <c r="BH1124" s="107"/>
      <c r="BI1124" s="107"/>
      <c r="BJ1124" s="107"/>
      <c r="BK1124" s="107"/>
      <c r="BL1124" s="107"/>
      <c r="BM1124" s="107"/>
      <c r="BN1124" s="107"/>
      <c r="BO1124" s="107"/>
      <c r="BP1124" s="107"/>
      <c r="BQ1124" s="107"/>
      <c r="BR1124" s="107"/>
    </row>
    <row r="1125" customFormat="false" ht="12.75" hidden="false" customHeight="false" outlineLevel="0" collapsed="false">
      <c r="A1125" s="100"/>
      <c r="B1125" s="100"/>
      <c r="C1125" s="100"/>
      <c r="D1125" s="100"/>
      <c r="E1125" s="100"/>
      <c r="F1125" s="277"/>
      <c r="H1125" s="277"/>
      <c r="I1125" s="277"/>
      <c r="J1125" s="277"/>
      <c r="K1125" s="277"/>
      <c r="L1125" s="277"/>
      <c r="M1125" s="277"/>
      <c r="N1125" s="277"/>
      <c r="O1125" s="277"/>
      <c r="P1125" s="277"/>
      <c r="Q1125" s="277"/>
      <c r="R1125" s="277"/>
      <c r="T1125" s="277"/>
      <c r="U1125" s="277"/>
      <c r="W1125" s="277"/>
      <c r="Y1125" s="107"/>
      <c r="Z1125" s="107"/>
      <c r="AA1125" s="107"/>
      <c r="AB1125" s="107"/>
      <c r="AC1125" s="107"/>
      <c r="AD1125" s="233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7"/>
      <c r="AV1125" s="107"/>
      <c r="AW1125" s="107"/>
      <c r="AX1125" s="107"/>
      <c r="AY1125" s="107"/>
      <c r="AZ1125" s="107"/>
      <c r="BA1125" s="107"/>
      <c r="BB1125" s="107"/>
      <c r="BC1125" s="107"/>
      <c r="BD1125" s="107"/>
      <c r="BE1125" s="107"/>
      <c r="BF1125" s="107"/>
      <c r="BG1125" s="107"/>
      <c r="BH1125" s="107"/>
      <c r="BI1125" s="107"/>
      <c r="BJ1125" s="107"/>
      <c r="BK1125" s="107"/>
      <c r="BL1125" s="107"/>
      <c r="BM1125" s="107"/>
      <c r="BN1125" s="107"/>
      <c r="BO1125" s="107"/>
      <c r="BP1125" s="107"/>
      <c r="BQ1125" s="107"/>
      <c r="BR1125" s="107"/>
    </row>
    <row r="1126" customFormat="false" ht="12.75" hidden="false" customHeight="false" outlineLevel="0" collapsed="false">
      <c r="A1126" s="100"/>
      <c r="B1126" s="100"/>
      <c r="C1126" s="100"/>
      <c r="D1126" s="100"/>
      <c r="E1126" s="100"/>
      <c r="F1126" s="277"/>
      <c r="H1126" s="277"/>
      <c r="I1126" s="277"/>
      <c r="J1126" s="277"/>
      <c r="K1126" s="277"/>
      <c r="L1126" s="277"/>
      <c r="M1126" s="277"/>
      <c r="N1126" s="277"/>
      <c r="O1126" s="277"/>
      <c r="P1126" s="277"/>
      <c r="Q1126" s="277"/>
      <c r="R1126" s="277"/>
      <c r="T1126" s="277"/>
      <c r="U1126" s="277"/>
      <c r="W1126" s="277"/>
      <c r="Y1126" s="107"/>
      <c r="Z1126" s="107"/>
      <c r="AA1126" s="107"/>
      <c r="AB1126" s="107"/>
      <c r="AC1126" s="107"/>
      <c r="AD1126" s="233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7"/>
      <c r="AV1126" s="107"/>
      <c r="AW1126" s="107"/>
      <c r="AX1126" s="107"/>
      <c r="AY1126" s="107"/>
      <c r="AZ1126" s="107"/>
      <c r="BA1126" s="107"/>
      <c r="BB1126" s="107"/>
      <c r="BC1126" s="107"/>
      <c r="BD1126" s="107"/>
      <c r="BE1126" s="107"/>
      <c r="BF1126" s="107"/>
      <c r="BG1126" s="107"/>
      <c r="BH1126" s="107"/>
      <c r="BI1126" s="107"/>
      <c r="BJ1126" s="107"/>
      <c r="BK1126" s="107"/>
      <c r="BL1126" s="107"/>
      <c r="BM1126" s="107"/>
      <c r="BN1126" s="107"/>
      <c r="BO1126" s="107"/>
      <c r="BP1126" s="107"/>
      <c r="BQ1126" s="107"/>
      <c r="BR1126" s="107"/>
    </row>
    <row r="1127" customFormat="false" ht="12.75" hidden="false" customHeight="false" outlineLevel="0" collapsed="false">
      <c r="A1127" s="100"/>
      <c r="B1127" s="100"/>
      <c r="C1127" s="100"/>
      <c r="D1127" s="100"/>
      <c r="E1127" s="100"/>
      <c r="F1127" s="277"/>
      <c r="H1127" s="277"/>
      <c r="I1127" s="277"/>
      <c r="J1127" s="277"/>
      <c r="K1127" s="277"/>
      <c r="L1127" s="277"/>
      <c r="M1127" s="277"/>
      <c r="N1127" s="277"/>
      <c r="O1127" s="277"/>
      <c r="P1127" s="277"/>
      <c r="Q1127" s="277"/>
      <c r="R1127" s="277"/>
      <c r="T1127" s="277"/>
      <c r="U1127" s="277"/>
      <c r="W1127" s="277"/>
      <c r="Y1127" s="107"/>
      <c r="Z1127" s="107"/>
      <c r="AA1127" s="107"/>
      <c r="AB1127" s="107"/>
      <c r="AC1127" s="107"/>
      <c r="AD1127" s="233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7"/>
      <c r="AV1127" s="107"/>
      <c r="AW1127" s="107"/>
      <c r="AX1127" s="107"/>
      <c r="AY1127" s="107"/>
      <c r="AZ1127" s="107"/>
      <c r="BA1127" s="107"/>
      <c r="BB1127" s="107"/>
      <c r="BC1127" s="107"/>
      <c r="BD1127" s="107"/>
      <c r="BE1127" s="107"/>
      <c r="BF1127" s="107"/>
      <c r="BG1127" s="107"/>
      <c r="BH1127" s="107"/>
      <c r="BI1127" s="107"/>
      <c r="BJ1127" s="107"/>
      <c r="BK1127" s="107"/>
      <c r="BL1127" s="107"/>
      <c r="BM1127" s="107"/>
      <c r="BN1127" s="107"/>
      <c r="BO1127" s="107"/>
      <c r="BP1127" s="107"/>
      <c r="BQ1127" s="107"/>
      <c r="BR1127" s="107"/>
    </row>
    <row r="1128" customFormat="false" ht="12.75" hidden="false" customHeight="false" outlineLevel="0" collapsed="false">
      <c r="A1128" s="100"/>
      <c r="B1128" s="100"/>
      <c r="C1128" s="100"/>
      <c r="D1128" s="100"/>
      <c r="E1128" s="100"/>
      <c r="F1128" s="277"/>
      <c r="H1128" s="277"/>
      <c r="I1128" s="277"/>
      <c r="J1128" s="277"/>
      <c r="K1128" s="277"/>
      <c r="L1128" s="277"/>
      <c r="M1128" s="277"/>
      <c r="N1128" s="277"/>
      <c r="O1128" s="277"/>
      <c r="P1128" s="277"/>
      <c r="Q1128" s="277"/>
      <c r="R1128" s="277"/>
      <c r="T1128" s="277"/>
      <c r="U1128" s="277"/>
      <c r="W1128" s="277"/>
      <c r="Y1128" s="107"/>
      <c r="Z1128" s="107"/>
      <c r="AA1128" s="107"/>
      <c r="AB1128" s="107"/>
      <c r="AC1128" s="107"/>
      <c r="AD1128" s="233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7"/>
      <c r="AV1128" s="107"/>
      <c r="AW1128" s="107"/>
      <c r="AX1128" s="107"/>
      <c r="AY1128" s="107"/>
      <c r="AZ1128" s="107"/>
      <c r="BA1128" s="107"/>
      <c r="BB1128" s="107"/>
      <c r="BC1128" s="107"/>
      <c r="BD1128" s="107"/>
      <c r="BE1128" s="107"/>
      <c r="BF1128" s="107"/>
      <c r="BG1128" s="107"/>
      <c r="BH1128" s="107"/>
      <c r="BI1128" s="107"/>
      <c r="BJ1128" s="107"/>
      <c r="BK1128" s="107"/>
      <c r="BL1128" s="107"/>
      <c r="BM1128" s="107"/>
      <c r="BN1128" s="107"/>
      <c r="BO1128" s="107"/>
      <c r="BP1128" s="107"/>
      <c r="BQ1128" s="107"/>
      <c r="BR1128" s="107"/>
    </row>
    <row r="1129" customFormat="false" ht="12.75" hidden="false" customHeight="false" outlineLevel="0" collapsed="false">
      <c r="A1129" s="100"/>
      <c r="B1129" s="100"/>
      <c r="C1129" s="100"/>
      <c r="D1129" s="100"/>
      <c r="E1129" s="100"/>
      <c r="F1129" s="277"/>
      <c r="H1129" s="277"/>
      <c r="I1129" s="277"/>
      <c r="J1129" s="277"/>
      <c r="K1129" s="277"/>
      <c r="L1129" s="277"/>
      <c r="M1129" s="277"/>
      <c r="N1129" s="277"/>
      <c r="O1129" s="277"/>
      <c r="P1129" s="277"/>
      <c r="Q1129" s="277"/>
      <c r="R1129" s="277"/>
      <c r="T1129" s="277"/>
      <c r="U1129" s="277"/>
      <c r="W1129" s="277"/>
      <c r="Y1129" s="107"/>
      <c r="Z1129" s="107"/>
      <c r="AA1129" s="107"/>
      <c r="AB1129" s="107"/>
      <c r="AC1129" s="107"/>
      <c r="AD1129" s="233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7"/>
      <c r="AV1129" s="107"/>
      <c r="AW1129" s="107"/>
      <c r="AX1129" s="107"/>
      <c r="AY1129" s="107"/>
      <c r="AZ1129" s="107"/>
      <c r="BA1129" s="107"/>
      <c r="BB1129" s="107"/>
      <c r="BC1129" s="107"/>
      <c r="BD1129" s="107"/>
      <c r="BE1129" s="107"/>
      <c r="BF1129" s="107"/>
      <c r="BG1129" s="107"/>
      <c r="BH1129" s="107"/>
      <c r="BI1129" s="107"/>
      <c r="BJ1129" s="107"/>
      <c r="BK1129" s="107"/>
      <c r="BL1129" s="107"/>
      <c r="BM1129" s="107"/>
      <c r="BN1129" s="107"/>
      <c r="BO1129" s="107"/>
      <c r="BP1129" s="107"/>
      <c r="BQ1129" s="107"/>
      <c r="BR1129" s="107"/>
    </row>
    <row r="1130" customFormat="false" ht="12.75" hidden="false" customHeight="false" outlineLevel="0" collapsed="false">
      <c r="A1130" s="100"/>
      <c r="B1130" s="100"/>
      <c r="C1130" s="100"/>
      <c r="D1130" s="100"/>
      <c r="E1130" s="100"/>
      <c r="F1130" s="277"/>
      <c r="H1130" s="277"/>
      <c r="I1130" s="277"/>
      <c r="J1130" s="277"/>
      <c r="K1130" s="277"/>
      <c r="L1130" s="277"/>
      <c r="M1130" s="277"/>
      <c r="N1130" s="277"/>
      <c r="O1130" s="277"/>
      <c r="P1130" s="277"/>
      <c r="Q1130" s="277"/>
      <c r="R1130" s="277"/>
      <c r="T1130" s="277"/>
      <c r="U1130" s="277"/>
      <c r="W1130" s="277"/>
      <c r="Y1130" s="107"/>
      <c r="Z1130" s="107"/>
      <c r="AA1130" s="107"/>
      <c r="AB1130" s="107"/>
      <c r="AC1130" s="107"/>
      <c r="AD1130" s="233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7"/>
      <c r="AV1130" s="107"/>
      <c r="AW1130" s="107"/>
      <c r="AX1130" s="107"/>
      <c r="AY1130" s="107"/>
      <c r="AZ1130" s="107"/>
      <c r="BA1130" s="107"/>
      <c r="BB1130" s="107"/>
      <c r="BC1130" s="107"/>
      <c r="BD1130" s="107"/>
      <c r="BE1130" s="107"/>
      <c r="BF1130" s="107"/>
      <c r="BG1130" s="107"/>
      <c r="BH1130" s="107"/>
      <c r="BI1130" s="107"/>
      <c r="BJ1130" s="107"/>
      <c r="BK1130" s="107"/>
      <c r="BL1130" s="107"/>
      <c r="BM1130" s="107"/>
      <c r="BN1130" s="107"/>
      <c r="BO1130" s="107"/>
      <c r="BP1130" s="107"/>
      <c r="BQ1130" s="107"/>
      <c r="BR1130" s="107"/>
    </row>
    <row r="1131" customFormat="false" ht="12.75" hidden="false" customHeight="false" outlineLevel="0" collapsed="false">
      <c r="A1131" s="100"/>
      <c r="B1131" s="100"/>
      <c r="C1131" s="100"/>
      <c r="D1131" s="100"/>
      <c r="E1131" s="100"/>
      <c r="F1131" s="277"/>
      <c r="H1131" s="277"/>
      <c r="I1131" s="277"/>
      <c r="J1131" s="277"/>
      <c r="K1131" s="277"/>
      <c r="L1131" s="277"/>
      <c r="M1131" s="277"/>
      <c r="N1131" s="277"/>
      <c r="O1131" s="277"/>
      <c r="P1131" s="277"/>
      <c r="Q1131" s="277"/>
      <c r="R1131" s="277"/>
      <c r="T1131" s="277"/>
      <c r="U1131" s="277"/>
      <c r="W1131" s="277"/>
      <c r="Y1131" s="107"/>
      <c r="Z1131" s="107"/>
      <c r="AA1131" s="107"/>
      <c r="AB1131" s="107"/>
      <c r="AC1131" s="107"/>
      <c r="AD1131" s="233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7"/>
      <c r="AV1131" s="107"/>
      <c r="AW1131" s="107"/>
      <c r="AX1131" s="107"/>
      <c r="AY1131" s="107"/>
      <c r="AZ1131" s="107"/>
      <c r="BA1131" s="107"/>
      <c r="BB1131" s="107"/>
      <c r="BC1131" s="107"/>
      <c r="BD1131" s="107"/>
      <c r="BE1131" s="107"/>
      <c r="BF1131" s="107"/>
      <c r="BG1131" s="107"/>
      <c r="BH1131" s="107"/>
      <c r="BI1131" s="107"/>
      <c r="BJ1131" s="107"/>
      <c r="BK1131" s="107"/>
      <c r="BL1131" s="107"/>
      <c r="BM1131" s="107"/>
      <c r="BN1131" s="107"/>
      <c r="BO1131" s="107"/>
      <c r="BP1131" s="107"/>
      <c r="BQ1131" s="107"/>
      <c r="BR1131" s="107"/>
    </row>
    <row r="1132" customFormat="false" ht="12.75" hidden="false" customHeight="false" outlineLevel="0" collapsed="false">
      <c r="A1132" s="100"/>
      <c r="B1132" s="100"/>
      <c r="C1132" s="100"/>
      <c r="D1132" s="100"/>
      <c r="E1132" s="100"/>
      <c r="F1132" s="277"/>
      <c r="H1132" s="277"/>
      <c r="I1132" s="277"/>
      <c r="J1132" s="277"/>
      <c r="K1132" s="277"/>
      <c r="L1132" s="277"/>
      <c r="M1132" s="277"/>
      <c r="N1132" s="277"/>
      <c r="O1132" s="277"/>
      <c r="P1132" s="277"/>
      <c r="Q1132" s="277"/>
      <c r="R1132" s="277"/>
      <c r="T1132" s="277"/>
      <c r="U1132" s="277"/>
      <c r="W1132" s="277"/>
      <c r="Y1132" s="107"/>
      <c r="Z1132" s="107"/>
      <c r="AA1132" s="107"/>
      <c r="AB1132" s="107"/>
      <c r="AC1132" s="107"/>
      <c r="AD1132" s="233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7"/>
      <c r="AV1132" s="107"/>
      <c r="AW1132" s="107"/>
      <c r="AX1132" s="107"/>
      <c r="AY1132" s="107"/>
      <c r="AZ1132" s="107"/>
      <c r="BA1132" s="107"/>
      <c r="BB1132" s="107"/>
      <c r="BC1132" s="107"/>
      <c r="BD1132" s="107"/>
      <c r="BE1132" s="107"/>
      <c r="BF1132" s="107"/>
      <c r="BG1132" s="107"/>
      <c r="BH1132" s="107"/>
      <c r="BI1132" s="107"/>
      <c r="BJ1132" s="107"/>
      <c r="BK1132" s="107"/>
      <c r="BL1132" s="107"/>
      <c r="BM1132" s="107"/>
      <c r="BN1132" s="107"/>
      <c r="BO1132" s="107"/>
      <c r="BP1132" s="107"/>
      <c r="BQ1132" s="107"/>
      <c r="BR1132" s="107"/>
    </row>
    <row r="1133" customFormat="false" ht="12.75" hidden="false" customHeight="false" outlineLevel="0" collapsed="false">
      <c r="A1133" s="100"/>
      <c r="B1133" s="100"/>
      <c r="C1133" s="100"/>
      <c r="D1133" s="100"/>
      <c r="E1133" s="100"/>
      <c r="F1133" s="277"/>
      <c r="H1133" s="277"/>
      <c r="I1133" s="277"/>
      <c r="J1133" s="277"/>
      <c r="K1133" s="277"/>
      <c r="L1133" s="277"/>
      <c r="M1133" s="277"/>
      <c r="N1133" s="277"/>
      <c r="O1133" s="277"/>
      <c r="P1133" s="277"/>
      <c r="Q1133" s="277"/>
      <c r="R1133" s="277"/>
      <c r="T1133" s="277"/>
      <c r="U1133" s="277"/>
      <c r="W1133" s="277"/>
      <c r="Y1133" s="107"/>
      <c r="Z1133" s="107"/>
      <c r="AA1133" s="107"/>
      <c r="AB1133" s="107"/>
      <c r="AC1133" s="107"/>
      <c r="AD1133" s="233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7"/>
      <c r="AV1133" s="107"/>
      <c r="AW1133" s="107"/>
      <c r="AX1133" s="107"/>
      <c r="AY1133" s="107"/>
      <c r="AZ1133" s="107"/>
      <c r="BA1133" s="107"/>
      <c r="BB1133" s="107"/>
      <c r="BC1133" s="107"/>
      <c r="BD1133" s="107"/>
      <c r="BE1133" s="107"/>
      <c r="BF1133" s="107"/>
      <c r="BG1133" s="107"/>
      <c r="BH1133" s="107"/>
      <c r="BI1133" s="107"/>
      <c r="BJ1133" s="107"/>
      <c r="BK1133" s="107"/>
      <c r="BL1133" s="107"/>
      <c r="BM1133" s="107"/>
      <c r="BN1133" s="107"/>
      <c r="BO1133" s="107"/>
      <c r="BP1133" s="107"/>
      <c r="BQ1133" s="107"/>
      <c r="BR1133" s="107"/>
    </row>
    <row r="1134" customFormat="false" ht="12.75" hidden="false" customHeight="false" outlineLevel="0" collapsed="false">
      <c r="A1134" s="100"/>
      <c r="B1134" s="100"/>
      <c r="C1134" s="100"/>
      <c r="D1134" s="100"/>
      <c r="E1134" s="100"/>
      <c r="F1134" s="277"/>
      <c r="H1134" s="277"/>
      <c r="I1134" s="277"/>
      <c r="J1134" s="277"/>
      <c r="K1134" s="277"/>
      <c r="L1134" s="277"/>
      <c r="M1134" s="277"/>
      <c r="N1134" s="277"/>
      <c r="O1134" s="277"/>
      <c r="P1134" s="277"/>
      <c r="Q1134" s="277"/>
      <c r="R1134" s="277"/>
      <c r="T1134" s="277"/>
      <c r="U1134" s="277"/>
      <c r="W1134" s="277"/>
      <c r="Y1134" s="107"/>
      <c r="Z1134" s="107"/>
      <c r="AA1134" s="107"/>
      <c r="AB1134" s="107"/>
      <c r="AC1134" s="107"/>
      <c r="AD1134" s="233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7"/>
      <c r="AV1134" s="107"/>
      <c r="AW1134" s="107"/>
      <c r="AX1134" s="107"/>
      <c r="AY1134" s="107"/>
      <c r="AZ1134" s="107"/>
      <c r="BA1134" s="107"/>
      <c r="BB1134" s="107"/>
      <c r="BC1134" s="107"/>
      <c r="BD1134" s="107"/>
      <c r="BE1134" s="107"/>
      <c r="BF1134" s="107"/>
      <c r="BG1134" s="107"/>
      <c r="BH1134" s="107"/>
      <c r="BI1134" s="107"/>
      <c r="BJ1134" s="107"/>
      <c r="BK1134" s="107"/>
      <c r="BL1134" s="107"/>
      <c r="BM1134" s="107"/>
      <c r="BN1134" s="107"/>
      <c r="BO1134" s="107"/>
      <c r="BP1134" s="107"/>
      <c r="BQ1134" s="107"/>
      <c r="BR1134" s="107"/>
    </row>
    <row r="1135" customFormat="false" ht="12.75" hidden="false" customHeight="false" outlineLevel="0" collapsed="false">
      <c r="A1135" s="100"/>
      <c r="B1135" s="100"/>
      <c r="C1135" s="100"/>
      <c r="D1135" s="100"/>
      <c r="E1135" s="100"/>
      <c r="F1135" s="277"/>
      <c r="H1135" s="277"/>
      <c r="I1135" s="277"/>
      <c r="J1135" s="277"/>
      <c r="K1135" s="277"/>
      <c r="L1135" s="277"/>
      <c r="M1135" s="277"/>
      <c r="N1135" s="277"/>
      <c r="O1135" s="277"/>
      <c r="P1135" s="277"/>
      <c r="Q1135" s="277"/>
      <c r="R1135" s="277"/>
      <c r="T1135" s="277"/>
      <c r="U1135" s="277"/>
      <c r="W1135" s="277"/>
      <c r="Y1135" s="107"/>
      <c r="Z1135" s="107"/>
      <c r="AA1135" s="107"/>
      <c r="AB1135" s="107"/>
      <c r="AC1135" s="107"/>
      <c r="AD1135" s="233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7"/>
      <c r="AV1135" s="107"/>
      <c r="AW1135" s="107"/>
      <c r="AX1135" s="107"/>
      <c r="AY1135" s="107"/>
      <c r="AZ1135" s="107"/>
      <c r="BA1135" s="107"/>
      <c r="BB1135" s="107"/>
      <c r="BC1135" s="107"/>
      <c r="BD1135" s="107"/>
      <c r="BE1135" s="107"/>
      <c r="BF1135" s="107"/>
      <c r="BG1135" s="107"/>
      <c r="BH1135" s="107"/>
      <c r="BI1135" s="107"/>
      <c r="BJ1135" s="107"/>
      <c r="BK1135" s="107"/>
      <c r="BL1135" s="107"/>
      <c r="BM1135" s="107"/>
      <c r="BN1135" s="107"/>
      <c r="BO1135" s="107"/>
      <c r="BP1135" s="107"/>
      <c r="BQ1135" s="107"/>
      <c r="BR1135" s="107"/>
    </row>
    <row r="1136" customFormat="false" ht="12.75" hidden="false" customHeight="false" outlineLevel="0" collapsed="false">
      <c r="A1136" s="100"/>
      <c r="B1136" s="100"/>
      <c r="C1136" s="100"/>
      <c r="D1136" s="100"/>
      <c r="E1136" s="100"/>
      <c r="F1136" s="277"/>
      <c r="H1136" s="277"/>
      <c r="I1136" s="277"/>
      <c r="J1136" s="277"/>
      <c r="K1136" s="277"/>
      <c r="L1136" s="277"/>
      <c r="M1136" s="277"/>
      <c r="N1136" s="277"/>
      <c r="O1136" s="277"/>
      <c r="P1136" s="277"/>
      <c r="Q1136" s="277"/>
      <c r="R1136" s="277"/>
      <c r="T1136" s="277"/>
      <c r="U1136" s="277"/>
      <c r="W1136" s="277"/>
      <c r="Y1136" s="107"/>
      <c r="Z1136" s="107"/>
      <c r="AA1136" s="107"/>
      <c r="AB1136" s="107"/>
      <c r="AC1136" s="107"/>
      <c r="AD1136" s="233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7"/>
      <c r="AV1136" s="107"/>
      <c r="AW1136" s="107"/>
      <c r="AX1136" s="107"/>
      <c r="AY1136" s="107"/>
      <c r="AZ1136" s="107"/>
      <c r="BA1136" s="107"/>
      <c r="BB1136" s="107"/>
      <c r="BC1136" s="107"/>
      <c r="BD1136" s="107"/>
      <c r="BE1136" s="107"/>
      <c r="BF1136" s="107"/>
      <c r="BG1136" s="107"/>
      <c r="BH1136" s="107"/>
      <c r="BI1136" s="107"/>
      <c r="BJ1136" s="107"/>
      <c r="BK1136" s="107"/>
      <c r="BL1136" s="107"/>
      <c r="BM1136" s="107"/>
      <c r="BN1136" s="107"/>
      <c r="BO1136" s="107"/>
      <c r="BP1136" s="107"/>
      <c r="BQ1136" s="107"/>
      <c r="BR1136" s="107"/>
    </row>
    <row r="1137" customFormat="false" ht="12.75" hidden="false" customHeight="false" outlineLevel="0" collapsed="false">
      <c r="A1137" s="100"/>
      <c r="B1137" s="100"/>
      <c r="C1137" s="100"/>
      <c r="D1137" s="100"/>
      <c r="E1137" s="100"/>
      <c r="F1137" s="277"/>
      <c r="H1137" s="277"/>
      <c r="I1137" s="277"/>
      <c r="J1137" s="277"/>
      <c r="K1137" s="277"/>
      <c r="L1137" s="277"/>
      <c r="M1137" s="277"/>
      <c r="N1137" s="277"/>
      <c r="O1137" s="277"/>
      <c r="P1137" s="277"/>
      <c r="Q1137" s="277"/>
      <c r="R1137" s="277"/>
      <c r="T1137" s="277"/>
      <c r="U1137" s="277"/>
      <c r="W1137" s="277"/>
      <c r="Y1137" s="107"/>
      <c r="Z1137" s="107"/>
      <c r="AA1137" s="107"/>
      <c r="AB1137" s="107"/>
      <c r="AC1137" s="107"/>
      <c r="AD1137" s="233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7"/>
      <c r="AV1137" s="107"/>
      <c r="AW1137" s="107"/>
      <c r="AX1137" s="107"/>
      <c r="AY1137" s="107"/>
      <c r="AZ1137" s="107"/>
      <c r="BA1137" s="107"/>
      <c r="BB1137" s="107"/>
      <c r="BC1137" s="107"/>
      <c r="BD1137" s="107"/>
      <c r="BE1137" s="107"/>
      <c r="BF1137" s="107"/>
      <c r="BG1137" s="107"/>
      <c r="BH1137" s="107"/>
      <c r="BI1137" s="107"/>
      <c r="BJ1137" s="107"/>
      <c r="BK1137" s="107"/>
      <c r="BL1137" s="107"/>
      <c r="BM1137" s="107"/>
      <c r="BN1137" s="107"/>
      <c r="BO1137" s="107"/>
      <c r="BP1137" s="107"/>
      <c r="BQ1137" s="107"/>
      <c r="BR1137" s="107"/>
    </row>
    <row r="1138" customFormat="false" ht="12.75" hidden="false" customHeight="false" outlineLevel="0" collapsed="false">
      <c r="A1138" s="100"/>
      <c r="B1138" s="100"/>
      <c r="C1138" s="100"/>
      <c r="D1138" s="100"/>
      <c r="E1138" s="100"/>
      <c r="F1138" s="277"/>
      <c r="H1138" s="277"/>
      <c r="I1138" s="277"/>
      <c r="J1138" s="277"/>
      <c r="K1138" s="277"/>
      <c r="L1138" s="277"/>
      <c r="M1138" s="277"/>
      <c r="N1138" s="277"/>
      <c r="O1138" s="277"/>
      <c r="P1138" s="277"/>
      <c r="Q1138" s="277"/>
      <c r="R1138" s="277"/>
      <c r="T1138" s="277"/>
      <c r="U1138" s="277"/>
      <c r="W1138" s="277"/>
      <c r="Y1138" s="107"/>
      <c r="Z1138" s="107"/>
      <c r="AA1138" s="107"/>
      <c r="AB1138" s="107"/>
      <c r="AC1138" s="107"/>
      <c r="AD1138" s="233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7"/>
      <c r="AV1138" s="107"/>
      <c r="AW1138" s="107"/>
      <c r="AX1138" s="107"/>
      <c r="AY1138" s="107"/>
      <c r="AZ1138" s="107"/>
      <c r="BA1138" s="107"/>
      <c r="BB1138" s="107"/>
      <c r="BC1138" s="107"/>
      <c r="BD1138" s="107"/>
      <c r="BE1138" s="107"/>
      <c r="BF1138" s="107"/>
      <c r="BG1138" s="107"/>
      <c r="BH1138" s="107"/>
      <c r="BI1138" s="107"/>
      <c r="BJ1138" s="107"/>
      <c r="BK1138" s="107"/>
      <c r="BL1138" s="107"/>
      <c r="BM1138" s="107"/>
      <c r="BN1138" s="107"/>
      <c r="BO1138" s="107"/>
      <c r="BP1138" s="107"/>
      <c r="BQ1138" s="107"/>
      <c r="BR1138" s="107"/>
    </row>
    <row r="1139" customFormat="false" ht="12.75" hidden="false" customHeight="false" outlineLevel="0" collapsed="false">
      <c r="A1139" s="100"/>
      <c r="B1139" s="100"/>
      <c r="C1139" s="100"/>
      <c r="D1139" s="100"/>
      <c r="E1139" s="100"/>
      <c r="F1139" s="277"/>
      <c r="H1139" s="277"/>
      <c r="I1139" s="277"/>
      <c r="J1139" s="277"/>
      <c r="K1139" s="277"/>
      <c r="L1139" s="277"/>
      <c r="M1139" s="277"/>
      <c r="N1139" s="277"/>
      <c r="O1139" s="277"/>
      <c r="P1139" s="277"/>
      <c r="Q1139" s="277"/>
      <c r="R1139" s="277"/>
      <c r="T1139" s="277"/>
      <c r="U1139" s="277"/>
      <c r="W1139" s="277"/>
      <c r="Y1139" s="107"/>
      <c r="Z1139" s="107"/>
      <c r="AA1139" s="107"/>
      <c r="AB1139" s="107"/>
      <c r="AC1139" s="107"/>
      <c r="AD1139" s="233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7"/>
      <c r="AV1139" s="107"/>
      <c r="AW1139" s="107"/>
      <c r="AX1139" s="107"/>
      <c r="AY1139" s="107"/>
      <c r="AZ1139" s="107"/>
      <c r="BA1139" s="107"/>
      <c r="BB1139" s="107"/>
      <c r="BC1139" s="107"/>
      <c r="BD1139" s="107"/>
      <c r="BE1139" s="107"/>
      <c r="BF1139" s="107"/>
      <c r="BG1139" s="107"/>
      <c r="BH1139" s="107"/>
      <c r="BI1139" s="107"/>
      <c r="BJ1139" s="107"/>
      <c r="BK1139" s="107"/>
      <c r="BL1139" s="107"/>
      <c r="BM1139" s="107"/>
      <c r="BN1139" s="107"/>
      <c r="BO1139" s="107"/>
      <c r="BP1139" s="107"/>
      <c r="BQ1139" s="107"/>
      <c r="BR1139" s="107"/>
    </row>
    <row r="1140" customFormat="false" ht="12.75" hidden="false" customHeight="false" outlineLevel="0" collapsed="false">
      <c r="A1140" s="100"/>
      <c r="B1140" s="100"/>
      <c r="C1140" s="100"/>
      <c r="D1140" s="100"/>
      <c r="E1140" s="100"/>
      <c r="F1140" s="277"/>
      <c r="H1140" s="277"/>
      <c r="I1140" s="277"/>
      <c r="J1140" s="277"/>
      <c r="K1140" s="277"/>
      <c r="L1140" s="277"/>
      <c r="M1140" s="277"/>
      <c r="N1140" s="277"/>
      <c r="O1140" s="277"/>
      <c r="P1140" s="277"/>
      <c r="Q1140" s="277"/>
      <c r="R1140" s="277"/>
      <c r="T1140" s="277"/>
      <c r="U1140" s="277"/>
      <c r="W1140" s="277"/>
      <c r="Y1140" s="107"/>
      <c r="Z1140" s="107"/>
      <c r="AA1140" s="107"/>
      <c r="AB1140" s="107"/>
      <c r="AC1140" s="107"/>
      <c r="AD1140" s="233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7"/>
      <c r="AV1140" s="107"/>
      <c r="AW1140" s="107"/>
      <c r="AX1140" s="107"/>
      <c r="AY1140" s="107"/>
      <c r="AZ1140" s="107"/>
      <c r="BA1140" s="107"/>
      <c r="BB1140" s="107"/>
      <c r="BC1140" s="107"/>
      <c r="BD1140" s="107"/>
      <c r="BE1140" s="107"/>
      <c r="BF1140" s="107"/>
      <c r="BG1140" s="107"/>
      <c r="BH1140" s="107"/>
      <c r="BI1140" s="107"/>
      <c r="BJ1140" s="107"/>
      <c r="BK1140" s="107"/>
      <c r="BL1140" s="107"/>
      <c r="BM1140" s="107"/>
      <c r="BN1140" s="107"/>
      <c r="BO1140" s="107"/>
      <c r="BP1140" s="107"/>
      <c r="BQ1140" s="107"/>
      <c r="BR1140" s="107"/>
    </row>
    <row r="1141" customFormat="false" ht="12.75" hidden="false" customHeight="false" outlineLevel="0" collapsed="false">
      <c r="A1141" s="100"/>
      <c r="B1141" s="100"/>
      <c r="C1141" s="100"/>
      <c r="D1141" s="100"/>
      <c r="E1141" s="100"/>
      <c r="F1141" s="277"/>
      <c r="H1141" s="277"/>
      <c r="I1141" s="277"/>
      <c r="J1141" s="277"/>
      <c r="K1141" s="277"/>
      <c r="L1141" s="277"/>
      <c r="M1141" s="277"/>
      <c r="N1141" s="277"/>
      <c r="O1141" s="277"/>
      <c r="P1141" s="277"/>
      <c r="Q1141" s="277"/>
      <c r="R1141" s="277"/>
      <c r="T1141" s="277"/>
      <c r="U1141" s="277"/>
      <c r="W1141" s="277"/>
      <c r="Y1141" s="107"/>
      <c r="Z1141" s="107"/>
      <c r="AA1141" s="107"/>
      <c r="AB1141" s="107"/>
      <c r="AC1141" s="107"/>
      <c r="AD1141" s="233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7"/>
      <c r="AV1141" s="107"/>
      <c r="AW1141" s="107"/>
      <c r="AX1141" s="107"/>
      <c r="AY1141" s="107"/>
      <c r="AZ1141" s="107"/>
      <c r="BA1141" s="107"/>
      <c r="BB1141" s="107"/>
      <c r="BC1141" s="107"/>
      <c r="BD1141" s="107"/>
      <c r="BE1141" s="107"/>
      <c r="BF1141" s="107"/>
      <c r="BG1141" s="107"/>
      <c r="BH1141" s="107"/>
      <c r="BI1141" s="107"/>
      <c r="BJ1141" s="107"/>
      <c r="BK1141" s="107"/>
      <c r="BL1141" s="107"/>
      <c r="BM1141" s="107"/>
      <c r="BN1141" s="107"/>
      <c r="BO1141" s="107"/>
      <c r="BP1141" s="107"/>
      <c r="BQ1141" s="107"/>
      <c r="BR1141" s="107"/>
    </row>
    <row r="1142" customFormat="false" ht="12.75" hidden="false" customHeight="false" outlineLevel="0" collapsed="false">
      <c r="A1142" s="100"/>
      <c r="B1142" s="100"/>
      <c r="C1142" s="100"/>
      <c r="D1142" s="100"/>
      <c r="E1142" s="100"/>
      <c r="F1142" s="277"/>
      <c r="H1142" s="277"/>
      <c r="I1142" s="277"/>
      <c r="J1142" s="277"/>
      <c r="K1142" s="277"/>
      <c r="L1142" s="277"/>
      <c r="M1142" s="277"/>
      <c r="N1142" s="277"/>
      <c r="O1142" s="277"/>
      <c r="P1142" s="277"/>
      <c r="Q1142" s="277"/>
      <c r="R1142" s="277"/>
      <c r="T1142" s="277"/>
      <c r="U1142" s="277"/>
      <c r="W1142" s="277"/>
      <c r="Y1142" s="107"/>
      <c r="Z1142" s="107"/>
      <c r="AA1142" s="107"/>
      <c r="AB1142" s="107"/>
      <c r="AC1142" s="107"/>
      <c r="AD1142" s="233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7"/>
      <c r="AV1142" s="107"/>
      <c r="AW1142" s="107"/>
      <c r="AX1142" s="107"/>
      <c r="AY1142" s="107"/>
      <c r="AZ1142" s="107"/>
      <c r="BA1142" s="107"/>
      <c r="BB1142" s="107"/>
      <c r="BC1142" s="107"/>
      <c r="BD1142" s="107"/>
      <c r="BE1142" s="107"/>
      <c r="BF1142" s="107"/>
      <c r="BG1142" s="107"/>
      <c r="BH1142" s="107"/>
      <c r="BI1142" s="107"/>
      <c r="BJ1142" s="107"/>
      <c r="BK1142" s="107"/>
      <c r="BL1142" s="107"/>
      <c r="BM1142" s="107"/>
      <c r="BN1142" s="107"/>
      <c r="BO1142" s="107"/>
      <c r="BP1142" s="107"/>
      <c r="BQ1142" s="107"/>
      <c r="BR1142" s="107"/>
    </row>
    <row r="1143" customFormat="false" ht="12.75" hidden="false" customHeight="false" outlineLevel="0" collapsed="false">
      <c r="A1143" s="100"/>
      <c r="B1143" s="100"/>
      <c r="C1143" s="100"/>
      <c r="D1143" s="100"/>
      <c r="E1143" s="100"/>
      <c r="F1143" s="277"/>
      <c r="H1143" s="277"/>
      <c r="I1143" s="277"/>
      <c r="J1143" s="277"/>
      <c r="K1143" s="277"/>
      <c r="L1143" s="277"/>
      <c r="M1143" s="277"/>
      <c r="N1143" s="277"/>
      <c r="O1143" s="277"/>
      <c r="P1143" s="277"/>
      <c r="Q1143" s="277"/>
      <c r="R1143" s="277"/>
      <c r="T1143" s="277"/>
      <c r="U1143" s="277"/>
      <c r="W1143" s="277"/>
      <c r="Y1143" s="107"/>
      <c r="Z1143" s="107"/>
      <c r="AA1143" s="107"/>
      <c r="AB1143" s="107"/>
      <c r="AC1143" s="107"/>
      <c r="AD1143" s="233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7"/>
      <c r="AV1143" s="107"/>
      <c r="AW1143" s="107"/>
      <c r="AX1143" s="107"/>
      <c r="AY1143" s="107"/>
      <c r="AZ1143" s="107"/>
      <c r="BA1143" s="107"/>
      <c r="BB1143" s="107"/>
      <c r="BC1143" s="107"/>
      <c r="BD1143" s="107"/>
      <c r="BE1143" s="107"/>
      <c r="BF1143" s="107"/>
      <c r="BG1143" s="107"/>
      <c r="BH1143" s="107"/>
      <c r="BI1143" s="107"/>
      <c r="BJ1143" s="107"/>
      <c r="BK1143" s="107"/>
      <c r="BL1143" s="107"/>
      <c r="BM1143" s="107"/>
      <c r="BN1143" s="107"/>
      <c r="BO1143" s="107"/>
      <c r="BP1143" s="107"/>
      <c r="BQ1143" s="107"/>
      <c r="BR1143" s="107"/>
    </row>
    <row r="1144" customFormat="false" ht="12.75" hidden="false" customHeight="false" outlineLevel="0" collapsed="false">
      <c r="A1144" s="100"/>
      <c r="B1144" s="100"/>
      <c r="C1144" s="100"/>
      <c r="D1144" s="100"/>
      <c r="E1144" s="100"/>
      <c r="F1144" s="277"/>
      <c r="H1144" s="277"/>
      <c r="I1144" s="277"/>
      <c r="J1144" s="277"/>
      <c r="K1144" s="277"/>
      <c r="L1144" s="277"/>
      <c r="M1144" s="277"/>
      <c r="N1144" s="277"/>
      <c r="O1144" s="277"/>
      <c r="P1144" s="277"/>
      <c r="Q1144" s="277"/>
      <c r="R1144" s="277"/>
      <c r="T1144" s="277"/>
      <c r="U1144" s="277"/>
      <c r="W1144" s="277"/>
      <c r="Y1144" s="107"/>
      <c r="Z1144" s="107"/>
      <c r="AA1144" s="107"/>
      <c r="AB1144" s="107"/>
      <c r="AC1144" s="107"/>
      <c r="AD1144" s="233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7"/>
      <c r="AV1144" s="107"/>
      <c r="AW1144" s="107"/>
      <c r="AX1144" s="107"/>
      <c r="AY1144" s="107"/>
      <c r="AZ1144" s="107"/>
      <c r="BA1144" s="107"/>
      <c r="BB1144" s="107"/>
      <c r="BC1144" s="107"/>
      <c r="BD1144" s="107"/>
      <c r="BE1144" s="107"/>
      <c r="BF1144" s="107"/>
      <c r="BG1144" s="107"/>
      <c r="BH1144" s="107"/>
      <c r="BI1144" s="107"/>
      <c r="BJ1144" s="107"/>
      <c r="BK1144" s="107"/>
      <c r="BL1144" s="107"/>
      <c r="BM1144" s="107"/>
      <c r="BN1144" s="107"/>
      <c r="BO1144" s="107"/>
      <c r="BP1144" s="107"/>
      <c r="BQ1144" s="107"/>
      <c r="BR1144" s="107"/>
    </row>
    <row r="1145" customFormat="false" ht="12.75" hidden="false" customHeight="false" outlineLevel="0" collapsed="false">
      <c r="A1145" s="100"/>
      <c r="B1145" s="100"/>
      <c r="C1145" s="100"/>
      <c r="D1145" s="100"/>
      <c r="E1145" s="100"/>
      <c r="F1145" s="277"/>
      <c r="H1145" s="277"/>
      <c r="I1145" s="277"/>
      <c r="J1145" s="277"/>
      <c r="K1145" s="277"/>
      <c r="L1145" s="277"/>
      <c r="M1145" s="277"/>
      <c r="N1145" s="277"/>
      <c r="O1145" s="277"/>
      <c r="P1145" s="277"/>
      <c r="Q1145" s="277"/>
      <c r="R1145" s="277"/>
      <c r="T1145" s="277"/>
      <c r="U1145" s="277"/>
      <c r="W1145" s="277"/>
      <c r="Y1145" s="107"/>
      <c r="Z1145" s="107"/>
      <c r="AA1145" s="107"/>
      <c r="AB1145" s="107"/>
      <c r="AC1145" s="107"/>
      <c r="AD1145" s="233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7"/>
      <c r="AV1145" s="107"/>
      <c r="AW1145" s="107"/>
      <c r="AX1145" s="107"/>
      <c r="AY1145" s="107"/>
      <c r="AZ1145" s="107"/>
      <c r="BA1145" s="107"/>
      <c r="BB1145" s="107"/>
      <c r="BC1145" s="107"/>
      <c r="BD1145" s="107"/>
      <c r="BE1145" s="107"/>
      <c r="BF1145" s="107"/>
      <c r="BG1145" s="107"/>
      <c r="BH1145" s="107"/>
      <c r="BI1145" s="107"/>
      <c r="BJ1145" s="107"/>
      <c r="BK1145" s="107"/>
      <c r="BL1145" s="107"/>
      <c r="BM1145" s="107"/>
      <c r="BN1145" s="107"/>
      <c r="BO1145" s="107"/>
      <c r="BP1145" s="107"/>
      <c r="BQ1145" s="107"/>
      <c r="BR1145" s="107"/>
    </row>
    <row r="1146" customFormat="false" ht="12.75" hidden="false" customHeight="false" outlineLevel="0" collapsed="false">
      <c r="A1146" s="100"/>
      <c r="B1146" s="100"/>
      <c r="C1146" s="100"/>
      <c r="D1146" s="100"/>
      <c r="E1146" s="100"/>
      <c r="F1146" s="277"/>
      <c r="H1146" s="277"/>
      <c r="I1146" s="277"/>
      <c r="J1146" s="277"/>
      <c r="K1146" s="277"/>
      <c r="L1146" s="277"/>
      <c r="M1146" s="277"/>
      <c r="N1146" s="277"/>
      <c r="O1146" s="277"/>
      <c r="P1146" s="277"/>
      <c r="Q1146" s="277"/>
      <c r="R1146" s="277"/>
      <c r="T1146" s="277"/>
      <c r="U1146" s="277"/>
      <c r="W1146" s="277"/>
      <c r="Y1146" s="107"/>
      <c r="Z1146" s="107"/>
      <c r="AA1146" s="107"/>
      <c r="AB1146" s="107"/>
      <c r="AC1146" s="107"/>
      <c r="AD1146" s="233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7"/>
      <c r="AV1146" s="107"/>
      <c r="AW1146" s="107"/>
      <c r="AX1146" s="107"/>
      <c r="AY1146" s="107"/>
      <c r="AZ1146" s="107"/>
      <c r="BA1146" s="107"/>
      <c r="BB1146" s="107"/>
      <c r="BC1146" s="107"/>
      <c r="BD1146" s="107"/>
      <c r="BE1146" s="107"/>
      <c r="BF1146" s="107"/>
      <c r="BG1146" s="107"/>
      <c r="BH1146" s="107"/>
      <c r="BI1146" s="107"/>
      <c r="BJ1146" s="107"/>
      <c r="BK1146" s="107"/>
      <c r="BL1146" s="107"/>
      <c r="BM1146" s="107"/>
      <c r="BN1146" s="107"/>
      <c r="BO1146" s="107"/>
      <c r="BP1146" s="107"/>
      <c r="BQ1146" s="107"/>
      <c r="BR1146" s="107"/>
    </row>
    <row r="1147" customFormat="false" ht="12.75" hidden="false" customHeight="false" outlineLevel="0" collapsed="false">
      <c r="A1147" s="100"/>
      <c r="B1147" s="100"/>
      <c r="C1147" s="100"/>
      <c r="D1147" s="100"/>
      <c r="E1147" s="100"/>
      <c r="F1147" s="277"/>
      <c r="H1147" s="277"/>
      <c r="I1147" s="277"/>
      <c r="J1147" s="277"/>
      <c r="K1147" s="277"/>
      <c r="L1147" s="277"/>
      <c r="M1147" s="277"/>
      <c r="N1147" s="277"/>
      <c r="O1147" s="277"/>
      <c r="P1147" s="277"/>
      <c r="Q1147" s="277"/>
      <c r="R1147" s="277"/>
      <c r="T1147" s="277"/>
      <c r="U1147" s="277"/>
      <c r="W1147" s="277"/>
      <c r="Y1147" s="107"/>
      <c r="Z1147" s="107"/>
      <c r="AA1147" s="107"/>
      <c r="AB1147" s="107"/>
      <c r="AC1147" s="107"/>
      <c r="AD1147" s="233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7"/>
      <c r="AV1147" s="107"/>
      <c r="AW1147" s="107"/>
      <c r="AX1147" s="107"/>
      <c r="AY1147" s="107"/>
      <c r="AZ1147" s="107"/>
      <c r="BA1147" s="107"/>
      <c r="BB1147" s="107"/>
      <c r="BC1147" s="107"/>
      <c r="BD1147" s="107"/>
      <c r="BE1147" s="107"/>
      <c r="BF1147" s="107"/>
      <c r="BG1147" s="107"/>
      <c r="BH1147" s="107"/>
      <c r="BI1147" s="107"/>
      <c r="BJ1147" s="107"/>
      <c r="BK1147" s="107"/>
      <c r="BL1147" s="107"/>
      <c r="BM1147" s="107"/>
      <c r="BN1147" s="107"/>
      <c r="BO1147" s="107"/>
      <c r="BP1147" s="107"/>
      <c r="BQ1147" s="107"/>
      <c r="BR1147" s="107"/>
    </row>
    <row r="1148" customFormat="false" ht="12.75" hidden="false" customHeight="false" outlineLevel="0" collapsed="false">
      <c r="A1148" s="100"/>
      <c r="B1148" s="100"/>
      <c r="C1148" s="100"/>
      <c r="D1148" s="100"/>
      <c r="E1148" s="100"/>
      <c r="F1148" s="277"/>
      <c r="H1148" s="277"/>
      <c r="I1148" s="277"/>
      <c r="J1148" s="277"/>
      <c r="K1148" s="277"/>
      <c r="L1148" s="277"/>
      <c r="M1148" s="277"/>
      <c r="N1148" s="277"/>
      <c r="O1148" s="277"/>
      <c r="P1148" s="277"/>
      <c r="Q1148" s="277"/>
      <c r="R1148" s="277"/>
      <c r="T1148" s="277"/>
      <c r="U1148" s="277"/>
      <c r="W1148" s="277"/>
      <c r="Y1148" s="107"/>
      <c r="Z1148" s="107"/>
      <c r="AA1148" s="107"/>
      <c r="AB1148" s="107"/>
      <c r="AC1148" s="107"/>
      <c r="AD1148" s="233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7"/>
      <c r="AV1148" s="107"/>
      <c r="AW1148" s="107"/>
      <c r="AX1148" s="107"/>
      <c r="AY1148" s="107"/>
      <c r="AZ1148" s="107"/>
      <c r="BA1148" s="107"/>
      <c r="BB1148" s="107"/>
      <c r="BC1148" s="107"/>
      <c r="BD1148" s="107"/>
      <c r="BE1148" s="107"/>
      <c r="BF1148" s="107"/>
      <c r="BG1148" s="107"/>
      <c r="BH1148" s="107"/>
      <c r="BI1148" s="107"/>
      <c r="BJ1148" s="107"/>
      <c r="BK1148" s="107"/>
      <c r="BL1148" s="107"/>
      <c r="BM1148" s="107"/>
      <c r="BN1148" s="107"/>
      <c r="BO1148" s="107"/>
      <c r="BP1148" s="107"/>
      <c r="BQ1148" s="107"/>
      <c r="BR1148" s="107"/>
    </row>
    <row r="1149" customFormat="false" ht="12.75" hidden="false" customHeight="false" outlineLevel="0" collapsed="false">
      <c r="A1149" s="100"/>
      <c r="B1149" s="100"/>
      <c r="C1149" s="100"/>
      <c r="D1149" s="100"/>
      <c r="E1149" s="100"/>
      <c r="F1149" s="277"/>
      <c r="H1149" s="277"/>
      <c r="I1149" s="277"/>
      <c r="J1149" s="277"/>
      <c r="K1149" s="277"/>
      <c r="L1149" s="277"/>
      <c r="M1149" s="277"/>
      <c r="N1149" s="277"/>
      <c r="O1149" s="277"/>
      <c r="P1149" s="277"/>
      <c r="Q1149" s="277"/>
      <c r="R1149" s="277"/>
      <c r="T1149" s="277"/>
      <c r="U1149" s="277"/>
      <c r="W1149" s="277"/>
      <c r="Y1149" s="107"/>
      <c r="Z1149" s="107"/>
      <c r="AA1149" s="107"/>
      <c r="AB1149" s="107"/>
      <c r="AC1149" s="107"/>
      <c r="AD1149" s="233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7"/>
      <c r="AV1149" s="107"/>
      <c r="AW1149" s="107"/>
      <c r="AX1149" s="107"/>
      <c r="AY1149" s="107"/>
      <c r="AZ1149" s="107"/>
      <c r="BA1149" s="107"/>
      <c r="BB1149" s="107"/>
      <c r="BC1149" s="107"/>
      <c r="BD1149" s="107"/>
      <c r="BE1149" s="107"/>
      <c r="BF1149" s="107"/>
      <c r="BG1149" s="107"/>
      <c r="BH1149" s="107"/>
      <c r="BI1149" s="107"/>
      <c r="BJ1149" s="107"/>
      <c r="BK1149" s="107"/>
      <c r="BL1149" s="107"/>
      <c r="BM1149" s="107"/>
      <c r="BN1149" s="107"/>
      <c r="BO1149" s="107"/>
      <c r="BP1149" s="107"/>
      <c r="BQ1149" s="107"/>
      <c r="BR1149" s="107"/>
    </row>
    <row r="1150" customFormat="false" ht="12.75" hidden="false" customHeight="false" outlineLevel="0" collapsed="false">
      <c r="A1150" s="100"/>
      <c r="B1150" s="100"/>
      <c r="C1150" s="100"/>
      <c r="D1150" s="100"/>
      <c r="E1150" s="100"/>
      <c r="F1150" s="277"/>
      <c r="H1150" s="277"/>
      <c r="I1150" s="277"/>
      <c r="J1150" s="277"/>
      <c r="K1150" s="277"/>
      <c r="L1150" s="277"/>
      <c r="M1150" s="277"/>
      <c r="N1150" s="277"/>
      <c r="O1150" s="277"/>
      <c r="P1150" s="277"/>
      <c r="Q1150" s="277"/>
      <c r="R1150" s="277"/>
      <c r="T1150" s="277"/>
      <c r="U1150" s="277"/>
      <c r="W1150" s="277"/>
      <c r="Y1150" s="107"/>
      <c r="Z1150" s="107"/>
      <c r="AA1150" s="107"/>
      <c r="AB1150" s="107"/>
      <c r="AC1150" s="107"/>
      <c r="AD1150" s="233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7"/>
      <c r="AV1150" s="107"/>
      <c r="AW1150" s="107"/>
      <c r="AX1150" s="107"/>
      <c r="AY1150" s="107"/>
      <c r="AZ1150" s="107"/>
      <c r="BA1150" s="107"/>
      <c r="BB1150" s="107"/>
      <c r="BC1150" s="107"/>
      <c r="BD1150" s="107"/>
      <c r="BE1150" s="107"/>
      <c r="BF1150" s="107"/>
      <c r="BG1150" s="107"/>
      <c r="BH1150" s="107"/>
      <c r="BI1150" s="107"/>
      <c r="BJ1150" s="107"/>
      <c r="BK1150" s="107"/>
      <c r="BL1150" s="107"/>
      <c r="BM1150" s="107"/>
      <c r="BN1150" s="107"/>
      <c r="BO1150" s="107"/>
      <c r="BP1150" s="107"/>
      <c r="BQ1150" s="107"/>
      <c r="BR1150" s="107"/>
    </row>
    <row r="1151" customFormat="false" ht="12.75" hidden="false" customHeight="false" outlineLevel="0" collapsed="false">
      <c r="A1151" s="100"/>
      <c r="B1151" s="100"/>
      <c r="C1151" s="100"/>
      <c r="D1151" s="100"/>
      <c r="E1151" s="100"/>
      <c r="F1151" s="277"/>
      <c r="H1151" s="277"/>
      <c r="I1151" s="277"/>
      <c r="J1151" s="277"/>
      <c r="K1151" s="277"/>
      <c r="L1151" s="277"/>
      <c r="M1151" s="277"/>
      <c r="N1151" s="277"/>
      <c r="O1151" s="277"/>
      <c r="P1151" s="277"/>
      <c r="Q1151" s="277"/>
      <c r="R1151" s="277"/>
      <c r="T1151" s="277"/>
      <c r="U1151" s="277"/>
      <c r="W1151" s="277"/>
      <c r="Y1151" s="107"/>
      <c r="Z1151" s="107"/>
      <c r="AA1151" s="107"/>
      <c r="AB1151" s="107"/>
      <c r="AC1151" s="107"/>
      <c r="AD1151" s="233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7"/>
      <c r="AV1151" s="107"/>
      <c r="AW1151" s="107"/>
      <c r="AX1151" s="107"/>
      <c r="AY1151" s="107"/>
      <c r="AZ1151" s="107"/>
      <c r="BA1151" s="107"/>
      <c r="BB1151" s="107"/>
      <c r="BC1151" s="107"/>
      <c r="BD1151" s="107"/>
      <c r="BE1151" s="107"/>
      <c r="BF1151" s="107"/>
      <c r="BG1151" s="107"/>
      <c r="BH1151" s="107"/>
      <c r="BI1151" s="107"/>
      <c r="BJ1151" s="107"/>
      <c r="BK1151" s="107"/>
      <c r="BL1151" s="107"/>
      <c r="BM1151" s="107"/>
      <c r="BN1151" s="107"/>
      <c r="BO1151" s="107"/>
      <c r="BP1151" s="107"/>
      <c r="BQ1151" s="107"/>
      <c r="BR1151" s="107"/>
    </row>
    <row r="1152" customFormat="false" ht="12.75" hidden="false" customHeight="false" outlineLevel="0" collapsed="false">
      <c r="A1152" s="100"/>
      <c r="B1152" s="100"/>
      <c r="C1152" s="100"/>
      <c r="D1152" s="100"/>
      <c r="E1152" s="100"/>
      <c r="F1152" s="277"/>
      <c r="H1152" s="277"/>
      <c r="I1152" s="277"/>
      <c r="J1152" s="277"/>
      <c r="K1152" s="277"/>
      <c r="L1152" s="277"/>
      <c r="M1152" s="277"/>
      <c r="N1152" s="277"/>
      <c r="O1152" s="277"/>
      <c r="P1152" s="277"/>
      <c r="Q1152" s="277"/>
      <c r="R1152" s="277"/>
      <c r="T1152" s="277"/>
      <c r="U1152" s="277"/>
      <c r="W1152" s="277"/>
      <c r="Y1152" s="107"/>
      <c r="Z1152" s="107"/>
      <c r="AA1152" s="107"/>
      <c r="AB1152" s="107"/>
      <c r="AC1152" s="107"/>
      <c r="AD1152" s="233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7"/>
      <c r="AV1152" s="107"/>
      <c r="AW1152" s="107"/>
      <c r="AX1152" s="107"/>
      <c r="AY1152" s="107"/>
      <c r="AZ1152" s="107"/>
      <c r="BA1152" s="107"/>
      <c r="BB1152" s="107"/>
      <c r="BC1152" s="107"/>
      <c r="BD1152" s="107"/>
      <c r="BE1152" s="107"/>
      <c r="BF1152" s="107"/>
      <c r="BG1152" s="107"/>
      <c r="BH1152" s="107"/>
      <c r="BI1152" s="107"/>
      <c r="BJ1152" s="107"/>
      <c r="BK1152" s="107"/>
      <c r="BL1152" s="107"/>
      <c r="BM1152" s="107"/>
      <c r="BN1152" s="107"/>
      <c r="BO1152" s="107"/>
      <c r="BP1152" s="107"/>
      <c r="BQ1152" s="107"/>
      <c r="BR1152" s="107"/>
    </row>
    <row r="1153" customFormat="false" ht="12.75" hidden="false" customHeight="false" outlineLevel="0" collapsed="false">
      <c r="A1153" s="100"/>
      <c r="B1153" s="100"/>
      <c r="C1153" s="100"/>
      <c r="D1153" s="100"/>
      <c r="E1153" s="100"/>
      <c r="F1153" s="277"/>
      <c r="H1153" s="277"/>
      <c r="I1153" s="277"/>
      <c r="J1153" s="277"/>
      <c r="K1153" s="277"/>
      <c r="L1153" s="277"/>
      <c r="M1153" s="277"/>
      <c r="N1153" s="277"/>
      <c r="O1153" s="277"/>
      <c r="P1153" s="277"/>
      <c r="Q1153" s="277"/>
      <c r="R1153" s="277"/>
      <c r="T1153" s="277"/>
      <c r="U1153" s="277"/>
      <c r="W1153" s="277"/>
      <c r="Y1153" s="107"/>
      <c r="Z1153" s="107"/>
      <c r="AA1153" s="107"/>
      <c r="AB1153" s="107"/>
      <c r="AC1153" s="107"/>
      <c r="AD1153" s="233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7"/>
      <c r="AV1153" s="107"/>
      <c r="AW1153" s="107"/>
      <c r="AX1153" s="107"/>
      <c r="AY1153" s="107"/>
      <c r="AZ1153" s="107"/>
      <c r="BA1153" s="107"/>
      <c r="BB1153" s="107"/>
      <c r="BC1153" s="107"/>
      <c r="BD1153" s="107"/>
      <c r="BE1153" s="107"/>
      <c r="BF1153" s="107"/>
      <c r="BG1153" s="107"/>
      <c r="BH1153" s="107"/>
      <c r="BI1153" s="107"/>
      <c r="BJ1153" s="107"/>
      <c r="BK1153" s="107"/>
      <c r="BL1153" s="107"/>
      <c r="BM1153" s="107"/>
      <c r="BN1153" s="107"/>
      <c r="BO1153" s="107"/>
      <c r="BP1153" s="107"/>
      <c r="BQ1153" s="107"/>
      <c r="BR1153" s="107"/>
    </row>
    <row r="1154" customFormat="false" ht="12.75" hidden="false" customHeight="false" outlineLevel="0" collapsed="false">
      <c r="A1154" s="100"/>
      <c r="B1154" s="100"/>
      <c r="C1154" s="100"/>
      <c r="D1154" s="100"/>
      <c r="E1154" s="100"/>
      <c r="F1154" s="277"/>
      <c r="H1154" s="277"/>
      <c r="I1154" s="277"/>
      <c r="J1154" s="277"/>
      <c r="K1154" s="277"/>
      <c r="L1154" s="277"/>
      <c r="M1154" s="277"/>
      <c r="N1154" s="277"/>
      <c r="O1154" s="277"/>
      <c r="P1154" s="277"/>
      <c r="Q1154" s="277"/>
      <c r="R1154" s="277"/>
      <c r="T1154" s="277"/>
      <c r="U1154" s="277"/>
      <c r="W1154" s="277"/>
      <c r="Y1154" s="107"/>
      <c r="Z1154" s="107"/>
      <c r="AA1154" s="107"/>
      <c r="AB1154" s="107"/>
      <c r="AC1154" s="107"/>
      <c r="AD1154" s="233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7"/>
      <c r="AV1154" s="107"/>
      <c r="AW1154" s="107"/>
      <c r="AX1154" s="107"/>
      <c r="AY1154" s="107"/>
      <c r="AZ1154" s="107"/>
      <c r="BA1154" s="107"/>
      <c r="BB1154" s="107"/>
      <c r="BC1154" s="107"/>
      <c r="BD1154" s="107"/>
      <c r="BE1154" s="107"/>
      <c r="BF1154" s="107"/>
      <c r="BG1154" s="107"/>
      <c r="BH1154" s="107"/>
      <c r="BI1154" s="107"/>
      <c r="BJ1154" s="107"/>
      <c r="BK1154" s="107"/>
      <c r="BL1154" s="107"/>
      <c r="BM1154" s="107"/>
      <c r="BN1154" s="107"/>
      <c r="BO1154" s="107"/>
      <c r="BP1154" s="107"/>
      <c r="BQ1154" s="107"/>
      <c r="BR1154" s="107"/>
    </row>
    <row r="1155" customFormat="false" ht="12.75" hidden="false" customHeight="false" outlineLevel="0" collapsed="false">
      <c r="A1155" s="100"/>
      <c r="B1155" s="100"/>
      <c r="C1155" s="100"/>
      <c r="D1155" s="100"/>
      <c r="E1155" s="100"/>
      <c r="F1155" s="277"/>
      <c r="H1155" s="277"/>
      <c r="I1155" s="277"/>
      <c r="J1155" s="277"/>
      <c r="K1155" s="277"/>
      <c r="L1155" s="277"/>
      <c r="M1155" s="277"/>
      <c r="N1155" s="277"/>
      <c r="O1155" s="277"/>
      <c r="P1155" s="277"/>
      <c r="Q1155" s="277"/>
      <c r="R1155" s="277"/>
      <c r="T1155" s="277"/>
      <c r="U1155" s="277"/>
      <c r="W1155" s="277"/>
      <c r="Y1155" s="107"/>
      <c r="Z1155" s="107"/>
      <c r="AA1155" s="107"/>
      <c r="AB1155" s="107"/>
      <c r="AC1155" s="107"/>
      <c r="AD1155" s="233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7"/>
      <c r="AV1155" s="107"/>
      <c r="AW1155" s="107"/>
      <c r="AX1155" s="107"/>
      <c r="AY1155" s="107"/>
      <c r="AZ1155" s="107"/>
      <c r="BA1155" s="107"/>
      <c r="BB1155" s="107"/>
      <c r="BC1155" s="107"/>
      <c r="BD1155" s="107"/>
      <c r="BE1155" s="107"/>
      <c r="BF1155" s="107"/>
      <c r="BG1155" s="107"/>
      <c r="BH1155" s="107"/>
      <c r="BI1155" s="107"/>
      <c r="BJ1155" s="107"/>
      <c r="BK1155" s="107"/>
      <c r="BL1155" s="107"/>
      <c r="BM1155" s="107"/>
      <c r="BN1155" s="107"/>
      <c r="BO1155" s="107"/>
      <c r="BP1155" s="107"/>
      <c r="BQ1155" s="107"/>
      <c r="BR1155" s="107"/>
    </row>
    <row r="1156" customFormat="false" ht="12.75" hidden="false" customHeight="false" outlineLevel="0" collapsed="false">
      <c r="A1156" s="100"/>
      <c r="B1156" s="100"/>
      <c r="C1156" s="100"/>
      <c r="D1156" s="100"/>
      <c r="E1156" s="100"/>
      <c r="F1156" s="277"/>
      <c r="H1156" s="277"/>
      <c r="I1156" s="277"/>
      <c r="J1156" s="277"/>
      <c r="K1156" s="277"/>
      <c r="L1156" s="277"/>
      <c r="M1156" s="277"/>
      <c r="N1156" s="277"/>
      <c r="O1156" s="277"/>
      <c r="P1156" s="277"/>
      <c r="Q1156" s="277"/>
      <c r="R1156" s="277"/>
      <c r="T1156" s="277"/>
      <c r="U1156" s="277"/>
      <c r="W1156" s="277"/>
      <c r="Y1156" s="107"/>
      <c r="Z1156" s="107"/>
      <c r="AA1156" s="107"/>
      <c r="AB1156" s="107"/>
      <c r="AC1156" s="107"/>
      <c r="AD1156" s="233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7"/>
      <c r="AV1156" s="107"/>
      <c r="AW1156" s="107"/>
      <c r="AX1156" s="107"/>
      <c r="AY1156" s="107"/>
      <c r="AZ1156" s="107"/>
      <c r="BA1156" s="107"/>
      <c r="BB1156" s="107"/>
      <c r="BC1156" s="107"/>
      <c r="BD1156" s="107"/>
      <c r="BE1156" s="107"/>
      <c r="BF1156" s="107"/>
      <c r="BG1156" s="107"/>
      <c r="BH1156" s="107"/>
      <c r="BI1156" s="107"/>
      <c r="BJ1156" s="107"/>
      <c r="BK1156" s="107"/>
      <c r="BL1156" s="107"/>
      <c r="BM1156" s="107"/>
      <c r="BN1156" s="107"/>
      <c r="BO1156" s="107"/>
      <c r="BP1156" s="107"/>
      <c r="BQ1156" s="107"/>
      <c r="BR1156" s="107"/>
    </row>
    <row r="1157" customFormat="false" ht="12.75" hidden="false" customHeight="false" outlineLevel="0" collapsed="false">
      <c r="A1157" s="100"/>
      <c r="B1157" s="100"/>
      <c r="C1157" s="100"/>
      <c r="D1157" s="100"/>
      <c r="E1157" s="100"/>
      <c r="F1157" s="277"/>
      <c r="H1157" s="277"/>
      <c r="I1157" s="277"/>
      <c r="J1157" s="277"/>
      <c r="K1157" s="277"/>
      <c r="L1157" s="277"/>
      <c r="M1157" s="277"/>
      <c r="N1157" s="277"/>
      <c r="O1157" s="277"/>
      <c r="P1157" s="277"/>
      <c r="Q1157" s="277"/>
      <c r="R1157" s="277"/>
      <c r="T1157" s="277"/>
      <c r="U1157" s="277"/>
      <c r="W1157" s="277"/>
      <c r="Y1157" s="107"/>
      <c r="Z1157" s="107"/>
      <c r="AA1157" s="107"/>
      <c r="AB1157" s="107"/>
      <c r="AC1157" s="107"/>
      <c r="AD1157" s="233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7"/>
      <c r="AV1157" s="107"/>
      <c r="AW1157" s="107"/>
      <c r="AX1157" s="107"/>
      <c r="AY1157" s="107"/>
      <c r="AZ1157" s="107"/>
      <c r="BA1157" s="107"/>
      <c r="BB1157" s="107"/>
      <c r="BC1157" s="107"/>
      <c r="BD1157" s="107"/>
      <c r="BE1157" s="107"/>
      <c r="BF1157" s="107"/>
      <c r="BG1157" s="107"/>
      <c r="BH1157" s="107"/>
      <c r="BI1157" s="107"/>
      <c r="BJ1157" s="107"/>
      <c r="BK1157" s="107"/>
      <c r="BL1157" s="107"/>
      <c r="BM1157" s="107"/>
      <c r="BN1157" s="107"/>
      <c r="BO1157" s="107"/>
      <c r="BP1157" s="107"/>
      <c r="BQ1157" s="107"/>
      <c r="BR1157" s="107"/>
    </row>
    <row r="1158" customFormat="false" ht="12.75" hidden="false" customHeight="false" outlineLevel="0" collapsed="false">
      <c r="A1158" s="100"/>
      <c r="B1158" s="100"/>
      <c r="C1158" s="100"/>
      <c r="D1158" s="100"/>
      <c r="E1158" s="100"/>
      <c r="F1158" s="277"/>
      <c r="H1158" s="277"/>
      <c r="I1158" s="277"/>
      <c r="J1158" s="277"/>
      <c r="K1158" s="277"/>
      <c r="L1158" s="277"/>
      <c r="M1158" s="277"/>
      <c r="N1158" s="277"/>
      <c r="O1158" s="277"/>
      <c r="P1158" s="277"/>
      <c r="Q1158" s="277"/>
      <c r="R1158" s="277"/>
      <c r="T1158" s="277"/>
      <c r="U1158" s="277"/>
      <c r="W1158" s="277"/>
      <c r="Y1158" s="107"/>
      <c r="Z1158" s="107"/>
      <c r="AA1158" s="107"/>
      <c r="AB1158" s="107"/>
      <c r="AC1158" s="107"/>
      <c r="AD1158" s="233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7"/>
      <c r="AV1158" s="107"/>
      <c r="AW1158" s="107"/>
      <c r="AX1158" s="107"/>
      <c r="AY1158" s="107"/>
      <c r="AZ1158" s="107"/>
      <c r="BA1158" s="107"/>
      <c r="BB1158" s="107"/>
      <c r="BC1158" s="107"/>
      <c r="BD1158" s="107"/>
      <c r="BE1158" s="107"/>
      <c r="BF1158" s="107"/>
      <c r="BG1158" s="107"/>
      <c r="BH1158" s="107"/>
      <c r="BI1158" s="107"/>
      <c r="BJ1158" s="107"/>
      <c r="BK1158" s="107"/>
      <c r="BL1158" s="107"/>
      <c r="BM1158" s="107"/>
      <c r="BN1158" s="107"/>
      <c r="BO1158" s="107"/>
      <c r="BP1158" s="107"/>
      <c r="BQ1158" s="107"/>
      <c r="BR1158" s="107"/>
    </row>
    <row r="1159" customFormat="false" ht="12.75" hidden="false" customHeight="false" outlineLevel="0" collapsed="false">
      <c r="A1159" s="100"/>
      <c r="B1159" s="100"/>
      <c r="C1159" s="100"/>
      <c r="D1159" s="100"/>
      <c r="E1159" s="100"/>
      <c r="F1159" s="277"/>
      <c r="H1159" s="277"/>
      <c r="I1159" s="277"/>
      <c r="J1159" s="277"/>
      <c r="K1159" s="277"/>
      <c r="L1159" s="277"/>
      <c r="M1159" s="277"/>
      <c r="N1159" s="277"/>
      <c r="O1159" s="277"/>
      <c r="P1159" s="277"/>
      <c r="Q1159" s="277"/>
      <c r="R1159" s="277"/>
      <c r="T1159" s="277"/>
      <c r="U1159" s="277"/>
      <c r="W1159" s="277"/>
      <c r="Y1159" s="107"/>
      <c r="Z1159" s="107"/>
      <c r="AA1159" s="107"/>
      <c r="AB1159" s="107"/>
      <c r="AC1159" s="107"/>
      <c r="AD1159" s="233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7"/>
      <c r="AV1159" s="107"/>
      <c r="AW1159" s="107"/>
      <c r="AX1159" s="107"/>
      <c r="AY1159" s="107"/>
      <c r="AZ1159" s="107"/>
      <c r="BA1159" s="107"/>
      <c r="BB1159" s="107"/>
      <c r="BC1159" s="107"/>
      <c r="BD1159" s="107"/>
      <c r="BE1159" s="107"/>
      <c r="BF1159" s="107"/>
      <c r="BG1159" s="107"/>
      <c r="BH1159" s="107"/>
      <c r="BI1159" s="107"/>
      <c r="BJ1159" s="107"/>
      <c r="BK1159" s="107"/>
      <c r="BL1159" s="107"/>
      <c r="BM1159" s="107"/>
      <c r="BN1159" s="107"/>
      <c r="BO1159" s="107"/>
      <c r="BP1159" s="107"/>
      <c r="BQ1159" s="107"/>
      <c r="BR1159" s="107"/>
    </row>
    <row r="1160" customFormat="false" ht="12.75" hidden="false" customHeight="false" outlineLevel="0" collapsed="false">
      <c r="A1160" s="100"/>
      <c r="B1160" s="100"/>
      <c r="C1160" s="100"/>
      <c r="D1160" s="100"/>
      <c r="E1160" s="100"/>
      <c r="F1160" s="277"/>
      <c r="H1160" s="277"/>
      <c r="I1160" s="277"/>
      <c r="J1160" s="277"/>
      <c r="K1160" s="277"/>
      <c r="L1160" s="277"/>
      <c r="M1160" s="277"/>
      <c r="N1160" s="277"/>
      <c r="O1160" s="277"/>
      <c r="P1160" s="277"/>
      <c r="Q1160" s="277"/>
      <c r="R1160" s="277"/>
      <c r="T1160" s="277"/>
      <c r="U1160" s="277"/>
      <c r="W1160" s="277"/>
      <c r="Y1160" s="107"/>
      <c r="Z1160" s="107"/>
      <c r="AA1160" s="107"/>
      <c r="AB1160" s="107"/>
      <c r="AC1160" s="107"/>
      <c r="AD1160" s="233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7"/>
      <c r="AV1160" s="107"/>
      <c r="AW1160" s="107"/>
      <c r="AX1160" s="107"/>
      <c r="AY1160" s="107"/>
      <c r="AZ1160" s="107"/>
      <c r="BA1160" s="107"/>
      <c r="BB1160" s="107"/>
      <c r="BC1160" s="107"/>
      <c r="BD1160" s="107"/>
      <c r="BE1160" s="107"/>
      <c r="BF1160" s="107"/>
      <c r="BG1160" s="107"/>
      <c r="BH1160" s="107"/>
      <c r="BI1160" s="107"/>
      <c r="BJ1160" s="107"/>
      <c r="BK1160" s="107"/>
      <c r="BL1160" s="107"/>
      <c r="BM1160" s="107"/>
      <c r="BN1160" s="107"/>
      <c r="BO1160" s="107"/>
      <c r="BP1160" s="107"/>
      <c r="BQ1160" s="107"/>
      <c r="BR1160" s="107"/>
    </row>
    <row r="1161" customFormat="false" ht="12.75" hidden="false" customHeight="false" outlineLevel="0" collapsed="false">
      <c r="A1161" s="100"/>
      <c r="B1161" s="100"/>
      <c r="C1161" s="100"/>
      <c r="D1161" s="100"/>
      <c r="E1161" s="100"/>
      <c r="F1161" s="277"/>
      <c r="H1161" s="277"/>
      <c r="I1161" s="277"/>
      <c r="J1161" s="277"/>
      <c r="K1161" s="277"/>
      <c r="L1161" s="277"/>
      <c r="M1161" s="277"/>
      <c r="N1161" s="277"/>
      <c r="O1161" s="277"/>
      <c r="P1161" s="277"/>
      <c r="Q1161" s="277"/>
      <c r="R1161" s="277"/>
      <c r="T1161" s="277"/>
      <c r="U1161" s="277"/>
      <c r="W1161" s="277"/>
      <c r="Y1161" s="107"/>
      <c r="Z1161" s="107"/>
      <c r="AA1161" s="107"/>
      <c r="AB1161" s="107"/>
      <c r="AC1161" s="107"/>
      <c r="AD1161" s="233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7"/>
      <c r="AV1161" s="107"/>
      <c r="AW1161" s="107"/>
      <c r="AX1161" s="107"/>
      <c r="AY1161" s="107"/>
      <c r="AZ1161" s="107"/>
      <c r="BA1161" s="107"/>
      <c r="BB1161" s="107"/>
      <c r="BC1161" s="107"/>
      <c r="BD1161" s="107"/>
      <c r="BE1161" s="107"/>
      <c r="BF1161" s="107"/>
      <c r="BG1161" s="107"/>
      <c r="BH1161" s="107"/>
      <c r="BI1161" s="107"/>
      <c r="BJ1161" s="107"/>
      <c r="BK1161" s="107"/>
      <c r="BL1161" s="107"/>
      <c r="BM1161" s="107"/>
      <c r="BN1161" s="107"/>
      <c r="BO1161" s="107"/>
      <c r="BP1161" s="107"/>
      <c r="BQ1161" s="107"/>
      <c r="BR1161" s="107"/>
    </row>
    <row r="1162" customFormat="false" ht="12.75" hidden="false" customHeight="false" outlineLevel="0" collapsed="false">
      <c r="A1162" s="100"/>
      <c r="B1162" s="100"/>
      <c r="C1162" s="100"/>
      <c r="D1162" s="100"/>
      <c r="E1162" s="100"/>
      <c r="F1162" s="277"/>
      <c r="H1162" s="277"/>
      <c r="I1162" s="277"/>
      <c r="J1162" s="277"/>
      <c r="K1162" s="277"/>
      <c r="L1162" s="277"/>
      <c r="M1162" s="277"/>
      <c r="N1162" s="277"/>
      <c r="O1162" s="277"/>
      <c r="P1162" s="277"/>
      <c r="Q1162" s="277"/>
      <c r="R1162" s="277"/>
      <c r="T1162" s="277"/>
      <c r="U1162" s="277"/>
      <c r="W1162" s="277"/>
      <c r="Y1162" s="107"/>
      <c r="Z1162" s="107"/>
      <c r="AA1162" s="107"/>
      <c r="AB1162" s="107"/>
      <c r="AC1162" s="107"/>
      <c r="AD1162" s="233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7"/>
      <c r="AV1162" s="107"/>
      <c r="AW1162" s="107"/>
      <c r="AX1162" s="107"/>
      <c r="AY1162" s="107"/>
      <c r="AZ1162" s="107"/>
      <c r="BA1162" s="107"/>
      <c r="BB1162" s="107"/>
      <c r="BC1162" s="107"/>
      <c r="BD1162" s="107"/>
      <c r="BE1162" s="107"/>
      <c r="BF1162" s="107"/>
      <c r="BG1162" s="107"/>
      <c r="BH1162" s="107"/>
      <c r="BI1162" s="107"/>
      <c r="BJ1162" s="107"/>
      <c r="BK1162" s="107"/>
      <c r="BL1162" s="107"/>
      <c r="BM1162" s="107"/>
      <c r="BN1162" s="107"/>
      <c r="BO1162" s="107"/>
      <c r="BP1162" s="107"/>
      <c r="BQ1162" s="107"/>
      <c r="BR1162" s="107"/>
    </row>
    <row r="1163" customFormat="false" ht="12.75" hidden="false" customHeight="false" outlineLevel="0" collapsed="false">
      <c r="A1163" s="100"/>
      <c r="B1163" s="100"/>
      <c r="C1163" s="100"/>
      <c r="D1163" s="100"/>
      <c r="E1163" s="100"/>
      <c r="F1163" s="277"/>
      <c r="H1163" s="277"/>
      <c r="I1163" s="277"/>
      <c r="J1163" s="277"/>
      <c r="K1163" s="277"/>
      <c r="L1163" s="277"/>
      <c r="M1163" s="277"/>
      <c r="N1163" s="277"/>
      <c r="O1163" s="277"/>
      <c r="P1163" s="277"/>
      <c r="Q1163" s="277"/>
      <c r="R1163" s="277"/>
      <c r="T1163" s="277"/>
      <c r="U1163" s="277"/>
      <c r="W1163" s="277"/>
      <c r="Y1163" s="107"/>
      <c r="Z1163" s="107"/>
      <c r="AA1163" s="107"/>
      <c r="AB1163" s="107"/>
      <c r="AC1163" s="107"/>
      <c r="AD1163" s="233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7"/>
      <c r="AV1163" s="107"/>
      <c r="AW1163" s="107"/>
      <c r="AX1163" s="107"/>
      <c r="AY1163" s="107"/>
      <c r="AZ1163" s="107"/>
      <c r="BA1163" s="107"/>
      <c r="BB1163" s="107"/>
      <c r="BC1163" s="107"/>
      <c r="BD1163" s="107"/>
      <c r="BE1163" s="107"/>
      <c r="BF1163" s="107"/>
      <c r="BG1163" s="107"/>
      <c r="BH1163" s="107"/>
      <c r="BI1163" s="107"/>
      <c r="BJ1163" s="107"/>
      <c r="BK1163" s="107"/>
      <c r="BL1163" s="107"/>
      <c r="BM1163" s="107"/>
      <c r="BN1163" s="107"/>
      <c r="BO1163" s="107"/>
      <c r="BP1163" s="107"/>
      <c r="BQ1163" s="107"/>
      <c r="BR1163" s="107"/>
    </row>
    <row r="1164" customFormat="false" ht="12.75" hidden="false" customHeight="false" outlineLevel="0" collapsed="false">
      <c r="A1164" s="100"/>
      <c r="B1164" s="100"/>
      <c r="C1164" s="100"/>
      <c r="D1164" s="100"/>
      <c r="E1164" s="100"/>
      <c r="F1164" s="277"/>
      <c r="H1164" s="277"/>
      <c r="I1164" s="277"/>
      <c r="J1164" s="277"/>
      <c r="K1164" s="277"/>
      <c r="L1164" s="277"/>
      <c r="M1164" s="277"/>
      <c r="N1164" s="277"/>
      <c r="O1164" s="277"/>
      <c r="P1164" s="277"/>
      <c r="Q1164" s="277"/>
      <c r="R1164" s="277"/>
      <c r="T1164" s="277"/>
      <c r="U1164" s="277"/>
      <c r="W1164" s="277"/>
      <c r="Y1164" s="107"/>
      <c r="Z1164" s="107"/>
      <c r="AA1164" s="107"/>
      <c r="AB1164" s="107"/>
      <c r="AC1164" s="107"/>
      <c r="AD1164" s="233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7"/>
      <c r="AV1164" s="107"/>
      <c r="AW1164" s="107"/>
      <c r="AX1164" s="107"/>
      <c r="AY1164" s="107"/>
      <c r="AZ1164" s="107"/>
      <c r="BA1164" s="107"/>
      <c r="BB1164" s="107"/>
      <c r="BC1164" s="107"/>
      <c r="BD1164" s="107"/>
      <c r="BE1164" s="107"/>
      <c r="BF1164" s="107"/>
      <c r="BG1164" s="107"/>
      <c r="BH1164" s="107"/>
      <c r="BI1164" s="107"/>
      <c r="BJ1164" s="107"/>
      <c r="BK1164" s="107"/>
      <c r="BL1164" s="107"/>
      <c r="BM1164" s="107"/>
      <c r="BN1164" s="107"/>
      <c r="BO1164" s="107"/>
      <c r="BP1164" s="107"/>
      <c r="BQ1164" s="107"/>
      <c r="BR1164" s="107"/>
    </row>
    <row r="1165" customFormat="false" ht="12.75" hidden="false" customHeight="false" outlineLevel="0" collapsed="false">
      <c r="A1165" s="100"/>
      <c r="B1165" s="100"/>
      <c r="C1165" s="100"/>
      <c r="D1165" s="100"/>
      <c r="E1165" s="100"/>
      <c r="F1165" s="277"/>
      <c r="H1165" s="277"/>
      <c r="I1165" s="277"/>
      <c r="J1165" s="277"/>
      <c r="K1165" s="277"/>
      <c r="L1165" s="277"/>
      <c r="M1165" s="277"/>
      <c r="N1165" s="277"/>
      <c r="O1165" s="277"/>
      <c r="P1165" s="277"/>
      <c r="Q1165" s="277"/>
      <c r="R1165" s="277"/>
      <c r="T1165" s="277"/>
      <c r="U1165" s="277"/>
      <c r="W1165" s="277"/>
      <c r="Y1165" s="107"/>
      <c r="Z1165" s="107"/>
      <c r="AA1165" s="107"/>
      <c r="AB1165" s="107"/>
      <c r="AC1165" s="107"/>
      <c r="AD1165" s="233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7"/>
      <c r="AV1165" s="107"/>
      <c r="AW1165" s="107"/>
      <c r="AX1165" s="107"/>
      <c r="AY1165" s="107"/>
      <c r="AZ1165" s="107"/>
      <c r="BA1165" s="107"/>
      <c r="BB1165" s="107"/>
      <c r="BC1165" s="107"/>
      <c r="BD1165" s="107"/>
      <c r="BE1165" s="107"/>
      <c r="BF1165" s="107"/>
      <c r="BG1165" s="107"/>
      <c r="BH1165" s="107"/>
      <c r="BI1165" s="107"/>
      <c r="BJ1165" s="107"/>
      <c r="BK1165" s="107"/>
      <c r="BL1165" s="107"/>
      <c r="BM1165" s="107"/>
      <c r="BN1165" s="107"/>
      <c r="BO1165" s="107"/>
      <c r="BP1165" s="107"/>
      <c r="BQ1165" s="107"/>
      <c r="BR1165" s="107"/>
    </row>
    <row r="1166" customFormat="false" ht="12.75" hidden="false" customHeight="false" outlineLevel="0" collapsed="false">
      <c r="A1166" s="100"/>
      <c r="B1166" s="100"/>
      <c r="C1166" s="100"/>
      <c r="D1166" s="100"/>
      <c r="E1166" s="100"/>
      <c r="F1166" s="277"/>
      <c r="H1166" s="277"/>
      <c r="I1166" s="277"/>
      <c r="J1166" s="277"/>
      <c r="K1166" s="277"/>
      <c r="L1166" s="277"/>
      <c r="M1166" s="277"/>
      <c r="N1166" s="277"/>
      <c r="O1166" s="277"/>
      <c r="P1166" s="277"/>
      <c r="Q1166" s="277"/>
      <c r="R1166" s="277"/>
      <c r="T1166" s="277"/>
      <c r="U1166" s="277"/>
      <c r="W1166" s="277"/>
      <c r="Y1166" s="107"/>
      <c r="Z1166" s="107"/>
      <c r="AA1166" s="107"/>
      <c r="AB1166" s="107"/>
      <c r="AC1166" s="107"/>
      <c r="AD1166" s="233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7"/>
      <c r="AV1166" s="107"/>
      <c r="AW1166" s="107"/>
      <c r="AX1166" s="107"/>
      <c r="AY1166" s="107"/>
      <c r="AZ1166" s="107"/>
      <c r="BA1166" s="107"/>
      <c r="BB1166" s="107"/>
      <c r="BC1166" s="107"/>
      <c r="BD1166" s="107"/>
      <c r="BE1166" s="107"/>
      <c r="BF1166" s="107"/>
      <c r="BG1166" s="107"/>
      <c r="BH1166" s="107"/>
      <c r="BI1166" s="107"/>
      <c r="BJ1166" s="107"/>
      <c r="BK1166" s="107"/>
      <c r="BL1166" s="107"/>
      <c r="BM1166" s="107"/>
      <c r="BN1166" s="107"/>
      <c r="BO1166" s="107"/>
      <c r="BP1166" s="107"/>
      <c r="BQ1166" s="107"/>
      <c r="BR1166" s="107"/>
    </row>
    <row r="1167" customFormat="false" ht="12.75" hidden="false" customHeight="false" outlineLevel="0" collapsed="false">
      <c r="A1167" s="100"/>
      <c r="B1167" s="100"/>
      <c r="C1167" s="100"/>
      <c r="D1167" s="100"/>
      <c r="E1167" s="100"/>
      <c r="F1167" s="277"/>
      <c r="H1167" s="277"/>
      <c r="I1167" s="277"/>
      <c r="J1167" s="277"/>
      <c r="K1167" s="277"/>
      <c r="L1167" s="277"/>
      <c r="M1167" s="277"/>
      <c r="N1167" s="277"/>
      <c r="O1167" s="277"/>
      <c r="P1167" s="277"/>
      <c r="Q1167" s="277"/>
      <c r="R1167" s="277"/>
      <c r="T1167" s="277"/>
      <c r="U1167" s="277"/>
      <c r="W1167" s="277"/>
      <c r="Y1167" s="107"/>
      <c r="Z1167" s="107"/>
      <c r="AA1167" s="107"/>
      <c r="AB1167" s="107"/>
      <c r="AC1167" s="107"/>
      <c r="AD1167" s="233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7"/>
      <c r="AV1167" s="107"/>
      <c r="AW1167" s="107"/>
      <c r="AX1167" s="107"/>
      <c r="AY1167" s="107"/>
      <c r="AZ1167" s="107"/>
      <c r="BA1167" s="107"/>
      <c r="BB1167" s="107"/>
      <c r="BC1167" s="107"/>
      <c r="BD1167" s="107"/>
      <c r="BE1167" s="107"/>
      <c r="BF1167" s="107"/>
      <c r="BG1167" s="107"/>
      <c r="BH1167" s="107"/>
      <c r="BI1167" s="107"/>
      <c r="BJ1167" s="107"/>
      <c r="BK1167" s="107"/>
      <c r="BL1167" s="107"/>
      <c r="BM1167" s="107"/>
      <c r="BN1167" s="107"/>
      <c r="BO1167" s="107"/>
      <c r="BP1167" s="107"/>
      <c r="BQ1167" s="107"/>
      <c r="BR1167" s="107"/>
    </row>
    <row r="1168" customFormat="false" ht="12.75" hidden="false" customHeight="false" outlineLevel="0" collapsed="false">
      <c r="A1168" s="100"/>
      <c r="B1168" s="100"/>
      <c r="C1168" s="100"/>
      <c r="D1168" s="100"/>
      <c r="E1168" s="100"/>
      <c r="F1168" s="277"/>
      <c r="H1168" s="277"/>
      <c r="I1168" s="277"/>
      <c r="J1168" s="277"/>
      <c r="K1168" s="277"/>
      <c r="L1168" s="277"/>
      <c r="M1168" s="277"/>
      <c r="N1168" s="277"/>
      <c r="O1168" s="277"/>
      <c r="P1168" s="277"/>
      <c r="Q1168" s="277"/>
      <c r="R1168" s="277"/>
      <c r="T1168" s="277"/>
      <c r="U1168" s="277"/>
      <c r="W1168" s="277"/>
      <c r="Y1168" s="107"/>
      <c r="Z1168" s="107"/>
      <c r="AA1168" s="107"/>
      <c r="AB1168" s="107"/>
      <c r="AC1168" s="107"/>
      <c r="AD1168" s="233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7"/>
      <c r="AV1168" s="107"/>
      <c r="AW1168" s="107"/>
      <c r="AX1168" s="107"/>
      <c r="AY1168" s="107"/>
      <c r="AZ1168" s="107"/>
      <c r="BA1168" s="107"/>
      <c r="BB1168" s="107"/>
      <c r="BC1168" s="107"/>
      <c r="BD1168" s="107"/>
      <c r="BE1168" s="107"/>
      <c r="BF1168" s="107"/>
      <c r="BG1168" s="107"/>
      <c r="BH1168" s="107"/>
      <c r="BI1168" s="107"/>
      <c r="BJ1168" s="107"/>
      <c r="BK1168" s="107"/>
      <c r="BL1168" s="107"/>
      <c r="BM1168" s="107"/>
      <c r="BN1168" s="107"/>
      <c r="BO1168" s="107"/>
      <c r="BP1168" s="107"/>
      <c r="BQ1168" s="107"/>
      <c r="BR1168" s="107"/>
    </row>
    <row r="1169" customFormat="false" ht="12.75" hidden="false" customHeight="false" outlineLevel="0" collapsed="false">
      <c r="A1169" s="100"/>
      <c r="B1169" s="100"/>
      <c r="C1169" s="100"/>
      <c r="D1169" s="100"/>
      <c r="E1169" s="100"/>
      <c r="F1169" s="277"/>
      <c r="H1169" s="277"/>
      <c r="I1169" s="277"/>
      <c r="J1169" s="277"/>
      <c r="K1169" s="277"/>
      <c r="L1169" s="277"/>
      <c r="M1169" s="277"/>
      <c r="N1169" s="277"/>
      <c r="O1169" s="277"/>
      <c r="P1169" s="277"/>
      <c r="Q1169" s="277"/>
      <c r="R1169" s="277"/>
      <c r="T1169" s="277"/>
      <c r="U1169" s="277"/>
      <c r="W1169" s="277"/>
      <c r="Y1169" s="107"/>
      <c r="Z1169" s="107"/>
      <c r="AA1169" s="107"/>
      <c r="AB1169" s="107"/>
      <c r="AC1169" s="107"/>
      <c r="AD1169" s="233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7"/>
      <c r="AV1169" s="107"/>
      <c r="AW1169" s="107"/>
      <c r="AX1169" s="107"/>
      <c r="AY1169" s="107"/>
      <c r="AZ1169" s="107"/>
      <c r="BA1169" s="107"/>
      <c r="BB1169" s="107"/>
      <c r="BC1169" s="107"/>
      <c r="BD1169" s="107"/>
      <c r="BE1169" s="107"/>
      <c r="BF1169" s="107"/>
      <c r="BG1169" s="107"/>
      <c r="BH1169" s="107"/>
      <c r="BI1169" s="107"/>
      <c r="BJ1169" s="107"/>
      <c r="BK1169" s="107"/>
      <c r="BL1169" s="107"/>
      <c r="BM1169" s="107"/>
      <c r="BN1169" s="107"/>
      <c r="BO1169" s="107"/>
      <c r="BP1169" s="107"/>
      <c r="BQ1169" s="107"/>
      <c r="BR1169" s="107"/>
    </row>
    <row r="1170" customFormat="false" ht="12.75" hidden="false" customHeight="false" outlineLevel="0" collapsed="false">
      <c r="A1170" s="100"/>
      <c r="B1170" s="100"/>
      <c r="C1170" s="100"/>
      <c r="D1170" s="100"/>
      <c r="E1170" s="100"/>
      <c r="F1170" s="277"/>
      <c r="H1170" s="277"/>
      <c r="I1170" s="277"/>
      <c r="J1170" s="277"/>
      <c r="K1170" s="277"/>
      <c r="L1170" s="277"/>
      <c r="M1170" s="277"/>
      <c r="N1170" s="277"/>
      <c r="O1170" s="277"/>
      <c r="P1170" s="277"/>
      <c r="Q1170" s="277"/>
      <c r="R1170" s="277"/>
      <c r="T1170" s="277"/>
      <c r="U1170" s="277"/>
      <c r="W1170" s="277"/>
      <c r="Y1170" s="107"/>
      <c r="Z1170" s="107"/>
      <c r="AA1170" s="107"/>
      <c r="AB1170" s="107"/>
      <c r="AC1170" s="107"/>
      <c r="AD1170" s="233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7"/>
      <c r="AV1170" s="107"/>
      <c r="AW1170" s="107"/>
      <c r="AX1170" s="107"/>
      <c r="AY1170" s="107"/>
      <c r="AZ1170" s="107"/>
      <c r="BA1170" s="107"/>
      <c r="BB1170" s="107"/>
      <c r="BC1170" s="107"/>
      <c r="BD1170" s="107"/>
      <c r="BE1170" s="107"/>
      <c r="BF1170" s="107"/>
      <c r="BG1170" s="107"/>
      <c r="BH1170" s="107"/>
      <c r="BI1170" s="107"/>
      <c r="BJ1170" s="107"/>
      <c r="BK1170" s="107"/>
      <c r="BL1170" s="107"/>
      <c r="BM1170" s="107"/>
      <c r="BN1170" s="107"/>
      <c r="BO1170" s="107"/>
      <c r="BP1170" s="107"/>
      <c r="BQ1170" s="107"/>
      <c r="BR1170" s="107"/>
    </row>
    <row r="1171" customFormat="false" ht="12.75" hidden="false" customHeight="false" outlineLevel="0" collapsed="false">
      <c r="A1171" s="100"/>
      <c r="B1171" s="100"/>
      <c r="C1171" s="100"/>
      <c r="D1171" s="100"/>
      <c r="E1171" s="100"/>
      <c r="F1171" s="277"/>
      <c r="H1171" s="277"/>
      <c r="I1171" s="277"/>
      <c r="J1171" s="277"/>
      <c r="K1171" s="277"/>
      <c r="L1171" s="277"/>
      <c r="M1171" s="277"/>
      <c r="N1171" s="277"/>
      <c r="O1171" s="277"/>
      <c r="P1171" s="277"/>
      <c r="Q1171" s="277"/>
      <c r="R1171" s="277"/>
      <c r="T1171" s="277"/>
      <c r="U1171" s="277"/>
      <c r="W1171" s="277"/>
      <c r="Y1171" s="107"/>
      <c r="Z1171" s="107"/>
      <c r="AA1171" s="107"/>
      <c r="AB1171" s="107"/>
      <c r="AC1171" s="107"/>
      <c r="AD1171" s="233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7"/>
      <c r="AV1171" s="107"/>
      <c r="AW1171" s="107"/>
      <c r="AX1171" s="107"/>
      <c r="AY1171" s="107"/>
      <c r="AZ1171" s="107"/>
      <c r="BA1171" s="107"/>
      <c r="BB1171" s="107"/>
      <c r="BC1171" s="107"/>
      <c r="BD1171" s="107"/>
      <c r="BE1171" s="107"/>
      <c r="BF1171" s="107"/>
      <c r="BG1171" s="107"/>
      <c r="BH1171" s="107"/>
      <c r="BI1171" s="107"/>
      <c r="BJ1171" s="107"/>
      <c r="BK1171" s="107"/>
      <c r="BL1171" s="107"/>
      <c r="BM1171" s="107"/>
      <c r="BN1171" s="107"/>
      <c r="BO1171" s="107"/>
      <c r="BP1171" s="107"/>
      <c r="BQ1171" s="107"/>
      <c r="BR1171" s="107"/>
    </row>
    <row r="1172" customFormat="false" ht="12.75" hidden="false" customHeight="false" outlineLevel="0" collapsed="false">
      <c r="A1172" s="100"/>
      <c r="B1172" s="100"/>
      <c r="C1172" s="100"/>
      <c r="D1172" s="100"/>
      <c r="E1172" s="100"/>
      <c r="F1172" s="277"/>
      <c r="H1172" s="277"/>
      <c r="I1172" s="277"/>
      <c r="J1172" s="277"/>
      <c r="K1172" s="277"/>
      <c r="L1172" s="277"/>
      <c r="M1172" s="277"/>
      <c r="N1172" s="277"/>
      <c r="O1172" s="277"/>
      <c r="P1172" s="277"/>
      <c r="Q1172" s="277"/>
      <c r="R1172" s="277"/>
      <c r="T1172" s="277"/>
      <c r="U1172" s="277"/>
      <c r="W1172" s="277"/>
      <c r="Y1172" s="107"/>
      <c r="Z1172" s="107"/>
      <c r="AA1172" s="107"/>
      <c r="AB1172" s="107"/>
      <c r="AC1172" s="107"/>
      <c r="AD1172" s="233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7"/>
      <c r="AV1172" s="107"/>
      <c r="AW1172" s="107"/>
      <c r="AX1172" s="107"/>
      <c r="AY1172" s="107"/>
      <c r="AZ1172" s="107"/>
      <c r="BA1172" s="107"/>
      <c r="BB1172" s="107"/>
      <c r="BC1172" s="107"/>
      <c r="BD1172" s="107"/>
      <c r="BE1172" s="107"/>
      <c r="BF1172" s="107"/>
      <c r="BG1172" s="107"/>
      <c r="BH1172" s="107"/>
      <c r="BI1172" s="107"/>
      <c r="BJ1172" s="107"/>
      <c r="BK1172" s="107"/>
      <c r="BL1172" s="107"/>
      <c r="BM1172" s="107"/>
      <c r="BN1172" s="107"/>
      <c r="BO1172" s="107"/>
      <c r="BP1172" s="107"/>
      <c r="BQ1172" s="107"/>
      <c r="BR1172" s="107"/>
    </row>
    <row r="1173" customFormat="false" ht="12.75" hidden="false" customHeight="false" outlineLevel="0" collapsed="false">
      <c r="A1173" s="100"/>
      <c r="B1173" s="100"/>
      <c r="C1173" s="100"/>
      <c r="D1173" s="100"/>
      <c r="E1173" s="100"/>
      <c r="F1173" s="277"/>
      <c r="H1173" s="277"/>
      <c r="I1173" s="277"/>
      <c r="J1173" s="277"/>
      <c r="K1173" s="277"/>
      <c r="L1173" s="277"/>
      <c r="M1173" s="277"/>
      <c r="N1173" s="277"/>
      <c r="O1173" s="277"/>
      <c r="P1173" s="277"/>
      <c r="Q1173" s="277"/>
      <c r="R1173" s="277"/>
      <c r="T1173" s="277"/>
      <c r="U1173" s="277"/>
      <c r="W1173" s="277"/>
      <c r="Y1173" s="107"/>
      <c r="Z1173" s="107"/>
      <c r="AA1173" s="107"/>
      <c r="AB1173" s="107"/>
      <c r="AC1173" s="107"/>
      <c r="AD1173" s="233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7"/>
      <c r="AV1173" s="107"/>
      <c r="AW1173" s="107"/>
      <c r="AX1173" s="107"/>
      <c r="AY1173" s="107"/>
      <c r="AZ1173" s="107"/>
      <c r="BA1173" s="107"/>
      <c r="BB1173" s="107"/>
      <c r="BC1173" s="107"/>
      <c r="BD1173" s="107"/>
      <c r="BE1173" s="107"/>
      <c r="BF1173" s="107"/>
      <c r="BG1173" s="107"/>
      <c r="BH1173" s="107"/>
      <c r="BI1173" s="107"/>
      <c r="BJ1173" s="107"/>
      <c r="BK1173" s="107"/>
      <c r="BL1173" s="107"/>
      <c r="BM1173" s="107"/>
      <c r="BN1173" s="107"/>
      <c r="BO1173" s="107"/>
      <c r="BP1173" s="107"/>
      <c r="BQ1173" s="107"/>
      <c r="BR1173" s="107"/>
    </row>
    <row r="1174" customFormat="false" ht="12.75" hidden="false" customHeight="false" outlineLevel="0" collapsed="false">
      <c r="A1174" s="100"/>
      <c r="B1174" s="100"/>
      <c r="C1174" s="100"/>
      <c r="D1174" s="100"/>
      <c r="E1174" s="100"/>
      <c r="F1174" s="277"/>
      <c r="H1174" s="277"/>
      <c r="I1174" s="277"/>
      <c r="J1174" s="277"/>
      <c r="K1174" s="277"/>
      <c r="L1174" s="277"/>
      <c r="M1174" s="277"/>
      <c r="N1174" s="277"/>
      <c r="O1174" s="277"/>
      <c r="P1174" s="277"/>
      <c r="Q1174" s="277"/>
      <c r="R1174" s="277"/>
      <c r="T1174" s="277"/>
      <c r="U1174" s="277"/>
      <c r="W1174" s="277"/>
      <c r="Y1174" s="107"/>
      <c r="Z1174" s="107"/>
      <c r="AA1174" s="107"/>
      <c r="AB1174" s="107"/>
      <c r="AC1174" s="107"/>
      <c r="AD1174" s="233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7"/>
      <c r="AV1174" s="107"/>
      <c r="AW1174" s="107"/>
      <c r="AX1174" s="107"/>
      <c r="AY1174" s="107"/>
      <c r="AZ1174" s="107"/>
      <c r="BA1174" s="107"/>
      <c r="BB1174" s="107"/>
      <c r="BC1174" s="107"/>
      <c r="BD1174" s="107"/>
      <c r="BE1174" s="107"/>
      <c r="BF1174" s="107"/>
      <c r="BG1174" s="107"/>
      <c r="BH1174" s="107"/>
      <c r="BI1174" s="107"/>
      <c r="BJ1174" s="107"/>
      <c r="BK1174" s="107"/>
      <c r="BL1174" s="107"/>
      <c r="BM1174" s="107"/>
      <c r="BN1174" s="107"/>
      <c r="BO1174" s="107"/>
      <c r="BP1174" s="107"/>
      <c r="BQ1174" s="107"/>
      <c r="BR1174" s="107"/>
    </row>
    <row r="1175" customFormat="false" ht="12.75" hidden="false" customHeight="false" outlineLevel="0" collapsed="false">
      <c r="A1175" s="100"/>
      <c r="B1175" s="100"/>
      <c r="C1175" s="100"/>
      <c r="D1175" s="100"/>
      <c r="E1175" s="100"/>
      <c r="F1175" s="277"/>
      <c r="H1175" s="277"/>
      <c r="I1175" s="277"/>
      <c r="J1175" s="277"/>
      <c r="K1175" s="277"/>
      <c r="L1175" s="277"/>
      <c r="M1175" s="277"/>
      <c r="N1175" s="277"/>
      <c r="O1175" s="277"/>
      <c r="P1175" s="277"/>
      <c r="Q1175" s="277"/>
      <c r="R1175" s="277"/>
      <c r="T1175" s="277"/>
      <c r="U1175" s="277"/>
      <c r="W1175" s="277"/>
      <c r="Y1175" s="107"/>
      <c r="Z1175" s="107"/>
      <c r="AA1175" s="107"/>
      <c r="AB1175" s="107"/>
      <c r="AC1175" s="107"/>
      <c r="AD1175" s="233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7"/>
      <c r="AV1175" s="107"/>
      <c r="AW1175" s="107"/>
      <c r="AX1175" s="107"/>
      <c r="AY1175" s="107"/>
      <c r="AZ1175" s="107"/>
      <c r="BA1175" s="107"/>
      <c r="BB1175" s="107"/>
      <c r="BC1175" s="107"/>
      <c r="BD1175" s="107"/>
      <c r="BE1175" s="107"/>
      <c r="BF1175" s="107"/>
      <c r="BG1175" s="107"/>
      <c r="BH1175" s="107"/>
      <c r="BI1175" s="107"/>
      <c r="BJ1175" s="107"/>
      <c r="BK1175" s="107"/>
      <c r="BL1175" s="107"/>
      <c r="BM1175" s="107"/>
      <c r="BN1175" s="107"/>
      <c r="BO1175" s="107"/>
      <c r="BP1175" s="107"/>
      <c r="BQ1175" s="107"/>
      <c r="BR1175" s="107"/>
    </row>
    <row r="1176" customFormat="false" ht="12.75" hidden="false" customHeight="false" outlineLevel="0" collapsed="false">
      <c r="A1176" s="100"/>
      <c r="B1176" s="100"/>
      <c r="C1176" s="100"/>
      <c r="D1176" s="100"/>
      <c r="E1176" s="100"/>
      <c r="F1176" s="277"/>
      <c r="H1176" s="277"/>
      <c r="I1176" s="277"/>
      <c r="J1176" s="277"/>
      <c r="K1176" s="277"/>
      <c r="L1176" s="277"/>
      <c r="M1176" s="277"/>
      <c r="N1176" s="277"/>
      <c r="O1176" s="277"/>
      <c r="P1176" s="277"/>
      <c r="Q1176" s="277"/>
      <c r="R1176" s="277"/>
      <c r="T1176" s="277"/>
      <c r="U1176" s="277"/>
      <c r="W1176" s="277"/>
      <c r="Y1176" s="107"/>
      <c r="Z1176" s="107"/>
      <c r="AA1176" s="107"/>
      <c r="AB1176" s="107"/>
      <c r="AC1176" s="107"/>
      <c r="AD1176" s="233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7"/>
      <c r="AV1176" s="107"/>
      <c r="AW1176" s="107"/>
      <c r="AX1176" s="107"/>
      <c r="AY1176" s="107"/>
      <c r="AZ1176" s="107"/>
      <c r="BA1176" s="107"/>
      <c r="BB1176" s="107"/>
      <c r="BC1176" s="107"/>
      <c r="BD1176" s="107"/>
      <c r="BE1176" s="107"/>
      <c r="BF1176" s="107"/>
      <c r="BG1176" s="107"/>
      <c r="BH1176" s="107"/>
      <c r="BI1176" s="107"/>
      <c r="BJ1176" s="107"/>
      <c r="BK1176" s="107"/>
      <c r="BL1176" s="107"/>
      <c r="BM1176" s="107"/>
      <c r="BN1176" s="107"/>
      <c r="BO1176" s="107"/>
      <c r="BP1176" s="107"/>
      <c r="BQ1176" s="107"/>
      <c r="BR1176" s="107"/>
    </row>
    <row r="1177" customFormat="false" ht="12.75" hidden="false" customHeight="false" outlineLevel="0" collapsed="false">
      <c r="A1177" s="100"/>
      <c r="B1177" s="100"/>
      <c r="C1177" s="100"/>
      <c r="D1177" s="100"/>
      <c r="E1177" s="100"/>
      <c r="F1177" s="277"/>
      <c r="H1177" s="277"/>
      <c r="I1177" s="277"/>
      <c r="J1177" s="277"/>
      <c r="K1177" s="277"/>
      <c r="L1177" s="277"/>
      <c r="M1177" s="277"/>
      <c r="N1177" s="277"/>
      <c r="O1177" s="277"/>
      <c r="P1177" s="277"/>
      <c r="Q1177" s="277"/>
      <c r="R1177" s="277"/>
      <c r="T1177" s="277"/>
      <c r="U1177" s="277"/>
      <c r="W1177" s="277"/>
      <c r="Y1177" s="107"/>
      <c r="Z1177" s="107"/>
      <c r="AA1177" s="107"/>
      <c r="AB1177" s="107"/>
      <c r="AC1177" s="107"/>
      <c r="AD1177" s="233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7"/>
      <c r="AV1177" s="107"/>
      <c r="AW1177" s="107"/>
      <c r="AX1177" s="107"/>
      <c r="AY1177" s="107"/>
      <c r="AZ1177" s="107"/>
      <c r="BA1177" s="107"/>
      <c r="BB1177" s="107"/>
      <c r="BC1177" s="107"/>
      <c r="BD1177" s="107"/>
      <c r="BE1177" s="107"/>
      <c r="BF1177" s="107"/>
      <c r="BG1177" s="107"/>
      <c r="BH1177" s="107"/>
      <c r="BI1177" s="107"/>
      <c r="BJ1177" s="107"/>
      <c r="BK1177" s="107"/>
      <c r="BL1177" s="107"/>
      <c r="BM1177" s="107"/>
      <c r="BN1177" s="107"/>
      <c r="BO1177" s="107"/>
      <c r="BP1177" s="107"/>
      <c r="BQ1177" s="107"/>
      <c r="BR1177" s="107"/>
    </row>
    <row r="1178" customFormat="false" ht="12.75" hidden="false" customHeight="false" outlineLevel="0" collapsed="false">
      <c r="A1178" s="100"/>
      <c r="B1178" s="100"/>
      <c r="C1178" s="100"/>
      <c r="D1178" s="100"/>
      <c r="E1178" s="100"/>
      <c r="F1178" s="277"/>
      <c r="H1178" s="277"/>
      <c r="I1178" s="277"/>
      <c r="J1178" s="277"/>
      <c r="K1178" s="277"/>
      <c r="L1178" s="277"/>
      <c r="M1178" s="277"/>
      <c r="N1178" s="277"/>
      <c r="O1178" s="277"/>
      <c r="P1178" s="277"/>
      <c r="Q1178" s="277"/>
      <c r="R1178" s="277"/>
      <c r="T1178" s="277"/>
      <c r="U1178" s="277"/>
      <c r="W1178" s="277"/>
      <c r="Y1178" s="107"/>
      <c r="Z1178" s="107"/>
      <c r="AA1178" s="107"/>
      <c r="AB1178" s="107"/>
      <c r="AC1178" s="107"/>
      <c r="AD1178" s="233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7"/>
      <c r="AV1178" s="107"/>
      <c r="AW1178" s="107"/>
      <c r="AX1178" s="107"/>
      <c r="AY1178" s="107"/>
      <c r="AZ1178" s="107"/>
      <c r="BA1178" s="107"/>
      <c r="BB1178" s="107"/>
      <c r="BC1178" s="107"/>
      <c r="BD1178" s="107"/>
      <c r="BE1178" s="107"/>
      <c r="BF1178" s="107"/>
      <c r="BG1178" s="107"/>
      <c r="BH1178" s="107"/>
      <c r="BI1178" s="107"/>
      <c r="BJ1178" s="107"/>
      <c r="BK1178" s="107"/>
      <c r="BL1178" s="107"/>
      <c r="BM1178" s="107"/>
      <c r="BN1178" s="107"/>
      <c r="BO1178" s="107"/>
      <c r="BP1178" s="107"/>
      <c r="BQ1178" s="107"/>
      <c r="BR1178" s="107"/>
    </row>
    <row r="1179" customFormat="false" ht="12.75" hidden="false" customHeight="false" outlineLevel="0" collapsed="false">
      <c r="A1179" s="100"/>
      <c r="B1179" s="100"/>
      <c r="C1179" s="100"/>
      <c r="D1179" s="100"/>
      <c r="E1179" s="100"/>
      <c r="F1179" s="277"/>
      <c r="H1179" s="277"/>
      <c r="I1179" s="277"/>
      <c r="J1179" s="277"/>
      <c r="K1179" s="277"/>
      <c r="L1179" s="277"/>
      <c r="M1179" s="277"/>
      <c r="N1179" s="277"/>
      <c r="O1179" s="277"/>
      <c r="P1179" s="277"/>
      <c r="Q1179" s="277"/>
      <c r="R1179" s="277"/>
      <c r="T1179" s="277"/>
      <c r="U1179" s="277"/>
      <c r="W1179" s="277"/>
      <c r="Y1179" s="107"/>
      <c r="Z1179" s="107"/>
      <c r="AA1179" s="107"/>
      <c r="AB1179" s="107"/>
      <c r="AC1179" s="107"/>
      <c r="AD1179" s="233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7"/>
      <c r="AV1179" s="107"/>
      <c r="AW1179" s="107"/>
      <c r="AX1179" s="107"/>
      <c r="AY1179" s="107"/>
      <c r="AZ1179" s="107"/>
      <c r="BA1179" s="107"/>
      <c r="BB1179" s="107"/>
      <c r="BC1179" s="107"/>
      <c r="BD1179" s="107"/>
      <c r="BE1179" s="107"/>
      <c r="BF1179" s="107"/>
      <c r="BG1179" s="107"/>
      <c r="BH1179" s="107"/>
      <c r="BI1179" s="107"/>
      <c r="BJ1179" s="107"/>
      <c r="BK1179" s="107"/>
      <c r="BL1179" s="107"/>
      <c r="BM1179" s="107"/>
      <c r="BN1179" s="107"/>
      <c r="BO1179" s="107"/>
      <c r="BP1179" s="107"/>
      <c r="BQ1179" s="107"/>
      <c r="BR1179" s="107"/>
    </row>
    <row r="1180" customFormat="false" ht="12.75" hidden="false" customHeight="false" outlineLevel="0" collapsed="false">
      <c r="A1180" s="100"/>
      <c r="B1180" s="100"/>
      <c r="C1180" s="100"/>
      <c r="D1180" s="100"/>
      <c r="E1180" s="100"/>
      <c r="F1180" s="277"/>
      <c r="H1180" s="277"/>
      <c r="I1180" s="277"/>
      <c r="J1180" s="277"/>
      <c r="K1180" s="277"/>
      <c r="L1180" s="277"/>
      <c r="M1180" s="277"/>
      <c r="N1180" s="277"/>
      <c r="O1180" s="277"/>
      <c r="P1180" s="277"/>
      <c r="Q1180" s="277"/>
      <c r="R1180" s="277"/>
      <c r="T1180" s="277"/>
      <c r="U1180" s="277"/>
      <c r="W1180" s="277"/>
      <c r="Y1180" s="107"/>
      <c r="Z1180" s="107"/>
      <c r="AA1180" s="107"/>
      <c r="AB1180" s="107"/>
      <c r="AC1180" s="107"/>
      <c r="AD1180" s="233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7"/>
      <c r="AV1180" s="107"/>
      <c r="AW1180" s="107"/>
      <c r="AX1180" s="107"/>
      <c r="AY1180" s="107"/>
      <c r="AZ1180" s="107"/>
      <c r="BA1180" s="107"/>
      <c r="BB1180" s="107"/>
      <c r="BC1180" s="107"/>
      <c r="BD1180" s="107"/>
      <c r="BE1180" s="107"/>
      <c r="BF1180" s="107"/>
      <c r="BG1180" s="107"/>
      <c r="BH1180" s="107"/>
      <c r="BI1180" s="107"/>
      <c r="BJ1180" s="107"/>
      <c r="BK1180" s="107"/>
      <c r="BL1180" s="107"/>
      <c r="BM1180" s="107"/>
      <c r="BN1180" s="107"/>
      <c r="BO1180" s="107"/>
      <c r="BP1180" s="107"/>
      <c r="BQ1180" s="107"/>
      <c r="BR1180" s="107"/>
    </row>
    <row r="1181" customFormat="false" ht="12.75" hidden="false" customHeight="false" outlineLevel="0" collapsed="false">
      <c r="A1181" s="100"/>
      <c r="B1181" s="100"/>
      <c r="C1181" s="100"/>
      <c r="D1181" s="100"/>
      <c r="E1181" s="100"/>
      <c r="F1181" s="277"/>
      <c r="H1181" s="277"/>
      <c r="I1181" s="277"/>
      <c r="J1181" s="277"/>
      <c r="K1181" s="277"/>
      <c r="L1181" s="277"/>
      <c r="M1181" s="277"/>
      <c r="N1181" s="277"/>
      <c r="O1181" s="277"/>
      <c r="P1181" s="277"/>
      <c r="Q1181" s="277"/>
      <c r="R1181" s="277"/>
      <c r="T1181" s="277"/>
      <c r="U1181" s="277"/>
      <c r="W1181" s="277"/>
      <c r="Y1181" s="107"/>
      <c r="Z1181" s="107"/>
      <c r="AA1181" s="107"/>
      <c r="AB1181" s="107"/>
      <c r="AC1181" s="107"/>
      <c r="AD1181" s="233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7"/>
      <c r="AV1181" s="107"/>
      <c r="AW1181" s="107"/>
      <c r="AX1181" s="107"/>
      <c r="AY1181" s="107"/>
      <c r="AZ1181" s="107"/>
      <c r="BA1181" s="107"/>
      <c r="BB1181" s="107"/>
      <c r="BC1181" s="107"/>
      <c r="BD1181" s="107"/>
      <c r="BE1181" s="107"/>
      <c r="BF1181" s="107"/>
      <c r="BG1181" s="107"/>
      <c r="BH1181" s="107"/>
      <c r="BI1181" s="107"/>
      <c r="BJ1181" s="107"/>
      <c r="BK1181" s="107"/>
      <c r="BL1181" s="107"/>
      <c r="BM1181" s="107"/>
      <c r="BN1181" s="107"/>
      <c r="BO1181" s="107"/>
      <c r="BP1181" s="107"/>
      <c r="BQ1181" s="107"/>
      <c r="BR1181" s="107"/>
    </row>
    <row r="1182" customFormat="false" ht="12.75" hidden="false" customHeight="false" outlineLevel="0" collapsed="false">
      <c r="A1182" s="100"/>
      <c r="B1182" s="100"/>
      <c r="C1182" s="100"/>
      <c r="D1182" s="100"/>
      <c r="E1182" s="100"/>
      <c r="F1182" s="277"/>
      <c r="H1182" s="277"/>
      <c r="I1182" s="277"/>
      <c r="J1182" s="277"/>
      <c r="K1182" s="277"/>
      <c r="L1182" s="277"/>
      <c r="M1182" s="277"/>
      <c r="N1182" s="277"/>
      <c r="O1182" s="277"/>
      <c r="P1182" s="277"/>
      <c r="Q1182" s="277"/>
      <c r="R1182" s="277"/>
      <c r="T1182" s="277"/>
      <c r="U1182" s="277"/>
      <c r="W1182" s="277"/>
      <c r="Y1182" s="107"/>
      <c r="Z1182" s="107"/>
      <c r="AA1182" s="107"/>
      <c r="AB1182" s="107"/>
      <c r="AC1182" s="107"/>
      <c r="AD1182" s="233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7"/>
      <c r="AV1182" s="107"/>
      <c r="AW1182" s="107"/>
      <c r="AX1182" s="107"/>
      <c r="AY1182" s="107"/>
      <c r="AZ1182" s="107"/>
      <c r="BA1182" s="107"/>
      <c r="BB1182" s="107"/>
      <c r="BC1182" s="107"/>
      <c r="BD1182" s="107"/>
      <c r="BE1182" s="107"/>
      <c r="BF1182" s="107"/>
      <c r="BG1182" s="107"/>
      <c r="BH1182" s="107"/>
      <c r="BI1182" s="107"/>
      <c r="BJ1182" s="107"/>
      <c r="BK1182" s="107"/>
      <c r="BL1182" s="107"/>
      <c r="BM1182" s="107"/>
      <c r="BN1182" s="107"/>
      <c r="BO1182" s="107"/>
      <c r="BP1182" s="107"/>
      <c r="BQ1182" s="107"/>
      <c r="BR1182" s="107"/>
    </row>
    <row r="1183" customFormat="false" ht="12.75" hidden="false" customHeight="false" outlineLevel="0" collapsed="false">
      <c r="A1183" s="100"/>
      <c r="B1183" s="100"/>
      <c r="C1183" s="100"/>
      <c r="D1183" s="100"/>
      <c r="E1183" s="100"/>
      <c r="F1183" s="277"/>
      <c r="H1183" s="277"/>
      <c r="I1183" s="277"/>
      <c r="J1183" s="277"/>
      <c r="K1183" s="277"/>
      <c r="L1183" s="277"/>
      <c r="M1183" s="277"/>
      <c r="N1183" s="277"/>
      <c r="O1183" s="277"/>
      <c r="P1183" s="277"/>
      <c r="Q1183" s="277"/>
      <c r="R1183" s="277"/>
      <c r="T1183" s="277"/>
      <c r="U1183" s="277"/>
      <c r="W1183" s="277"/>
      <c r="Y1183" s="107"/>
      <c r="Z1183" s="107"/>
      <c r="AA1183" s="107"/>
      <c r="AB1183" s="107"/>
      <c r="AC1183" s="107"/>
      <c r="AD1183" s="233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7"/>
      <c r="AV1183" s="107"/>
      <c r="AW1183" s="107"/>
      <c r="AX1183" s="107"/>
      <c r="AY1183" s="107"/>
      <c r="AZ1183" s="107"/>
      <c r="BA1183" s="107"/>
      <c r="BB1183" s="107"/>
      <c r="BC1183" s="107"/>
      <c r="BD1183" s="107"/>
      <c r="BE1183" s="107"/>
      <c r="BF1183" s="107"/>
      <c r="BG1183" s="107"/>
      <c r="BH1183" s="107"/>
      <c r="BI1183" s="107"/>
      <c r="BJ1183" s="107"/>
      <c r="BK1183" s="107"/>
      <c r="BL1183" s="107"/>
      <c r="BM1183" s="107"/>
      <c r="BN1183" s="107"/>
      <c r="BO1183" s="107"/>
      <c r="BP1183" s="107"/>
      <c r="BQ1183" s="107"/>
      <c r="BR1183" s="107"/>
    </row>
    <row r="1184" customFormat="false" ht="12.75" hidden="false" customHeight="false" outlineLevel="0" collapsed="false">
      <c r="A1184" s="100"/>
      <c r="B1184" s="100"/>
      <c r="C1184" s="100"/>
      <c r="D1184" s="100"/>
      <c r="E1184" s="100"/>
      <c r="F1184" s="277"/>
      <c r="H1184" s="277"/>
      <c r="I1184" s="277"/>
      <c r="J1184" s="277"/>
      <c r="K1184" s="277"/>
      <c r="L1184" s="277"/>
      <c r="M1184" s="277"/>
      <c r="N1184" s="277"/>
      <c r="O1184" s="277"/>
      <c r="P1184" s="277"/>
      <c r="Q1184" s="277"/>
      <c r="R1184" s="277"/>
      <c r="T1184" s="277"/>
      <c r="U1184" s="277"/>
      <c r="W1184" s="277"/>
      <c r="Y1184" s="107"/>
      <c r="Z1184" s="107"/>
      <c r="AA1184" s="107"/>
      <c r="AB1184" s="107"/>
      <c r="AC1184" s="107"/>
      <c r="AD1184" s="233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7"/>
      <c r="AV1184" s="107"/>
      <c r="AW1184" s="107"/>
      <c r="AX1184" s="107"/>
      <c r="AY1184" s="107"/>
      <c r="AZ1184" s="107"/>
      <c r="BA1184" s="107"/>
      <c r="BB1184" s="107"/>
      <c r="BC1184" s="107"/>
      <c r="BD1184" s="107"/>
      <c r="BE1184" s="107"/>
      <c r="BF1184" s="107"/>
      <c r="BG1184" s="107"/>
      <c r="BH1184" s="107"/>
      <c r="BI1184" s="107"/>
      <c r="BJ1184" s="107"/>
      <c r="BK1184" s="107"/>
      <c r="BL1184" s="107"/>
      <c r="BM1184" s="107"/>
      <c r="BN1184" s="107"/>
      <c r="BO1184" s="107"/>
      <c r="BP1184" s="107"/>
      <c r="BQ1184" s="107"/>
      <c r="BR1184" s="107"/>
    </row>
    <row r="1185" customFormat="false" ht="12.75" hidden="false" customHeight="false" outlineLevel="0" collapsed="false">
      <c r="A1185" s="100"/>
      <c r="B1185" s="100"/>
      <c r="C1185" s="100"/>
      <c r="D1185" s="100"/>
      <c r="E1185" s="100"/>
      <c r="F1185" s="277"/>
      <c r="H1185" s="277"/>
      <c r="I1185" s="277"/>
      <c r="J1185" s="277"/>
      <c r="K1185" s="277"/>
      <c r="L1185" s="277"/>
      <c r="M1185" s="277"/>
      <c r="N1185" s="277"/>
      <c r="O1185" s="277"/>
      <c r="P1185" s="277"/>
      <c r="Q1185" s="277"/>
      <c r="R1185" s="277"/>
      <c r="T1185" s="277"/>
      <c r="U1185" s="277"/>
      <c r="W1185" s="277"/>
      <c r="Y1185" s="107"/>
      <c r="Z1185" s="107"/>
      <c r="AA1185" s="107"/>
      <c r="AB1185" s="107"/>
      <c r="AC1185" s="107"/>
      <c r="AD1185" s="233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7"/>
      <c r="AV1185" s="107"/>
      <c r="AW1185" s="107"/>
      <c r="AX1185" s="107"/>
      <c r="AY1185" s="107"/>
      <c r="AZ1185" s="107"/>
      <c r="BA1185" s="107"/>
      <c r="BB1185" s="107"/>
      <c r="BC1185" s="107"/>
      <c r="BD1185" s="107"/>
      <c r="BE1185" s="107"/>
      <c r="BF1185" s="107"/>
      <c r="BG1185" s="107"/>
      <c r="BH1185" s="107"/>
      <c r="BI1185" s="107"/>
      <c r="BJ1185" s="107"/>
      <c r="BK1185" s="107"/>
      <c r="BL1185" s="107"/>
      <c r="BM1185" s="107"/>
      <c r="BN1185" s="107"/>
      <c r="BO1185" s="107"/>
      <c r="BP1185" s="107"/>
      <c r="BQ1185" s="107"/>
      <c r="BR1185" s="107"/>
    </row>
    <row r="1186" customFormat="false" ht="12.75" hidden="false" customHeight="false" outlineLevel="0" collapsed="false">
      <c r="A1186" s="100"/>
      <c r="B1186" s="100"/>
      <c r="C1186" s="100"/>
      <c r="D1186" s="100"/>
      <c r="E1186" s="100"/>
      <c r="F1186" s="277"/>
      <c r="H1186" s="277"/>
      <c r="I1186" s="277"/>
      <c r="J1186" s="277"/>
      <c r="K1186" s="277"/>
      <c r="L1186" s="277"/>
      <c r="M1186" s="277"/>
      <c r="N1186" s="277"/>
      <c r="O1186" s="277"/>
      <c r="P1186" s="277"/>
      <c r="Q1186" s="277"/>
      <c r="R1186" s="277"/>
      <c r="T1186" s="277"/>
      <c r="U1186" s="277"/>
      <c r="W1186" s="277"/>
      <c r="Y1186" s="107"/>
      <c r="Z1186" s="107"/>
      <c r="AA1186" s="107"/>
      <c r="AB1186" s="107"/>
      <c r="AC1186" s="107"/>
      <c r="AD1186" s="233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7"/>
      <c r="AV1186" s="107"/>
      <c r="AW1186" s="107"/>
      <c r="AX1186" s="107"/>
      <c r="AY1186" s="107"/>
      <c r="AZ1186" s="107"/>
      <c r="BA1186" s="107"/>
      <c r="BB1186" s="107"/>
      <c r="BC1186" s="107"/>
      <c r="BD1186" s="107"/>
      <c r="BE1186" s="107"/>
      <c r="BF1186" s="107"/>
      <c r="BG1186" s="107"/>
      <c r="BH1186" s="107"/>
      <c r="BI1186" s="107"/>
      <c r="BJ1186" s="107"/>
      <c r="BK1186" s="107"/>
      <c r="BL1186" s="107"/>
      <c r="BM1186" s="107"/>
      <c r="BN1186" s="107"/>
      <c r="BO1186" s="107"/>
      <c r="BP1186" s="107"/>
      <c r="BQ1186" s="107"/>
      <c r="BR1186" s="107"/>
    </row>
    <row r="1187" customFormat="false" ht="12.75" hidden="false" customHeight="false" outlineLevel="0" collapsed="false">
      <c r="A1187" s="100"/>
      <c r="B1187" s="100"/>
      <c r="C1187" s="100"/>
      <c r="D1187" s="100"/>
      <c r="E1187" s="100"/>
      <c r="F1187" s="277"/>
      <c r="H1187" s="277"/>
      <c r="I1187" s="277"/>
      <c r="J1187" s="277"/>
      <c r="K1187" s="277"/>
      <c r="L1187" s="277"/>
      <c r="M1187" s="277"/>
      <c r="N1187" s="277"/>
      <c r="O1187" s="277"/>
      <c r="P1187" s="277"/>
      <c r="Q1187" s="277"/>
      <c r="R1187" s="277"/>
      <c r="T1187" s="277"/>
      <c r="U1187" s="277"/>
      <c r="W1187" s="277"/>
      <c r="Y1187" s="107"/>
      <c r="Z1187" s="107"/>
      <c r="AA1187" s="107"/>
      <c r="AB1187" s="107"/>
      <c r="AC1187" s="107"/>
      <c r="AD1187" s="233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7"/>
      <c r="AV1187" s="107"/>
      <c r="AW1187" s="107"/>
      <c r="AX1187" s="107"/>
      <c r="AY1187" s="107"/>
      <c r="AZ1187" s="107"/>
      <c r="BA1187" s="107"/>
      <c r="BB1187" s="107"/>
      <c r="BC1187" s="107"/>
      <c r="BD1187" s="107"/>
      <c r="BE1187" s="107"/>
      <c r="BF1187" s="107"/>
      <c r="BG1187" s="107"/>
      <c r="BH1187" s="107"/>
      <c r="BI1187" s="107"/>
      <c r="BJ1187" s="107"/>
      <c r="BK1187" s="107"/>
      <c r="BL1187" s="107"/>
      <c r="BM1187" s="107"/>
      <c r="BN1187" s="107"/>
      <c r="BO1187" s="107"/>
      <c r="BP1187" s="107"/>
      <c r="BQ1187" s="107"/>
      <c r="BR1187" s="107"/>
    </row>
    <row r="1188" customFormat="false" ht="12.75" hidden="false" customHeight="false" outlineLevel="0" collapsed="false">
      <c r="A1188" s="100"/>
      <c r="B1188" s="100"/>
      <c r="C1188" s="100"/>
      <c r="D1188" s="100"/>
      <c r="E1188" s="100"/>
      <c r="F1188" s="277"/>
      <c r="H1188" s="277"/>
      <c r="I1188" s="277"/>
      <c r="J1188" s="277"/>
      <c r="K1188" s="277"/>
      <c r="L1188" s="277"/>
      <c r="M1188" s="277"/>
      <c r="N1188" s="277"/>
      <c r="O1188" s="277"/>
      <c r="P1188" s="277"/>
      <c r="Q1188" s="277"/>
      <c r="R1188" s="277"/>
      <c r="T1188" s="277"/>
      <c r="U1188" s="277"/>
      <c r="W1188" s="277"/>
      <c r="Y1188" s="107"/>
      <c r="Z1188" s="107"/>
      <c r="AA1188" s="107"/>
      <c r="AB1188" s="107"/>
      <c r="AC1188" s="107"/>
      <c r="AD1188" s="233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7"/>
      <c r="AV1188" s="107"/>
      <c r="AW1188" s="107"/>
      <c r="AX1188" s="107"/>
      <c r="AY1188" s="107"/>
      <c r="AZ1188" s="107"/>
      <c r="BA1188" s="107"/>
      <c r="BB1188" s="107"/>
      <c r="BC1188" s="107"/>
      <c r="BD1188" s="107"/>
      <c r="BE1188" s="107"/>
      <c r="BF1188" s="107"/>
      <c r="BG1188" s="107"/>
      <c r="BH1188" s="107"/>
      <c r="BI1188" s="107"/>
      <c r="BJ1188" s="107"/>
      <c r="BK1188" s="107"/>
      <c r="BL1188" s="107"/>
      <c r="BM1188" s="107"/>
      <c r="BN1188" s="107"/>
      <c r="BO1188" s="107"/>
      <c r="BP1188" s="107"/>
      <c r="BQ1188" s="107"/>
      <c r="BR1188" s="107"/>
    </row>
    <row r="1189" customFormat="false" ht="12.75" hidden="false" customHeight="false" outlineLevel="0" collapsed="false">
      <c r="A1189" s="100"/>
      <c r="B1189" s="100"/>
      <c r="C1189" s="100"/>
      <c r="D1189" s="100"/>
      <c r="E1189" s="100"/>
      <c r="F1189" s="277"/>
      <c r="H1189" s="277"/>
      <c r="I1189" s="277"/>
      <c r="J1189" s="277"/>
      <c r="K1189" s="277"/>
      <c r="L1189" s="277"/>
      <c r="M1189" s="277"/>
      <c r="N1189" s="277"/>
      <c r="O1189" s="277"/>
      <c r="P1189" s="277"/>
      <c r="Q1189" s="277"/>
      <c r="R1189" s="277"/>
      <c r="T1189" s="277"/>
      <c r="U1189" s="277"/>
      <c r="W1189" s="277"/>
      <c r="Y1189" s="107"/>
      <c r="Z1189" s="107"/>
      <c r="AA1189" s="107"/>
      <c r="AB1189" s="107"/>
      <c r="AC1189" s="107"/>
      <c r="AD1189" s="233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7"/>
      <c r="AV1189" s="107"/>
      <c r="AW1189" s="107"/>
      <c r="AX1189" s="107"/>
      <c r="AY1189" s="107"/>
      <c r="AZ1189" s="107"/>
      <c r="BA1189" s="107"/>
      <c r="BB1189" s="107"/>
      <c r="BC1189" s="107"/>
      <c r="BD1189" s="107"/>
      <c r="BE1189" s="107"/>
      <c r="BF1189" s="107"/>
      <c r="BG1189" s="107"/>
      <c r="BH1189" s="107"/>
      <c r="BI1189" s="107"/>
      <c r="BJ1189" s="107"/>
      <c r="BK1189" s="107"/>
      <c r="BL1189" s="107"/>
      <c r="BM1189" s="107"/>
      <c r="BN1189" s="107"/>
      <c r="BO1189" s="107"/>
      <c r="BP1189" s="107"/>
      <c r="BQ1189" s="107"/>
      <c r="BR1189" s="107"/>
    </row>
    <row r="1190" customFormat="false" ht="12.75" hidden="false" customHeight="false" outlineLevel="0" collapsed="false">
      <c r="A1190" s="100"/>
      <c r="B1190" s="100"/>
      <c r="C1190" s="100"/>
      <c r="D1190" s="100"/>
      <c r="E1190" s="100"/>
      <c r="F1190" s="277"/>
      <c r="H1190" s="277"/>
      <c r="I1190" s="277"/>
      <c r="J1190" s="277"/>
      <c r="K1190" s="277"/>
      <c r="L1190" s="277"/>
      <c r="M1190" s="277"/>
      <c r="N1190" s="277"/>
      <c r="O1190" s="277"/>
      <c r="P1190" s="277"/>
      <c r="Q1190" s="277"/>
      <c r="R1190" s="277"/>
      <c r="T1190" s="277"/>
      <c r="U1190" s="277"/>
      <c r="W1190" s="277"/>
      <c r="Y1190" s="107"/>
      <c r="Z1190" s="107"/>
      <c r="AA1190" s="107"/>
      <c r="AB1190" s="107"/>
      <c r="AC1190" s="107"/>
      <c r="AD1190" s="233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7"/>
      <c r="AV1190" s="107"/>
      <c r="AW1190" s="107"/>
      <c r="AX1190" s="107"/>
      <c r="AY1190" s="107"/>
      <c r="AZ1190" s="107"/>
      <c r="BA1190" s="107"/>
      <c r="BB1190" s="107"/>
      <c r="BC1190" s="107"/>
      <c r="BD1190" s="107"/>
      <c r="BE1190" s="107"/>
      <c r="BF1190" s="107"/>
      <c r="BG1190" s="107"/>
      <c r="BH1190" s="107"/>
      <c r="BI1190" s="107"/>
      <c r="BJ1190" s="107"/>
      <c r="BK1190" s="107"/>
      <c r="BL1190" s="107"/>
      <c r="BM1190" s="107"/>
      <c r="BN1190" s="107"/>
      <c r="BO1190" s="107"/>
      <c r="BP1190" s="107"/>
      <c r="BQ1190" s="107"/>
      <c r="BR1190" s="107"/>
    </row>
    <row r="1191" customFormat="false" ht="12.75" hidden="false" customHeight="false" outlineLevel="0" collapsed="false">
      <c r="A1191" s="100"/>
      <c r="B1191" s="100"/>
      <c r="C1191" s="100"/>
      <c r="D1191" s="100"/>
      <c r="E1191" s="100"/>
      <c r="F1191" s="277"/>
      <c r="H1191" s="277"/>
      <c r="I1191" s="277"/>
      <c r="J1191" s="277"/>
      <c r="K1191" s="277"/>
      <c r="L1191" s="277"/>
      <c r="M1191" s="277"/>
      <c r="N1191" s="277"/>
      <c r="O1191" s="277"/>
      <c r="P1191" s="277"/>
      <c r="Q1191" s="277"/>
      <c r="R1191" s="277"/>
      <c r="T1191" s="277"/>
      <c r="U1191" s="277"/>
      <c r="W1191" s="277"/>
      <c r="Y1191" s="107"/>
      <c r="Z1191" s="107"/>
      <c r="AA1191" s="107"/>
      <c r="AB1191" s="107"/>
      <c r="AC1191" s="107"/>
      <c r="AD1191" s="233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7"/>
      <c r="AV1191" s="107"/>
      <c r="AW1191" s="107"/>
      <c r="AX1191" s="107"/>
      <c r="AY1191" s="107"/>
      <c r="AZ1191" s="107"/>
      <c r="BA1191" s="107"/>
      <c r="BB1191" s="107"/>
      <c r="BC1191" s="107"/>
      <c r="BD1191" s="107"/>
      <c r="BE1191" s="107"/>
      <c r="BF1191" s="107"/>
      <c r="BG1191" s="107"/>
      <c r="BH1191" s="107"/>
      <c r="BI1191" s="107"/>
      <c r="BJ1191" s="107"/>
      <c r="BK1191" s="107"/>
      <c r="BL1191" s="107"/>
      <c r="BM1191" s="107"/>
      <c r="BN1191" s="107"/>
      <c r="BO1191" s="107"/>
      <c r="BP1191" s="107"/>
      <c r="BQ1191" s="107"/>
      <c r="BR1191" s="107"/>
    </row>
    <row r="1192" customFormat="false" ht="12.75" hidden="false" customHeight="false" outlineLevel="0" collapsed="false">
      <c r="A1192" s="100"/>
      <c r="B1192" s="100"/>
      <c r="C1192" s="100"/>
      <c r="D1192" s="100"/>
      <c r="E1192" s="100"/>
      <c r="F1192" s="277"/>
      <c r="H1192" s="277"/>
      <c r="I1192" s="277"/>
      <c r="J1192" s="277"/>
      <c r="K1192" s="277"/>
      <c r="L1192" s="277"/>
      <c r="M1192" s="277"/>
      <c r="N1192" s="277"/>
      <c r="O1192" s="277"/>
      <c r="P1192" s="277"/>
      <c r="Q1192" s="277"/>
      <c r="R1192" s="277"/>
      <c r="T1192" s="277"/>
      <c r="U1192" s="277"/>
      <c r="W1192" s="277"/>
      <c r="Y1192" s="107"/>
      <c r="Z1192" s="107"/>
      <c r="AA1192" s="107"/>
      <c r="AB1192" s="107"/>
      <c r="AC1192" s="107"/>
      <c r="AD1192" s="233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7"/>
      <c r="AV1192" s="107"/>
      <c r="AW1192" s="107"/>
      <c r="AX1192" s="107"/>
      <c r="AY1192" s="107"/>
      <c r="AZ1192" s="107"/>
      <c r="BA1192" s="107"/>
      <c r="BB1192" s="107"/>
      <c r="BC1192" s="107"/>
      <c r="BD1192" s="107"/>
      <c r="BE1192" s="107"/>
      <c r="BF1192" s="107"/>
      <c r="BG1192" s="107"/>
      <c r="BH1192" s="107"/>
      <c r="BI1192" s="107"/>
      <c r="BJ1192" s="107"/>
      <c r="BK1192" s="107"/>
      <c r="BL1192" s="107"/>
      <c r="BM1192" s="107"/>
      <c r="BN1192" s="107"/>
      <c r="BO1192" s="107"/>
      <c r="BP1192" s="107"/>
      <c r="BQ1192" s="107"/>
      <c r="BR1192" s="107"/>
    </row>
    <row r="1193" customFormat="false" ht="12.75" hidden="false" customHeight="false" outlineLevel="0" collapsed="false">
      <c r="A1193" s="100"/>
      <c r="B1193" s="100"/>
      <c r="C1193" s="100"/>
      <c r="D1193" s="100"/>
      <c r="E1193" s="100"/>
      <c r="F1193" s="277"/>
      <c r="H1193" s="277"/>
      <c r="I1193" s="277"/>
      <c r="J1193" s="277"/>
      <c r="K1193" s="277"/>
      <c r="L1193" s="277"/>
      <c r="M1193" s="277"/>
      <c r="N1193" s="277"/>
      <c r="O1193" s="277"/>
      <c r="P1193" s="277"/>
      <c r="Q1193" s="277"/>
      <c r="R1193" s="277"/>
      <c r="T1193" s="277"/>
      <c r="U1193" s="277"/>
      <c r="W1193" s="277"/>
      <c r="Y1193" s="107"/>
      <c r="Z1193" s="107"/>
      <c r="AA1193" s="107"/>
      <c r="AB1193" s="107"/>
      <c r="AC1193" s="107"/>
      <c r="AD1193" s="233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7"/>
      <c r="AV1193" s="107"/>
      <c r="AW1193" s="107"/>
      <c r="AX1193" s="107"/>
      <c r="AY1193" s="107"/>
      <c r="AZ1193" s="107"/>
      <c r="BA1193" s="107"/>
      <c r="BB1193" s="107"/>
      <c r="BC1193" s="107"/>
      <c r="BD1193" s="107"/>
      <c r="BE1193" s="107"/>
      <c r="BF1193" s="107"/>
      <c r="BG1193" s="107"/>
      <c r="BH1193" s="107"/>
      <c r="BI1193" s="107"/>
      <c r="BJ1193" s="107"/>
      <c r="BK1193" s="107"/>
      <c r="BL1193" s="107"/>
      <c r="BM1193" s="107"/>
      <c r="BN1193" s="107"/>
      <c r="BO1193" s="107"/>
      <c r="BP1193" s="107"/>
      <c r="BQ1193" s="107"/>
      <c r="BR1193" s="107"/>
    </row>
    <row r="1194" customFormat="false" ht="12.75" hidden="false" customHeight="false" outlineLevel="0" collapsed="false">
      <c r="A1194" s="100"/>
      <c r="B1194" s="100"/>
      <c r="C1194" s="100"/>
      <c r="D1194" s="100"/>
      <c r="E1194" s="100"/>
      <c r="F1194" s="277"/>
      <c r="H1194" s="277"/>
      <c r="I1194" s="277"/>
      <c r="J1194" s="277"/>
      <c r="K1194" s="277"/>
      <c r="L1194" s="277"/>
      <c r="M1194" s="277"/>
      <c r="N1194" s="277"/>
      <c r="O1194" s="277"/>
      <c r="P1194" s="277"/>
      <c r="Q1194" s="277"/>
      <c r="R1194" s="277"/>
      <c r="T1194" s="277"/>
      <c r="U1194" s="277"/>
      <c r="W1194" s="277"/>
      <c r="Y1194" s="107"/>
      <c r="Z1194" s="107"/>
      <c r="AA1194" s="107"/>
      <c r="AB1194" s="107"/>
      <c r="AC1194" s="107"/>
      <c r="AD1194" s="233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7"/>
      <c r="AV1194" s="107"/>
      <c r="AW1194" s="107"/>
      <c r="AX1194" s="107"/>
      <c r="AY1194" s="107"/>
      <c r="AZ1194" s="107"/>
      <c r="BA1194" s="107"/>
      <c r="BB1194" s="107"/>
      <c r="BC1194" s="107"/>
      <c r="BD1194" s="107"/>
      <c r="BE1194" s="107"/>
      <c r="BF1194" s="107"/>
      <c r="BG1194" s="107"/>
      <c r="BH1194" s="107"/>
      <c r="BI1194" s="107"/>
      <c r="BJ1194" s="107"/>
      <c r="BK1194" s="107"/>
      <c r="BL1194" s="107"/>
      <c r="BM1194" s="107"/>
      <c r="BN1194" s="107"/>
      <c r="BO1194" s="107"/>
      <c r="BP1194" s="107"/>
      <c r="BQ1194" s="107"/>
      <c r="BR1194" s="107"/>
    </row>
    <row r="1195" customFormat="false" ht="12.75" hidden="false" customHeight="false" outlineLevel="0" collapsed="false">
      <c r="A1195" s="100"/>
      <c r="B1195" s="100"/>
      <c r="C1195" s="100"/>
      <c r="D1195" s="100"/>
      <c r="E1195" s="100"/>
      <c r="F1195" s="277"/>
      <c r="H1195" s="277"/>
      <c r="I1195" s="277"/>
      <c r="J1195" s="277"/>
      <c r="K1195" s="277"/>
      <c r="L1195" s="277"/>
      <c r="M1195" s="277"/>
      <c r="N1195" s="277"/>
      <c r="O1195" s="277"/>
      <c r="P1195" s="277"/>
      <c r="Q1195" s="277"/>
      <c r="R1195" s="277"/>
      <c r="T1195" s="277"/>
      <c r="U1195" s="277"/>
      <c r="W1195" s="277"/>
      <c r="Y1195" s="107"/>
      <c r="Z1195" s="107"/>
      <c r="AA1195" s="107"/>
      <c r="AB1195" s="107"/>
      <c r="AC1195" s="107"/>
      <c r="AD1195" s="233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7"/>
      <c r="AV1195" s="107"/>
      <c r="AW1195" s="107"/>
      <c r="AX1195" s="107"/>
      <c r="AY1195" s="107"/>
      <c r="AZ1195" s="107"/>
      <c r="BA1195" s="107"/>
      <c r="BB1195" s="107"/>
      <c r="BC1195" s="107"/>
      <c r="BD1195" s="107"/>
      <c r="BE1195" s="107"/>
      <c r="BF1195" s="107"/>
      <c r="BG1195" s="107"/>
      <c r="BH1195" s="107"/>
      <c r="BI1195" s="107"/>
      <c r="BJ1195" s="107"/>
      <c r="BK1195" s="107"/>
      <c r="BL1195" s="107"/>
      <c r="BM1195" s="107"/>
      <c r="BN1195" s="107"/>
      <c r="BO1195" s="107"/>
      <c r="BP1195" s="107"/>
      <c r="BQ1195" s="107"/>
      <c r="BR1195" s="107"/>
    </row>
    <row r="1196" customFormat="false" ht="12.75" hidden="false" customHeight="false" outlineLevel="0" collapsed="false">
      <c r="A1196" s="100"/>
      <c r="B1196" s="100"/>
      <c r="C1196" s="100"/>
      <c r="D1196" s="100"/>
      <c r="E1196" s="100"/>
      <c r="F1196" s="277"/>
      <c r="H1196" s="277"/>
      <c r="I1196" s="277"/>
      <c r="J1196" s="277"/>
      <c r="K1196" s="277"/>
      <c r="L1196" s="277"/>
      <c r="M1196" s="277"/>
      <c r="N1196" s="277"/>
      <c r="O1196" s="277"/>
      <c r="P1196" s="277"/>
      <c r="Q1196" s="277"/>
      <c r="R1196" s="277"/>
      <c r="T1196" s="277"/>
      <c r="U1196" s="277"/>
      <c r="W1196" s="277"/>
      <c r="Y1196" s="107"/>
      <c r="Z1196" s="107"/>
      <c r="AA1196" s="107"/>
      <c r="AB1196" s="107"/>
      <c r="AC1196" s="107"/>
      <c r="AD1196" s="233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7"/>
      <c r="AV1196" s="107"/>
      <c r="AW1196" s="107"/>
      <c r="AX1196" s="107"/>
      <c r="AY1196" s="107"/>
      <c r="AZ1196" s="107"/>
      <c r="BA1196" s="107"/>
      <c r="BB1196" s="107"/>
      <c r="BC1196" s="107"/>
      <c r="BD1196" s="107"/>
      <c r="BE1196" s="107"/>
      <c r="BF1196" s="107"/>
      <c r="BG1196" s="107"/>
      <c r="BH1196" s="107"/>
      <c r="BI1196" s="107"/>
      <c r="BJ1196" s="107"/>
      <c r="BK1196" s="107"/>
      <c r="BL1196" s="107"/>
      <c r="BM1196" s="107"/>
      <c r="BN1196" s="107"/>
      <c r="BO1196" s="107"/>
      <c r="BP1196" s="107"/>
      <c r="BQ1196" s="107"/>
      <c r="BR1196" s="107"/>
    </row>
    <row r="1197" customFormat="false" ht="12.75" hidden="false" customHeight="false" outlineLevel="0" collapsed="false">
      <c r="A1197" s="100"/>
      <c r="B1197" s="100"/>
      <c r="C1197" s="100"/>
      <c r="D1197" s="100"/>
      <c r="E1197" s="100"/>
      <c r="F1197" s="277"/>
      <c r="H1197" s="277"/>
      <c r="I1197" s="277"/>
      <c r="J1197" s="277"/>
      <c r="K1197" s="277"/>
      <c r="L1197" s="277"/>
      <c r="M1197" s="277"/>
      <c r="N1197" s="277"/>
      <c r="O1197" s="277"/>
      <c r="P1197" s="277"/>
      <c r="Q1197" s="277"/>
      <c r="R1197" s="277"/>
      <c r="T1197" s="277"/>
      <c r="U1197" s="277"/>
      <c r="W1197" s="277"/>
      <c r="Y1197" s="107"/>
      <c r="Z1197" s="107"/>
      <c r="AA1197" s="107"/>
      <c r="AB1197" s="107"/>
      <c r="AC1197" s="107"/>
      <c r="AD1197" s="233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7"/>
      <c r="AV1197" s="107"/>
      <c r="AW1197" s="107"/>
      <c r="AX1197" s="107"/>
      <c r="AY1197" s="107"/>
      <c r="AZ1197" s="107"/>
      <c r="BA1197" s="107"/>
      <c r="BB1197" s="107"/>
      <c r="BC1197" s="107"/>
      <c r="BD1197" s="107"/>
      <c r="BE1197" s="107"/>
      <c r="BF1197" s="107"/>
      <c r="BG1197" s="107"/>
      <c r="BH1197" s="107"/>
      <c r="BI1197" s="107"/>
      <c r="BJ1197" s="107"/>
      <c r="BK1197" s="107"/>
      <c r="BL1197" s="107"/>
      <c r="BM1197" s="107"/>
      <c r="BN1197" s="107"/>
      <c r="BO1197" s="107"/>
      <c r="BP1197" s="107"/>
      <c r="BQ1197" s="107"/>
      <c r="BR1197" s="107"/>
    </row>
    <row r="1198" customFormat="false" ht="12.75" hidden="false" customHeight="false" outlineLevel="0" collapsed="false">
      <c r="A1198" s="100"/>
      <c r="B1198" s="100"/>
      <c r="C1198" s="100"/>
      <c r="D1198" s="100"/>
      <c r="E1198" s="100"/>
      <c r="F1198" s="277"/>
      <c r="H1198" s="277"/>
      <c r="I1198" s="277"/>
      <c r="J1198" s="277"/>
      <c r="K1198" s="277"/>
      <c r="L1198" s="277"/>
      <c r="M1198" s="277"/>
      <c r="N1198" s="277"/>
      <c r="O1198" s="277"/>
      <c r="P1198" s="277"/>
      <c r="Q1198" s="277"/>
      <c r="R1198" s="277"/>
      <c r="T1198" s="277"/>
      <c r="U1198" s="277"/>
      <c r="W1198" s="277"/>
      <c r="Y1198" s="107"/>
      <c r="Z1198" s="107"/>
      <c r="AA1198" s="107"/>
      <c r="AB1198" s="107"/>
      <c r="AC1198" s="107"/>
      <c r="AD1198" s="233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7"/>
      <c r="AV1198" s="107"/>
      <c r="AW1198" s="107"/>
      <c r="AX1198" s="107"/>
      <c r="AY1198" s="107"/>
      <c r="AZ1198" s="107"/>
      <c r="BA1198" s="107"/>
      <c r="BB1198" s="107"/>
      <c r="BC1198" s="107"/>
      <c r="BD1198" s="107"/>
      <c r="BE1198" s="107"/>
      <c r="BF1198" s="107"/>
      <c r="BG1198" s="107"/>
      <c r="BH1198" s="107"/>
      <c r="BI1198" s="107"/>
      <c r="BJ1198" s="107"/>
      <c r="BK1198" s="107"/>
      <c r="BL1198" s="107"/>
      <c r="BM1198" s="107"/>
      <c r="BN1198" s="107"/>
      <c r="BO1198" s="107"/>
      <c r="BP1198" s="107"/>
      <c r="BQ1198" s="107"/>
      <c r="BR1198" s="107"/>
    </row>
    <row r="1199" customFormat="false" ht="12.75" hidden="false" customHeight="false" outlineLevel="0" collapsed="false">
      <c r="A1199" s="100"/>
      <c r="B1199" s="100"/>
      <c r="C1199" s="100"/>
      <c r="D1199" s="100"/>
      <c r="E1199" s="100"/>
      <c r="F1199" s="277"/>
      <c r="H1199" s="277"/>
      <c r="I1199" s="277"/>
      <c r="J1199" s="277"/>
      <c r="K1199" s="277"/>
      <c r="L1199" s="277"/>
      <c r="M1199" s="277"/>
      <c r="N1199" s="277"/>
      <c r="O1199" s="277"/>
      <c r="P1199" s="277"/>
      <c r="Q1199" s="277"/>
      <c r="R1199" s="277"/>
      <c r="T1199" s="277"/>
      <c r="U1199" s="277"/>
      <c r="W1199" s="277"/>
      <c r="Y1199" s="107"/>
      <c r="Z1199" s="107"/>
      <c r="AA1199" s="107"/>
      <c r="AB1199" s="107"/>
      <c r="AC1199" s="107"/>
      <c r="AD1199" s="233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7"/>
      <c r="AV1199" s="107"/>
      <c r="AW1199" s="107"/>
      <c r="AX1199" s="107"/>
      <c r="AY1199" s="107"/>
      <c r="AZ1199" s="107"/>
      <c r="BA1199" s="107"/>
      <c r="BB1199" s="107"/>
      <c r="BC1199" s="107"/>
      <c r="BD1199" s="107"/>
      <c r="BE1199" s="107"/>
      <c r="BF1199" s="107"/>
      <c r="BG1199" s="107"/>
      <c r="BH1199" s="107"/>
      <c r="BI1199" s="107"/>
      <c r="BJ1199" s="107"/>
      <c r="BK1199" s="107"/>
      <c r="BL1199" s="107"/>
      <c r="BM1199" s="107"/>
      <c r="BN1199" s="107"/>
      <c r="BO1199" s="107"/>
      <c r="BP1199" s="107"/>
      <c r="BQ1199" s="107"/>
      <c r="BR1199" s="107"/>
    </row>
    <row r="1200" customFormat="false" ht="12.75" hidden="false" customHeight="false" outlineLevel="0" collapsed="false">
      <c r="A1200" s="100"/>
      <c r="B1200" s="100"/>
      <c r="C1200" s="100"/>
      <c r="D1200" s="100"/>
      <c r="E1200" s="100"/>
      <c r="F1200" s="277"/>
      <c r="H1200" s="277"/>
      <c r="I1200" s="277"/>
      <c r="J1200" s="277"/>
      <c r="K1200" s="277"/>
      <c r="L1200" s="277"/>
      <c r="M1200" s="277"/>
      <c r="N1200" s="277"/>
      <c r="O1200" s="277"/>
      <c r="P1200" s="277"/>
      <c r="Q1200" s="277"/>
      <c r="R1200" s="277"/>
      <c r="T1200" s="277"/>
      <c r="U1200" s="277"/>
      <c r="W1200" s="277"/>
      <c r="Y1200" s="107"/>
      <c r="Z1200" s="107"/>
      <c r="AA1200" s="107"/>
      <c r="AB1200" s="107"/>
      <c r="AC1200" s="107"/>
      <c r="AD1200" s="233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7"/>
      <c r="AV1200" s="107"/>
      <c r="AW1200" s="107"/>
      <c r="AX1200" s="107"/>
      <c r="AY1200" s="107"/>
      <c r="AZ1200" s="107"/>
      <c r="BA1200" s="107"/>
      <c r="BB1200" s="107"/>
      <c r="BC1200" s="107"/>
      <c r="BD1200" s="107"/>
      <c r="BE1200" s="107"/>
      <c r="BF1200" s="107"/>
      <c r="BG1200" s="107"/>
      <c r="BH1200" s="107"/>
      <c r="BI1200" s="107"/>
      <c r="BJ1200" s="107"/>
      <c r="BK1200" s="107"/>
      <c r="BL1200" s="107"/>
      <c r="BM1200" s="107"/>
      <c r="BN1200" s="107"/>
      <c r="BO1200" s="107"/>
      <c r="BP1200" s="107"/>
      <c r="BQ1200" s="107"/>
      <c r="BR1200" s="107"/>
    </row>
    <row r="1201" customFormat="false" ht="12.75" hidden="false" customHeight="false" outlineLevel="0" collapsed="false">
      <c r="A1201" s="100"/>
      <c r="B1201" s="100"/>
      <c r="C1201" s="100"/>
      <c r="D1201" s="100"/>
      <c r="E1201" s="100"/>
      <c r="F1201" s="277"/>
      <c r="H1201" s="277"/>
      <c r="I1201" s="277"/>
      <c r="J1201" s="277"/>
      <c r="K1201" s="277"/>
      <c r="L1201" s="277"/>
      <c r="M1201" s="277"/>
      <c r="N1201" s="277"/>
      <c r="O1201" s="277"/>
      <c r="P1201" s="277"/>
      <c r="Q1201" s="277"/>
      <c r="R1201" s="277"/>
      <c r="T1201" s="277"/>
      <c r="U1201" s="277"/>
      <c r="W1201" s="277"/>
      <c r="Y1201" s="107"/>
      <c r="Z1201" s="107"/>
      <c r="AA1201" s="107"/>
      <c r="AB1201" s="107"/>
      <c r="AC1201" s="107"/>
      <c r="AD1201" s="233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7"/>
      <c r="AV1201" s="107"/>
      <c r="AW1201" s="107"/>
      <c r="AX1201" s="107"/>
      <c r="AY1201" s="107"/>
      <c r="AZ1201" s="107"/>
      <c r="BA1201" s="107"/>
      <c r="BB1201" s="107"/>
      <c r="BC1201" s="107"/>
      <c r="BD1201" s="107"/>
      <c r="BE1201" s="107"/>
      <c r="BF1201" s="107"/>
      <c r="BG1201" s="107"/>
      <c r="BH1201" s="107"/>
      <c r="BI1201" s="107"/>
      <c r="BJ1201" s="107"/>
      <c r="BK1201" s="107"/>
      <c r="BL1201" s="107"/>
      <c r="BM1201" s="107"/>
      <c r="BN1201" s="107"/>
      <c r="BO1201" s="107"/>
      <c r="BP1201" s="107"/>
      <c r="BQ1201" s="107"/>
      <c r="BR1201" s="107"/>
    </row>
    <row r="1202" customFormat="false" ht="12.75" hidden="false" customHeight="false" outlineLevel="0" collapsed="false">
      <c r="A1202" s="100"/>
      <c r="B1202" s="100"/>
      <c r="C1202" s="100"/>
      <c r="D1202" s="100"/>
      <c r="E1202" s="100"/>
      <c r="F1202" s="277"/>
      <c r="H1202" s="277"/>
      <c r="I1202" s="277"/>
      <c r="J1202" s="277"/>
      <c r="K1202" s="277"/>
      <c r="L1202" s="277"/>
      <c r="M1202" s="277"/>
      <c r="N1202" s="277"/>
      <c r="O1202" s="277"/>
      <c r="P1202" s="277"/>
      <c r="Q1202" s="277"/>
      <c r="R1202" s="277"/>
      <c r="T1202" s="277"/>
      <c r="U1202" s="277"/>
      <c r="W1202" s="277"/>
      <c r="Y1202" s="107"/>
      <c r="Z1202" s="107"/>
      <c r="AA1202" s="107"/>
      <c r="AB1202" s="107"/>
      <c r="AC1202" s="107"/>
      <c r="AD1202" s="233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7"/>
      <c r="AV1202" s="107"/>
      <c r="AW1202" s="107"/>
      <c r="AX1202" s="107"/>
      <c r="AY1202" s="107"/>
      <c r="AZ1202" s="107"/>
      <c r="BA1202" s="107"/>
      <c r="BB1202" s="107"/>
      <c r="BC1202" s="107"/>
      <c r="BD1202" s="107"/>
      <c r="BE1202" s="107"/>
      <c r="BF1202" s="107"/>
      <c r="BG1202" s="107"/>
      <c r="BH1202" s="107"/>
      <c r="BI1202" s="107"/>
      <c r="BJ1202" s="107"/>
      <c r="BK1202" s="107"/>
      <c r="BL1202" s="107"/>
      <c r="BM1202" s="107"/>
      <c r="BN1202" s="107"/>
      <c r="BO1202" s="107"/>
      <c r="BP1202" s="107"/>
      <c r="BQ1202" s="107"/>
      <c r="BR1202" s="107"/>
    </row>
    <row r="1203" customFormat="false" ht="12.75" hidden="false" customHeight="false" outlineLevel="0" collapsed="false">
      <c r="A1203" s="100"/>
      <c r="B1203" s="100"/>
      <c r="C1203" s="100"/>
      <c r="D1203" s="100"/>
      <c r="E1203" s="100"/>
      <c r="F1203" s="277"/>
      <c r="H1203" s="277"/>
      <c r="I1203" s="277"/>
      <c r="J1203" s="277"/>
      <c r="K1203" s="277"/>
      <c r="L1203" s="277"/>
      <c r="M1203" s="277"/>
      <c r="N1203" s="277"/>
      <c r="O1203" s="277"/>
      <c r="P1203" s="277"/>
      <c r="Q1203" s="277"/>
      <c r="R1203" s="277"/>
      <c r="T1203" s="277"/>
      <c r="U1203" s="277"/>
      <c r="W1203" s="277"/>
      <c r="Y1203" s="107"/>
      <c r="Z1203" s="107"/>
      <c r="AA1203" s="107"/>
      <c r="AB1203" s="107"/>
      <c r="AC1203" s="107"/>
      <c r="AD1203" s="233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7"/>
      <c r="AV1203" s="107"/>
      <c r="AW1203" s="107"/>
      <c r="AX1203" s="107"/>
      <c r="AY1203" s="107"/>
      <c r="AZ1203" s="107"/>
      <c r="BA1203" s="107"/>
      <c r="BB1203" s="107"/>
      <c r="BC1203" s="107"/>
      <c r="BD1203" s="107"/>
      <c r="BE1203" s="107"/>
      <c r="BF1203" s="107"/>
      <c r="BG1203" s="107"/>
      <c r="BH1203" s="107"/>
      <c r="BI1203" s="107"/>
      <c r="BJ1203" s="107"/>
      <c r="BK1203" s="107"/>
      <c r="BL1203" s="107"/>
      <c r="BM1203" s="107"/>
      <c r="BN1203" s="107"/>
      <c r="BO1203" s="107"/>
      <c r="BP1203" s="107"/>
      <c r="BQ1203" s="107"/>
      <c r="BR1203" s="107"/>
    </row>
    <row r="1204" customFormat="false" ht="12.75" hidden="false" customHeight="false" outlineLevel="0" collapsed="false">
      <c r="A1204" s="100"/>
      <c r="B1204" s="100"/>
      <c r="C1204" s="100"/>
      <c r="D1204" s="100"/>
      <c r="E1204" s="100"/>
      <c r="F1204" s="277"/>
      <c r="H1204" s="277"/>
      <c r="I1204" s="277"/>
      <c r="J1204" s="277"/>
      <c r="K1204" s="277"/>
      <c r="L1204" s="277"/>
      <c r="M1204" s="277"/>
      <c r="N1204" s="277"/>
      <c r="O1204" s="277"/>
      <c r="P1204" s="277"/>
      <c r="Q1204" s="277"/>
      <c r="R1204" s="277"/>
      <c r="T1204" s="277"/>
      <c r="U1204" s="277"/>
      <c r="W1204" s="277"/>
      <c r="Y1204" s="107"/>
      <c r="Z1204" s="107"/>
      <c r="AA1204" s="107"/>
      <c r="AB1204" s="107"/>
      <c r="AC1204" s="107"/>
      <c r="AD1204" s="233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7"/>
      <c r="AV1204" s="107"/>
      <c r="AW1204" s="107"/>
      <c r="AX1204" s="107"/>
      <c r="AY1204" s="107"/>
      <c r="AZ1204" s="107"/>
      <c r="BA1204" s="107"/>
      <c r="BB1204" s="107"/>
      <c r="BC1204" s="107"/>
      <c r="BD1204" s="107"/>
      <c r="BE1204" s="107"/>
      <c r="BF1204" s="107"/>
      <c r="BG1204" s="107"/>
      <c r="BH1204" s="107"/>
      <c r="BI1204" s="107"/>
      <c r="BJ1204" s="107"/>
      <c r="BK1204" s="107"/>
      <c r="BL1204" s="107"/>
      <c r="BM1204" s="107"/>
      <c r="BN1204" s="107"/>
      <c r="BO1204" s="107"/>
      <c r="BP1204" s="107"/>
      <c r="BQ1204" s="107"/>
      <c r="BR1204" s="107"/>
    </row>
    <row r="1205" customFormat="false" ht="12.75" hidden="false" customHeight="false" outlineLevel="0" collapsed="false">
      <c r="A1205" s="100"/>
      <c r="B1205" s="100"/>
      <c r="C1205" s="100"/>
      <c r="D1205" s="100"/>
      <c r="E1205" s="100"/>
      <c r="F1205" s="277"/>
      <c r="H1205" s="277"/>
      <c r="I1205" s="277"/>
      <c r="J1205" s="277"/>
      <c r="K1205" s="277"/>
      <c r="L1205" s="277"/>
      <c r="M1205" s="277"/>
      <c r="N1205" s="277"/>
      <c r="O1205" s="277"/>
      <c r="P1205" s="277"/>
      <c r="Q1205" s="277"/>
      <c r="R1205" s="277"/>
      <c r="T1205" s="277"/>
      <c r="U1205" s="277"/>
      <c r="W1205" s="277"/>
      <c r="Y1205" s="107"/>
      <c r="Z1205" s="107"/>
      <c r="AA1205" s="107"/>
      <c r="AB1205" s="107"/>
      <c r="AC1205" s="107"/>
      <c r="AD1205" s="233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7"/>
      <c r="AV1205" s="107"/>
      <c r="AW1205" s="107"/>
      <c r="AX1205" s="107"/>
      <c r="AY1205" s="107"/>
      <c r="AZ1205" s="107"/>
      <c r="BA1205" s="107"/>
      <c r="BB1205" s="107"/>
      <c r="BC1205" s="107"/>
      <c r="BD1205" s="107"/>
      <c r="BE1205" s="107"/>
      <c r="BF1205" s="107"/>
      <c r="BG1205" s="107"/>
      <c r="BH1205" s="107"/>
      <c r="BI1205" s="107"/>
      <c r="BJ1205" s="107"/>
      <c r="BK1205" s="107"/>
      <c r="BL1205" s="107"/>
      <c r="BM1205" s="107"/>
      <c r="BN1205" s="107"/>
      <c r="BO1205" s="107"/>
      <c r="BP1205" s="107"/>
      <c r="BQ1205" s="107"/>
      <c r="BR1205" s="107"/>
    </row>
    <row r="1206" customFormat="false" ht="12.75" hidden="false" customHeight="false" outlineLevel="0" collapsed="false">
      <c r="A1206" s="100"/>
      <c r="B1206" s="100"/>
      <c r="C1206" s="100"/>
      <c r="D1206" s="100"/>
      <c r="E1206" s="100"/>
      <c r="F1206" s="277"/>
      <c r="H1206" s="277"/>
      <c r="I1206" s="277"/>
      <c r="J1206" s="277"/>
      <c r="K1206" s="277"/>
      <c r="L1206" s="277"/>
      <c r="M1206" s="277"/>
      <c r="N1206" s="277"/>
      <c r="O1206" s="277"/>
      <c r="P1206" s="277"/>
      <c r="Q1206" s="277"/>
      <c r="R1206" s="277"/>
      <c r="T1206" s="277"/>
      <c r="U1206" s="277"/>
      <c r="W1206" s="277"/>
      <c r="Y1206" s="107"/>
      <c r="Z1206" s="107"/>
      <c r="AA1206" s="107"/>
      <c r="AB1206" s="107"/>
      <c r="AC1206" s="107"/>
      <c r="AD1206" s="233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7"/>
      <c r="AV1206" s="107"/>
      <c r="AW1206" s="107"/>
      <c r="AX1206" s="107"/>
      <c r="AY1206" s="107"/>
      <c r="AZ1206" s="107"/>
      <c r="BA1206" s="107"/>
      <c r="BB1206" s="107"/>
      <c r="BC1206" s="107"/>
      <c r="BD1206" s="107"/>
      <c r="BE1206" s="107"/>
      <c r="BF1206" s="107"/>
      <c r="BG1206" s="107"/>
      <c r="BH1206" s="107"/>
      <c r="BI1206" s="107"/>
      <c r="BJ1206" s="107"/>
      <c r="BK1206" s="107"/>
      <c r="BL1206" s="107"/>
      <c r="BM1206" s="107"/>
      <c r="BN1206" s="107"/>
      <c r="BO1206" s="107"/>
      <c r="BP1206" s="107"/>
      <c r="BQ1206" s="107"/>
      <c r="BR1206" s="107"/>
    </row>
    <row r="1207" customFormat="false" ht="12.75" hidden="false" customHeight="false" outlineLevel="0" collapsed="false">
      <c r="A1207" s="100"/>
      <c r="B1207" s="100"/>
      <c r="C1207" s="100"/>
      <c r="D1207" s="100"/>
      <c r="E1207" s="100"/>
      <c r="F1207" s="277"/>
      <c r="H1207" s="277"/>
      <c r="I1207" s="277"/>
      <c r="J1207" s="277"/>
      <c r="K1207" s="277"/>
      <c r="L1207" s="277"/>
      <c r="M1207" s="277"/>
      <c r="N1207" s="277"/>
      <c r="O1207" s="277"/>
      <c r="P1207" s="277"/>
      <c r="Q1207" s="277"/>
      <c r="R1207" s="277"/>
      <c r="T1207" s="277"/>
      <c r="U1207" s="277"/>
      <c r="W1207" s="277"/>
      <c r="Y1207" s="107"/>
      <c r="Z1207" s="107"/>
      <c r="AA1207" s="107"/>
      <c r="AB1207" s="107"/>
      <c r="AC1207" s="107"/>
      <c r="AD1207" s="233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7"/>
      <c r="AV1207" s="107"/>
      <c r="AW1207" s="107"/>
      <c r="AX1207" s="107"/>
      <c r="AY1207" s="107"/>
      <c r="AZ1207" s="107"/>
      <c r="BA1207" s="107"/>
      <c r="BB1207" s="107"/>
      <c r="BC1207" s="107"/>
      <c r="BD1207" s="107"/>
      <c r="BE1207" s="107"/>
      <c r="BF1207" s="107"/>
      <c r="BG1207" s="107"/>
      <c r="BH1207" s="107"/>
      <c r="BI1207" s="107"/>
      <c r="BJ1207" s="107"/>
      <c r="BK1207" s="107"/>
      <c r="BL1207" s="107"/>
      <c r="BM1207" s="107"/>
      <c r="BN1207" s="107"/>
      <c r="BO1207" s="107"/>
      <c r="BP1207" s="107"/>
      <c r="BQ1207" s="107"/>
      <c r="BR1207" s="107"/>
    </row>
    <row r="1208" customFormat="false" ht="12.75" hidden="false" customHeight="false" outlineLevel="0" collapsed="false">
      <c r="A1208" s="100"/>
      <c r="B1208" s="100"/>
      <c r="C1208" s="100"/>
      <c r="D1208" s="100"/>
      <c r="E1208" s="100"/>
      <c r="F1208" s="277"/>
      <c r="H1208" s="277"/>
      <c r="I1208" s="277"/>
      <c r="J1208" s="277"/>
      <c r="K1208" s="277"/>
      <c r="L1208" s="277"/>
      <c r="M1208" s="277"/>
      <c r="N1208" s="277"/>
      <c r="O1208" s="277"/>
      <c r="P1208" s="277"/>
      <c r="Q1208" s="277"/>
      <c r="R1208" s="277"/>
      <c r="T1208" s="277"/>
      <c r="U1208" s="277"/>
      <c r="W1208" s="277"/>
      <c r="Y1208" s="107"/>
      <c r="Z1208" s="107"/>
      <c r="AA1208" s="107"/>
      <c r="AB1208" s="107"/>
      <c r="AC1208" s="107"/>
      <c r="AD1208" s="233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7"/>
      <c r="AV1208" s="107"/>
      <c r="AW1208" s="107"/>
      <c r="AX1208" s="107"/>
      <c r="AY1208" s="107"/>
      <c r="AZ1208" s="107"/>
      <c r="BA1208" s="107"/>
      <c r="BB1208" s="107"/>
      <c r="BC1208" s="107"/>
      <c r="BD1208" s="107"/>
      <c r="BE1208" s="107"/>
      <c r="BF1208" s="107"/>
      <c r="BG1208" s="107"/>
      <c r="BH1208" s="107"/>
      <c r="BI1208" s="107"/>
      <c r="BJ1208" s="107"/>
      <c r="BK1208" s="107"/>
      <c r="BL1208" s="107"/>
      <c r="BM1208" s="107"/>
      <c r="BN1208" s="107"/>
      <c r="BO1208" s="107"/>
      <c r="BP1208" s="107"/>
      <c r="BQ1208" s="107"/>
      <c r="BR1208" s="107"/>
    </row>
    <row r="1209" customFormat="false" ht="12.75" hidden="false" customHeight="false" outlineLevel="0" collapsed="false">
      <c r="A1209" s="100"/>
      <c r="B1209" s="100"/>
      <c r="C1209" s="100"/>
      <c r="D1209" s="100"/>
      <c r="E1209" s="100"/>
      <c r="F1209" s="277"/>
      <c r="H1209" s="277"/>
      <c r="I1209" s="277"/>
      <c r="J1209" s="277"/>
      <c r="K1209" s="277"/>
      <c r="L1209" s="277"/>
      <c r="M1209" s="277"/>
      <c r="N1209" s="277"/>
      <c r="O1209" s="277"/>
      <c r="P1209" s="277"/>
      <c r="Q1209" s="277"/>
      <c r="R1209" s="277"/>
      <c r="T1209" s="277"/>
      <c r="U1209" s="277"/>
      <c r="W1209" s="277"/>
      <c r="Y1209" s="107"/>
      <c r="Z1209" s="107"/>
      <c r="AA1209" s="107"/>
      <c r="AB1209" s="107"/>
      <c r="AC1209" s="107"/>
      <c r="AD1209" s="233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7"/>
      <c r="AV1209" s="107"/>
      <c r="AW1209" s="107"/>
      <c r="AX1209" s="107"/>
      <c r="AY1209" s="107"/>
      <c r="AZ1209" s="107"/>
      <c r="BA1209" s="107"/>
      <c r="BB1209" s="107"/>
      <c r="BC1209" s="107"/>
      <c r="BD1209" s="107"/>
      <c r="BE1209" s="107"/>
      <c r="BF1209" s="107"/>
      <c r="BG1209" s="107"/>
      <c r="BH1209" s="107"/>
      <c r="BI1209" s="107"/>
      <c r="BJ1209" s="107"/>
      <c r="BK1209" s="107"/>
      <c r="BL1209" s="107"/>
      <c r="BM1209" s="107"/>
      <c r="BN1209" s="107"/>
      <c r="BO1209" s="107"/>
      <c r="BP1209" s="107"/>
      <c r="BQ1209" s="107"/>
      <c r="BR1209" s="107"/>
    </row>
    <row r="1210" customFormat="false" ht="12.75" hidden="false" customHeight="false" outlineLevel="0" collapsed="false">
      <c r="A1210" s="100"/>
      <c r="B1210" s="100"/>
      <c r="C1210" s="100"/>
      <c r="D1210" s="100"/>
      <c r="E1210" s="100"/>
      <c r="F1210" s="277"/>
      <c r="H1210" s="277"/>
      <c r="I1210" s="277"/>
      <c r="J1210" s="277"/>
      <c r="K1210" s="277"/>
      <c r="L1210" s="277"/>
      <c r="M1210" s="277"/>
      <c r="N1210" s="277"/>
      <c r="O1210" s="277"/>
      <c r="P1210" s="277"/>
      <c r="Q1210" s="277"/>
      <c r="R1210" s="277"/>
      <c r="T1210" s="277"/>
      <c r="U1210" s="277"/>
      <c r="W1210" s="277"/>
      <c r="Y1210" s="107"/>
      <c r="Z1210" s="107"/>
      <c r="AA1210" s="107"/>
      <c r="AB1210" s="107"/>
      <c r="AC1210" s="107"/>
      <c r="AD1210" s="233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7"/>
      <c r="AV1210" s="107"/>
      <c r="AW1210" s="107"/>
      <c r="AX1210" s="107"/>
      <c r="AY1210" s="107"/>
      <c r="AZ1210" s="107"/>
      <c r="BA1210" s="107"/>
      <c r="BB1210" s="107"/>
      <c r="BC1210" s="107"/>
      <c r="BD1210" s="107"/>
      <c r="BE1210" s="107"/>
      <c r="BF1210" s="107"/>
      <c r="BG1210" s="107"/>
      <c r="BH1210" s="107"/>
      <c r="BI1210" s="107"/>
      <c r="BJ1210" s="107"/>
      <c r="BK1210" s="107"/>
      <c r="BL1210" s="107"/>
      <c r="BM1210" s="107"/>
      <c r="BN1210" s="107"/>
      <c r="BO1210" s="107"/>
      <c r="BP1210" s="107"/>
      <c r="BQ1210" s="107"/>
      <c r="BR1210" s="107"/>
    </row>
    <row r="1211" customFormat="false" ht="12.75" hidden="false" customHeight="false" outlineLevel="0" collapsed="false">
      <c r="A1211" s="100"/>
      <c r="B1211" s="100"/>
      <c r="C1211" s="100"/>
      <c r="D1211" s="100"/>
      <c r="E1211" s="100"/>
      <c r="F1211" s="277"/>
      <c r="H1211" s="277"/>
      <c r="I1211" s="277"/>
      <c r="J1211" s="277"/>
      <c r="K1211" s="277"/>
      <c r="L1211" s="277"/>
      <c r="M1211" s="277"/>
      <c r="N1211" s="277"/>
      <c r="O1211" s="277"/>
      <c r="P1211" s="277"/>
      <c r="Q1211" s="277"/>
      <c r="R1211" s="277"/>
      <c r="T1211" s="277"/>
      <c r="U1211" s="277"/>
      <c r="W1211" s="277"/>
      <c r="Y1211" s="107"/>
      <c r="Z1211" s="107"/>
      <c r="AA1211" s="107"/>
      <c r="AB1211" s="107"/>
      <c r="AC1211" s="107"/>
      <c r="AD1211" s="233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7"/>
      <c r="AV1211" s="107"/>
      <c r="AW1211" s="107"/>
      <c r="AX1211" s="107"/>
      <c r="AY1211" s="107"/>
      <c r="AZ1211" s="107"/>
      <c r="BA1211" s="107"/>
      <c r="BB1211" s="107"/>
      <c r="BC1211" s="107"/>
      <c r="BD1211" s="107"/>
      <c r="BE1211" s="107"/>
      <c r="BF1211" s="107"/>
      <c r="BG1211" s="107"/>
      <c r="BH1211" s="107"/>
      <c r="BI1211" s="107"/>
      <c r="BJ1211" s="107"/>
      <c r="BK1211" s="107"/>
      <c r="BL1211" s="107"/>
      <c r="BM1211" s="107"/>
      <c r="BN1211" s="107"/>
      <c r="BO1211" s="107"/>
      <c r="BP1211" s="107"/>
      <c r="BQ1211" s="107"/>
      <c r="BR1211" s="107"/>
    </row>
    <row r="1212" customFormat="false" ht="12.75" hidden="false" customHeight="false" outlineLevel="0" collapsed="false">
      <c r="A1212" s="100"/>
      <c r="B1212" s="100"/>
      <c r="C1212" s="100"/>
      <c r="D1212" s="100"/>
      <c r="E1212" s="100"/>
      <c r="F1212" s="277"/>
      <c r="H1212" s="277"/>
      <c r="I1212" s="277"/>
      <c r="J1212" s="277"/>
      <c r="K1212" s="277"/>
      <c r="L1212" s="277"/>
      <c r="M1212" s="277"/>
      <c r="N1212" s="277"/>
      <c r="O1212" s="277"/>
      <c r="P1212" s="277"/>
      <c r="Q1212" s="277"/>
      <c r="R1212" s="277"/>
      <c r="T1212" s="277"/>
      <c r="U1212" s="277"/>
      <c r="W1212" s="277"/>
      <c r="Y1212" s="107"/>
      <c r="Z1212" s="107"/>
      <c r="AA1212" s="107"/>
      <c r="AB1212" s="107"/>
      <c r="AC1212" s="107"/>
      <c r="AD1212" s="233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7"/>
      <c r="AV1212" s="107"/>
      <c r="AW1212" s="107"/>
      <c r="AX1212" s="107"/>
      <c r="AY1212" s="107"/>
      <c r="AZ1212" s="107"/>
      <c r="BA1212" s="107"/>
      <c r="BB1212" s="107"/>
      <c r="BC1212" s="107"/>
      <c r="BD1212" s="107"/>
      <c r="BE1212" s="107"/>
      <c r="BF1212" s="107"/>
      <c r="BG1212" s="107"/>
      <c r="BH1212" s="107"/>
      <c r="BI1212" s="107"/>
      <c r="BJ1212" s="107"/>
      <c r="BK1212" s="107"/>
      <c r="BL1212" s="107"/>
      <c r="BM1212" s="107"/>
      <c r="BN1212" s="107"/>
      <c r="BO1212" s="107"/>
      <c r="BP1212" s="107"/>
      <c r="BQ1212" s="107"/>
      <c r="BR1212" s="107"/>
    </row>
    <row r="1213" customFormat="false" ht="12.75" hidden="false" customHeight="false" outlineLevel="0" collapsed="false">
      <c r="A1213" s="100"/>
      <c r="B1213" s="100"/>
      <c r="C1213" s="100"/>
      <c r="D1213" s="100"/>
      <c r="E1213" s="100"/>
      <c r="F1213" s="277"/>
      <c r="H1213" s="277"/>
      <c r="I1213" s="277"/>
      <c r="J1213" s="277"/>
      <c r="K1213" s="277"/>
      <c r="L1213" s="277"/>
      <c r="M1213" s="277"/>
      <c r="N1213" s="277"/>
      <c r="O1213" s="277"/>
      <c r="P1213" s="277"/>
      <c r="Q1213" s="277"/>
      <c r="R1213" s="277"/>
      <c r="T1213" s="277"/>
      <c r="U1213" s="277"/>
      <c r="W1213" s="277"/>
      <c r="Y1213" s="107"/>
      <c r="Z1213" s="107"/>
      <c r="AA1213" s="107"/>
      <c r="AB1213" s="107"/>
      <c r="AC1213" s="107"/>
      <c r="AD1213" s="233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7"/>
      <c r="AV1213" s="107"/>
      <c r="AW1213" s="107"/>
      <c r="AX1213" s="107"/>
      <c r="AY1213" s="107"/>
      <c r="AZ1213" s="107"/>
      <c r="BA1213" s="107"/>
      <c r="BB1213" s="107"/>
      <c r="BC1213" s="107"/>
      <c r="BD1213" s="107"/>
      <c r="BE1213" s="107"/>
      <c r="BF1213" s="107"/>
      <c r="BG1213" s="107"/>
      <c r="BH1213" s="107"/>
      <c r="BI1213" s="107"/>
      <c r="BJ1213" s="107"/>
      <c r="BK1213" s="107"/>
      <c r="BL1213" s="107"/>
      <c r="BM1213" s="107"/>
      <c r="BN1213" s="107"/>
      <c r="BO1213" s="107"/>
      <c r="BP1213" s="107"/>
      <c r="BQ1213" s="107"/>
      <c r="BR1213" s="107"/>
    </row>
    <row r="1214" customFormat="false" ht="12.75" hidden="false" customHeight="false" outlineLevel="0" collapsed="false">
      <c r="A1214" s="100"/>
      <c r="B1214" s="100"/>
      <c r="C1214" s="100"/>
      <c r="D1214" s="100"/>
      <c r="E1214" s="100"/>
      <c r="F1214" s="277"/>
      <c r="H1214" s="277"/>
      <c r="I1214" s="277"/>
      <c r="J1214" s="277"/>
      <c r="K1214" s="277"/>
      <c r="L1214" s="277"/>
      <c r="M1214" s="277"/>
      <c r="N1214" s="277"/>
      <c r="O1214" s="277"/>
      <c r="P1214" s="277"/>
      <c r="Q1214" s="277"/>
      <c r="R1214" s="277"/>
      <c r="T1214" s="277"/>
      <c r="U1214" s="277"/>
      <c r="W1214" s="277"/>
      <c r="Y1214" s="107"/>
      <c r="Z1214" s="107"/>
      <c r="AA1214" s="107"/>
      <c r="AB1214" s="107"/>
      <c r="AC1214" s="107"/>
      <c r="AD1214" s="233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7"/>
      <c r="AV1214" s="107"/>
      <c r="AW1214" s="107"/>
      <c r="AX1214" s="107"/>
      <c r="AY1214" s="107"/>
      <c r="AZ1214" s="107"/>
      <c r="BA1214" s="107"/>
      <c r="BB1214" s="107"/>
      <c r="BC1214" s="107"/>
      <c r="BD1214" s="107"/>
      <c r="BE1214" s="107"/>
      <c r="BF1214" s="107"/>
      <c r="BG1214" s="107"/>
      <c r="BH1214" s="107"/>
      <c r="BI1214" s="107"/>
      <c r="BJ1214" s="107"/>
      <c r="BK1214" s="107"/>
      <c r="BL1214" s="107"/>
      <c r="BM1214" s="107"/>
      <c r="BN1214" s="107"/>
      <c r="BO1214" s="107"/>
      <c r="BP1214" s="107"/>
      <c r="BQ1214" s="107"/>
      <c r="BR1214" s="107"/>
    </row>
    <row r="1215" customFormat="false" ht="12.75" hidden="false" customHeight="false" outlineLevel="0" collapsed="false">
      <c r="A1215" s="100"/>
      <c r="B1215" s="100"/>
      <c r="C1215" s="100"/>
      <c r="D1215" s="100"/>
      <c r="E1215" s="100"/>
      <c r="F1215" s="277"/>
      <c r="H1215" s="277"/>
      <c r="I1215" s="277"/>
      <c r="J1215" s="277"/>
      <c r="K1215" s="277"/>
      <c r="L1215" s="277"/>
      <c r="M1215" s="277"/>
      <c r="N1215" s="277"/>
      <c r="O1215" s="277"/>
      <c r="P1215" s="277"/>
      <c r="Q1215" s="277"/>
      <c r="R1215" s="277"/>
      <c r="T1215" s="277"/>
      <c r="U1215" s="277"/>
      <c r="W1215" s="277"/>
      <c r="Y1215" s="107"/>
      <c r="Z1215" s="107"/>
      <c r="AA1215" s="107"/>
      <c r="AB1215" s="107"/>
      <c r="AC1215" s="107"/>
      <c r="AD1215" s="233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7"/>
      <c r="AV1215" s="107"/>
      <c r="AW1215" s="107"/>
      <c r="AX1215" s="107"/>
      <c r="AY1215" s="107"/>
      <c r="AZ1215" s="107"/>
      <c r="BA1215" s="107"/>
      <c r="BB1215" s="107"/>
      <c r="BC1215" s="107"/>
      <c r="BD1215" s="107"/>
      <c r="BE1215" s="107"/>
      <c r="BF1215" s="107"/>
      <c r="BG1215" s="107"/>
      <c r="BH1215" s="107"/>
      <c r="BI1215" s="107"/>
      <c r="BJ1215" s="107"/>
      <c r="BK1215" s="107"/>
      <c r="BL1215" s="107"/>
      <c r="BM1215" s="107"/>
      <c r="BN1215" s="107"/>
      <c r="BO1215" s="107"/>
      <c r="BP1215" s="107"/>
      <c r="BQ1215" s="107"/>
      <c r="BR1215" s="107"/>
    </row>
    <row r="1216" customFormat="false" ht="12.75" hidden="false" customHeight="false" outlineLevel="0" collapsed="false">
      <c r="A1216" s="100"/>
      <c r="B1216" s="100"/>
      <c r="C1216" s="100"/>
      <c r="D1216" s="100"/>
      <c r="E1216" s="100"/>
      <c r="F1216" s="277"/>
      <c r="H1216" s="277"/>
      <c r="I1216" s="277"/>
      <c r="J1216" s="277"/>
      <c r="K1216" s="277"/>
      <c r="L1216" s="277"/>
      <c r="M1216" s="277"/>
      <c r="N1216" s="277"/>
      <c r="O1216" s="277"/>
      <c r="P1216" s="277"/>
      <c r="Q1216" s="277"/>
      <c r="R1216" s="277"/>
      <c r="T1216" s="277"/>
      <c r="U1216" s="277"/>
      <c r="W1216" s="277"/>
      <c r="Y1216" s="107"/>
      <c r="Z1216" s="107"/>
      <c r="AA1216" s="107"/>
      <c r="AB1216" s="107"/>
      <c r="AC1216" s="107"/>
      <c r="AD1216" s="233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7"/>
      <c r="AV1216" s="107"/>
      <c r="AW1216" s="107"/>
      <c r="AX1216" s="107"/>
      <c r="AY1216" s="107"/>
      <c r="AZ1216" s="107"/>
      <c r="BA1216" s="107"/>
      <c r="BB1216" s="107"/>
      <c r="BC1216" s="107"/>
      <c r="BD1216" s="107"/>
      <c r="BE1216" s="107"/>
      <c r="BF1216" s="107"/>
      <c r="BG1216" s="107"/>
      <c r="BH1216" s="107"/>
      <c r="BI1216" s="107"/>
      <c r="BJ1216" s="107"/>
      <c r="BK1216" s="107"/>
      <c r="BL1216" s="107"/>
      <c r="BM1216" s="107"/>
      <c r="BN1216" s="107"/>
      <c r="BO1216" s="107"/>
      <c r="BP1216" s="107"/>
      <c r="BQ1216" s="107"/>
      <c r="BR1216" s="107"/>
    </row>
    <row r="1217" customFormat="false" ht="12.75" hidden="false" customHeight="false" outlineLevel="0" collapsed="false">
      <c r="A1217" s="100"/>
      <c r="B1217" s="100"/>
      <c r="C1217" s="100"/>
      <c r="D1217" s="100"/>
      <c r="E1217" s="100"/>
      <c r="F1217" s="277"/>
      <c r="H1217" s="277"/>
      <c r="I1217" s="277"/>
      <c r="J1217" s="277"/>
      <c r="K1217" s="277"/>
      <c r="L1217" s="277"/>
      <c r="M1217" s="277"/>
      <c r="N1217" s="277"/>
      <c r="O1217" s="277"/>
      <c r="P1217" s="277"/>
      <c r="Q1217" s="277"/>
      <c r="R1217" s="277"/>
      <c r="T1217" s="277"/>
      <c r="U1217" s="277"/>
      <c r="W1217" s="277"/>
      <c r="Y1217" s="107"/>
      <c r="Z1217" s="107"/>
      <c r="AA1217" s="107"/>
      <c r="AB1217" s="107"/>
      <c r="AC1217" s="107"/>
      <c r="AD1217" s="233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7"/>
      <c r="AV1217" s="107"/>
      <c r="AW1217" s="107"/>
      <c r="AX1217" s="107"/>
      <c r="AY1217" s="107"/>
      <c r="AZ1217" s="107"/>
      <c r="BA1217" s="107"/>
      <c r="BB1217" s="107"/>
      <c r="BC1217" s="107"/>
      <c r="BD1217" s="107"/>
      <c r="BE1217" s="107"/>
      <c r="BF1217" s="107"/>
      <c r="BG1217" s="107"/>
      <c r="BH1217" s="107"/>
      <c r="BI1217" s="107"/>
      <c r="BJ1217" s="107"/>
      <c r="BK1217" s="107"/>
      <c r="BL1217" s="107"/>
      <c r="BM1217" s="107"/>
      <c r="BN1217" s="107"/>
      <c r="BO1217" s="107"/>
      <c r="BP1217" s="107"/>
      <c r="BQ1217" s="107"/>
      <c r="BR1217" s="107"/>
    </row>
    <row r="1218" customFormat="false" ht="12.75" hidden="false" customHeight="false" outlineLevel="0" collapsed="false">
      <c r="A1218" s="100"/>
      <c r="B1218" s="100"/>
      <c r="C1218" s="100"/>
      <c r="D1218" s="100"/>
      <c r="E1218" s="100"/>
      <c r="F1218" s="277"/>
      <c r="H1218" s="277"/>
      <c r="I1218" s="277"/>
      <c r="J1218" s="277"/>
      <c r="K1218" s="277"/>
      <c r="L1218" s="277"/>
      <c r="M1218" s="277"/>
      <c r="N1218" s="277"/>
      <c r="O1218" s="277"/>
      <c r="P1218" s="277"/>
      <c r="Q1218" s="277"/>
      <c r="R1218" s="277"/>
      <c r="T1218" s="277"/>
      <c r="U1218" s="277"/>
      <c r="W1218" s="277"/>
      <c r="Y1218" s="107"/>
      <c r="Z1218" s="107"/>
      <c r="AA1218" s="107"/>
      <c r="AB1218" s="107"/>
      <c r="AC1218" s="107"/>
      <c r="AD1218" s="233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7"/>
      <c r="AV1218" s="107"/>
      <c r="AW1218" s="107"/>
      <c r="AX1218" s="107"/>
      <c r="AY1218" s="107"/>
      <c r="AZ1218" s="107"/>
      <c r="BA1218" s="107"/>
      <c r="BB1218" s="107"/>
      <c r="BC1218" s="107"/>
      <c r="BD1218" s="107"/>
      <c r="BE1218" s="107"/>
      <c r="BF1218" s="107"/>
      <c r="BG1218" s="107"/>
      <c r="BH1218" s="107"/>
      <c r="BI1218" s="107"/>
      <c r="BJ1218" s="107"/>
      <c r="BK1218" s="107"/>
      <c r="BL1218" s="107"/>
      <c r="BM1218" s="107"/>
      <c r="BN1218" s="107"/>
      <c r="BO1218" s="107"/>
      <c r="BP1218" s="107"/>
      <c r="BQ1218" s="107"/>
      <c r="BR1218" s="107"/>
    </row>
    <row r="1219" customFormat="false" ht="12.75" hidden="false" customHeight="false" outlineLevel="0" collapsed="false">
      <c r="A1219" s="100"/>
      <c r="B1219" s="100"/>
      <c r="C1219" s="100"/>
      <c r="D1219" s="100"/>
      <c r="E1219" s="100"/>
      <c r="F1219" s="277"/>
      <c r="H1219" s="277"/>
      <c r="I1219" s="277"/>
      <c r="J1219" s="277"/>
      <c r="K1219" s="277"/>
      <c r="L1219" s="277"/>
      <c r="M1219" s="277"/>
      <c r="N1219" s="277"/>
      <c r="O1219" s="277"/>
      <c r="P1219" s="277"/>
      <c r="Q1219" s="277"/>
      <c r="R1219" s="277"/>
      <c r="T1219" s="277"/>
      <c r="U1219" s="277"/>
      <c r="W1219" s="277"/>
      <c r="Y1219" s="107"/>
      <c r="Z1219" s="107"/>
      <c r="AA1219" s="107"/>
      <c r="AB1219" s="107"/>
      <c r="AC1219" s="107"/>
      <c r="AD1219" s="233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7"/>
      <c r="AV1219" s="107"/>
      <c r="AW1219" s="107"/>
      <c r="AX1219" s="107"/>
      <c r="AY1219" s="107"/>
      <c r="AZ1219" s="107"/>
      <c r="BA1219" s="107"/>
      <c r="BB1219" s="107"/>
      <c r="BC1219" s="107"/>
      <c r="BD1219" s="107"/>
      <c r="BE1219" s="107"/>
      <c r="BF1219" s="107"/>
      <c r="BG1219" s="107"/>
      <c r="BH1219" s="107"/>
      <c r="BI1219" s="107"/>
      <c r="BJ1219" s="107"/>
      <c r="BK1219" s="107"/>
      <c r="BL1219" s="107"/>
      <c r="BM1219" s="107"/>
      <c r="BN1219" s="107"/>
      <c r="BO1219" s="107"/>
      <c r="BP1219" s="107"/>
      <c r="BQ1219" s="107"/>
      <c r="BR1219" s="107"/>
    </row>
    <row r="1220" customFormat="false" ht="12.75" hidden="false" customHeight="false" outlineLevel="0" collapsed="false">
      <c r="A1220" s="100"/>
      <c r="B1220" s="100"/>
      <c r="C1220" s="100"/>
      <c r="D1220" s="100"/>
      <c r="E1220" s="100"/>
      <c r="F1220" s="277"/>
      <c r="H1220" s="277"/>
      <c r="I1220" s="277"/>
      <c r="J1220" s="277"/>
      <c r="K1220" s="277"/>
      <c r="L1220" s="277"/>
      <c r="M1220" s="277"/>
      <c r="N1220" s="277"/>
      <c r="O1220" s="277"/>
      <c r="P1220" s="277"/>
      <c r="Q1220" s="277"/>
      <c r="R1220" s="277"/>
      <c r="T1220" s="277"/>
      <c r="U1220" s="277"/>
      <c r="W1220" s="277"/>
      <c r="Y1220" s="107"/>
      <c r="Z1220" s="107"/>
      <c r="AA1220" s="107"/>
      <c r="AB1220" s="107"/>
      <c r="AC1220" s="107"/>
      <c r="AD1220" s="233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7"/>
      <c r="AV1220" s="107"/>
      <c r="AW1220" s="107"/>
      <c r="AX1220" s="107"/>
      <c r="AY1220" s="107"/>
      <c r="AZ1220" s="107"/>
      <c r="BA1220" s="107"/>
      <c r="BB1220" s="107"/>
      <c r="BC1220" s="107"/>
      <c r="BD1220" s="107"/>
      <c r="BE1220" s="107"/>
      <c r="BF1220" s="107"/>
      <c r="BG1220" s="107"/>
      <c r="BH1220" s="107"/>
      <c r="BI1220" s="107"/>
      <c r="BJ1220" s="107"/>
      <c r="BK1220" s="107"/>
      <c r="BL1220" s="107"/>
      <c r="BM1220" s="107"/>
      <c r="BN1220" s="107"/>
      <c r="BO1220" s="107"/>
      <c r="BP1220" s="107"/>
      <c r="BQ1220" s="107"/>
      <c r="BR1220" s="107"/>
    </row>
    <row r="1221" customFormat="false" ht="12.75" hidden="false" customHeight="false" outlineLevel="0" collapsed="false">
      <c r="A1221" s="100"/>
      <c r="B1221" s="100"/>
      <c r="C1221" s="100"/>
      <c r="D1221" s="100"/>
      <c r="E1221" s="100"/>
      <c r="F1221" s="277"/>
      <c r="H1221" s="277"/>
      <c r="I1221" s="277"/>
      <c r="J1221" s="277"/>
      <c r="K1221" s="277"/>
      <c r="L1221" s="277"/>
      <c r="M1221" s="277"/>
      <c r="N1221" s="277"/>
      <c r="O1221" s="277"/>
      <c r="P1221" s="277"/>
      <c r="Q1221" s="277"/>
      <c r="R1221" s="277"/>
      <c r="T1221" s="277"/>
      <c r="U1221" s="277"/>
      <c r="W1221" s="277"/>
      <c r="Y1221" s="107"/>
      <c r="Z1221" s="107"/>
      <c r="AA1221" s="107"/>
      <c r="AB1221" s="107"/>
      <c r="AC1221" s="107"/>
      <c r="AD1221" s="233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7"/>
      <c r="AV1221" s="107"/>
      <c r="AW1221" s="107"/>
      <c r="AX1221" s="107"/>
      <c r="AY1221" s="107"/>
      <c r="AZ1221" s="107"/>
      <c r="BA1221" s="107"/>
      <c r="BB1221" s="107"/>
      <c r="BC1221" s="107"/>
      <c r="BD1221" s="107"/>
      <c r="BE1221" s="107"/>
      <c r="BF1221" s="107"/>
      <c r="BG1221" s="107"/>
      <c r="BH1221" s="107"/>
      <c r="BI1221" s="107"/>
      <c r="BJ1221" s="107"/>
      <c r="BK1221" s="107"/>
      <c r="BL1221" s="107"/>
      <c r="BM1221" s="107"/>
      <c r="BN1221" s="107"/>
      <c r="BO1221" s="107"/>
      <c r="BP1221" s="107"/>
      <c r="BQ1221" s="107"/>
      <c r="BR1221" s="107"/>
    </row>
    <row r="1222" customFormat="false" ht="12.75" hidden="false" customHeight="false" outlineLevel="0" collapsed="false">
      <c r="A1222" s="100"/>
      <c r="B1222" s="100"/>
      <c r="C1222" s="100"/>
      <c r="D1222" s="100"/>
      <c r="E1222" s="100"/>
      <c r="F1222" s="277"/>
      <c r="H1222" s="277"/>
      <c r="I1222" s="277"/>
      <c r="J1222" s="277"/>
      <c r="K1222" s="277"/>
      <c r="L1222" s="277"/>
      <c r="M1222" s="277"/>
      <c r="N1222" s="277"/>
      <c r="O1222" s="277"/>
      <c r="P1222" s="277"/>
      <c r="Q1222" s="277"/>
      <c r="R1222" s="277"/>
      <c r="T1222" s="277"/>
      <c r="U1222" s="277"/>
      <c r="W1222" s="277"/>
      <c r="Y1222" s="107"/>
      <c r="Z1222" s="107"/>
      <c r="AA1222" s="107"/>
      <c r="AB1222" s="107"/>
      <c r="AC1222" s="107"/>
      <c r="AD1222" s="233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7"/>
      <c r="AV1222" s="107"/>
      <c r="AW1222" s="107"/>
      <c r="AX1222" s="107"/>
      <c r="AY1222" s="107"/>
      <c r="AZ1222" s="107"/>
      <c r="BA1222" s="107"/>
      <c r="BB1222" s="107"/>
      <c r="BC1222" s="107"/>
      <c r="BD1222" s="107"/>
      <c r="BE1222" s="107"/>
      <c r="BF1222" s="107"/>
      <c r="BG1222" s="107"/>
      <c r="BH1222" s="107"/>
      <c r="BI1222" s="107"/>
      <c r="BJ1222" s="107"/>
      <c r="BK1222" s="107"/>
      <c r="BL1222" s="107"/>
      <c r="BM1222" s="107"/>
      <c r="BN1222" s="107"/>
      <c r="BO1222" s="107"/>
      <c r="BP1222" s="107"/>
      <c r="BQ1222" s="107"/>
      <c r="BR1222" s="107"/>
    </row>
    <row r="1223" customFormat="false" ht="12.75" hidden="false" customHeight="false" outlineLevel="0" collapsed="false">
      <c r="A1223" s="100"/>
      <c r="B1223" s="100"/>
      <c r="C1223" s="100"/>
      <c r="D1223" s="100"/>
      <c r="E1223" s="100"/>
      <c r="F1223" s="277"/>
      <c r="H1223" s="277"/>
      <c r="I1223" s="277"/>
      <c r="J1223" s="277"/>
      <c r="K1223" s="277"/>
      <c r="L1223" s="277"/>
      <c r="M1223" s="277"/>
      <c r="N1223" s="277"/>
      <c r="O1223" s="277"/>
      <c r="P1223" s="277"/>
      <c r="Q1223" s="277"/>
      <c r="R1223" s="277"/>
      <c r="T1223" s="277"/>
      <c r="U1223" s="277"/>
      <c r="W1223" s="277"/>
      <c r="Y1223" s="107"/>
      <c r="Z1223" s="107"/>
      <c r="AA1223" s="107"/>
      <c r="AB1223" s="107"/>
      <c r="AC1223" s="107"/>
      <c r="AD1223" s="233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7"/>
      <c r="AV1223" s="107"/>
      <c r="AW1223" s="107"/>
      <c r="AX1223" s="107"/>
      <c r="AY1223" s="107"/>
      <c r="AZ1223" s="107"/>
      <c r="BA1223" s="107"/>
      <c r="BB1223" s="107"/>
      <c r="BC1223" s="107"/>
      <c r="BD1223" s="107"/>
      <c r="BE1223" s="107"/>
      <c r="BF1223" s="107"/>
      <c r="BG1223" s="107"/>
      <c r="BH1223" s="107"/>
      <c r="BI1223" s="107"/>
      <c r="BJ1223" s="107"/>
      <c r="BK1223" s="107"/>
      <c r="BL1223" s="107"/>
      <c r="BM1223" s="107"/>
      <c r="BN1223" s="107"/>
      <c r="BO1223" s="107"/>
      <c r="BP1223" s="107"/>
      <c r="BQ1223" s="107"/>
      <c r="BR1223" s="107"/>
    </row>
    <row r="1224" customFormat="false" ht="12.75" hidden="false" customHeight="false" outlineLevel="0" collapsed="false">
      <c r="A1224" s="100"/>
      <c r="B1224" s="100"/>
      <c r="C1224" s="100"/>
      <c r="D1224" s="100"/>
      <c r="E1224" s="100"/>
      <c r="F1224" s="277"/>
      <c r="H1224" s="277"/>
      <c r="I1224" s="277"/>
      <c r="J1224" s="277"/>
      <c r="K1224" s="277"/>
      <c r="L1224" s="277"/>
      <c r="M1224" s="277"/>
      <c r="N1224" s="277"/>
      <c r="O1224" s="277"/>
      <c r="P1224" s="277"/>
      <c r="Q1224" s="277"/>
      <c r="R1224" s="277"/>
      <c r="T1224" s="277"/>
      <c r="U1224" s="277"/>
      <c r="W1224" s="277"/>
      <c r="Y1224" s="107"/>
      <c r="Z1224" s="107"/>
      <c r="AA1224" s="107"/>
      <c r="AB1224" s="107"/>
      <c r="AC1224" s="107"/>
      <c r="AD1224" s="233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7"/>
      <c r="AV1224" s="107"/>
      <c r="AW1224" s="107"/>
      <c r="AX1224" s="107"/>
      <c r="AY1224" s="107"/>
      <c r="AZ1224" s="107"/>
      <c r="BA1224" s="107"/>
      <c r="BB1224" s="107"/>
      <c r="BC1224" s="107"/>
      <c r="BD1224" s="107"/>
      <c r="BE1224" s="107"/>
      <c r="BF1224" s="107"/>
      <c r="BG1224" s="107"/>
      <c r="BH1224" s="107"/>
      <c r="BI1224" s="107"/>
      <c r="BJ1224" s="107"/>
      <c r="BK1224" s="107"/>
      <c r="BL1224" s="107"/>
      <c r="BM1224" s="107"/>
      <c r="BN1224" s="107"/>
      <c r="BO1224" s="107"/>
      <c r="BP1224" s="107"/>
      <c r="BQ1224" s="107"/>
      <c r="BR1224" s="107"/>
    </row>
    <row r="1225" customFormat="false" ht="12.75" hidden="false" customHeight="false" outlineLevel="0" collapsed="false">
      <c r="A1225" s="100"/>
      <c r="B1225" s="100"/>
      <c r="C1225" s="100"/>
      <c r="D1225" s="100"/>
      <c r="E1225" s="100"/>
      <c r="F1225" s="277"/>
      <c r="H1225" s="277"/>
      <c r="I1225" s="277"/>
      <c r="J1225" s="277"/>
      <c r="K1225" s="277"/>
      <c r="L1225" s="277"/>
      <c r="M1225" s="277"/>
      <c r="N1225" s="277"/>
      <c r="O1225" s="277"/>
      <c r="P1225" s="277"/>
      <c r="Q1225" s="277"/>
      <c r="R1225" s="277"/>
      <c r="T1225" s="277"/>
      <c r="U1225" s="277"/>
      <c r="W1225" s="277"/>
      <c r="Y1225" s="107"/>
      <c r="Z1225" s="107"/>
      <c r="AA1225" s="107"/>
      <c r="AB1225" s="107"/>
      <c r="AC1225" s="107"/>
      <c r="AD1225" s="233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7"/>
      <c r="AV1225" s="107"/>
      <c r="AW1225" s="107"/>
      <c r="AX1225" s="107"/>
      <c r="AY1225" s="107"/>
      <c r="AZ1225" s="107"/>
      <c r="BA1225" s="107"/>
      <c r="BB1225" s="107"/>
      <c r="BC1225" s="107"/>
      <c r="BD1225" s="107"/>
      <c r="BE1225" s="107"/>
      <c r="BF1225" s="107"/>
      <c r="BG1225" s="107"/>
      <c r="BH1225" s="107"/>
      <c r="BI1225" s="107"/>
      <c r="BJ1225" s="107"/>
      <c r="BK1225" s="107"/>
      <c r="BL1225" s="107"/>
      <c r="BM1225" s="107"/>
      <c r="BN1225" s="107"/>
      <c r="BO1225" s="107"/>
      <c r="BP1225" s="107"/>
      <c r="BQ1225" s="107"/>
      <c r="BR1225" s="107"/>
    </row>
    <row r="1226" customFormat="false" ht="12.75" hidden="false" customHeight="false" outlineLevel="0" collapsed="false">
      <c r="A1226" s="100"/>
      <c r="B1226" s="100"/>
      <c r="C1226" s="100"/>
      <c r="D1226" s="100"/>
      <c r="E1226" s="100"/>
      <c r="F1226" s="277"/>
      <c r="H1226" s="277"/>
      <c r="I1226" s="277"/>
      <c r="J1226" s="277"/>
      <c r="K1226" s="277"/>
      <c r="L1226" s="277"/>
      <c r="M1226" s="277"/>
      <c r="N1226" s="277"/>
      <c r="O1226" s="277"/>
      <c r="P1226" s="277"/>
      <c r="Q1226" s="277"/>
      <c r="R1226" s="277"/>
      <c r="T1226" s="277"/>
      <c r="U1226" s="277"/>
      <c r="W1226" s="277"/>
      <c r="Y1226" s="107"/>
      <c r="Z1226" s="107"/>
      <c r="AA1226" s="107"/>
      <c r="AB1226" s="107"/>
      <c r="AC1226" s="107"/>
      <c r="AD1226" s="233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7"/>
      <c r="AV1226" s="107"/>
      <c r="AW1226" s="107"/>
      <c r="AX1226" s="107"/>
      <c r="AY1226" s="107"/>
      <c r="AZ1226" s="107"/>
      <c r="BA1226" s="107"/>
      <c r="BB1226" s="107"/>
      <c r="BC1226" s="107"/>
      <c r="BD1226" s="107"/>
      <c r="BE1226" s="107"/>
      <c r="BF1226" s="107"/>
      <c r="BG1226" s="107"/>
      <c r="BH1226" s="107"/>
      <c r="BI1226" s="107"/>
      <c r="BJ1226" s="107"/>
      <c r="BK1226" s="107"/>
      <c r="BL1226" s="107"/>
      <c r="BM1226" s="107"/>
      <c r="BN1226" s="107"/>
      <c r="BO1226" s="107"/>
      <c r="BP1226" s="107"/>
      <c r="BQ1226" s="107"/>
      <c r="BR1226" s="107"/>
    </row>
    <row r="1227" customFormat="false" ht="12.75" hidden="false" customHeight="false" outlineLevel="0" collapsed="false">
      <c r="A1227" s="100"/>
      <c r="B1227" s="100"/>
      <c r="C1227" s="100"/>
      <c r="D1227" s="100"/>
      <c r="E1227" s="100"/>
      <c r="F1227" s="277"/>
      <c r="H1227" s="277"/>
      <c r="I1227" s="277"/>
      <c r="J1227" s="277"/>
      <c r="K1227" s="277"/>
      <c r="L1227" s="277"/>
      <c r="M1227" s="277"/>
      <c r="N1227" s="277"/>
      <c r="O1227" s="277"/>
      <c r="P1227" s="277"/>
      <c r="Q1227" s="277"/>
      <c r="R1227" s="277"/>
      <c r="T1227" s="277"/>
      <c r="U1227" s="277"/>
      <c r="W1227" s="277"/>
      <c r="Y1227" s="107"/>
      <c r="Z1227" s="107"/>
      <c r="AA1227" s="107"/>
      <c r="AB1227" s="107"/>
      <c r="AC1227" s="107"/>
      <c r="AD1227" s="233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7"/>
      <c r="AV1227" s="107"/>
      <c r="AW1227" s="107"/>
      <c r="AX1227" s="107"/>
      <c r="AY1227" s="107"/>
      <c r="AZ1227" s="107"/>
      <c r="BA1227" s="107"/>
      <c r="BB1227" s="107"/>
      <c r="BC1227" s="107"/>
      <c r="BD1227" s="107"/>
      <c r="BE1227" s="107"/>
      <c r="BF1227" s="107"/>
      <c r="BG1227" s="107"/>
      <c r="BH1227" s="107"/>
      <c r="BI1227" s="107"/>
      <c r="BJ1227" s="107"/>
      <c r="BK1227" s="107"/>
      <c r="BL1227" s="107"/>
      <c r="BM1227" s="107"/>
      <c r="BN1227" s="107"/>
      <c r="BO1227" s="107"/>
      <c r="BP1227" s="107"/>
      <c r="BQ1227" s="107"/>
      <c r="BR1227" s="107"/>
    </row>
    <row r="1228" customFormat="false" ht="12.75" hidden="false" customHeight="false" outlineLevel="0" collapsed="false">
      <c r="A1228" s="100"/>
      <c r="B1228" s="100"/>
      <c r="C1228" s="100"/>
      <c r="D1228" s="100"/>
      <c r="E1228" s="100"/>
      <c r="F1228" s="277"/>
      <c r="H1228" s="277"/>
      <c r="I1228" s="277"/>
      <c r="J1228" s="277"/>
      <c r="K1228" s="277"/>
      <c r="L1228" s="277"/>
      <c r="M1228" s="277"/>
      <c r="N1228" s="277"/>
      <c r="O1228" s="277"/>
      <c r="P1228" s="277"/>
      <c r="Q1228" s="277"/>
      <c r="R1228" s="277"/>
      <c r="T1228" s="277"/>
      <c r="U1228" s="277"/>
      <c r="W1228" s="277"/>
      <c r="Y1228" s="107"/>
      <c r="Z1228" s="107"/>
      <c r="AA1228" s="107"/>
      <c r="AB1228" s="107"/>
      <c r="AC1228" s="107"/>
      <c r="AD1228" s="233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7"/>
      <c r="AV1228" s="107"/>
      <c r="AW1228" s="107"/>
      <c r="AX1228" s="107"/>
      <c r="AY1228" s="107"/>
      <c r="AZ1228" s="107"/>
      <c r="BA1228" s="107"/>
      <c r="BB1228" s="107"/>
      <c r="BC1228" s="107"/>
      <c r="BD1228" s="107"/>
      <c r="BE1228" s="107"/>
      <c r="BF1228" s="107"/>
      <c r="BG1228" s="107"/>
      <c r="BH1228" s="107"/>
      <c r="BI1228" s="107"/>
      <c r="BJ1228" s="107"/>
      <c r="BK1228" s="107"/>
      <c r="BL1228" s="107"/>
      <c r="BM1228" s="107"/>
      <c r="BN1228" s="107"/>
      <c r="BO1228" s="107"/>
      <c r="BP1228" s="107"/>
      <c r="BQ1228" s="107"/>
      <c r="BR1228" s="107"/>
    </row>
    <row r="1229" customFormat="false" ht="12.75" hidden="false" customHeight="false" outlineLevel="0" collapsed="false">
      <c r="A1229" s="100"/>
      <c r="B1229" s="100"/>
      <c r="C1229" s="100"/>
      <c r="D1229" s="100"/>
      <c r="E1229" s="100"/>
      <c r="F1229" s="277"/>
      <c r="H1229" s="277"/>
      <c r="I1229" s="277"/>
      <c r="J1229" s="277"/>
      <c r="K1229" s="277"/>
      <c r="L1229" s="277"/>
      <c r="M1229" s="277"/>
      <c r="N1229" s="277"/>
      <c r="O1229" s="277"/>
      <c r="P1229" s="277"/>
      <c r="Q1229" s="277"/>
      <c r="R1229" s="277"/>
      <c r="T1229" s="277"/>
      <c r="U1229" s="277"/>
      <c r="W1229" s="277"/>
      <c r="Y1229" s="107"/>
      <c r="Z1229" s="107"/>
      <c r="AA1229" s="107"/>
      <c r="AB1229" s="107"/>
      <c r="AC1229" s="107"/>
      <c r="AD1229" s="233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7"/>
      <c r="AV1229" s="107"/>
      <c r="AW1229" s="107"/>
      <c r="AX1229" s="107"/>
      <c r="AY1229" s="107"/>
      <c r="AZ1229" s="107"/>
      <c r="BA1229" s="107"/>
      <c r="BB1229" s="107"/>
      <c r="BC1229" s="107"/>
      <c r="BD1229" s="107"/>
      <c r="BE1229" s="107"/>
      <c r="BF1229" s="107"/>
      <c r="BG1229" s="107"/>
      <c r="BH1229" s="107"/>
      <c r="BI1229" s="107"/>
      <c r="BJ1229" s="107"/>
      <c r="BK1229" s="107"/>
      <c r="BL1229" s="107"/>
      <c r="BM1229" s="107"/>
      <c r="BN1229" s="107"/>
      <c r="BO1229" s="107"/>
      <c r="BP1229" s="107"/>
      <c r="BQ1229" s="107"/>
      <c r="BR1229" s="107"/>
    </row>
    <row r="1230" customFormat="false" ht="12.75" hidden="false" customHeight="false" outlineLevel="0" collapsed="false">
      <c r="A1230" s="100"/>
      <c r="B1230" s="100"/>
      <c r="C1230" s="100"/>
      <c r="D1230" s="100"/>
      <c r="E1230" s="100"/>
      <c r="F1230" s="277"/>
      <c r="H1230" s="277"/>
      <c r="I1230" s="277"/>
      <c r="J1230" s="277"/>
      <c r="K1230" s="277"/>
      <c r="L1230" s="277"/>
      <c r="M1230" s="277"/>
      <c r="N1230" s="277"/>
      <c r="O1230" s="277"/>
      <c r="P1230" s="277"/>
      <c r="Q1230" s="277"/>
      <c r="R1230" s="277"/>
      <c r="T1230" s="277"/>
      <c r="U1230" s="277"/>
      <c r="W1230" s="277"/>
      <c r="Y1230" s="107"/>
      <c r="Z1230" s="107"/>
      <c r="AA1230" s="107"/>
      <c r="AB1230" s="107"/>
      <c r="AC1230" s="107"/>
      <c r="AD1230" s="233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7"/>
      <c r="AV1230" s="107"/>
      <c r="AW1230" s="107"/>
      <c r="AX1230" s="107"/>
      <c r="AY1230" s="107"/>
      <c r="AZ1230" s="107"/>
      <c r="BA1230" s="107"/>
      <c r="BB1230" s="107"/>
      <c r="BC1230" s="107"/>
      <c r="BD1230" s="107"/>
      <c r="BE1230" s="107"/>
      <c r="BF1230" s="107"/>
      <c r="BG1230" s="107"/>
      <c r="BH1230" s="107"/>
      <c r="BI1230" s="107"/>
      <c r="BJ1230" s="107"/>
      <c r="BK1230" s="107"/>
      <c r="BL1230" s="107"/>
      <c r="BM1230" s="107"/>
      <c r="BN1230" s="107"/>
      <c r="BO1230" s="107"/>
      <c r="BP1230" s="107"/>
      <c r="BQ1230" s="107"/>
      <c r="BR1230" s="107"/>
    </row>
    <row r="1231" customFormat="false" ht="12.75" hidden="false" customHeight="false" outlineLevel="0" collapsed="false">
      <c r="A1231" s="100"/>
      <c r="B1231" s="100"/>
      <c r="C1231" s="100"/>
      <c r="D1231" s="100"/>
      <c r="E1231" s="100"/>
      <c r="F1231" s="277"/>
      <c r="H1231" s="277"/>
      <c r="I1231" s="277"/>
      <c r="J1231" s="277"/>
      <c r="K1231" s="277"/>
      <c r="L1231" s="277"/>
      <c r="M1231" s="277"/>
      <c r="N1231" s="277"/>
      <c r="O1231" s="277"/>
      <c r="P1231" s="277"/>
      <c r="Q1231" s="277"/>
      <c r="R1231" s="277"/>
      <c r="T1231" s="277"/>
      <c r="U1231" s="277"/>
      <c r="W1231" s="277"/>
      <c r="Y1231" s="107"/>
      <c r="Z1231" s="107"/>
      <c r="AA1231" s="107"/>
      <c r="AB1231" s="107"/>
      <c r="AC1231" s="107"/>
      <c r="AD1231" s="233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7"/>
      <c r="AV1231" s="107"/>
      <c r="AW1231" s="107"/>
      <c r="AX1231" s="107"/>
      <c r="AY1231" s="107"/>
      <c r="AZ1231" s="107"/>
      <c r="BA1231" s="107"/>
      <c r="BB1231" s="107"/>
      <c r="BC1231" s="107"/>
      <c r="BD1231" s="107"/>
      <c r="BE1231" s="107"/>
      <c r="BF1231" s="107"/>
      <c r="BG1231" s="107"/>
      <c r="BH1231" s="107"/>
      <c r="BI1231" s="107"/>
      <c r="BJ1231" s="107"/>
      <c r="BK1231" s="107"/>
      <c r="BL1231" s="107"/>
      <c r="BM1231" s="107"/>
      <c r="BN1231" s="107"/>
      <c r="BO1231" s="107"/>
      <c r="BP1231" s="107"/>
      <c r="BQ1231" s="107"/>
      <c r="BR1231" s="107"/>
    </row>
    <row r="1232" customFormat="false" ht="12.75" hidden="false" customHeight="false" outlineLevel="0" collapsed="false">
      <c r="A1232" s="100"/>
      <c r="B1232" s="100"/>
      <c r="C1232" s="100"/>
      <c r="D1232" s="100"/>
      <c r="E1232" s="100"/>
      <c r="F1232" s="277"/>
      <c r="H1232" s="277"/>
      <c r="I1232" s="277"/>
      <c r="J1232" s="277"/>
      <c r="K1232" s="277"/>
      <c r="L1232" s="277"/>
      <c r="M1232" s="277"/>
      <c r="N1232" s="277"/>
      <c r="O1232" s="277"/>
      <c r="P1232" s="277"/>
      <c r="Q1232" s="277"/>
      <c r="R1232" s="277"/>
      <c r="T1232" s="277"/>
      <c r="U1232" s="277"/>
      <c r="W1232" s="277"/>
      <c r="Y1232" s="107"/>
      <c r="Z1232" s="107"/>
      <c r="AA1232" s="107"/>
      <c r="AB1232" s="107"/>
      <c r="AC1232" s="107"/>
      <c r="AD1232" s="233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7"/>
      <c r="AV1232" s="107"/>
      <c r="AW1232" s="107"/>
      <c r="AX1232" s="107"/>
      <c r="AY1232" s="107"/>
      <c r="AZ1232" s="107"/>
      <c r="BA1232" s="107"/>
      <c r="BB1232" s="107"/>
      <c r="BC1232" s="107"/>
      <c r="BD1232" s="107"/>
      <c r="BE1232" s="107"/>
      <c r="BF1232" s="107"/>
      <c r="BG1232" s="107"/>
      <c r="BH1232" s="107"/>
      <c r="BI1232" s="107"/>
      <c r="BJ1232" s="107"/>
      <c r="BK1232" s="107"/>
      <c r="BL1232" s="107"/>
      <c r="BM1232" s="107"/>
      <c r="BN1232" s="107"/>
      <c r="BO1232" s="107"/>
      <c r="BP1232" s="107"/>
      <c r="BQ1232" s="107"/>
      <c r="BR1232" s="107"/>
    </row>
    <row r="1233" customFormat="false" ht="12.75" hidden="false" customHeight="false" outlineLevel="0" collapsed="false">
      <c r="A1233" s="100"/>
      <c r="B1233" s="100"/>
      <c r="C1233" s="100"/>
      <c r="D1233" s="100"/>
      <c r="E1233" s="100"/>
      <c r="F1233" s="277"/>
      <c r="H1233" s="277"/>
      <c r="I1233" s="277"/>
      <c r="J1233" s="277"/>
      <c r="K1233" s="277"/>
      <c r="L1233" s="277"/>
      <c r="M1233" s="277"/>
      <c r="N1233" s="277"/>
      <c r="O1233" s="277"/>
      <c r="P1233" s="277"/>
      <c r="Q1233" s="277"/>
      <c r="R1233" s="277"/>
      <c r="T1233" s="277"/>
      <c r="U1233" s="277"/>
      <c r="W1233" s="277"/>
      <c r="Y1233" s="107"/>
      <c r="Z1233" s="107"/>
      <c r="AA1233" s="107"/>
      <c r="AB1233" s="107"/>
      <c r="AC1233" s="107"/>
      <c r="AD1233" s="233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7"/>
      <c r="AV1233" s="107"/>
      <c r="AW1233" s="107"/>
      <c r="AX1233" s="107"/>
      <c r="AY1233" s="107"/>
      <c r="AZ1233" s="107"/>
      <c r="BA1233" s="107"/>
      <c r="BB1233" s="107"/>
      <c r="BC1233" s="107"/>
      <c r="BD1233" s="107"/>
      <c r="BE1233" s="107"/>
      <c r="BF1233" s="107"/>
      <c r="BG1233" s="107"/>
      <c r="BH1233" s="107"/>
      <c r="BI1233" s="107"/>
      <c r="BJ1233" s="107"/>
      <c r="BK1233" s="107"/>
      <c r="BL1233" s="107"/>
      <c r="BM1233" s="107"/>
      <c r="BN1233" s="107"/>
      <c r="BO1233" s="107"/>
      <c r="BP1233" s="107"/>
      <c r="BQ1233" s="107"/>
      <c r="BR1233" s="107"/>
    </row>
    <row r="1234" customFormat="false" ht="12.75" hidden="false" customHeight="false" outlineLevel="0" collapsed="false">
      <c r="A1234" s="100"/>
      <c r="B1234" s="100"/>
      <c r="C1234" s="100"/>
      <c r="D1234" s="100"/>
      <c r="E1234" s="100"/>
      <c r="F1234" s="277"/>
      <c r="H1234" s="277"/>
      <c r="I1234" s="277"/>
      <c r="J1234" s="277"/>
      <c r="K1234" s="277"/>
      <c r="L1234" s="277"/>
      <c r="M1234" s="277"/>
      <c r="N1234" s="277"/>
      <c r="O1234" s="277"/>
      <c r="P1234" s="277"/>
      <c r="Q1234" s="277"/>
      <c r="R1234" s="277"/>
      <c r="T1234" s="277"/>
      <c r="U1234" s="277"/>
      <c r="W1234" s="277"/>
      <c r="Y1234" s="107"/>
      <c r="Z1234" s="107"/>
      <c r="AA1234" s="107"/>
      <c r="AB1234" s="107"/>
      <c r="AC1234" s="107"/>
      <c r="AD1234" s="233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7"/>
      <c r="AV1234" s="107"/>
      <c r="AW1234" s="107"/>
      <c r="AX1234" s="107"/>
      <c r="AY1234" s="107"/>
      <c r="AZ1234" s="107"/>
      <c r="BA1234" s="107"/>
      <c r="BB1234" s="107"/>
      <c r="BC1234" s="107"/>
      <c r="BD1234" s="107"/>
      <c r="BE1234" s="107"/>
      <c r="BF1234" s="107"/>
      <c r="BG1234" s="107"/>
      <c r="BH1234" s="107"/>
      <c r="BI1234" s="107"/>
      <c r="BJ1234" s="107"/>
      <c r="BK1234" s="107"/>
      <c r="BL1234" s="107"/>
      <c r="BM1234" s="107"/>
      <c r="BN1234" s="107"/>
      <c r="BO1234" s="107"/>
      <c r="BP1234" s="107"/>
      <c r="BQ1234" s="107"/>
      <c r="BR1234" s="107"/>
    </row>
    <row r="1235" customFormat="false" ht="12.75" hidden="false" customHeight="false" outlineLevel="0" collapsed="false">
      <c r="A1235" s="100"/>
      <c r="B1235" s="100"/>
      <c r="C1235" s="100"/>
      <c r="D1235" s="100"/>
      <c r="E1235" s="100"/>
      <c r="F1235" s="277"/>
      <c r="H1235" s="277"/>
      <c r="I1235" s="277"/>
      <c r="J1235" s="277"/>
      <c r="K1235" s="277"/>
      <c r="L1235" s="277"/>
      <c r="M1235" s="277"/>
      <c r="N1235" s="277"/>
      <c r="O1235" s="277"/>
      <c r="P1235" s="277"/>
      <c r="Q1235" s="277"/>
      <c r="R1235" s="277"/>
      <c r="T1235" s="277"/>
      <c r="U1235" s="277"/>
      <c r="W1235" s="277"/>
      <c r="Y1235" s="107"/>
      <c r="Z1235" s="107"/>
      <c r="AA1235" s="107"/>
      <c r="AB1235" s="107"/>
      <c r="AC1235" s="107"/>
      <c r="AD1235" s="233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7"/>
      <c r="AV1235" s="107"/>
      <c r="AW1235" s="107"/>
      <c r="AX1235" s="107"/>
      <c r="AY1235" s="107"/>
      <c r="AZ1235" s="107"/>
      <c r="BA1235" s="107"/>
      <c r="BB1235" s="107"/>
      <c r="BC1235" s="107"/>
      <c r="BD1235" s="107"/>
      <c r="BE1235" s="107"/>
      <c r="BF1235" s="107"/>
      <c r="BG1235" s="107"/>
      <c r="BH1235" s="107"/>
      <c r="BI1235" s="107"/>
      <c r="BJ1235" s="107"/>
      <c r="BK1235" s="107"/>
      <c r="BL1235" s="107"/>
      <c r="BM1235" s="107"/>
      <c r="BN1235" s="107"/>
      <c r="BO1235" s="107"/>
      <c r="BP1235" s="107"/>
      <c r="BQ1235" s="107"/>
      <c r="BR1235" s="107"/>
    </row>
    <row r="1236" customFormat="false" ht="12.75" hidden="false" customHeight="false" outlineLevel="0" collapsed="false">
      <c r="A1236" s="100"/>
      <c r="B1236" s="100"/>
      <c r="C1236" s="100"/>
      <c r="D1236" s="100"/>
      <c r="E1236" s="100"/>
      <c r="F1236" s="277"/>
      <c r="H1236" s="277"/>
      <c r="I1236" s="277"/>
      <c r="J1236" s="277"/>
      <c r="K1236" s="277"/>
      <c r="L1236" s="277"/>
      <c r="M1236" s="277"/>
      <c r="N1236" s="277"/>
      <c r="O1236" s="277"/>
      <c r="P1236" s="277"/>
      <c r="Q1236" s="277"/>
      <c r="R1236" s="277"/>
      <c r="T1236" s="277"/>
      <c r="U1236" s="277"/>
      <c r="W1236" s="277"/>
      <c r="Y1236" s="107"/>
      <c r="Z1236" s="107"/>
      <c r="AA1236" s="107"/>
      <c r="AB1236" s="107"/>
      <c r="AC1236" s="107"/>
      <c r="AD1236" s="233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7"/>
      <c r="AV1236" s="107"/>
      <c r="AW1236" s="107"/>
      <c r="AX1236" s="107"/>
      <c r="AY1236" s="107"/>
      <c r="AZ1236" s="107"/>
      <c r="BA1236" s="107"/>
      <c r="BB1236" s="107"/>
      <c r="BC1236" s="107"/>
      <c r="BD1236" s="107"/>
      <c r="BE1236" s="107"/>
      <c r="BF1236" s="107"/>
      <c r="BG1236" s="107"/>
      <c r="BH1236" s="107"/>
      <c r="BI1236" s="107"/>
      <c r="BJ1236" s="107"/>
      <c r="BK1236" s="107"/>
      <c r="BL1236" s="107"/>
      <c r="BM1236" s="107"/>
      <c r="BN1236" s="107"/>
      <c r="BO1236" s="107"/>
      <c r="BP1236" s="107"/>
      <c r="BQ1236" s="107"/>
      <c r="BR1236" s="107"/>
    </row>
    <row r="1237" customFormat="false" ht="12.75" hidden="false" customHeight="false" outlineLevel="0" collapsed="false">
      <c r="A1237" s="100"/>
      <c r="B1237" s="100"/>
      <c r="C1237" s="100"/>
      <c r="D1237" s="100"/>
      <c r="E1237" s="100"/>
      <c r="F1237" s="277"/>
      <c r="H1237" s="277"/>
      <c r="I1237" s="277"/>
      <c r="J1237" s="277"/>
      <c r="K1237" s="277"/>
      <c r="L1237" s="277"/>
      <c r="M1237" s="277"/>
      <c r="N1237" s="277"/>
      <c r="O1237" s="277"/>
      <c r="P1237" s="277"/>
      <c r="Q1237" s="277"/>
      <c r="R1237" s="277"/>
      <c r="T1237" s="277"/>
      <c r="U1237" s="277"/>
      <c r="W1237" s="277"/>
      <c r="Y1237" s="107"/>
      <c r="Z1237" s="107"/>
      <c r="AA1237" s="107"/>
      <c r="AB1237" s="107"/>
      <c r="AC1237" s="107"/>
      <c r="AD1237" s="233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7"/>
      <c r="AV1237" s="107"/>
      <c r="AW1237" s="107"/>
      <c r="AX1237" s="107"/>
      <c r="AY1237" s="107"/>
      <c r="AZ1237" s="107"/>
      <c r="BA1237" s="107"/>
      <c r="BB1237" s="107"/>
      <c r="BC1237" s="107"/>
      <c r="BD1237" s="107"/>
      <c r="BE1237" s="107"/>
      <c r="BF1237" s="107"/>
      <c r="BG1237" s="107"/>
      <c r="BH1237" s="107"/>
      <c r="BI1237" s="107"/>
      <c r="BJ1237" s="107"/>
      <c r="BK1237" s="107"/>
      <c r="BL1237" s="107"/>
      <c r="BM1237" s="107"/>
      <c r="BN1237" s="107"/>
      <c r="BO1237" s="107"/>
      <c r="BP1237" s="107"/>
      <c r="BQ1237" s="107"/>
      <c r="BR1237" s="107"/>
    </row>
    <row r="1238" customFormat="false" ht="12.75" hidden="false" customHeight="false" outlineLevel="0" collapsed="false">
      <c r="A1238" s="100"/>
      <c r="B1238" s="100"/>
      <c r="C1238" s="100"/>
      <c r="D1238" s="100"/>
      <c r="E1238" s="100"/>
      <c r="F1238" s="277"/>
      <c r="H1238" s="277"/>
      <c r="I1238" s="277"/>
      <c r="J1238" s="277"/>
      <c r="K1238" s="277"/>
      <c r="L1238" s="277"/>
      <c r="M1238" s="277"/>
      <c r="N1238" s="277"/>
      <c r="O1238" s="277"/>
      <c r="P1238" s="277"/>
      <c r="Q1238" s="277"/>
      <c r="R1238" s="277"/>
      <c r="T1238" s="277"/>
      <c r="U1238" s="277"/>
      <c r="W1238" s="277"/>
      <c r="Y1238" s="107"/>
      <c r="Z1238" s="107"/>
      <c r="AA1238" s="107"/>
      <c r="AB1238" s="107"/>
      <c r="AC1238" s="107"/>
      <c r="AD1238" s="233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7"/>
      <c r="AV1238" s="107"/>
      <c r="AW1238" s="107"/>
      <c r="AX1238" s="107"/>
      <c r="AY1238" s="107"/>
      <c r="AZ1238" s="107"/>
      <c r="BA1238" s="107"/>
      <c r="BB1238" s="107"/>
      <c r="BC1238" s="107"/>
      <c r="BD1238" s="107"/>
      <c r="BE1238" s="107"/>
      <c r="BF1238" s="107"/>
      <c r="BG1238" s="107"/>
      <c r="BH1238" s="107"/>
      <c r="BI1238" s="107"/>
      <c r="BJ1238" s="107"/>
      <c r="BK1238" s="107"/>
      <c r="BL1238" s="107"/>
      <c r="BM1238" s="107"/>
      <c r="BN1238" s="107"/>
      <c r="BO1238" s="107"/>
      <c r="BP1238" s="107"/>
      <c r="BQ1238" s="107"/>
      <c r="BR1238" s="107"/>
    </row>
    <row r="1239" customFormat="false" ht="12.75" hidden="false" customHeight="false" outlineLevel="0" collapsed="false">
      <c r="A1239" s="100"/>
      <c r="B1239" s="100"/>
      <c r="C1239" s="100"/>
      <c r="D1239" s="100"/>
      <c r="E1239" s="100"/>
      <c r="F1239" s="277"/>
      <c r="H1239" s="277"/>
      <c r="I1239" s="277"/>
      <c r="J1239" s="277"/>
      <c r="K1239" s="277"/>
      <c r="L1239" s="277"/>
      <c r="M1239" s="277"/>
      <c r="N1239" s="277"/>
      <c r="O1239" s="277"/>
      <c r="P1239" s="277"/>
      <c r="Q1239" s="277"/>
      <c r="R1239" s="277"/>
      <c r="T1239" s="277"/>
      <c r="U1239" s="277"/>
      <c r="W1239" s="277"/>
      <c r="Y1239" s="107"/>
      <c r="Z1239" s="107"/>
      <c r="AA1239" s="107"/>
      <c r="AB1239" s="107"/>
      <c r="AC1239" s="107"/>
      <c r="AD1239" s="233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7"/>
      <c r="AV1239" s="107"/>
      <c r="AW1239" s="107"/>
      <c r="AX1239" s="107"/>
      <c r="AY1239" s="107"/>
      <c r="AZ1239" s="107"/>
      <c r="BA1239" s="107"/>
      <c r="BB1239" s="107"/>
      <c r="BC1239" s="107"/>
      <c r="BD1239" s="107"/>
      <c r="BE1239" s="107"/>
      <c r="BF1239" s="107"/>
      <c r="BG1239" s="107"/>
      <c r="BH1239" s="107"/>
      <c r="BI1239" s="107"/>
      <c r="BJ1239" s="107"/>
      <c r="BK1239" s="107"/>
      <c r="BL1239" s="107"/>
      <c r="BM1239" s="107"/>
      <c r="BN1239" s="107"/>
      <c r="BO1239" s="107"/>
      <c r="BP1239" s="107"/>
      <c r="BQ1239" s="107"/>
      <c r="BR1239" s="107"/>
    </row>
    <row r="1240" customFormat="false" ht="12.75" hidden="false" customHeight="false" outlineLevel="0" collapsed="false">
      <c r="A1240" s="100"/>
      <c r="B1240" s="100"/>
      <c r="C1240" s="100"/>
      <c r="D1240" s="100"/>
      <c r="E1240" s="100"/>
      <c r="F1240" s="277"/>
      <c r="H1240" s="277"/>
      <c r="I1240" s="277"/>
      <c r="J1240" s="277"/>
      <c r="K1240" s="277"/>
      <c r="L1240" s="277"/>
      <c r="M1240" s="277"/>
      <c r="N1240" s="277"/>
      <c r="O1240" s="277"/>
      <c r="P1240" s="277"/>
      <c r="Q1240" s="277"/>
      <c r="R1240" s="277"/>
      <c r="T1240" s="277"/>
      <c r="U1240" s="277"/>
      <c r="W1240" s="277"/>
      <c r="Y1240" s="107"/>
      <c r="Z1240" s="107"/>
      <c r="AA1240" s="107"/>
      <c r="AB1240" s="107"/>
      <c r="AC1240" s="107"/>
      <c r="AD1240" s="233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7"/>
      <c r="AV1240" s="107"/>
      <c r="AW1240" s="107"/>
      <c r="AX1240" s="107"/>
      <c r="AY1240" s="107"/>
      <c r="AZ1240" s="107"/>
      <c r="BA1240" s="107"/>
      <c r="BB1240" s="107"/>
      <c r="BC1240" s="107"/>
      <c r="BD1240" s="107"/>
      <c r="BE1240" s="107"/>
      <c r="BF1240" s="107"/>
      <c r="BG1240" s="107"/>
      <c r="BH1240" s="107"/>
      <c r="BI1240" s="107"/>
      <c r="BJ1240" s="107"/>
      <c r="BK1240" s="107"/>
      <c r="BL1240" s="107"/>
      <c r="BM1240" s="107"/>
      <c r="BN1240" s="107"/>
      <c r="BO1240" s="107"/>
      <c r="BP1240" s="107"/>
      <c r="BQ1240" s="107"/>
      <c r="BR1240" s="107"/>
    </row>
    <row r="1241" customFormat="false" ht="12.75" hidden="false" customHeight="false" outlineLevel="0" collapsed="false">
      <c r="A1241" s="100"/>
      <c r="B1241" s="100"/>
      <c r="C1241" s="100"/>
      <c r="D1241" s="100"/>
      <c r="E1241" s="100"/>
      <c r="F1241" s="277"/>
      <c r="H1241" s="277"/>
      <c r="I1241" s="277"/>
      <c r="J1241" s="277"/>
      <c r="K1241" s="277"/>
      <c r="L1241" s="277"/>
      <c r="M1241" s="277"/>
      <c r="N1241" s="277"/>
      <c r="O1241" s="277"/>
      <c r="P1241" s="277"/>
      <c r="Q1241" s="277"/>
      <c r="R1241" s="277"/>
      <c r="T1241" s="277"/>
      <c r="U1241" s="277"/>
      <c r="W1241" s="277"/>
      <c r="Y1241" s="107"/>
      <c r="Z1241" s="107"/>
      <c r="AA1241" s="107"/>
      <c r="AB1241" s="107"/>
      <c r="AC1241" s="107"/>
      <c r="AD1241" s="233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7"/>
      <c r="AV1241" s="107"/>
      <c r="AW1241" s="107"/>
      <c r="AX1241" s="107"/>
      <c r="AY1241" s="107"/>
      <c r="AZ1241" s="107"/>
      <c r="BA1241" s="107"/>
      <c r="BB1241" s="107"/>
      <c r="BC1241" s="107"/>
      <c r="BD1241" s="107"/>
      <c r="BE1241" s="107"/>
      <c r="BF1241" s="107"/>
      <c r="BG1241" s="107"/>
      <c r="BH1241" s="107"/>
      <c r="BI1241" s="107"/>
      <c r="BJ1241" s="107"/>
      <c r="BK1241" s="107"/>
      <c r="BL1241" s="107"/>
      <c r="BM1241" s="107"/>
      <c r="BN1241" s="107"/>
      <c r="BO1241" s="107"/>
      <c r="BP1241" s="107"/>
      <c r="BQ1241" s="107"/>
      <c r="BR1241" s="107"/>
    </row>
    <row r="1242" customFormat="false" ht="12.75" hidden="false" customHeight="false" outlineLevel="0" collapsed="false">
      <c r="A1242" s="100"/>
      <c r="B1242" s="100"/>
      <c r="C1242" s="100"/>
      <c r="D1242" s="100"/>
      <c r="E1242" s="100"/>
      <c r="F1242" s="277"/>
      <c r="H1242" s="277"/>
      <c r="I1242" s="277"/>
      <c r="J1242" s="277"/>
      <c r="K1242" s="277"/>
      <c r="L1242" s="277"/>
      <c r="M1242" s="277"/>
      <c r="N1242" s="277"/>
      <c r="O1242" s="277"/>
      <c r="P1242" s="277"/>
      <c r="Q1242" s="277"/>
      <c r="R1242" s="277"/>
      <c r="T1242" s="277"/>
      <c r="U1242" s="277"/>
      <c r="W1242" s="277"/>
      <c r="Y1242" s="107"/>
      <c r="Z1242" s="107"/>
      <c r="AA1242" s="107"/>
      <c r="AB1242" s="107"/>
      <c r="AC1242" s="107"/>
      <c r="AD1242" s="233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7"/>
      <c r="AV1242" s="107"/>
      <c r="AW1242" s="107"/>
      <c r="AX1242" s="107"/>
      <c r="AY1242" s="107"/>
      <c r="AZ1242" s="107"/>
      <c r="BA1242" s="107"/>
      <c r="BB1242" s="107"/>
      <c r="BC1242" s="107"/>
      <c r="BD1242" s="107"/>
      <c r="BE1242" s="107"/>
      <c r="BF1242" s="107"/>
      <c r="BG1242" s="107"/>
      <c r="BH1242" s="107"/>
      <c r="BI1242" s="107"/>
      <c r="BJ1242" s="107"/>
      <c r="BK1242" s="107"/>
      <c r="BL1242" s="107"/>
      <c r="BM1242" s="107"/>
      <c r="BN1242" s="107"/>
      <c r="BO1242" s="107"/>
      <c r="BP1242" s="107"/>
      <c r="BQ1242" s="107"/>
      <c r="BR1242" s="107"/>
    </row>
    <row r="1243" customFormat="false" ht="12.75" hidden="false" customHeight="false" outlineLevel="0" collapsed="false">
      <c r="A1243" s="100"/>
      <c r="B1243" s="100"/>
      <c r="C1243" s="100"/>
      <c r="D1243" s="100"/>
      <c r="E1243" s="100"/>
      <c r="F1243" s="277"/>
      <c r="H1243" s="277"/>
      <c r="I1243" s="277"/>
      <c r="J1243" s="277"/>
      <c r="K1243" s="277"/>
      <c r="L1243" s="277"/>
      <c r="M1243" s="277"/>
      <c r="N1243" s="277"/>
      <c r="O1243" s="277"/>
      <c r="P1243" s="277"/>
      <c r="Q1243" s="277"/>
      <c r="R1243" s="277"/>
      <c r="T1243" s="277"/>
      <c r="U1243" s="277"/>
      <c r="W1243" s="277"/>
      <c r="Y1243" s="107"/>
      <c r="Z1243" s="107"/>
      <c r="AA1243" s="107"/>
      <c r="AB1243" s="107"/>
      <c r="AC1243" s="107"/>
      <c r="AD1243" s="233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7"/>
      <c r="AV1243" s="107"/>
      <c r="AW1243" s="107"/>
      <c r="AX1243" s="107"/>
      <c r="AY1243" s="107"/>
      <c r="AZ1243" s="107"/>
      <c r="BA1243" s="107"/>
      <c r="BB1243" s="107"/>
      <c r="BC1243" s="107"/>
      <c r="BD1243" s="107"/>
      <c r="BE1243" s="107"/>
      <c r="BF1243" s="107"/>
      <c r="BG1243" s="107"/>
      <c r="BH1243" s="107"/>
      <c r="BI1243" s="107"/>
      <c r="BJ1243" s="107"/>
      <c r="BK1243" s="107"/>
      <c r="BL1243" s="107"/>
      <c r="BM1243" s="107"/>
      <c r="BN1243" s="107"/>
      <c r="BO1243" s="107"/>
      <c r="BP1243" s="107"/>
      <c r="BQ1243" s="107"/>
      <c r="BR1243" s="107"/>
    </row>
    <row r="1244" customFormat="false" ht="12.75" hidden="false" customHeight="false" outlineLevel="0" collapsed="false">
      <c r="A1244" s="100"/>
      <c r="B1244" s="100"/>
      <c r="C1244" s="100"/>
      <c r="D1244" s="100"/>
      <c r="E1244" s="100"/>
      <c r="F1244" s="277"/>
      <c r="H1244" s="277"/>
      <c r="I1244" s="277"/>
      <c r="J1244" s="277"/>
      <c r="K1244" s="277"/>
      <c r="L1244" s="277"/>
      <c r="M1244" s="277"/>
      <c r="N1244" s="277"/>
      <c r="O1244" s="277"/>
      <c r="P1244" s="277"/>
      <c r="Q1244" s="277"/>
      <c r="R1244" s="277"/>
      <c r="T1244" s="277"/>
      <c r="U1244" s="277"/>
      <c r="W1244" s="277"/>
      <c r="Y1244" s="107"/>
      <c r="Z1244" s="107"/>
      <c r="AA1244" s="107"/>
      <c r="AB1244" s="107"/>
      <c r="AC1244" s="107"/>
      <c r="AD1244" s="233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7"/>
      <c r="AV1244" s="107"/>
      <c r="AW1244" s="107"/>
      <c r="AX1244" s="107"/>
      <c r="AY1244" s="107"/>
      <c r="AZ1244" s="107"/>
      <c r="BA1244" s="107"/>
      <c r="BB1244" s="107"/>
      <c r="BC1244" s="107"/>
      <c r="BD1244" s="107"/>
      <c r="BE1244" s="107"/>
      <c r="BF1244" s="107"/>
      <c r="BG1244" s="107"/>
      <c r="BH1244" s="107"/>
      <c r="BI1244" s="107"/>
      <c r="BJ1244" s="107"/>
      <c r="BK1244" s="107"/>
      <c r="BL1244" s="107"/>
      <c r="BM1244" s="107"/>
      <c r="BN1244" s="107"/>
      <c r="BO1244" s="107"/>
      <c r="BP1244" s="107"/>
      <c r="BQ1244" s="107"/>
      <c r="BR1244" s="107"/>
    </row>
    <row r="1245" customFormat="false" ht="12.75" hidden="false" customHeight="false" outlineLevel="0" collapsed="false">
      <c r="A1245" s="100"/>
      <c r="B1245" s="100"/>
      <c r="C1245" s="100"/>
      <c r="D1245" s="100"/>
      <c r="E1245" s="100"/>
      <c r="F1245" s="277"/>
      <c r="H1245" s="277"/>
      <c r="I1245" s="277"/>
      <c r="J1245" s="277"/>
      <c r="K1245" s="277"/>
      <c r="L1245" s="277"/>
      <c r="M1245" s="277"/>
      <c r="N1245" s="277"/>
      <c r="O1245" s="277"/>
      <c r="P1245" s="277"/>
      <c r="Q1245" s="277"/>
      <c r="R1245" s="277"/>
      <c r="T1245" s="277"/>
      <c r="U1245" s="277"/>
      <c r="W1245" s="277"/>
      <c r="Y1245" s="107"/>
      <c r="Z1245" s="107"/>
      <c r="AA1245" s="107"/>
      <c r="AB1245" s="107"/>
      <c r="AC1245" s="107"/>
      <c r="AD1245" s="233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7"/>
      <c r="AV1245" s="107"/>
      <c r="AW1245" s="107"/>
      <c r="AX1245" s="107"/>
      <c r="AY1245" s="107"/>
      <c r="AZ1245" s="107"/>
      <c r="BA1245" s="107"/>
      <c r="BB1245" s="107"/>
      <c r="BC1245" s="107"/>
      <c r="BD1245" s="107"/>
      <c r="BE1245" s="107"/>
      <c r="BF1245" s="107"/>
      <c r="BG1245" s="107"/>
      <c r="BH1245" s="107"/>
      <c r="BI1245" s="107"/>
      <c r="BJ1245" s="107"/>
      <c r="BK1245" s="107"/>
      <c r="BL1245" s="107"/>
      <c r="BM1245" s="107"/>
      <c r="BN1245" s="107"/>
      <c r="BO1245" s="107"/>
      <c r="BP1245" s="107"/>
      <c r="BQ1245" s="107"/>
      <c r="BR1245" s="107"/>
    </row>
    <row r="1246" customFormat="false" ht="12.75" hidden="false" customHeight="false" outlineLevel="0" collapsed="false">
      <c r="A1246" s="100"/>
      <c r="B1246" s="100"/>
      <c r="C1246" s="100"/>
      <c r="D1246" s="100"/>
      <c r="E1246" s="100"/>
      <c r="F1246" s="277"/>
      <c r="H1246" s="277"/>
      <c r="I1246" s="277"/>
      <c r="J1246" s="277"/>
      <c r="K1246" s="277"/>
      <c r="L1246" s="277"/>
      <c r="M1246" s="277"/>
      <c r="N1246" s="277"/>
      <c r="O1246" s="277"/>
      <c r="P1246" s="277"/>
      <c r="Q1246" s="277"/>
      <c r="R1246" s="277"/>
      <c r="T1246" s="277"/>
      <c r="U1246" s="277"/>
      <c r="W1246" s="277"/>
      <c r="Y1246" s="107"/>
      <c r="Z1246" s="107"/>
      <c r="AA1246" s="107"/>
      <c r="AB1246" s="107"/>
      <c r="AC1246" s="107"/>
      <c r="AD1246" s="233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7"/>
      <c r="AV1246" s="107"/>
      <c r="AW1246" s="107"/>
      <c r="AX1246" s="107"/>
      <c r="AY1246" s="107"/>
      <c r="AZ1246" s="107"/>
      <c r="BA1246" s="107"/>
      <c r="BB1246" s="107"/>
      <c r="BC1246" s="107"/>
      <c r="BD1246" s="107"/>
      <c r="BE1246" s="107"/>
      <c r="BF1246" s="107"/>
      <c r="BG1246" s="107"/>
      <c r="BH1246" s="107"/>
      <c r="BI1246" s="107"/>
      <c r="BJ1246" s="107"/>
      <c r="BK1246" s="107"/>
      <c r="BL1246" s="107"/>
      <c r="BM1246" s="107"/>
      <c r="BN1246" s="107"/>
      <c r="BO1246" s="107"/>
      <c r="BP1246" s="107"/>
      <c r="BQ1246" s="107"/>
      <c r="BR1246" s="107"/>
    </row>
    <row r="1247" customFormat="false" ht="12.75" hidden="false" customHeight="false" outlineLevel="0" collapsed="false">
      <c r="A1247" s="100"/>
      <c r="B1247" s="100"/>
      <c r="C1247" s="100"/>
      <c r="D1247" s="100"/>
      <c r="E1247" s="100"/>
      <c r="F1247" s="277"/>
      <c r="H1247" s="277"/>
      <c r="I1247" s="277"/>
      <c r="J1247" s="277"/>
      <c r="K1247" s="277"/>
      <c r="L1247" s="277"/>
      <c r="M1247" s="277"/>
      <c r="N1247" s="277"/>
      <c r="O1247" s="277"/>
      <c r="P1247" s="277"/>
      <c r="Q1247" s="277"/>
      <c r="R1247" s="277"/>
      <c r="T1247" s="277"/>
      <c r="U1247" s="277"/>
      <c r="W1247" s="277"/>
      <c r="Y1247" s="107"/>
      <c r="Z1247" s="107"/>
      <c r="AA1247" s="107"/>
      <c r="AB1247" s="107"/>
      <c r="AC1247" s="107"/>
      <c r="AD1247" s="233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7"/>
      <c r="AV1247" s="107"/>
      <c r="AW1247" s="107"/>
      <c r="AX1247" s="107"/>
      <c r="AY1247" s="107"/>
      <c r="AZ1247" s="107"/>
      <c r="BA1247" s="107"/>
      <c r="BB1247" s="107"/>
      <c r="BC1247" s="107"/>
      <c r="BD1247" s="107"/>
      <c r="BE1247" s="107"/>
      <c r="BF1247" s="107"/>
      <c r="BG1247" s="107"/>
      <c r="BH1247" s="107"/>
      <c r="BI1247" s="107"/>
      <c r="BJ1247" s="107"/>
      <c r="BK1247" s="107"/>
      <c r="BL1247" s="107"/>
      <c r="BM1247" s="107"/>
      <c r="BN1247" s="107"/>
      <c r="BO1247" s="107"/>
      <c r="BP1247" s="107"/>
      <c r="BQ1247" s="107"/>
      <c r="BR1247" s="107"/>
    </row>
    <row r="1248" customFormat="false" ht="12.75" hidden="false" customHeight="false" outlineLevel="0" collapsed="false">
      <c r="A1248" s="100"/>
      <c r="B1248" s="100"/>
      <c r="C1248" s="100"/>
      <c r="D1248" s="100"/>
      <c r="E1248" s="100"/>
      <c r="F1248" s="277"/>
      <c r="H1248" s="277"/>
      <c r="I1248" s="277"/>
      <c r="J1248" s="277"/>
      <c r="K1248" s="277"/>
      <c r="L1248" s="277"/>
      <c r="M1248" s="277"/>
      <c r="N1248" s="277"/>
      <c r="O1248" s="277"/>
      <c r="P1248" s="277"/>
      <c r="Q1248" s="277"/>
      <c r="R1248" s="277"/>
      <c r="T1248" s="277"/>
      <c r="U1248" s="277"/>
      <c r="W1248" s="277"/>
      <c r="Y1248" s="107"/>
      <c r="Z1248" s="107"/>
      <c r="AA1248" s="107"/>
      <c r="AB1248" s="107"/>
      <c r="AC1248" s="107"/>
      <c r="AD1248" s="233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7"/>
      <c r="AV1248" s="107"/>
      <c r="AW1248" s="107"/>
      <c r="AX1248" s="107"/>
      <c r="AY1248" s="107"/>
      <c r="AZ1248" s="107"/>
      <c r="BA1248" s="107"/>
      <c r="BB1248" s="107"/>
      <c r="BC1248" s="107"/>
      <c r="BD1248" s="107"/>
      <c r="BE1248" s="107"/>
      <c r="BF1248" s="107"/>
      <c r="BG1248" s="107"/>
      <c r="BH1248" s="107"/>
      <c r="BI1248" s="107"/>
      <c r="BJ1248" s="107"/>
      <c r="BK1248" s="107"/>
      <c r="BL1248" s="107"/>
      <c r="BM1248" s="107"/>
      <c r="BN1248" s="107"/>
      <c r="BO1248" s="107"/>
      <c r="BP1248" s="107"/>
      <c r="BQ1248" s="107"/>
      <c r="BR1248" s="107"/>
    </row>
    <row r="1249" customFormat="false" ht="12.75" hidden="false" customHeight="false" outlineLevel="0" collapsed="false">
      <c r="A1249" s="100"/>
      <c r="B1249" s="100"/>
      <c r="C1249" s="100"/>
      <c r="D1249" s="100"/>
      <c r="E1249" s="100"/>
      <c r="F1249" s="277"/>
      <c r="H1249" s="277"/>
      <c r="I1249" s="277"/>
      <c r="J1249" s="277"/>
      <c r="K1249" s="277"/>
      <c r="L1249" s="277"/>
      <c r="M1249" s="277"/>
      <c r="N1249" s="277"/>
      <c r="O1249" s="277"/>
      <c r="P1249" s="277"/>
      <c r="Q1249" s="277"/>
      <c r="R1249" s="277"/>
      <c r="T1249" s="277"/>
      <c r="U1249" s="277"/>
      <c r="W1249" s="277"/>
      <c r="Y1249" s="107"/>
      <c r="Z1249" s="107"/>
      <c r="AA1249" s="107"/>
      <c r="AB1249" s="107"/>
      <c r="AC1249" s="107"/>
      <c r="AD1249" s="233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7"/>
      <c r="AV1249" s="107"/>
      <c r="AW1249" s="107"/>
      <c r="AX1249" s="107"/>
      <c r="AY1249" s="107"/>
      <c r="AZ1249" s="107"/>
      <c r="BA1249" s="107"/>
      <c r="BB1249" s="107"/>
      <c r="BC1249" s="107"/>
      <c r="BD1249" s="107"/>
      <c r="BE1249" s="107"/>
      <c r="BF1249" s="107"/>
      <c r="BG1249" s="107"/>
      <c r="BH1249" s="107"/>
      <c r="BI1249" s="107"/>
      <c r="BJ1249" s="107"/>
      <c r="BK1249" s="107"/>
      <c r="BL1249" s="107"/>
      <c r="BM1249" s="107"/>
      <c r="BN1249" s="107"/>
      <c r="BO1249" s="107"/>
      <c r="BP1249" s="107"/>
      <c r="BQ1249" s="107"/>
      <c r="BR1249" s="107"/>
    </row>
    <row r="1250" customFormat="false" ht="12.75" hidden="false" customHeight="false" outlineLevel="0" collapsed="false">
      <c r="A1250" s="100"/>
      <c r="B1250" s="100"/>
      <c r="C1250" s="100"/>
      <c r="D1250" s="100"/>
      <c r="E1250" s="100"/>
      <c r="F1250" s="277"/>
      <c r="H1250" s="277"/>
      <c r="I1250" s="277"/>
      <c r="J1250" s="277"/>
      <c r="K1250" s="277"/>
      <c r="L1250" s="277"/>
      <c r="M1250" s="277"/>
      <c r="N1250" s="277"/>
      <c r="O1250" s="277"/>
      <c r="P1250" s="277"/>
      <c r="Q1250" s="277"/>
      <c r="R1250" s="277"/>
      <c r="T1250" s="277"/>
      <c r="U1250" s="277"/>
      <c r="W1250" s="277"/>
      <c r="Y1250" s="107"/>
      <c r="Z1250" s="107"/>
      <c r="AA1250" s="107"/>
      <c r="AB1250" s="107"/>
      <c r="AC1250" s="107"/>
      <c r="AD1250" s="233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7"/>
      <c r="AV1250" s="107"/>
      <c r="AW1250" s="107"/>
      <c r="AX1250" s="107"/>
      <c r="AY1250" s="107"/>
      <c r="AZ1250" s="107"/>
      <c r="BA1250" s="107"/>
      <c r="BB1250" s="107"/>
      <c r="BC1250" s="107"/>
      <c r="BD1250" s="107"/>
      <c r="BE1250" s="107"/>
      <c r="BF1250" s="107"/>
      <c r="BG1250" s="107"/>
      <c r="BH1250" s="107"/>
      <c r="BI1250" s="107"/>
      <c r="BJ1250" s="107"/>
      <c r="BK1250" s="107"/>
      <c r="BL1250" s="107"/>
      <c r="BM1250" s="107"/>
      <c r="BN1250" s="107"/>
      <c r="BO1250" s="107"/>
      <c r="BP1250" s="107"/>
      <c r="BQ1250" s="107"/>
      <c r="BR1250" s="107"/>
    </row>
    <row r="1251" customFormat="false" ht="12.75" hidden="false" customHeight="false" outlineLevel="0" collapsed="false">
      <c r="A1251" s="100"/>
      <c r="B1251" s="100"/>
      <c r="C1251" s="100"/>
      <c r="D1251" s="100"/>
      <c r="E1251" s="100"/>
      <c r="F1251" s="277"/>
      <c r="H1251" s="277"/>
      <c r="I1251" s="277"/>
      <c r="J1251" s="277"/>
      <c r="K1251" s="277"/>
      <c r="L1251" s="277"/>
      <c r="M1251" s="277"/>
      <c r="N1251" s="277"/>
      <c r="O1251" s="277"/>
      <c r="P1251" s="277"/>
      <c r="Q1251" s="277"/>
      <c r="R1251" s="277"/>
      <c r="T1251" s="277"/>
      <c r="U1251" s="277"/>
      <c r="W1251" s="277"/>
      <c r="Y1251" s="107"/>
      <c r="Z1251" s="107"/>
      <c r="AA1251" s="107"/>
      <c r="AB1251" s="107"/>
      <c r="AC1251" s="107"/>
      <c r="AD1251" s="233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7"/>
      <c r="AV1251" s="107"/>
      <c r="AW1251" s="107"/>
      <c r="AX1251" s="107"/>
      <c r="AY1251" s="107"/>
      <c r="AZ1251" s="107"/>
      <c r="BA1251" s="107"/>
      <c r="BB1251" s="107"/>
      <c r="BC1251" s="107"/>
      <c r="BD1251" s="107"/>
      <c r="BE1251" s="107"/>
      <c r="BF1251" s="107"/>
      <c r="BG1251" s="107"/>
      <c r="BH1251" s="107"/>
      <c r="BI1251" s="107"/>
      <c r="BJ1251" s="107"/>
      <c r="BK1251" s="107"/>
      <c r="BL1251" s="107"/>
      <c r="BM1251" s="107"/>
      <c r="BN1251" s="107"/>
      <c r="BO1251" s="107"/>
      <c r="BP1251" s="107"/>
      <c r="BQ1251" s="107"/>
      <c r="BR1251" s="107"/>
    </row>
    <row r="1252" customFormat="false" ht="12.75" hidden="false" customHeight="false" outlineLevel="0" collapsed="false">
      <c r="A1252" s="100"/>
      <c r="B1252" s="100"/>
      <c r="C1252" s="100"/>
      <c r="D1252" s="100"/>
      <c r="E1252" s="100"/>
      <c r="F1252" s="277"/>
      <c r="H1252" s="277"/>
      <c r="I1252" s="277"/>
      <c r="J1252" s="277"/>
      <c r="K1252" s="277"/>
      <c r="L1252" s="277"/>
      <c r="M1252" s="277"/>
      <c r="N1252" s="277"/>
      <c r="O1252" s="277"/>
      <c r="P1252" s="277"/>
      <c r="Q1252" s="277"/>
      <c r="R1252" s="277"/>
      <c r="T1252" s="277"/>
      <c r="U1252" s="277"/>
      <c r="W1252" s="277"/>
      <c r="Y1252" s="107"/>
      <c r="Z1252" s="107"/>
      <c r="AA1252" s="107"/>
      <c r="AB1252" s="107"/>
      <c r="AC1252" s="107"/>
      <c r="AD1252" s="233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7"/>
      <c r="AV1252" s="107"/>
      <c r="AW1252" s="107"/>
      <c r="AX1252" s="107"/>
      <c r="AY1252" s="107"/>
      <c r="AZ1252" s="107"/>
      <c r="BA1252" s="107"/>
      <c r="BB1252" s="107"/>
      <c r="BC1252" s="107"/>
      <c r="BD1252" s="107"/>
      <c r="BE1252" s="107"/>
      <c r="BF1252" s="107"/>
      <c r="BG1252" s="107"/>
      <c r="BH1252" s="107"/>
      <c r="BI1252" s="107"/>
      <c r="BJ1252" s="107"/>
      <c r="BK1252" s="107"/>
      <c r="BL1252" s="107"/>
      <c r="BM1252" s="107"/>
      <c r="BN1252" s="107"/>
      <c r="BO1252" s="107"/>
      <c r="BP1252" s="107"/>
      <c r="BQ1252" s="107"/>
      <c r="BR1252" s="107"/>
    </row>
    <row r="1253" customFormat="false" ht="12.75" hidden="false" customHeight="false" outlineLevel="0" collapsed="false">
      <c r="A1253" s="100"/>
      <c r="B1253" s="100"/>
      <c r="C1253" s="100"/>
      <c r="D1253" s="100"/>
      <c r="E1253" s="100"/>
      <c r="F1253" s="277"/>
      <c r="H1253" s="277"/>
      <c r="I1253" s="277"/>
      <c r="J1253" s="277"/>
      <c r="K1253" s="277"/>
      <c r="L1253" s="277"/>
      <c r="M1253" s="277"/>
      <c r="N1253" s="277"/>
      <c r="O1253" s="277"/>
      <c r="P1253" s="277"/>
      <c r="Q1253" s="277"/>
      <c r="R1253" s="277"/>
      <c r="T1253" s="277"/>
      <c r="U1253" s="277"/>
      <c r="W1253" s="277"/>
      <c r="Y1253" s="107"/>
      <c r="Z1253" s="107"/>
      <c r="AA1253" s="107"/>
      <c r="AB1253" s="107"/>
      <c r="AC1253" s="107"/>
      <c r="AD1253" s="233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7"/>
      <c r="AV1253" s="107"/>
      <c r="AW1253" s="107"/>
      <c r="AX1253" s="107"/>
      <c r="AY1253" s="107"/>
      <c r="AZ1253" s="107"/>
      <c r="BA1253" s="107"/>
      <c r="BB1253" s="107"/>
      <c r="BC1253" s="107"/>
      <c r="BD1253" s="107"/>
      <c r="BE1253" s="107"/>
      <c r="BF1253" s="107"/>
      <c r="BG1253" s="107"/>
      <c r="BH1253" s="107"/>
      <c r="BI1253" s="107"/>
      <c r="BJ1253" s="107"/>
      <c r="BK1253" s="107"/>
      <c r="BL1253" s="107"/>
      <c r="BM1253" s="107"/>
      <c r="BN1253" s="107"/>
      <c r="BO1253" s="107"/>
      <c r="BP1253" s="107"/>
      <c r="BQ1253" s="107"/>
      <c r="BR1253" s="107"/>
    </row>
    <row r="1254" customFormat="false" ht="12.75" hidden="false" customHeight="false" outlineLevel="0" collapsed="false">
      <c r="A1254" s="100"/>
      <c r="B1254" s="100"/>
      <c r="C1254" s="100"/>
      <c r="D1254" s="100"/>
      <c r="E1254" s="100"/>
      <c r="F1254" s="277"/>
      <c r="H1254" s="277"/>
      <c r="I1254" s="277"/>
      <c r="J1254" s="277"/>
      <c r="K1254" s="277"/>
      <c r="L1254" s="277"/>
      <c r="M1254" s="277"/>
      <c r="N1254" s="277"/>
      <c r="O1254" s="277"/>
      <c r="P1254" s="277"/>
      <c r="Q1254" s="277"/>
      <c r="R1254" s="277"/>
      <c r="T1254" s="277"/>
      <c r="U1254" s="277"/>
      <c r="W1254" s="277"/>
      <c r="Y1254" s="107"/>
      <c r="Z1254" s="107"/>
      <c r="AA1254" s="107"/>
      <c r="AB1254" s="107"/>
      <c r="AC1254" s="107"/>
      <c r="AD1254" s="233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7"/>
      <c r="AV1254" s="107"/>
      <c r="AW1254" s="107"/>
      <c r="AX1254" s="107"/>
      <c r="AY1254" s="107"/>
      <c r="AZ1254" s="107"/>
      <c r="BA1254" s="107"/>
      <c r="BB1254" s="107"/>
      <c r="BC1254" s="107"/>
      <c r="BD1254" s="107"/>
      <c r="BE1254" s="107"/>
      <c r="BF1254" s="107"/>
      <c r="BG1254" s="107"/>
      <c r="BH1254" s="107"/>
      <c r="BI1254" s="107"/>
      <c r="BJ1254" s="107"/>
      <c r="BK1254" s="107"/>
      <c r="BL1254" s="107"/>
      <c r="BM1254" s="107"/>
      <c r="BN1254" s="107"/>
      <c r="BO1254" s="107"/>
      <c r="BP1254" s="107"/>
      <c r="BQ1254" s="107"/>
      <c r="BR1254" s="107"/>
    </row>
    <row r="1255" customFormat="false" ht="12.75" hidden="false" customHeight="false" outlineLevel="0" collapsed="false">
      <c r="A1255" s="100"/>
      <c r="B1255" s="100"/>
      <c r="C1255" s="100"/>
      <c r="D1255" s="100"/>
      <c r="E1255" s="100"/>
      <c r="F1255" s="277"/>
      <c r="H1255" s="277"/>
      <c r="I1255" s="277"/>
      <c r="J1255" s="277"/>
      <c r="K1255" s="277"/>
      <c r="L1255" s="277"/>
      <c r="M1255" s="277"/>
      <c r="N1255" s="277"/>
      <c r="O1255" s="277"/>
      <c r="P1255" s="277"/>
      <c r="Q1255" s="277"/>
      <c r="R1255" s="277"/>
      <c r="T1255" s="277"/>
      <c r="U1255" s="277"/>
      <c r="W1255" s="277"/>
      <c r="Y1255" s="107"/>
      <c r="Z1255" s="107"/>
      <c r="AA1255" s="107"/>
      <c r="AB1255" s="107"/>
      <c r="AC1255" s="107"/>
      <c r="AD1255" s="233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7"/>
      <c r="AV1255" s="107"/>
      <c r="AW1255" s="107"/>
      <c r="AX1255" s="107"/>
      <c r="AY1255" s="107"/>
      <c r="AZ1255" s="107"/>
      <c r="BA1255" s="107"/>
      <c r="BB1255" s="107"/>
      <c r="BC1255" s="107"/>
      <c r="BD1255" s="107"/>
      <c r="BE1255" s="107"/>
      <c r="BF1255" s="107"/>
      <c r="BG1255" s="107"/>
      <c r="BH1255" s="107"/>
      <c r="BI1255" s="107"/>
      <c r="BJ1255" s="107"/>
      <c r="BK1255" s="107"/>
      <c r="BL1255" s="107"/>
      <c r="BM1255" s="107"/>
      <c r="BN1255" s="107"/>
      <c r="BO1255" s="107"/>
      <c r="BP1255" s="107"/>
      <c r="BQ1255" s="107"/>
      <c r="BR1255" s="107"/>
    </row>
    <row r="1256" customFormat="false" ht="12.75" hidden="false" customHeight="false" outlineLevel="0" collapsed="false">
      <c r="A1256" s="100"/>
      <c r="B1256" s="100"/>
      <c r="C1256" s="100"/>
      <c r="D1256" s="100"/>
      <c r="E1256" s="100"/>
      <c r="F1256" s="277"/>
      <c r="H1256" s="277"/>
      <c r="I1256" s="277"/>
      <c r="J1256" s="277"/>
      <c r="K1256" s="277"/>
      <c r="L1256" s="277"/>
      <c r="M1256" s="277"/>
      <c r="N1256" s="277"/>
      <c r="O1256" s="277"/>
      <c r="P1256" s="277"/>
      <c r="Q1256" s="277"/>
      <c r="R1256" s="277"/>
      <c r="T1256" s="277"/>
      <c r="U1256" s="277"/>
      <c r="W1256" s="277"/>
      <c r="Y1256" s="107"/>
      <c r="Z1256" s="107"/>
      <c r="AA1256" s="107"/>
      <c r="AB1256" s="107"/>
      <c r="AC1256" s="107"/>
      <c r="AD1256" s="233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7"/>
      <c r="AV1256" s="107"/>
      <c r="AW1256" s="107"/>
      <c r="AX1256" s="107"/>
      <c r="AY1256" s="107"/>
      <c r="AZ1256" s="107"/>
      <c r="BA1256" s="107"/>
      <c r="BB1256" s="107"/>
      <c r="BC1256" s="107"/>
      <c r="BD1256" s="107"/>
      <c r="BE1256" s="107"/>
      <c r="BF1256" s="107"/>
      <c r="BG1256" s="107"/>
      <c r="BH1256" s="107"/>
      <c r="BI1256" s="107"/>
      <c r="BJ1256" s="107"/>
      <c r="BK1256" s="107"/>
      <c r="BL1256" s="107"/>
      <c r="BM1256" s="107"/>
      <c r="BN1256" s="107"/>
      <c r="BO1256" s="107"/>
      <c r="BP1256" s="107"/>
      <c r="BQ1256" s="107"/>
      <c r="BR1256" s="107"/>
    </row>
    <row r="1257" customFormat="false" ht="12.75" hidden="false" customHeight="false" outlineLevel="0" collapsed="false">
      <c r="A1257" s="100"/>
      <c r="B1257" s="100"/>
      <c r="C1257" s="100"/>
      <c r="D1257" s="100"/>
      <c r="E1257" s="100"/>
      <c r="F1257" s="277"/>
      <c r="H1257" s="277"/>
      <c r="I1257" s="277"/>
      <c r="J1257" s="277"/>
      <c r="K1257" s="277"/>
      <c r="L1257" s="277"/>
      <c r="M1257" s="277"/>
      <c r="N1257" s="277"/>
      <c r="O1257" s="277"/>
      <c r="P1257" s="277"/>
      <c r="Q1257" s="277"/>
      <c r="R1257" s="277"/>
      <c r="T1257" s="277"/>
      <c r="U1257" s="277"/>
      <c r="W1257" s="277"/>
      <c r="Y1257" s="107"/>
      <c r="Z1257" s="107"/>
      <c r="AA1257" s="107"/>
      <c r="AB1257" s="107"/>
      <c r="AC1257" s="107"/>
      <c r="AD1257" s="233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7"/>
      <c r="AV1257" s="107"/>
      <c r="AW1257" s="107"/>
      <c r="AX1257" s="107"/>
      <c r="AY1257" s="107"/>
      <c r="AZ1257" s="107"/>
      <c r="BA1257" s="107"/>
      <c r="BB1257" s="107"/>
      <c r="BC1257" s="107"/>
      <c r="BD1257" s="107"/>
      <c r="BE1257" s="107"/>
      <c r="BF1257" s="107"/>
      <c r="BG1257" s="107"/>
      <c r="BH1257" s="107"/>
      <c r="BI1257" s="107"/>
      <c r="BJ1257" s="107"/>
      <c r="BK1257" s="107"/>
      <c r="BL1257" s="107"/>
      <c r="BM1257" s="107"/>
      <c r="BN1257" s="107"/>
      <c r="BO1257" s="107"/>
      <c r="BP1257" s="107"/>
      <c r="BQ1257" s="107"/>
      <c r="BR1257" s="107"/>
    </row>
    <row r="1258" customFormat="false" ht="12.75" hidden="false" customHeight="false" outlineLevel="0" collapsed="false">
      <c r="A1258" s="100"/>
      <c r="B1258" s="100"/>
      <c r="C1258" s="100"/>
      <c r="D1258" s="100"/>
      <c r="E1258" s="100"/>
      <c r="F1258" s="277"/>
      <c r="H1258" s="277"/>
      <c r="I1258" s="277"/>
      <c r="J1258" s="277"/>
      <c r="K1258" s="277"/>
      <c r="L1258" s="277"/>
      <c r="M1258" s="277"/>
      <c r="N1258" s="277"/>
      <c r="O1258" s="277"/>
      <c r="P1258" s="277"/>
      <c r="Q1258" s="277"/>
      <c r="R1258" s="277"/>
      <c r="T1258" s="277"/>
      <c r="U1258" s="277"/>
      <c r="W1258" s="277"/>
      <c r="Y1258" s="107"/>
      <c r="Z1258" s="107"/>
      <c r="AA1258" s="107"/>
      <c r="AB1258" s="107"/>
      <c r="AC1258" s="107"/>
      <c r="AD1258" s="233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7"/>
      <c r="AV1258" s="107"/>
      <c r="AW1258" s="107"/>
      <c r="AX1258" s="107"/>
      <c r="AY1258" s="107"/>
      <c r="AZ1258" s="107"/>
      <c r="BA1258" s="107"/>
      <c r="BB1258" s="107"/>
      <c r="BC1258" s="107"/>
      <c r="BD1258" s="107"/>
      <c r="BE1258" s="107"/>
      <c r="BF1258" s="107"/>
      <c r="BG1258" s="107"/>
      <c r="BH1258" s="107"/>
      <c r="BI1258" s="107"/>
      <c r="BJ1258" s="107"/>
      <c r="BK1258" s="107"/>
      <c r="BL1258" s="107"/>
      <c r="BM1258" s="107"/>
      <c r="BN1258" s="107"/>
      <c r="BO1258" s="107"/>
      <c r="BP1258" s="107"/>
      <c r="BQ1258" s="107"/>
      <c r="BR1258" s="107"/>
    </row>
    <row r="1259" customFormat="false" ht="12.75" hidden="false" customHeight="false" outlineLevel="0" collapsed="false">
      <c r="A1259" s="100"/>
      <c r="B1259" s="100"/>
      <c r="C1259" s="100"/>
      <c r="D1259" s="100"/>
      <c r="E1259" s="100"/>
      <c r="F1259" s="277"/>
      <c r="H1259" s="277"/>
      <c r="I1259" s="277"/>
      <c r="J1259" s="277"/>
      <c r="K1259" s="277"/>
      <c r="L1259" s="277"/>
      <c r="M1259" s="277"/>
      <c r="N1259" s="277"/>
      <c r="O1259" s="277"/>
      <c r="P1259" s="277"/>
      <c r="Q1259" s="277"/>
      <c r="R1259" s="277"/>
      <c r="T1259" s="277"/>
      <c r="U1259" s="277"/>
      <c r="W1259" s="277"/>
      <c r="Y1259" s="107"/>
      <c r="Z1259" s="107"/>
      <c r="AA1259" s="107"/>
      <c r="AB1259" s="107"/>
      <c r="AC1259" s="107"/>
      <c r="AD1259" s="233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7"/>
      <c r="AV1259" s="107"/>
      <c r="AW1259" s="107"/>
      <c r="AX1259" s="107"/>
      <c r="AY1259" s="107"/>
      <c r="AZ1259" s="107"/>
      <c r="BA1259" s="107"/>
      <c r="BB1259" s="107"/>
      <c r="BC1259" s="107"/>
      <c r="BD1259" s="107"/>
      <c r="BE1259" s="107"/>
      <c r="BF1259" s="107"/>
      <c r="BG1259" s="107"/>
      <c r="BH1259" s="107"/>
      <c r="BI1259" s="107"/>
      <c r="BJ1259" s="107"/>
      <c r="BK1259" s="107"/>
      <c r="BL1259" s="107"/>
      <c r="BM1259" s="107"/>
      <c r="BN1259" s="107"/>
      <c r="BO1259" s="107"/>
      <c r="BP1259" s="107"/>
      <c r="BQ1259" s="107"/>
      <c r="BR1259" s="107"/>
    </row>
    <row r="1260" customFormat="false" ht="12.75" hidden="false" customHeight="false" outlineLevel="0" collapsed="false">
      <c r="A1260" s="100"/>
      <c r="B1260" s="100"/>
      <c r="C1260" s="100"/>
      <c r="D1260" s="100"/>
      <c r="E1260" s="100"/>
      <c r="F1260" s="277"/>
      <c r="H1260" s="277"/>
      <c r="I1260" s="277"/>
      <c r="J1260" s="277"/>
      <c r="K1260" s="277"/>
      <c r="L1260" s="277"/>
      <c r="M1260" s="277"/>
      <c r="N1260" s="277"/>
      <c r="O1260" s="277"/>
      <c r="P1260" s="277"/>
      <c r="Q1260" s="277"/>
      <c r="R1260" s="277"/>
      <c r="T1260" s="277"/>
      <c r="U1260" s="277"/>
      <c r="W1260" s="277"/>
      <c r="Y1260" s="107"/>
      <c r="Z1260" s="107"/>
      <c r="AA1260" s="107"/>
      <c r="AB1260" s="107"/>
      <c r="AC1260" s="107"/>
      <c r="AD1260" s="233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7"/>
      <c r="AV1260" s="107"/>
      <c r="AW1260" s="107"/>
      <c r="AX1260" s="107"/>
      <c r="AY1260" s="107"/>
      <c r="AZ1260" s="107"/>
      <c r="BA1260" s="107"/>
      <c r="BB1260" s="107"/>
      <c r="BC1260" s="107"/>
      <c r="BD1260" s="107"/>
      <c r="BE1260" s="107"/>
      <c r="BF1260" s="107"/>
      <c r="BG1260" s="107"/>
      <c r="BH1260" s="107"/>
      <c r="BI1260" s="107"/>
      <c r="BJ1260" s="107"/>
      <c r="BK1260" s="107"/>
      <c r="BL1260" s="107"/>
      <c r="BM1260" s="107"/>
      <c r="BN1260" s="107"/>
      <c r="BO1260" s="107"/>
      <c r="BP1260" s="107"/>
      <c r="BQ1260" s="107"/>
      <c r="BR1260" s="107"/>
    </row>
    <row r="1261" customFormat="false" ht="12.75" hidden="false" customHeight="false" outlineLevel="0" collapsed="false">
      <c r="A1261" s="100"/>
      <c r="B1261" s="100"/>
      <c r="C1261" s="100"/>
      <c r="D1261" s="100"/>
      <c r="E1261" s="100"/>
      <c r="F1261" s="277"/>
      <c r="H1261" s="277"/>
      <c r="I1261" s="277"/>
      <c r="J1261" s="277"/>
      <c r="K1261" s="277"/>
      <c r="L1261" s="277"/>
      <c r="M1261" s="277"/>
      <c r="N1261" s="277"/>
      <c r="O1261" s="277"/>
      <c r="P1261" s="277"/>
      <c r="Q1261" s="277"/>
      <c r="R1261" s="277"/>
      <c r="T1261" s="277"/>
      <c r="U1261" s="277"/>
      <c r="W1261" s="277"/>
      <c r="Y1261" s="107"/>
      <c r="Z1261" s="107"/>
      <c r="AA1261" s="107"/>
      <c r="AB1261" s="107"/>
      <c r="AC1261" s="107"/>
      <c r="AD1261" s="233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7"/>
      <c r="AV1261" s="107"/>
      <c r="AW1261" s="107"/>
      <c r="AX1261" s="107"/>
      <c r="AY1261" s="107"/>
      <c r="AZ1261" s="107"/>
      <c r="BA1261" s="107"/>
      <c r="BB1261" s="107"/>
      <c r="BC1261" s="107"/>
      <c r="BD1261" s="107"/>
      <c r="BE1261" s="107"/>
      <c r="BF1261" s="107"/>
      <c r="BG1261" s="107"/>
      <c r="BH1261" s="107"/>
      <c r="BI1261" s="107"/>
      <c r="BJ1261" s="107"/>
      <c r="BK1261" s="107"/>
      <c r="BL1261" s="107"/>
      <c r="BM1261" s="107"/>
      <c r="BN1261" s="107"/>
      <c r="BO1261" s="107"/>
      <c r="BP1261" s="107"/>
      <c r="BQ1261" s="107"/>
      <c r="BR1261" s="107"/>
    </row>
    <row r="1262" customFormat="false" ht="12.75" hidden="false" customHeight="false" outlineLevel="0" collapsed="false">
      <c r="A1262" s="100"/>
      <c r="B1262" s="100"/>
      <c r="C1262" s="100"/>
      <c r="D1262" s="100"/>
      <c r="E1262" s="100"/>
      <c r="F1262" s="277"/>
      <c r="H1262" s="277"/>
      <c r="I1262" s="277"/>
      <c r="J1262" s="277"/>
      <c r="K1262" s="277"/>
      <c r="L1262" s="277"/>
      <c r="M1262" s="277"/>
      <c r="N1262" s="277"/>
      <c r="O1262" s="277"/>
      <c r="P1262" s="277"/>
      <c r="Q1262" s="277"/>
      <c r="R1262" s="277"/>
      <c r="T1262" s="277"/>
      <c r="U1262" s="277"/>
      <c r="W1262" s="277"/>
      <c r="Y1262" s="107"/>
      <c r="Z1262" s="107"/>
      <c r="AA1262" s="107"/>
      <c r="AB1262" s="107"/>
      <c r="AC1262" s="107"/>
      <c r="AD1262" s="233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7"/>
      <c r="AV1262" s="107"/>
      <c r="AW1262" s="107"/>
      <c r="AX1262" s="107"/>
      <c r="AY1262" s="107"/>
      <c r="AZ1262" s="107"/>
      <c r="BA1262" s="107"/>
      <c r="BB1262" s="107"/>
      <c r="BC1262" s="107"/>
      <c r="BD1262" s="107"/>
      <c r="BE1262" s="107"/>
      <c r="BF1262" s="107"/>
      <c r="BG1262" s="107"/>
      <c r="BH1262" s="107"/>
      <c r="BI1262" s="107"/>
      <c r="BJ1262" s="107"/>
      <c r="BK1262" s="107"/>
      <c r="BL1262" s="107"/>
      <c r="BM1262" s="107"/>
      <c r="BN1262" s="107"/>
      <c r="BO1262" s="107"/>
      <c r="BP1262" s="107"/>
      <c r="BQ1262" s="107"/>
      <c r="BR1262" s="107"/>
    </row>
    <row r="1263" customFormat="false" ht="12.75" hidden="false" customHeight="false" outlineLevel="0" collapsed="false">
      <c r="A1263" s="100"/>
      <c r="B1263" s="100"/>
      <c r="C1263" s="100"/>
      <c r="D1263" s="100"/>
      <c r="E1263" s="100"/>
      <c r="F1263" s="277"/>
      <c r="H1263" s="277"/>
      <c r="I1263" s="277"/>
      <c r="J1263" s="277"/>
      <c r="K1263" s="277"/>
      <c r="L1263" s="277"/>
      <c r="M1263" s="277"/>
      <c r="N1263" s="277"/>
      <c r="O1263" s="277"/>
      <c r="P1263" s="277"/>
      <c r="Q1263" s="277"/>
      <c r="R1263" s="277"/>
      <c r="T1263" s="277"/>
      <c r="U1263" s="277"/>
      <c r="W1263" s="277"/>
      <c r="Y1263" s="107"/>
      <c r="Z1263" s="107"/>
      <c r="AA1263" s="107"/>
      <c r="AB1263" s="107"/>
      <c r="AC1263" s="107"/>
      <c r="AD1263" s="233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7"/>
      <c r="AV1263" s="107"/>
      <c r="AW1263" s="107"/>
      <c r="AX1263" s="107"/>
      <c r="AY1263" s="107"/>
      <c r="AZ1263" s="107"/>
      <c r="BA1263" s="107"/>
      <c r="BB1263" s="107"/>
      <c r="BC1263" s="107"/>
      <c r="BD1263" s="107"/>
      <c r="BE1263" s="107"/>
      <c r="BF1263" s="107"/>
      <c r="BG1263" s="107"/>
      <c r="BH1263" s="107"/>
      <c r="BI1263" s="107"/>
      <c r="BJ1263" s="107"/>
      <c r="BK1263" s="107"/>
      <c r="BL1263" s="107"/>
      <c r="BM1263" s="107"/>
      <c r="BN1263" s="107"/>
      <c r="BO1263" s="107"/>
      <c r="BP1263" s="107"/>
      <c r="BQ1263" s="107"/>
      <c r="BR1263" s="107"/>
    </row>
    <row r="1264" customFormat="false" ht="12.75" hidden="false" customHeight="false" outlineLevel="0" collapsed="false">
      <c r="A1264" s="100"/>
      <c r="B1264" s="100"/>
      <c r="C1264" s="100"/>
      <c r="D1264" s="100"/>
      <c r="E1264" s="100"/>
      <c r="F1264" s="277"/>
      <c r="H1264" s="277"/>
      <c r="I1264" s="277"/>
      <c r="J1264" s="277"/>
      <c r="K1264" s="277"/>
      <c r="L1264" s="277"/>
      <c r="M1264" s="277"/>
      <c r="N1264" s="277"/>
      <c r="O1264" s="277"/>
      <c r="P1264" s="277"/>
      <c r="Q1264" s="277"/>
      <c r="R1264" s="277"/>
      <c r="T1264" s="277"/>
      <c r="U1264" s="277"/>
      <c r="W1264" s="277"/>
      <c r="Y1264" s="107"/>
      <c r="Z1264" s="107"/>
      <c r="AA1264" s="107"/>
      <c r="AB1264" s="107"/>
      <c r="AC1264" s="107"/>
      <c r="AD1264" s="233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7"/>
      <c r="AV1264" s="107"/>
      <c r="AW1264" s="107"/>
      <c r="AX1264" s="107"/>
      <c r="AY1264" s="107"/>
      <c r="AZ1264" s="107"/>
      <c r="BA1264" s="107"/>
      <c r="BB1264" s="107"/>
      <c r="BC1264" s="107"/>
      <c r="BD1264" s="107"/>
      <c r="BE1264" s="107"/>
      <c r="BF1264" s="107"/>
      <c r="BG1264" s="107"/>
      <c r="BH1264" s="107"/>
      <c r="BI1264" s="107"/>
      <c r="BJ1264" s="107"/>
      <c r="BK1264" s="107"/>
      <c r="BL1264" s="107"/>
      <c r="BM1264" s="107"/>
      <c r="BN1264" s="107"/>
      <c r="BO1264" s="107"/>
      <c r="BP1264" s="107"/>
      <c r="BQ1264" s="107"/>
      <c r="BR1264" s="107"/>
    </row>
    <row r="1265" customFormat="false" ht="12.75" hidden="false" customHeight="false" outlineLevel="0" collapsed="false">
      <c r="A1265" s="100"/>
      <c r="B1265" s="100"/>
      <c r="C1265" s="100"/>
      <c r="D1265" s="100"/>
      <c r="E1265" s="100"/>
      <c r="F1265" s="277"/>
      <c r="H1265" s="277"/>
      <c r="I1265" s="277"/>
      <c r="J1265" s="277"/>
      <c r="K1265" s="277"/>
      <c r="L1265" s="277"/>
      <c r="M1265" s="277"/>
      <c r="N1265" s="277"/>
      <c r="O1265" s="277"/>
      <c r="P1265" s="277"/>
      <c r="Q1265" s="277"/>
      <c r="R1265" s="277"/>
      <c r="T1265" s="277"/>
      <c r="U1265" s="277"/>
      <c r="W1265" s="277"/>
      <c r="Y1265" s="107"/>
      <c r="Z1265" s="107"/>
      <c r="AA1265" s="107"/>
      <c r="AB1265" s="107"/>
      <c r="AC1265" s="107"/>
      <c r="AD1265" s="233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7"/>
      <c r="AV1265" s="107"/>
      <c r="AW1265" s="107"/>
      <c r="AX1265" s="107"/>
      <c r="AY1265" s="107"/>
      <c r="AZ1265" s="107"/>
      <c r="BA1265" s="107"/>
      <c r="BB1265" s="107"/>
      <c r="BC1265" s="107"/>
      <c r="BD1265" s="107"/>
      <c r="BE1265" s="107"/>
      <c r="BF1265" s="107"/>
      <c r="BG1265" s="107"/>
      <c r="BH1265" s="107"/>
      <c r="BI1265" s="107"/>
      <c r="BJ1265" s="107"/>
      <c r="BK1265" s="107"/>
      <c r="BL1265" s="107"/>
      <c r="BM1265" s="107"/>
      <c r="BN1265" s="107"/>
      <c r="BO1265" s="107"/>
      <c r="BP1265" s="107"/>
      <c r="BQ1265" s="107"/>
      <c r="BR1265" s="107"/>
    </row>
    <row r="1266" customFormat="false" ht="12.75" hidden="false" customHeight="false" outlineLevel="0" collapsed="false">
      <c r="A1266" s="100"/>
      <c r="B1266" s="100"/>
      <c r="C1266" s="100"/>
      <c r="D1266" s="100"/>
      <c r="E1266" s="100"/>
      <c r="F1266" s="277"/>
      <c r="H1266" s="277"/>
      <c r="I1266" s="277"/>
      <c r="J1266" s="277"/>
      <c r="K1266" s="277"/>
      <c r="L1266" s="277"/>
      <c r="M1266" s="277"/>
      <c r="N1266" s="277"/>
      <c r="O1266" s="277"/>
      <c r="P1266" s="277"/>
      <c r="Q1266" s="277"/>
      <c r="R1266" s="277"/>
      <c r="T1266" s="277"/>
      <c r="U1266" s="277"/>
      <c r="W1266" s="277"/>
      <c r="Y1266" s="107"/>
      <c r="Z1266" s="107"/>
      <c r="AA1266" s="107"/>
      <c r="AB1266" s="107"/>
      <c r="AC1266" s="107"/>
      <c r="AD1266" s="233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7"/>
      <c r="AV1266" s="107"/>
      <c r="AW1266" s="107"/>
      <c r="AX1266" s="107"/>
      <c r="AY1266" s="107"/>
      <c r="AZ1266" s="107"/>
      <c r="BA1266" s="107"/>
      <c r="BB1266" s="107"/>
      <c r="BC1266" s="107"/>
      <c r="BD1266" s="107"/>
      <c r="BE1266" s="107"/>
      <c r="BF1266" s="107"/>
      <c r="BG1266" s="107"/>
      <c r="BH1266" s="107"/>
      <c r="BI1266" s="107"/>
      <c r="BJ1266" s="107"/>
      <c r="BK1266" s="107"/>
      <c r="BL1266" s="107"/>
      <c r="BM1266" s="107"/>
      <c r="BN1266" s="107"/>
      <c r="BO1266" s="107"/>
      <c r="BP1266" s="107"/>
      <c r="BQ1266" s="107"/>
      <c r="BR1266" s="107"/>
    </row>
    <row r="1267" customFormat="false" ht="12.75" hidden="false" customHeight="false" outlineLevel="0" collapsed="false">
      <c r="A1267" s="100"/>
      <c r="B1267" s="100"/>
      <c r="C1267" s="100"/>
      <c r="D1267" s="100"/>
      <c r="E1267" s="100"/>
      <c r="F1267" s="277"/>
      <c r="H1267" s="277"/>
      <c r="I1267" s="277"/>
      <c r="J1267" s="277"/>
      <c r="K1267" s="277"/>
      <c r="L1267" s="277"/>
      <c r="M1267" s="277"/>
      <c r="N1267" s="277"/>
      <c r="O1267" s="277"/>
      <c r="P1267" s="277"/>
      <c r="Q1267" s="277"/>
      <c r="R1267" s="277"/>
      <c r="T1267" s="277"/>
      <c r="U1267" s="277"/>
      <c r="W1267" s="277"/>
      <c r="Y1267" s="107"/>
      <c r="Z1267" s="107"/>
      <c r="AA1267" s="107"/>
      <c r="AB1267" s="107"/>
      <c r="AC1267" s="107"/>
      <c r="AD1267" s="233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7"/>
      <c r="AV1267" s="107"/>
      <c r="AW1267" s="107"/>
      <c r="AX1267" s="107"/>
      <c r="AY1267" s="107"/>
      <c r="AZ1267" s="107"/>
      <c r="BA1267" s="107"/>
      <c r="BB1267" s="107"/>
      <c r="BC1267" s="107"/>
      <c r="BD1267" s="107"/>
      <c r="BE1267" s="107"/>
      <c r="BF1267" s="107"/>
      <c r="BG1267" s="107"/>
      <c r="BH1267" s="107"/>
      <c r="BI1267" s="107"/>
      <c r="BJ1267" s="107"/>
      <c r="BK1267" s="107"/>
      <c r="BL1267" s="107"/>
      <c r="BM1267" s="107"/>
      <c r="BN1267" s="107"/>
      <c r="BO1267" s="107"/>
      <c r="BP1267" s="107"/>
      <c r="BQ1267" s="107"/>
      <c r="BR1267" s="107"/>
    </row>
    <row r="1268" customFormat="false" ht="12.75" hidden="false" customHeight="false" outlineLevel="0" collapsed="false">
      <c r="A1268" s="100"/>
      <c r="B1268" s="100"/>
      <c r="C1268" s="100"/>
      <c r="D1268" s="100"/>
      <c r="E1268" s="100"/>
      <c r="F1268" s="277"/>
      <c r="H1268" s="277"/>
      <c r="I1268" s="277"/>
      <c r="J1268" s="277"/>
      <c r="K1268" s="277"/>
      <c r="L1268" s="277"/>
      <c r="M1268" s="277"/>
      <c r="N1268" s="277"/>
      <c r="O1268" s="277"/>
      <c r="P1268" s="277"/>
      <c r="Q1268" s="277"/>
      <c r="R1268" s="277"/>
      <c r="T1268" s="277"/>
      <c r="U1268" s="277"/>
      <c r="W1268" s="277"/>
      <c r="Y1268" s="107"/>
      <c r="Z1268" s="107"/>
      <c r="AA1268" s="107"/>
      <c r="AB1268" s="107"/>
      <c r="AC1268" s="107"/>
      <c r="AD1268" s="233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7"/>
      <c r="AV1268" s="107"/>
      <c r="AW1268" s="107"/>
      <c r="AX1268" s="107"/>
      <c r="AY1268" s="107"/>
      <c r="AZ1268" s="107"/>
      <c r="BA1268" s="107"/>
      <c r="BB1268" s="107"/>
      <c r="BC1268" s="107"/>
      <c r="BD1268" s="107"/>
      <c r="BE1268" s="107"/>
      <c r="BF1268" s="107"/>
      <c r="BG1268" s="107"/>
      <c r="BH1268" s="107"/>
      <c r="BI1268" s="107"/>
      <c r="BJ1268" s="107"/>
      <c r="BK1268" s="107"/>
      <c r="BL1268" s="107"/>
      <c r="BM1268" s="107"/>
      <c r="BN1268" s="107"/>
      <c r="BO1268" s="107"/>
      <c r="BP1268" s="107"/>
      <c r="BQ1268" s="107"/>
      <c r="BR1268" s="107"/>
    </row>
    <row r="1269" customFormat="false" ht="12.75" hidden="false" customHeight="false" outlineLevel="0" collapsed="false">
      <c r="A1269" s="100"/>
      <c r="B1269" s="100"/>
      <c r="C1269" s="100"/>
      <c r="D1269" s="100"/>
      <c r="E1269" s="100"/>
      <c r="F1269" s="277"/>
      <c r="H1269" s="277"/>
      <c r="I1269" s="277"/>
      <c r="J1269" s="277"/>
      <c r="K1269" s="277"/>
      <c r="L1269" s="277"/>
      <c r="M1269" s="277"/>
      <c r="N1269" s="277"/>
      <c r="O1269" s="277"/>
      <c r="P1269" s="277"/>
      <c r="Q1269" s="277"/>
      <c r="R1269" s="277"/>
      <c r="T1269" s="277"/>
      <c r="U1269" s="277"/>
      <c r="W1269" s="277"/>
      <c r="Y1269" s="107"/>
      <c r="Z1269" s="107"/>
      <c r="AA1269" s="107"/>
      <c r="AB1269" s="107"/>
      <c r="AC1269" s="107"/>
      <c r="AD1269" s="233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7"/>
      <c r="AV1269" s="107"/>
      <c r="AW1269" s="107"/>
      <c r="AX1269" s="107"/>
      <c r="AY1269" s="107"/>
      <c r="AZ1269" s="107"/>
      <c r="BA1269" s="107"/>
      <c r="BB1269" s="107"/>
      <c r="BC1269" s="107"/>
      <c r="BD1269" s="107"/>
      <c r="BE1269" s="107"/>
      <c r="BF1269" s="107"/>
      <c r="BG1269" s="107"/>
      <c r="BH1269" s="107"/>
      <c r="BI1269" s="107"/>
      <c r="BJ1269" s="107"/>
      <c r="BK1269" s="107"/>
      <c r="BL1269" s="107"/>
      <c r="BM1269" s="107"/>
      <c r="BN1269" s="107"/>
      <c r="BO1269" s="107"/>
      <c r="BP1269" s="107"/>
      <c r="BQ1269" s="107"/>
      <c r="BR1269" s="107"/>
    </row>
    <row r="1270" customFormat="false" ht="12.75" hidden="false" customHeight="false" outlineLevel="0" collapsed="false">
      <c r="A1270" s="100"/>
      <c r="B1270" s="100"/>
      <c r="C1270" s="100"/>
      <c r="D1270" s="100"/>
      <c r="E1270" s="100"/>
      <c r="F1270" s="277"/>
      <c r="H1270" s="277"/>
      <c r="I1270" s="277"/>
      <c r="J1270" s="277"/>
      <c r="K1270" s="277"/>
      <c r="L1270" s="277"/>
      <c r="M1270" s="277"/>
      <c r="N1270" s="277"/>
      <c r="O1270" s="277"/>
      <c r="P1270" s="277"/>
      <c r="Q1270" s="277"/>
      <c r="R1270" s="277"/>
      <c r="T1270" s="277"/>
      <c r="U1270" s="277"/>
      <c r="W1270" s="277"/>
      <c r="Y1270" s="107"/>
      <c r="Z1270" s="107"/>
      <c r="AA1270" s="107"/>
      <c r="AB1270" s="107"/>
      <c r="AC1270" s="107"/>
      <c r="AD1270" s="233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7"/>
      <c r="AV1270" s="107"/>
      <c r="AW1270" s="107"/>
      <c r="AX1270" s="107"/>
      <c r="AY1270" s="107"/>
      <c r="AZ1270" s="107"/>
      <c r="BA1270" s="107"/>
      <c r="BB1270" s="107"/>
      <c r="BC1270" s="107"/>
      <c r="BD1270" s="107"/>
      <c r="BE1270" s="107"/>
      <c r="BF1270" s="107"/>
      <c r="BG1270" s="107"/>
      <c r="BH1270" s="107"/>
      <c r="BI1270" s="107"/>
      <c r="BJ1270" s="107"/>
      <c r="BK1270" s="107"/>
      <c r="BL1270" s="107"/>
      <c r="BM1270" s="107"/>
      <c r="BN1270" s="107"/>
      <c r="BO1270" s="107"/>
      <c r="BP1270" s="107"/>
      <c r="BQ1270" s="107"/>
      <c r="BR1270" s="107"/>
    </row>
    <row r="1271" customFormat="false" ht="12.75" hidden="false" customHeight="false" outlineLevel="0" collapsed="false">
      <c r="A1271" s="100"/>
      <c r="B1271" s="100"/>
      <c r="C1271" s="100"/>
      <c r="D1271" s="100"/>
      <c r="E1271" s="100"/>
      <c r="F1271" s="277"/>
      <c r="H1271" s="277"/>
      <c r="I1271" s="277"/>
      <c r="J1271" s="277"/>
      <c r="K1271" s="277"/>
      <c r="L1271" s="277"/>
      <c r="M1271" s="277"/>
      <c r="N1271" s="277"/>
      <c r="O1271" s="277"/>
      <c r="P1271" s="277"/>
      <c r="Q1271" s="277"/>
      <c r="R1271" s="277"/>
      <c r="T1271" s="277"/>
      <c r="U1271" s="277"/>
      <c r="W1271" s="277"/>
      <c r="Y1271" s="107"/>
      <c r="Z1271" s="107"/>
      <c r="AA1271" s="107"/>
      <c r="AB1271" s="107"/>
      <c r="AC1271" s="107"/>
      <c r="AD1271" s="233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7"/>
      <c r="AV1271" s="107"/>
      <c r="AW1271" s="107"/>
      <c r="AX1271" s="107"/>
      <c r="AY1271" s="107"/>
      <c r="AZ1271" s="107"/>
      <c r="BA1271" s="107"/>
      <c r="BB1271" s="107"/>
      <c r="BC1271" s="107"/>
      <c r="BD1271" s="107"/>
      <c r="BE1271" s="107"/>
      <c r="BF1271" s="107"/>
      <c r="BG1271" s="107"/>
      <c r="BH1271" s="107"/>
      <c r="BI1271" s="107"/>
      <c r="BJ1271" s="107"/>
      <c r="BK1271" s="107"/>
      <c r="BL1271" s="107"/>
      <c r="BM1271" s="107"/>
      <c r="BN1271" s="107"/>
      <c r="BO1271" s="107"/>
      <c r="BP1271" s="107"/>
      <c r="BQ1271" s="107"/>
      <c r="BR1271" s="107"/>
    </row>
    <row r="1272" customFormat="false" ht="12.75" hidden="false" customHeight="false" outlineLevel="0" collapsed="false">
      <c r="A1272" s="100"/>
      <c r="B1272" s="100"/>
      <c r="C1272" s="100"/>
      <c r="D1272" s="100"/>
      <c r="E1272" s="100"/>
      <c r="F1272" s="277"/>
      <c r="H1272" s="277"/>
      <c r="I1272" s="277"/>
      <c r="J1272" s="277"/>
      <c r="K1272" s="277"/>
      <c r="L1272" s="277"/>
      <c r="M1272" s="277"/>
      <c r="N1272" s="277"/>
      <c r="O1272" s="277"/>
      <c r="P1272" s="277"/>
      <c r="Q1272" s="277"/>
      <c r="R1272" s="277"/>
      <c r="T1272" s="277"/>
      <c r="U1272" s="277"/>
      <c r="W1272" s="277"/>
      <c r="Y1272" s="107"/>
      <c r="Z1272" s="107"/>
      <c r="AA1272" s="107"/>
      <c r="AB1272" s="107"/>
      <c r="AC1272" s="107"/>
      <c r="AD1272" s="233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7"/>
      <c r="AV1272" s="107"/>
      <c r="AW1272" s="107"/>
      <c r="AX1272" s="107"/>
      <c r="AY1272" s="107"/>
      <c r="AZ1272" s="107"/>
      <c r="BA1272" s="107"/>
      <c r="BB1272" s="107"/>
      <c r="BC1272" s="107"/>
      <c r="BD1272" s="107"/>
      <c r="BE1272" s="107"/>
      <c r="BF1272" s="107"/>
      <c r="BG1272" s="107"/>
      <c r="BH1272" s="107"/>
      <c r="BI1272" s="107"/>
      <c r="BJ1272" s="107"/>
      <c r="BK1272" s="107"/>
      <c r="BL1272" s="107"/>
      <c r="BM1272" s="107"/>
      <c r="BN1272" s="107"/>
      <c r="BO1272" s="107"/>
      <c r="BP1272" s="107"/>
      <c r="BQ1272" s="107"/>
      <c r="BR1272" s="107"/>
    </row>
    <row r="1273" customFormat="false" ht="12.75" hidden="false" customHeight="false" outlineLevel="0" collapsed="false">
      <c r="A1273" s="100"/>
      <c r="B1273" s="100"/>
      <c r="C1273" s="100"/>
      <c r="D1273" s="100"/>
      <c r="E1273" s="100"/>
      <c r="F1273" s="277"/>
      <c r="H1273" s="277"/>
      <c r="I1273" s="277"/>
      <c r="J1273" s="277"/>
      <c r="K1273" s="277"/>
      <c r="L1273" s="277"/>
      <c r="M1273" s="277"/>
      <c r="N1273" s="277"/>
      <c r="O1273" s="277"/>
      <c r="P1273" s="277"/>
      <c r="Q1273" s="277"/>
      <c r="R1273" s="277"/>
      <c r="T1273" s="277"/>
      <c r="U1273" s="277"/>
      <c r="W1273" s="277"/>
      <c r="Y1273" s="107"/>
      <c r="Z1273" s="107"/>
      <c r="AA1273" s="107"/>
      <c r="AB1273" s="107"/>
      <c r="AC1273" s="107"/>
      <c r="AD1273" s="233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7"/>
      <c r="AV1273" s="107"/>
      <c r="AW1273" s="107"/>
      <c r="AX1273" s="107"/>
      <c r="AY1273" s="107"/>
      <c r="AZ1273" s="107"/>
      <c r="BA1273" s="107"/>
      <c r="BB1273" s="107"/>
      <c r="BC1273" s="107"/>
      <c r="BD1273" s="107"/>
      <c r="BE1273" s="107"/>
      <c r="BF1273" s="107"/>
      <c r="BG1273" s="107"/>
      <c r="BH1273" s="107"/>
      <c r="BI1273" s="107"/>
      <c r="BJ1273" s="107"/>
      <c r="BK1273" s="107"/>
      <c r="BL1273" s="107"/>
      <c r="BM1273" s="107"/>
      <c r="BN1273" s="107"/>
      <c r="BO1273" s="107"/>
      <c r="BP1273" s="107"/>
      <c r="BQ1273" s="107"/>
      <c r="BR1273" s="107"/>
    </row>
    <row r="1274" customFormat="false" ht="12.75" hidden="false" customHeight="false" outlineLevel="0" collapsed="false">
      <c r="A1274" s="100"/>
      <c r="B1274" s="100"/>
      <c r="C1274" s="100"/>
      <c r="D1274" s="100"/>
      <c r="E1274" s="100"/>
      <c r="F1274" s="277"/>
      <c r="H1274" s="277"/>
      <c r="I1274" s="277"/>
      <c r="J1274" s="277"/>
      <c r="K1274" s="277"/>
      <c r="L1274" s="277"/>
      <c r="M1274" s="277"/>
      <c r="N1274" s="277"/>
      <c r="O1274" s="277"/>
      <c r="P1274" s="277"/>
      <c r="Q1274" s="277"/>
      <c r="R1274" s="277"/>
      <c r="T1274" s="277"/>
      <c r="U1274" s="277"/>
      <c r="W1274" s="277"/>
      <c r="Y1274" s="107"/>
      <c r="Z1274" s="107"/>
      <c r="AA1274" s="107"/>
      <c r="AB1274" s="107"/>
      <c r="AC1274" s="107"/>
      <c r="AD1274" s="233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7"/>
      <c r="AV1274" s="107"/>
      <c r="AW1274" s="107"/>
      <c r="AX1274" s="107"/>
      <c r="AY1274" s="107"/>
      <c r="AZ1274" s="107"/>
      <c r="BA1274" s="107"/>
      <c r="BB1274" s="107"/>
      <c r="BC1274" s="107"/>
      <c r="BD1274" s="107"/>
      <c r="BE1274" s="107"/>
      <c r="BF1274" s="107"/>
      <c r="BG1274" s="107"/>
      <c r="BH1274" s="107"/>
      <c r="BI1274" s="107"/>
      <c r="BJ1274" s="107"/>
      <c r="BK1274" s="107"/>
      <c r="BL1274" s="107"/>
      <c r="BM1274" s="107"/>
      <c r="BN1274" s="107"/>
      <c r="BO1274" s="107"/>
      <c r="BP1274" s="107"/>
      <c r="BQ1274" s="107"/>
      <c r="BR1274" s="107"/>
    </row>
    <row r="1275" customFormat="false" ht="12.75" hidden="false" customHeight="false" outlineLevel="0" collapsed="false">
      <c r="A1275" s="100"/>
      <c r="B1275" s="100"/>
      <c r="C1275" s="100"/>
      <c r="D1275" s="100"/>
      <c r="E1275" s="100"/>
      <c r="F1275" s="277"/>
      <c r="H1275" s="277"/>
      <c r="I1275" s="277"/>
      <c r="J1275" s="277"/>
      <c r="K1275" s="277"/>
      <c r="L1275" s="277"/>
      <c r="M1275" s="277"/>
      <c r="N1275" s="277"/>
      <c r="O1275" s="277"/>
      <c r="P1275" s="277"/>
      <c r="Q1275" s="277"/>
      <c r="R1275" s="277"/>
      <c r="T1275" s="277"/>
      <c r="U1275" s="277"/>
      <c r="W1275" s="277"/>
      <c r="Y1275" s="107"/>
      <c r="Z1275" s="107"/>
      <c r="AA1275" s="107"/>
      <c r="AB1275" s="107"/>
      <c r="AC1275" s="107"/>
      <c r="AD1275" s="233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7"/>
      <c r="AV1275" s="107"/>
      <c r="AW1275" s="107"/>
      <c r="AX1275" s="107"/>
      <c r="AY1275" s="107"/>
      <c r="AZ1275" s="107"/>
      <c r="BA1275" s="107"/>
      <c r="BB1275" s="107"/>
      <c r="BC1275" s="107"/>
      <c r="BD1275" s="107"/>
      <c r="BE1275" s="107"/>
      <c r="BF1275" s="107"/>
      <c r="BG1275" s="107"/>
      <c r="BH1275" s="107"/>
      <c r="BI1275" s="107"/>
      <c r="BJ1275" s="107"/>
      <c r="BK1275" s="107"/>
      <c r="BL1275" s="107"/>
      <c r="BM1275" s="107"/>
      <c r="BN1275" s="107"/>
      <c r="BO1275" s="107"/>
      <c r="BP1275" s="107"/>
      <c r="BQ1275" s="107"/>
      <c r="BR1275" s="107"/>
    </row>
    <row r="1276" customFormat="false" ht="12.75" hidden="false" customHeight="false" outlineLevel="0" collapsed="false">
      <c r="A1276" s="100"/>
      <c r="B1276" s="100"/>
      <c r="C1276" s="100"/>
      <c r="D1276" s="100"/>
      <c r="E1276" s="100"/>
      <c r="F1276" s="277"/>
      <c r="H1276" s="277"/>
      <c r="I1276" s="277"/>
      <c r="J1276" s="277"/>
      <c r="K1276" s="277"/>
      <c r="L1276" s="277"/>
      <c r="M1276" s="277"/>
      <c r="N1276" s="277"/>
      <c r="O1276" s="277"/>
      <c r="P1276" s="277"/>
      <c r="Q1276" s="277"/>
      <c r="R1276" s="277"/>
      <c r="T1276" s="277"/>
      <c r="U1276" s="277"/>
      <c r="W1276" s="277"/>
      <c r="Y1276" s="107"/>
      <c r="Z1276" s="107"/>
      <c r="AA1276" s="107"/>
      <c r="AB1276" s="107"/>
      <c r="AC1276" s="107"/>
      <c r="AD1276" s="233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7"/>
      <c r="AV1276" s="107"/>
      <c r="AW1276" s="107"/>
      <c r="AX1276" s="107"/>
      <c r="AY1276" s="107"/>
      <c r="AZ1276" s="107"/>
      <c r="BA1276" s="107"/>
      <c r="BB1276" s="107"/>
      <c r="BC1276" s="107"/>
      <c r="BD1276" s="107"/>
      <c r="BE1276" s="107"/>
      <c r="BF1276" s="107"/>
      <c r="BG1276" s="107"/>
      <c r="BH1276" s="107"/>
      <c r="BI1276" s="107"/>
      <c r="BJ1276" s="107"/>
      <c r="BK1276" s="107"/>
      <c r="BL1276" s="107"/>
      <c r="BM1276" s="107"/>
      <c r="BN1276" s="107"/>
      <c r="BO1276" s="107"/>
      <c r="BP1276" s="107"/>
      <c r="BQ1276" s="107"/>
      <c r="BR1276" s="107"/>
    </row>
    <row r="1277" customFormat="false" ht="12.75" hidden="false" customHeight="false" outlineLevel="0" collapsed="false">
      <c r="A1277" s="100"/>
      <c r="B1277" s="100"/>
      <c r="C1277" s="100"/>
      <c r="D1277" s="100"/>
      <c r="E1277" s="100"/>
      <c r="F1277" s="277"/>
      <c r="H1277" s="277"/>
      <c r="I1277" s="277"/>
      <c r="J1277" s="277"/>
      <c r="K1277" s="277"/>
      <c r="L1277" s="277"/>
      <c r="M1277" s="277"/>
      <c r="N1277" s="277"/>
      <c r="O1277" s="277"/>
      <c r="P1277" s="277"/>
      <c r="Q1277" s="277"/>
      <c r="R1277" s="277"/>
      <c r="T1277" s="277"/>
      <c r="U1277" s="277"/>
      <c r="W1277" s="277"/>
      <c r="Y1277" s="107"/>
      <c r="Z1277" s="107"/>
      <c r="AA1277" s="107"/>
      <c r="AB1277" s="107"/>
      <c r="AC1277" s="107"/>
      <c r="AD1277" s="233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7"/>
      <c r="AV1277" s="107"/>
      <c r="AW1277" s="107"/>
      <c r="AX1277" s="107"/>
      <c r="AY1277" s="107"/>
      <c r="AZ1277" s="107"/>
      <c r="BA1277" s="107"/>
      <c r="BB1277" s="107"/>
      <c r="BC1277" s="107"/>
      <c r="BD1277" s="107"/>
      <c r="BE1277" s="107"/>
      <c r="BF1277" s="107"/>
      <c r="BG1277" s="107"/>
      <c r="BH1277" s="107"/>
      <c r="BI1277" s="107"/>
      <c r="BJ1277" s="107"/>
      <c r="BK1277" s="107"/>
      <c r="BL1277" s="107"/>
      <c r="BM1277" s="107"/>
      <c r="BN1277" s="107"/>
      <c r="BO1277" s="107"/>
      <c r="BP1277" s="107"/>
      <c r="BQ1277" s="107"/>
      <c r="BR1277" s="107"/>
    </row>
    <row r="1278" customFormat="false" ht="12.75" hidden="false" customHeight="false" outlineLevel="0" collapsed="false">
      <c r="A1278" s="100"/>
      <c r="B1278" s="100"/>
      <c r="C1278" s="100"/>
      <c r="D1278" s="100"/>
      <c r="E1278" s="100"/>
      <c r="F1278" s="277"/>
      <c r="H1278" s="277"/>
      <c r="I1278" s="277"/>
      <c r="J1278" s="277"/>
      <c r="K1278" s="277"/>
      <c r="L1278" s="277"/>
      <c r="M1278" s="277"/>
      <c r="N1278" s="277"/>
      <c r="O1278" s="277"/>
      <c r="P1278" s="277"/>
      <c r="Q1278" s="277"/>
      <c r="R1278" s="277"/>
      <c r="T1278" s="277"/>
      <c r="U1278" s="277"/>
      <c r="W1278" s="277"/>
      <c r="Y1278" s="107"/>
      <c r="Z1278" s="107"/>
      <c r="AA1278" s="107"/>
      <c r="AB1278" s="107"/>
      <c r="AC1278" s="107"/>
      <c r="AD1278" s="233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7"/>
      <c r="AV1278" s="107"/>
      <c r="AW1278" s="107"/>
      <c r="AX1278" s="107"/>
      <c r="AY1278" s="107"/>
      <c r="AZ1278" s="107"/>
      <c r="BA1278" s="107"/>
      <c r="BB1278" s="107"/>
      <c r="BC1278" s="107"/>
      <c r="BD1278" s="107"/>
      <c r="BE1278" s="107"/>
      <c r="BF1278" s="107"/>
      <c r="BG1278" s="107"/>
      <c r="BH1278" s="107"/>
      <c r="BI1278" s="107"/>
      <c r="BJ1278" s="107"/>
      <c r="BK1278" s="107"/>
      <c r="BL1278" s="107"/>
      <c r="BM1278" s="107"/>
      <c r="BN1278" s="107"/>
      <c r="BO1278" s="107"/>
      <c r="BP1278" s="107"/>
      <c r="BQ1278" s="107"/>
      <c r="BR1278" s="107"/>
    </row>
    <row r="1279" customFormat="false" ht="12.75" hidden="false" customHeight="false" outlineLevel="0" collapsed="false">
      <c r="A1279" s="100"/>
      <c r="B1279" s="100"/>
      <c r="C1279" s="100"/>
      <c r="D1279" s="100"/>
      <c r="E1279" s="100"/>
      <c r="F1279" s="277"/>
      <c r="H1279" s="277"/>
      <c r="I1279" s="277"/>
      <c r="J1279" s="277"/>
      <c r="K1279" s="277"/>
      <c r="L1279" s="277"/>
      <c r="M1279" s="277"/>
      <c r="N1279" s="277"/>
      <c r="O1279" s="277"/>
      <c r="P1279" s="277"/>
      <c r="Q1279" s="277"/>
      <c r="R1279" s="277"/>
      <c r="T1279" s="277"/>
      <c r="U1279" s="277"/>
      <c r="W1279" s="277"/>
      <c r="Y1279" s="107"/>
      <c r="Z1279" s="107"/>
      <c r="AA1279" s="107"/>
      <c r="AB1279" s="107"/>
      <c r="AC1279" s="107"/>
      <c r="AD1279" s="233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7"/>
      <c r="AV1279" s="107"/>
      <c r="AW1279" s="107"/>
      <c r="AX1279" s="107"/>
      <c r="AY1279" s="107"/>
      <c r="AZ1279" s="107"/>
      <c r="BA1279" s="107"/>
      <c r="BB1279" s="107"/>
      <c r="BC1279" s="107"/>
      <c r="BD1279" s="107"/>
      <c r="BE1279" s="107"/>
      <c r="BF1279" s="107"/>
      <c r="BG1279" s="107"/>
      <c r="BH1279" s="107"/>
      <c r="BI1279" s="107"/>
      <c r="BJ1279" s="107"/>
      <c r="BK1279" s="107"/>
      <c r="BL1279" s="107"/>
      <c r="BM1279" s="107"/>
      <c r="BN1279" s="107"/>
      <c r="BO1279" s="107"/>
      <c r="BP1279" s="107"/>
      <c r="BQ1279" s="107"/>
      <c r="BR1279" s="107"/>
    </row>
    <row r="1280" customFormat="false" ht="12.75" hidden="false" customHeight="false" outlineLevel="0" collapsed="false">
      <c r="A1280" s="100"/>
      <c r="B1280" s="100"/>
      <c r="C1280" s="100"/>
      <c r="D1280" s="100"/>
      <c r="E1280" s="100"/>
      <c r="F1280" s="277"/>
      <c r="H1280" s="277"/>
      <c r="I1280" s="277"/>
      <c r="J1280" s="277"/>
      <c r="K1280" s="277"/>
      <c r="L1280" s="277"/>
      <c r="M1280" s="277"/>
      <c r="N1280" s="277"/>
      <c r="O1280" s="277"/>
      <c r="P1280" s="277"/>
      <c r="Q1280" s="277"/>
      <c r="R1280" s="277"/>
      <c r="T1280" s="277"/>
      <c r="U1280" s="277"/>
      <c r="W1280" s="277"/>
      <c r="Y1280" s="107"/>
      <c r="Z1280" s="107"/>
      <c r="AA1280" s="107"/>
      <c r="AB1280" s="107"/>
      <c r="AC1280" s="107"/>
      <c r="AD1280" s="233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7"/>
      <c r="AV1280" s="107"/>
      <c r="AW1280" s="107"/>
      <c r="AX1280" s="107"/>
      <c r="AY1280" s="107"/>
      <c r="AZ1280" s="107"/>
      <c r="BA1280" s="107"/>
      <c r="BB1280" s="107"/>
      <c r="BC1280" s="107"/>
      <c r="BD1280" s="107"/>
      <c r="BE1280" s="107"/>
      <c r="BF1280" s="107"/>
      <c r="BG1280" s="107"/>
      <c r="BH1280" s="107"/>
      <c r="BI1280" s="107"/>
      <c r="BJ1280" s="107"/>
      <c r="BK1280" s="107"/>
      <c r="BL1280" s="107"/>
      <c r="BM1280" s="107"/>
      <c r="BN1280" s="107"/>
      <c r="BO1280" s="107"/>
      <c r="BP1280" s="107"/>
      <c r="BQ1280" s="107"/>
      <c r="BR1280" s="107"/>
    </row>
    <row r="1281" customFormat="false" ht="12.75" hidden="false" customHeight="false" outlineLevel="0" collapsed="false">
      <c r="A1281" s="100"/>
      <c r="B1281" s="100"/>
      <c r="C1281" s="100"/>
      <c r="D1281" s="100"/>
      <c r="E1281" s="100"/>
      <c r="F1281" s="277"/>
      <c r="H1281" s="277"/>
      <c r="I1281" s="277"/>
      <c r="J1281" s="277"/>
      <c r="K1281" s="277"/>
      <c r="L1281" s="277"/>
      <c r="M1281" s="277"/>
      <c r="N1281" s="277"/>
      <c r="O1281" s="277"/>
      <c r="P1281" s="277"/>
      <c r="Q1281" s="277"/>
      <c r="R1281" s="277"/>
      <c r="T1281" s="277"/>
      <c r="U1281" s="277"/>
      <c r="W1281" s="277"/>
      <c r="Y1281" s="107"/>
      <c r="Z1281" s="107"/>
      <c r="AA1281" s="107"/>
      <c r="AB1281" s="107"/>
      <c r="AC1281" s="107"/>
      <c r="AD1281" s="233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7"/>
      <c r="AV1281" s="107"/>
      <c r="AW1281" s="107"/>
      <c r="AX1281" s="107"/>
      <c r="AY1281" s="107"/>
      <c r="AZ1281" s="107"/>
      <c r="BA1281" s="107"/>
      <c r="BB1281" s="107"/>
      <c r="BC1281" s="107"/>
      <c r="BD1281" s="107"/>
      <c r="BE1281" s="107"/>
      <c r="BF1281" s="107"/>
      <c r="BG1281" s="107"/>
      <c r="BH1281" s="107"/>
      <c r="BI1281" s="107"/>
      <c r="BJ1281" s="107"/>
      <c r="BK1281" s="107"/>
      <c r="BL1281" s="107"/>
      <c r="BM1281" s="107"/>
      <c r="BN1281" s="107"/>
      <c r="BO1281" s="107"/>
      <c r="BP1281" s="107"/>
      <c r="BQ1281" s="107"/>
      <c r="BR1281" s="107"/>
    </row>
    <row r="1282" customFormat="false" ht="12.75" hidden="false" customHeight="false" outlineLevel="0" collapsed="false">
      <c r="A1282" s="100"/>
      <c r="B1282" s="100"/>
      <c r="C1282" s="100"/>
      <c r="D1282" s="100"/>
      <c r="E1282" s="100"/>
      <c r="F1282" s="277"/>
      <c r="H1282" s="277"/>
      <c r="I1282" s="277"/>
      <c r="J1282" s="277"/>
      <c r="K1282" s="277"/>
      <c r="L1282" s="277"/>
      <c r="M1282" s="277"/>
      <c r="N1282" s="277"/>
      <c r="O1282" s="277"/>
      <c r="P1282" s="277"/>
      <c r="Q1282" s="277"/>
      <c r="R1282" s="277"/>
      <c r="T1282" s="277"/>
      <c r="U1282" s="277"/>
      <c r="W1282" s="277"/>
      <c r="Y1282" s="107"/>
      <c r="Z1282" s="107"/>
      <c r="AA1282" s="107"/>
      <c r="AB1282" s="107"/>
      <c r="AC1282" s="107"/>
      <c r="AD1282" s="233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7"/>
      <c r="AV1282" s="107"/>
      <c r="AW1282" s="107"/>
      <c r="AX1282" s="107"/>
      <c r="AY1282" s="107"/>
      <c r="AZ1282" s="107"/>
      <c r="BA1282" s="107"/>
      <c r="BB1282" s="107"/>
      <c r="BC1282" s="107"/>
      <c r="BD1282" s="107"/>
      <c r="BE1282" s="107"/>
      <c r="BF1282" s="107"/>
      <c r="BG1282" s="107"/>
      <c r="BH1282" s="107"/>
      <c r="BI1282" s="107"/>
      <c r="BJ1282" s="107"/>
      <c r="BK1282" s="107"/>
      <c r="BL1282" s="107"/>
      <c r="BM1282" s="107"/>
      <c r="BN1282" s="107"/>
      <c r="BO1282" s="107"/>
      <c r="BP1282" s="107"/>
      <c r="BQ1282" s="107"/>
      <c r="BR1282" s="107"/>
    </row>
    <row r="1283" customFormat="false" ht="12.75" hidden="false" customHeight="false" outlineLevel="0" collapsed="false">
      <c r="A1283" s="100"/>
      <c r="B1283" s="100"/>
      <c r="C1283" s="100"/>
      <c r="D1283" s="100"/>
      <c r="E1283" s="100"/>
      <c r="F1283" s="277"/>
      <c r="H1283" s="277"/>
      <c r="I1283" s="277"/>
      <c r="J1283" s="277"/>
      <c r="K1283" s="277"/>
      <c r="L1283" s="277"/>
      <c r="M1283" s="277"/>
      <c r="N1283" s="277"/>
      <c r="O1283" s="277"/>
      <c r="P1283" s="277"/>
      <c r="Q1283" s="277"/>
      <c r="R1283" s="277"/>
      <c r="T1283" s="277"/>
      <c r="U1283" s="277"/>
      <c r="W1283" s="277"/>
      <c r="Y1283" s="107"/>
      <c r="Z1283" s="107"/>
      <c r="AA1283" s="107"/>
      <c r="AB1283" s="107"/>
      <c r="AC1283" s="107"/>
      <c r="AD1283" s="233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7"/>
      <c r="AV1283" s="107"/>
      <c r="AW1283" s="107"/>
      <c r="AX1283" s="107"/>
      <c r="AY1283" s="107"/>
      <c r="AZ1283" s="107"/>
      <c r="BA1283" s="107"/>
      <c r="BB1283" s="107"/>
      <c r="BC1283" s="107"/>
      <c r="BD1283" s="107"/>
      <c r="BE1283" s="107"/>
      <c r="BF1283" s="107"/>
      <c r="BG1283" s="107"/>
      <c r="BH1283" s="107"/>
      <c r="BI1283" s="107"/>
      <c r="BJ1283" s="107"/>
      <c r="BK1283" s="107"/>
      <c r="BL1283" s="107"/>
      <c r="BM1283" s="107"/>
      <c r="BN1283" s="107"/>
      <c r="BO1283" s="107"/>
      <c r="BP1283" s="107"/>
      <c r="BQ1283" s="107"/>
      <c r="BR1283" s="107"/>
    </row>
    <row r="1284" customFormat="false" ht="12.75" hidden="false" customHeight="false" outlineLevel="0" collapsed="false">
      <c r="A1284" s="100"/>
      <c r="B1284" s="100"/>
      <c r="C1284" s="100"/>
      <c r="D1284" s="100"/>
      <c r="E1284" s="100"/>
      <c r="F1284" s="277"/>
      <c r="H1284" s="277"/>
      <c r="I1284" s="277"/>
      <c r="J1284" s="277"/>
      <c r="K1284" s="277"/>
      <c r="L1284" s="277"/>
      <c r="M1284" s="277"/>
      <c r="N1284" s="277"/>
      <c r="O1284" s="277"/>
      <c r="P1284" s="277"/>
      <c r="Q1284" s="277"/>
      <c r="R1284" s="277"/>
      <c r="T1284" s="277"/>
      <c r="U1284" s="277"/>
      <c r="W1284" s="277"/>
      <c r="Y1284" s="107"/>
      <c r="Z1284" s="107"/>
      <c r="AA1284" s="107"/>
      <c r="AB1284" s="107"/>
      <c r="AC1284" s="107"/>
      <c r="AD1284" s="233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7"/>
      <c r="AV1284" s="107"/>
      <c r="AW1284" s="107"/>
      <c r="AX1284" s="107"/>
      <c r="AY1284" s="107"/>
      <c r="AZ1284" s="107"/>
      <c r="BA1284" s="107"/>
      <c r="BB1284" s="107"/>
      <c r="BC1284" s="107"/>
      <c r="BD1284" s="107"/>
      <c r="BE1284" s="107"/>
      <c r="BF1284" s="107"/>
      <c r="BG1284" s="107"/>
      <c r="BH1284" s="107"/>
      <c r="BI1284" s="107"/>
      <c r="BJ1284" s="107"/>
      <c r="BK1284" s="107"/>
      <c r="BL1284" s="107"/>
      <c r="BM1284" s="107"/>
      <c r="BN1284" s="107"/>
      <c r="BO1284" s="107"/>
      <c r="BP1284" s="107"/>
      <c r="BQ1284" s="107"/>
      <c r="BR1284" s="107"/>
    </row>
    <row r="1285" customFormat="false" ht="12.75" hidden="false" customHeight="false" outlineLevel="0" collapsed="false">
      <c r="A1285" s="100"/>
      <c r="B1285" s="100"/>
      <c r="C1285" s="100"/>
      <c r="D1285" s="100"/>
      <c r="E1285" s="100"/>
      <c r="F1285" s="277"/>
      <c r="H1285" s="277"/>
      <c r="I1285" s="277"/>
      <c r="J1285" s="277"/>
      <c r="K1285" s="277"/>
      <c r="L1285" s="277"/>
      <c r="M1285" s="277"/>
      <c r="N1285" s="277"/>
      <c r="O1285" s="277"/>
      <c r="P1285" s="277"/>
      <c r="Q1285" s="277"/>
      <c r="R1285" s="277"/>
      <c r="T1285" s="277"/>
      <c r="U1285" s="277"/>
      <c r="W1285" s="277"/>
      <c r="Y1285" s="107"/>
      <c r="Z1285" s="107"/>
      <c r="AA1285" s="107"/>
      <c r="AB1285" s="107"/>
      <c r="AC1285" s="107"/>
      <c r="AD1285" s="233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7"/>
      <c r="AV1285" s="107"/>
      <c r="AW1285" s="107"/>
      <c r="AX1285" s="107"/>
      <c r="AY1285" s="107"/>
      <c r="AZ1285" s="107"/>
      <c r="BA1285" s="107"/>
      <c r="BB1285" s="107"/>
      <c r="BC1285" s="107"/>
      <c r="BD1285" s="107"/>
      <c r="BE1285" s="107"/>
      <c r="BF1285" s="107"/>
      <c r="BG1285" s="107"/>
      <c r="BH1285" s="107"/>
      <c r="BI1285" s="107"/>
      <c r="BJ1285" s="107"/>
      <c r="BK1285" s="107"/>
      <c r="BL1285" s="107"/>
      <c r="BM1285" s="107"/>
      <c r="BN1285" s="107"/>
      <c r="BO1285" s="107"/>
      <c r="BP1285" s="107"/>
      <c r="BQ1285" s="107"/>
      <c r="BR1285" s="107"/>
    </row>
    <row r="1286" customFormat="false" ht="12.75" hidden="false" customHeight="false" outlineLevel="0" collapsed="false">
      <c r="A1286" s="100"/>
      <c r="B1286" s="100"/>
      <c r="C1286" s="100"/>
      <c r="D1286" s="100"/>
      <c r="E1286" s="100"/>
      <c r="F1286" s="277"/>
      <c r="H1286" s="277"/>
      <c r="I1286" s="277"/>
      <c r="J1286" s="277"/>
      <c r="K1286" s="277"/>
      <c r="L1286" s="277"/>
      <c r="M1286" s="277"/>
      <c r="N1286" s="277"/>
      <c r="O1286" s="277"/>
      <c r="P1286" s="277"/>
      <c r="Q1286" s="277"/>
      <c r="R1286" s="277"/>
      <c r="T1286" s="277"/>
      <c r="U1286" s="277"/>
      <c r="W1286" s="277"/>
      <c r="Y1286" s="107"/>
      <c r="Z1286" s="107"/>
      <c r="AA1286" s="107"/>
      <c r="AB1286" s="107"/>
      <c r="AC1286" s="107"/>
      <c r="AD1286" s="233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7"/>
      <c r="AV1286" s="107"/>
      <c r="AW1286" s="107"/>
      <c r="AX1286" s="107"/>
      <c r="AY1286" s="107"/>
      <c r="AZ1286" s="107"/>
      <c r="BA1286" s="107"/>
      <c r="BB1286" s="107"/>
      <c r="BC1286" s="107"/>
      <c r="BD1286" s="107"/>
      <c r="BE1286" s="107"/>
      <c r="BF1286" s="107"/>
      <c r="BG1286" s="107"/>
      <c r="BH1286" s="107"/>
      <c r="BI1286" s="107"/>
      <c r="BJ1286" s="107"/>
      <c r="BK1286" s="107"/>
      <c r="BL1286" s="107"/>
      <c r="BM1286" s="107"/>
      <c r="BN1286" s="107"/>
      <c r="BO1286" s="107"/>
      <c r="BP1286" s="107"/>
      <c r="BQ1286" s="107"/>
      <c r="BR1286" s="107"/>
    </row>
    <row r="1287" customFormat="false" ht="12.75" hidden="false" customHeight="false" outlineLevel="0" collapsed="false">
      <c r="A1287" s="100"/>
      <c r="B1287" s="100"/>
      <c r="C1287" s="100"/>
      <c r="D1287" s="100"/>
      <c r="E1287" s="100"/>
      <c r="F1287" s="277"/>
      <c r="H1287" s="277"/>
      <c r="I1287" s="277"/>
      <c r="J1287" s="277"/>
      <c r="K1287" s="277"/>
      <c r="L1287" s="277"/>
      <c r="M1287" s="277"/>
      <c r="N1287" s="277"/>
      <c r="O1287" s="277"/>
      <c r="P1287" s="277"/>
      <c r="Q1287" s="277"/>
      <c r="R1287" s="277"/>
      <c r="T1287" s="277"/>
      <c r="U1287" s="277"/>
      <c r="W1287" s="277"/>
      <c r="Y1287" s="107"/>
      <c r="Z1287" s="107"/>
      <c r="AA1287" s="107"/>
      <c r="AB1287" s="107"/>
      <c r="AC1287" s="107"/>
      <c r="AD1287" s="233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7"/>
      <c r="AV1287" s="107"/>
      <c r="AW1287" s="107"/>
      <c r="AX1287" s="107"/>
      <c r="AY1287" s="107"/>
      <c r="AZ1287" s="107"/>
      <c r="BA1287" s="107"/>
      <c r="BB1287" s="107"/>
      <c r="BC1287" s="107"/>
      <c r="BD1287" s="107"/>
      <c r="BE1287" s="107"/>
      <c r="BF1287" s="107"/>
      <c r="BG1287" s="107"/>
      <c r="BH1287" s="107"/>
      <c r="BI1287" s="107"/>
      <c r="BJ1287" s="107"/>
      <c r="BK1287" s="107"/>
      <c r="BL1287" s="107"/>
      <c r="BM1287" s="107"/>
      <c r="BN1287" s="107"/>
      <c r="BO1287" s="107"/>
      <c r="BP1287" s="107"/>
      <c r="BQ1287" s="107"/>
      <c r="BR1287" s="107"/>
    </row>
    <row r="1288" customFormat="false" ht="12.75" hidden="false" customHeight="false" outlineLevel="0" collapsed="false">
      <c r="A1288" s="100"/>
      <c r="B1288" s="100"/>
      <c r="C1288" s="100"/>
      <c r="D1288" s="100"/>
      <c r="E1288" s="100"/>
      <c r="F1288" s="277"/>
      <c r="H1288" s="277"/>
      <c r="I1288" s="277"/>
      <c r="J1288" s="277"/>
      <c r="K1288" s="277"/>
      <c r="L1288" s="277"/>
      <c r="M1288" s="277"/>
      <c r="N1288" s="277"/>
      <c r="O1288" s="277"/>
      <c r="P1288" s="277"/>
      <c r="Q1288" s="277"/>
      <c r="R1288" s="277"/>
      <c r="T1288" s="277"/>
      <c r="U1288" s="277"/>
      <c r="W1288" s="277"/>
      <c r="Y1288" s="107"/>
      <c r="Z1288" s="107"/>
      <c r="AA1288" s="107"/>
      <c r="AB1288" s="107"/>
      <c r="AC1288" s="107"/>
      <c r="AD1288" s="233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7"/>
      <c r="AV1288" s="107"/>
      <c r="AW1288" s="107"/>
      <c r="AX1288" s="107"/>
      <c r="AY1288" s="107"/>
      <c r="AZ1288" s="107"/>
      <c r="BA1288" s="107"/>
      <c r="BB1288" s="107"/>
      <c r="BC1288" s="107"/>
      <c r="BD1288" s="107"/>
      <c r="BE1288" s="107"/>
      <c r="BF1288" s="107"/>
      <c r="BG1288" s="107"/>
      <c r="BH1288" s="107"/>
      <c r="BI1288" s="107"/>
      <c r="BJ1288" s="107"/>
      <c r="BK1288" s="107"/>
      <c r="BL1288" s="107"/>
      <c r="BM1288" s="107"/>
      <c r="BN1288" s="107"/>
      <c r="BO1288" s="107"/>
      <c r="BP1288" s="107"/>
      <c r="BQ1288" s="107"/>
      <c r="BR1288" s="107"/>
    </row>
    <row r="1289" customFormat="false" ht="12.75" hidden="false" customHeight="false" outlineLevel="0" collapsed="false">
      <c r="A1289" s="100"/>
      <c r="B1289" s="100"/>
      <c r="C1289" s="100"/>
      <c r="D1289" s="100"/>
      <c r="E1289" s="100"/>
      <c r="F1289" s="277"/>
      <c r="H1289" s="277"/>
      <c r="I1289" s="277"/>
      <c r="J1289" s="277"/>
      <c r="K1289" s="277"/>
      <c r="L1289" s="277"/>
      <c r="M1289" s="277"/>
      <c r="N1289" s="277"/>
      <c r="O1289" s="277"/>
      <c r="P1289" s="277"/>
      <c r="Q1289" s="277"/>
      <c r="R1289" s="277"/>
      <c r="T1289" s="277"/>
      <c r="U1289" s="277"/>
      <c r="W1289" s="277"/>
      <c r="Y1289" s="107"/>
      <c r="Z1289" s="107"/>
      <c r="AA1289" s="107"/>
      <c r="AB1289" s="107"/>
      <c r="AC1289" s="107"/>
      <c r="AD1289" s="233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7"/>
      <c r="AV1289" s="107"/>
      <c r="AW1289" s="107"/>
      <c r="AX1289" s="107"/>
      <c r="AY1289" s="107"/>
      <c r="AZ1289" s="107"/>
      <c r="BA1289" s="107"/>
      <c r="BB1289" s="107"/>
      <c r="BC1289" s="107"/>
      <c r="BD1289" s="107"/>
      <c r="BE1289" s="107"/>
      <c r="BF1289" s="107"/>
      <c r="BG1289" s="107"/>
      <c r="BH1289" s="107"/>
      <c r="BI1289" s="107"/>
      <c r="BJ1289" s="107"/>
      <c r="BK1289" s="107"/>
      <c r="BL1289" s="107"/>
      <c r="BM1289" s="107"/>
      <c r="BN1289" s="107"/>
      <c r="BO1289" s="107"/>
      <c r="BP1289" s="107"/>
      <c r="BQ1289" s="107"/>
      <c r="BR1289" s="107"/>
    </row>
    <row r="1290" customFormat="false" ht="12.75" hidden="false" customHeight="false" outlineLevel="0" collapsed="false">
      <c r="A1290" s="100"/>
      <c r="B1290" s="100"/>
      <c r="C1290" s="100"/>
      <c r="D1290" s="100"/>
      <c r="E1290" s="100"/>
      <c r="F1290" s="277"/>
      <c r="H1290" s="277"/>
      <c r="I1290" s="277"/>
      <c r="J1290" s="277"/>
      <c r="K1290" s="277"/>
      <c r="L1290" s="277"/>
      <c r="M1290" s="277"/>
      <c r="N1290" s="277"/>
      <c r="O1290" s="277"/>
      <c r="P1290" s="277"/>
      <c r="Q1290" s="277"/>
      <c r="R1290" s="277"/>
      <c r="T1290" s="277"/>
      <c r="U1290" s="277"/>
      <c r="W1290" s="277"/>
      <c r="Y1290" s="107"/>
      <c r="Z1290" s="107"/>
      <c r="AA1290" s="107"/>
      <c r="AB1290" s="107"/>
      <c r="AC1290" s="107"/>
      <c r="AD1290" s="233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7"/>
      <c r="AV1290" s="107"/>
      <c r="AW1290" s="107"/>
      <c r="AX1290" s="107"/>
      <c r="AY1290" s="107"/>
      <c r="AZ1290" s="107"/>
      <c r="BA1290" s="107"/>
      <c r="BB1290" s="107"/>
      <c r="BC1290" s="107"/>
      <c r="BD1290" s="107"/>
      <c r="BE1290" s="107"/>
      <c r="BF1290" s="107"/>
      <c r="BG1290" s="107"/>
      <c r="BH1290" s="107"/>
      <c r="BI1290" s="107"/>
      <c r="BJ1290" s="107"/>
      <c r="BK1290" s="107"/>
      <c r="BL1290" s="107"/>
      <c r="BM1290" s="107"/>
      <c r="BN1290" s="107"/>
      <c r="BO1290" s="107"/>
      <c r="BP1290" s="107"/>
      <c r="BQ1290" s="107"/>
      <c r="BR1290" s="107"/>
    </row>
    <row r="1291" customFormat="false" ht="12.75" hidden="false" customHeight="false" outlineLevel="0" collapsed="false">
      <c r="A1291" s="100"/>
      <c r="B1291" s="100"/>
      <c r="C1291" s="100"/>
      <c r="D1291" s="100"/>
      <c r="E1291" s="100"/>
      <c r="F1291" s="277"/>
      <c r="H1291" s="277"/>
      <c r="I1291" s="277"/>
      <c r="J1291" s="277"/>
      <c r="K1291" s="277"/>
      <c r="L1291" s="277"/>
      <c r="M1291" s="277"/>
      <c r="N1291" s="277"/>
      <c r="O1291" s="277"/>
      <c r="P1291" s="277"/>
      <c r="Q1291" s="277"/>
      <c r="R1291" s="277"/>
      <c r="T1291" s="277"/>
      <c r="U1291" s="277"/>
      <c r="W1291" s="277"/>
      <c r="Y1291" s="107"/>
      <c r="Z1291" s="107"/>
      <c r="AA1291" s="107"/>
      <c r="AB1291" s="107"/>
      <c r="AC1291" s="107"/>
      <c r="AD1291" s="233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7"/>
      <c r="AV1291" s="107"/>
      <c r="AW1291" s="107"/>
      <c r="AX1291" s="107"/>
      <c r="AY1291" s="107"/>
      <c r="AZ1291" s="107"/>
      <c r="BA1291" s="107"/>
      <c r="BB1291" s="107"/>
      <c r="BC1291" s="107"/>
      <c r="BD1291" s="107"/>
      <c r="BE1291" s="107"/>
      <c r="BF1291" s="107"/>
      <c r="BG1291" s="107"/>
      <c r="BH1291" s="107"/>
      <c r="BI1291" s="107"/>
      <c r="BJ1291" s="107"/>
      <c r="BK1291" s="107"/>
      <c r="BL1291" s="107"/>
      <c r="BM1291" s="107"/>
      <c r="BN1291" s="107"/>
      <c r="BO1291" s="107"/>
      <c r="BP1291" s="107"/>
      <c r="BQ1291" s="107"/>
      <c r="BR1291" s="107"/>
    </row>
    <row r="1292" customFormat="false" ht="12.75" hidden="false" customHeight="false" outlineLevel="0" collapsed="false">
      <c r="A1292" s="100"/>
      <c r="B1292" s="100"/>
      <c r="C1292" s="100"/>
      <c r="D1292" s="100"/>
      <c r="E1292" s="100"/>
      <c r="F1292" s="277"/>
      <c r="H1292" s="277"/>
      <c r="I1292" s="277"/>
      <c r="J1292" s="277"/>
      <c r="K1292" s="277"/>
      <c r="L1292" s="277"/>
      <c r="M1292" s="277"/>
      <c r="N1292" s="277"/>
      <c r="O1292" s="277"/>
      <c r="P1292" s="277"/>
      <c r="Q1292" s="277"/>
      <c r="R1292" s="277"/>
      <c r="T1292" s="277"/>
      <c r="U1292" s="277"/>
      <c r="W1292" s="277"/>
      <c r="Y1292" s="107"/>
      <c r="Z1292" s="107"/>
      <c r="AA1292" s="107"/>
      <c r="AB1292" s="107"/>
      <c r="AC1292" s="107"/>
      <c r="AD1292" s="233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7"/>
      <c r="AV1292" s="107"/>
      <c r="AW1292" s="107"/>
      <c r="AX1292" s="107"/>
      <c r="AY1292" s="107"/>
      <c r="AZ1292" s="107"/>
      <c r="BA1292" s="107"/>
      <c r="BB1292" s="107"/>
      <c r="BC1292" s="107"/>
      <c r="BD1292" s="107"/>
      <c r="BE1292" s="107"/>
      <c r="BF1292" s="107"/>
      <c r="BG1292" s="107"/>
      <c r="BH1292" s="107"/>
      <c r="BI1292" s="107"/>
      <c r="BJ1292" s="107"/>
      <c r="BK1292" s="107"/>
      <c r="BL1292" s="107"/>
      <c r="BM1292" s="107"/>
      <c r="BN1292" s="107"/>
      <c r="BO1292" s="107"/>
      <c r="BP1292" s="107"/>
      <c r="BQ1292" s="107"/>
      <c r="BR1292" s="107"/>
    </row>
    <row r="1293" customFormat="false" ht="12.75" hidden="false" customHeight="false" outlineLevel="0" collapsed="false">
      <c r="A1293" s="100"/>
      <c r="B1293" s="100"/>
      <c r="C1293" s="100"/>
      <c r="D1293" s="100"/>
      <c r="E1293" s="100"/>
      <c r="F1293" s="277"/>
      <c r="H1293" s="277"/>
      <c r="I1293" s="277"/>
      <c r="J1293" s="277"/>
      <c r="K1293" s="277"/>
      <c r="L1293" s="277"/>
      <c r="M1293" s="277"/>
      <c r="N1293" s="277"/>
      <c r="O1293" s="277"/>
      <c r="P1293" s="277"/>
      <c r="Q1293" s="277"/>
      <c r="R1293" s="277"/>
      <c r="T1293" s="277"/>
      <c r="U1293" s="277"/>
      <c r="W1293" s="277"/>
      <c r="Y1293" s="107"/>
      <c r="Z1293" s="107"/>
      <c r="AA1293" s="107"/>
      <c r="AB1293" s="107"/>
      <c r="AC1293" s="107"/>
      <c r="AD1293" s="233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7"/>
      <c r="AV1293" s="107"/>
      <c r="AW1293" s="107"/>
      <c r="AX1293" s="107"/>
      <c r="AY1293" s="107"/>
      <c r="AZ1293" s="107"/>
      <c r="BA1293" s="107"/>
      <c r="BB1293" s="107"/>
      <c r="BC1293" s="107"/>
      <c r="BD1293" s="107"/>
      <c r="BE1293" s="107"/>
      <c r="BF1293" s="107"/>
      <c r="BG1293" s="107"/>
      <c r="BH1293" s="107"/>
      <c r="BI1293" s="107"/>
      <c r="BJ1293" s="107"/>
      <c r="BK1293" s="107"/>
      <c r="BL1293" s="107"/>
      <c r="BM1293" s="107"/>
      <c r="BN1293" s="107"/>
      <c r="BO1293" s="107"/>
      <c r="BP1293" s="107"/>
      <c r="BQ1293" s="107"/>
      <c r="BR1293" s="107"/>
    </row>
    <row r="1294" customFormat="false" ht="12.75" hidden="false" customHeight="false" outlineLevel="0" collapsed="false">
      <c r="A1294" s="100"/>
      <c r="B1294" s="100"/>
      <c r="C1294" s="100"/>
      <c r="D1294" s="100"/>
      <c r="E1294" s="100"/>
      <c r="F1294" s="277"/>
      <c r="H1294" s="277"/>
      <c r="I1294" s="277"/>
      <c r="J1294" s="277"/>
      <c r="K1294" s="277"/>
      <c r="L1294" s="277"/>
      <c r="M1294" s="277"/>
      <c r="N1294" s="277"/>
      <c r="O1294" s="277"/>
      <c r="P1294" s="277"/>
      <c r="Q1294" s="277"/>
      <c r="R1294" s="277"/>
      <c r="T1294" s="277"/>
      <c r="U1294" s="277"/>
      <c r="W1294" s="277"/>
      <c r="Y1294" s="107"/>
      <c r="Z1294" s="107"/>
      <c r="AA1294" s="107"/>
      <c r="AB1294" s="107"/>
      <c r="AC1294" s="107"/>
      <c r="AD1294" s="233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7"/>
      <c r="AV1294" s="107"/>
      <c r="AW1294" s="107"/>
      <c r="AX1294" s="107"/>
      <c r="AY1294" s="107"/>
      <c r="AZ1294" s="107"/>
      <c r="BA1294" s="107"/>
      <c r="BB1294" s="107"/>
      <c r="BC1294" s="107"/>
      <c r="BD1294" s="107"/>
      <c r="BE1294" s="107"/>
      <c r="BF1294" s="107"/>
      <c r="BG1294" s="107"/>
      <c r="BH1294" s="107"/>
      <c r="BI1294" s="107"/>
      <c r="BJ1294" s="107"/>
      <c r="BK1294" s="107"/>
      <c r="BL1294" s="107"/>
      <c r="BM1294" s="107"/>
      <c r="BN1294" s="107"/>
      <c r="BO1294" s="107"/>
      <c r="BP1294" s="107"/>
      <c r="BQ1294" s="107"/>
      <c r="BR1294" s="107"/>
    </row>
    <row r="1295" customFormat="false" ht="12.75" hidden="false" customHeight="false" outlineLevel="0" collapsed="false">
      <c r="A1295" s="100"/>
      <c r="B1295" s="100"/>
      <c r="C1295" s="100"/>
      <c r="D1295" s="100"/>
      <c r="E1295" s="100"/>
      <c r="F1295" s="277"/>
      <c r="H1295" s="277"/>
      <c r="I1295" s="277"/>
      <c r="J1295" s="277"/>
      <c r="K1295" s="277"/>
      <c r="L1295" s="277"/>
      <c r="M1295" s="277"/>
      <c r="N1295" s="277"/>
      <c r="O1295" s="277"/>
      <c r="P1295" s="277"/>
      <c r="Q1295" s="277"/>
      <c r="R1295" s="277"/>
      <c r="T1295" s="277"/>
      <c r="U1295" s="277"/>
      <c r="W1295" s="277"/>
      <c r="Y1295" s="107"/>
      <c r="Z1295" s="107"/>
      <c r="AA1295" s="107"/>
      <c r="AB1295" s="107"/>
      <c r="AC1295" s="107"/>
      <c r="AD1295" s="233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7"/>
      <c r="AV1295" s="107"/>
      <c r="AW1295" s="107"/>
      <c r="AX1295" s="107"/>
      <c r="AY1295" s="107"/>
      <c r="AZ1295" s="107"/>
      <c r="BA1295" s="107"/>
      <c r="BB1295" s="107"/>
      <c r="BC1295" s="107"/>
      <c r="BD1295" s="107"/>
      <c r="BE1295" s="107"/>
      <c r="BF1295" s="107"/>
      <c r="BG1295" s="107"/>
      <c r="BH1295" s="107"/>
      <c r="BI1295" s="107"/>
      <c r="BJ1295" s="107"/>
      <c r="BK1295" s="107"/>
      <c r="BL1295" s="107"/>
      <c r="BM1295" s="107"/>
      <c r="BN1295" s="107"/>
      <c r="BO1295" s="107"/>
      <c r="BP1295" s="107"/>
      <c r="BQ1295" s="107"/>
      <c r="BR1295" s="107"/>
    </row>
    <row r="1296" customFormat="false" ht="12.75" hidden="false" customHeight="false" outlineLevel="0" collapsed="false">
      <c r="A1296" s="100"/>
      <c r="B1296" s="100"/>
      <c r="C1296" s="100"/>
      <c r="D1296" s="100"/>
      <c r="E1296" s="100"/>
      <c r="F1296" s="277"/>
      <c r="H1296" s="277"/>
      <c r="I1296" s="277"/>
      <c r="J1296" s="277"/>
      <c r="K1296" s="277"/>
      <c r="L1296" s="277"/>
      <c r="M1296" s="277"/>
      <c r="N1296" s="277"/>
      <c r="O1296" s="277"/>
      <c r="P1296" s="277"/>
      <c r="Q1296" s="277"/>
      <c r="R1296" s="277"/>
      <c r="T1296" s="277"/>
      <c r="U1296" s="277"/>
      <c r="W1296" s="277"/>
      <c r="Y1296" s="107"/>
      <c r="Z1296" s="107"/>
      <c r="AA1296" s="107"/>
      <c r="AB1296" s="107"/>
      <c r="AC1296" s="107"/>
      <c r="AD1296" s="233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7"/>
      <c r="AV1296" s="107"/>
      <c r="AW1296" s="107"/>
      <c r="AX1296" s="107"/>
      <c r="AY1296" s="107"/>
      <c r="AZ1296" s="107"/>
      <c r="BA1296" s="107"/>
      <c r="BB1296" s="107"/>
      <c r="BC1296" s="107"/>
      <c r="BD1296" s="107"/>
      <c r="BE1296" s="107"/>
      <c r="BF1296" s="107"/>
      <c r="BG1296" s="107"/>
      <c r="BH1296" s="107"/>
      <c r="BI1296" s="107"/>
      <c r="BJ1296" s="107"/>
      <c r="BK1296" s="107"/>
      <c r="BL1296" s="107"/>
      <c r="BM1296" s="107"/>
      <c r="BN1296" s="107"/>
      <c r="BO1296" s="107"/>
      <c r="BP1296" s="107"/>
      <c r="BQ1296" s="107"/>
      <c r="BR1296" s="107"/>
    </row>
    <row r="1297" customFormat="false" ht="12.75" hidden="false" customHeight="false" outlineLevel="0" collapsed="false">
      <c r="A1297" s="100"/>
      <c r="B1297" s="100"/>
      <c r="C1297" s="100"/>
      <c r="D1297" s="100"/>
      <c r="E1297" s="100"/>
      <c r="F1297" s="277"/>
      <c r="H1297" s="277"/>
      <c r="I1297" s="277"/>
      <c r="J1297" s="277"/>
      <c r="K1297" s="277"/>
      <c r="L1297" s="277"/>
      <c r="M1297" s="277"/>
      <c r="N1297" s="277"/>
      <c r="O1297" s="277"/>
      <c r="P1297" s="277"/>
      <c r="Q1297" s="277"/>
      <c r="R1297" s="277"/>
      <c r="T1297" s="277"/>
      <c r="U1297" s="277"/>
      <c r="W1297" s="277"/>
      <c r="Y1297" s="107"/>
      <c r="Z1297" s="107"/>
      <c r="AA1297" s="107"/>
      <c r="AB1297" s="107"/>
      <c r="AC1297" s="107"/>
      <c r="AD1297" s="233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7"/>
      <c r="AV1297" s="107"/>
      <c r="AW1297" s="107"/>
      <c r="AX1297" s="107"/>
      <c r="AY1297" s="107"/>
      <c r="AZ1297" s="107"/>
      <c r="BA1297" s="107"/>
      <c r="BB1297" s="107"/>
      <c r="BC1297" s="107"/>
      <c r="BD1297" s="107"/>
      <c r="BE1297" s="107"/>
      <c r="BF1297" s="107"/>
      <c r="BG1297" s="107"/>
      <c r="BH1297" s="107"/>
      <c r="BI1297" s="107"/>
      <c r="BJ1297" s="107"/>
      <c r="BK1297" s="107"/>
      <c r="BL1297" s="107"/>
      <c r="BM1297" s="107"/>
      <c r="BN1297" s="107"/>
      <c r="BO1297" s="107"/>
      <c r="BP1297" s="107"/>
      <c r="BQ1297" s="107"/>
      <c r="BR1297" s="107"/>
    </row>
    <row r="1298" customFormat="false" ht="12.75" hidden="false" customHeight="false" outlineLevel="0" collapsed="false">
      <c r="A1298" s="100"/>
      <c r="B1298" s="100"/>
      <c r="C1298" s="100"/>
      <c r="D1298" s="100"/>
      <c r="E1298" s="100"/>
      <c r="F1298" s="277"/>
      <c r="H1298" s="277"/>
      <c r="I1298" s="277"/>
      <c r="J1298" s="277"/>
      <c r="K1298" s="277"/>
      <c r="L1298" s="277"/>
      <c r="M1298" s="277"/>
      <c r="N1298" s="277"/>
      <c r="O1298" s="277"/>
      <c r="P1298" s="277"/>
      <c r="Q1298" s="277"/>
      <c r="R1298" s="277"/>
      <c r="T1298" s="277"/>
      <c r="U1298" s="277"/>
      <c r="W1298" s="277"/>
      <c r="Y1298" s="107"/>
      <c r="Z1298" s="107"/>
      <c r="AA1298" s="107"/>
      <c r="AB1298" s="107"/>
      <c r="AC1298" s="107"/>
      <c r="AD1298" s="233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7"/>
      <c r="AV1298" s="107"/>
      <c r="AW1298" s="107"/>
      <c r="AX1298" s="107"/>
      <c r="AY1298" s="107"/>
      <c r="AZ1298" s="107"/>
      <c r="BA1298" s="107"/>
      <c r="BB1298" s="107"/>
      <c r="BC1298" s="107"/>
      <c r="BD1298" s="107"/>
      <c r="BE1298" s="107"/>
      <c r="BF1298" s="107"/>
      <c r="BG1298" s="107"/>
      <c r="BH1298" s="107"/>
      <c r="BI1298" s="107"/>
      <c r="BJ1298" s="107"/>
      <c r="BK1298" s="107"/>
      <c r="BL1298" s="107"/>
      <c r="BM1298" s="107"/>
      <c r="BN1298" s="107"/>
      <c r="BO1298" s="107"/>
      <c r="BP1298" s="107"/>
      <c r="BQ1298" s="107"/>
      <c r="BR1298" s="107"/>
    </row>
    <row r="1299" customFormat="false" ht="12.75" hidden="false" customHeight="false" outlineLevel="0" collapsed="false">
      <c r="A1299" s="100"/>
      <c r="B1299" s="100"/>
      <c r="C1299" s="100"/>
      <c r="D1299" s="100"/>
      <c r="E1299" s="100"/>
      <c r="F1299" s="277"/>
      <c r="H1299" s="277"/>
      <c r="I1299" s="277"/>
      <c r="J1299" s="277"/>
      <c r="K1299" s="277"/>
      <c r="L1299" s="277"/>
      <c r="M1299" s="277"/>
      <c r="N1299" s="277"/>
      <c r="O1299" s="277"/>
      <c r="P1299" s="277"/>
      <c r="Q1299" s="277"/>
      <c r="R1299" s="277"/>
      <c r="T1299" s="277"/>
      <c r="U1299" s="277"/>
      <c r="W1299" s="277"/>
      <c r="Y1299" s="107"/>
      <c r="Z1299" s="107"/>
      <c r="AA1299" s="107"/>
      <c r="AB1299" s="107"/>
      <c r="AC1299" s="107"/>
      <c r="AD1299" s="233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7"/>
      <c r="AV1299" s="107"/>
      <c r="AW1299" s="107"/>
      <c r="AX1299" s="107"/>
      <c r="AY1299" s="107"/>
      <c r="AZ1299" s="107"/>
      <c r="BA1299" s="107"/>
      <c r="BB1299" s="107"/>
      <c r="BC1299" s="107"/>
      <c r="BD1299" s="107"/>
      <c r="BE1299" s="107"/>
      <c r="BF1299" s="107"/>
      <c r="BG1299" s="107"/>
      <c r="BH1299" s="107"/>
      <c r="BI1299" s="107"/>
      <c r="BJ1299" s="107"/>
      <c r="BK1299" s="107"/>
      <c r="BL1299" s="107"/>
      <c r="BM1299" s="107"/>
      <c r="BN1299" s="107"/>
      <c r="BO1299" s="107"/>
      <c r="BP1299" s="107"/>
      <c r="BQ1299" s="107"/>
      <c r="BR1299" s="107"/>
    </row>
    <row r="1300" customFormat="false" ht="12.75" hidden="false" customHeight="false" outlineLevel="0" collapsed="false">
      <c r="A1300" s="100"/>
      <c r="B1300" s="100"/>
      <c r="C1300" s="100"/>
      <c r="D1300" s="100"/>
      <c r="E1300" s="100"/>
      <c r="F1300" s="277"/>
      <c r="H1300" s="277"/>
      <c r="I1300" s="277"/>
      <c r="J1300" s="277"/>
      <c r="K1300" s="277"/>
      <c r="L1300" s="277"/>
      <c r="M1300" s="277"/>
      <c r="N1300" s="277"/>
      <c r="O1300" s="277"/>
      <c r="P1300" s="277"/>
      <c r="Q1300" s="277"/>
      <c r="R1300" s="277"/>
      <c r="T1300" s="277"/>
      <c r="U1300" s="277"/>
      <c r="W1300" s="277"/>
      <c r="Y1300" s="107"/>
      <c r="Z1300" s="107"/>
      <c r="AA1300" s="107"/>
      <c r="AB1300" s="107"/>
      <c r="AC1300" s="107"/>
      <c r="AD1300" s="233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7"/>
      <c r="AV1300" s="107"/>
      <c r="AW1300" s="107"/>
      <c r="AX1300" s="107"/>
      <c r="AY1300" s="107"/>
      <c r="AZ1300" s="107"/>
      <c r="BA1300" s="107"/>
      <c r="BB1300" s="107"/>
      <c r="BC1300" s="107"/>
      <c r="BD1300" s="107"/>
      <c r="BE1300" s="107"/>
      <c r="BF1300" s="107"/>
      <c r="BG1300" s="107"/>
      <c r="BH1300" s="107"/>
      <c r="BI1300" s="107"/>
      <c r="BJ1300" s="107"/>
      <c r="BK1300" s="107"/>
      <c r="BL1300" s="107"/>
      <c r="BM1300" s="107"/>
      <c r="BN1300" s="107"/>
      <c r="BO1300" s="107"/>
      <c r="BP1300" s="107"/>
      <c r="BQ1300" s="107"/>
      <c r="BR1300" s="107"/>
    </row>
    <row r="1301" customFormat="false" ht="12.75" hidden="false" customHeight="false" outlineLevel="0" collapsed="false">
      <c r="A1301" s="100"/>
      <c r="B1301" s="100"/>
      <c r="C1301" s="100"/>
      <c r="D1301" s="100"/>
      <c r="E1301" s="100"/>
      <c r="F1301" s="277"/>
      <c r="H1301" s="277"/>
      <c r="I1301" s="277"/>
      <c r="J1301" s="277"/>
      <c r="K1301" s="277"/>
      <c r="L1301" s="277"/>
      <c r="M1301" s="277"/>
      <c r="N1301" s="277"/>
      <c r="O1301" s="277"/>
      <c r="P1301" s="277"/>
      <c r="Q1301" s="277"/>
      <c r="R1301" s="277"/>
      <c r="T1301" s="277"/>
      <c r="U1301" s="277"/>
      <c r="W1301" s="277"/>
      <c r="Y1301" s="107"/>
      <c r="Z1301" s="107"/>
      <c r="AA1301" s="107"/>
      <c r="AB1301" s="107"/>
      <c r="AC1301" s="107"/>
      <c r="AD1301" s="233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7"/>
      <c r="AV1301" s="107"/>
      <c r="AW1301" s="107"/>
      <c r="AX1301" s="107"/>
      <c r="AY1301" s="107"/>
      <c r="AZ1301" s="107"/>
      <c r="BA1301" s="107"/>
      <c r="BB1301" s="107"/>
      <c r="BC1301" s="107"/>
      <c r="BD1301" s="107"/>
      <c r="BE1301" s="107"/>
      <c r="BF1301" s="107"/>
      <c r="BG1301" s="107"/>
      <c r="BH1301" s="107"/>
      <c r="BI1301" s="107"/>
      <c r="BJ1301" s="107"/>
      <c r="BK1301" s="107"/>
      <c r="BL1301" s="107"/>
      <c r="BM1301" s="107"/>
      <c r="BN1301" s="107"/>
      <c r="BO1301" s="107"/>
      <c r="BP1301" s="107"/>
      <c r="BQ1301" s="107"/>
      <c r="BR1301" s="107"/>
    </row>
    <row r="1302" customFormat="false" ht="12.75" hidden="false" customHeight="false" outlineLevel="0" collapsed="false">
      <c r="A1302" s="100"/>
      <c r="B1302" s="100"/>
      <c r="C1302" s="100"/>
      <c r="D1302" s="100"/>
      <c r="E1302" s="100"/>
      <c r="F1302" s="277"/>
      <c r="H1302" s="277"/>
      <c r="I1302" s="277"/>
      <c r="J1302" s="277"/>
      <c r="K1302" s="277"/>
      <c r="L1302" s="277"/>
      <c r="M1302" s="277"/>
      <c r="N1302" s="277"/>
      <c r="O1302" s="277"/>
      <c r="P1302" s="277"/>
      <c r="Q1302" s="277"/>
      <c r="R1302" s="277"/>
      <c r="T1302" s="277"/>
      <c r="U1302" s="277"/>
      <c r="W1302" s="277"/>
      <c r="Y1302" s="107"/>
      <c r="Z1302" s="107"/>
      <c r="AA1302" s="107"/>
      <c r="AB1302" s="107"/>
      <c r="AC1302" s="107"/>
      <c r="AD1302" s="233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7"/>
      <c r="AV1302" s="107"/>
      <c r="AW1302" s="107"/>
      <c r="AX1302" s="107"/>
      <c r="AY1302" s="107"/>
      <c r="AZ1302" s="107"/>
      <c r="BA1302" s="107"/>
      <c r="BB1302" s="107"/>
      <c r="BC1302" s="107"/>
      <c r="BD1302" s="107"/>
      <c r="BE1302" s="107"/>
      <c r="BF1302" s="107"/>
      <c r="BG1302" s="107"/>
      <c r="BH1302" s="107"/>
      <c r="BI1302" s="107"/>
      <c r="BJ1302" s="107"/>
      <c r="BK1302" s="107"/>
      <c r="BL1302" s="107"/>
      <c r="BM1302" s="107"/>
      <c r="BN1302" s="107"/>
      <c r="BO1302" s="107"/>
      <c r="BP1302" s="107"/>
      <c r="BQ1302" s="107"/>
      <c r="BR1302" s="107"/>
    </row>
    <row r="1303" customFormat="false" ht="12.75" hidden="false" customHeight="false" outlineLevel="0" collapsed="false">
      <c r="A1303" s="100"/>
      <c r="B1303" s="100"/>
      <c r="C1303" s="100"/>
      <c r="D1303" s="100"/>
      <c r="E1303" s="100"/>
      <c r="F1303" s="277"/>
      <c r="H1303" s="277"/>
      <c r="I1303" s="277"/>
      <c r="J1303" s="277"/>
      <c r="K1303" s="277"/>
      <c r="L1303" s="277"/>
      <c r="M1303" s="277"/>
      <c r="N1303" s="277"/>
      <c r="O1303" s="277"/>
      <c r="P1303" s="277"/>
      <c r="Q1303" s="277"/>
      <c r="R1303" s="277"/>
      <c r="T1303" s="277"/>
      <c r="U1303" s="277"/>
      <c r="W1303" s="277"/>
      <c r="Y1303" s="107"/>
      <c r="Z1303" s="107"/>
      <c r="AA1303" s="107"/>
      <c r="AB1303" s="107"/>
      <c r="AC1303" s="107"/>
      <c r="AD1303" s="233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7"/>
      <c r="AV1303" s="107"/>
      <c r="AW1303" s="107"/>
      <c r="AX1303" s="107"/>
      <c r="AY1303" s="107"/>
      <c r="AZ1303" s="107"/>
      <c r="BA1303" s="107"/>
      <c r="BB1303" s="107"/>
      <c r="BC1303" s="107"/>
      <c r="BD1303" s="107"/>
      <c r="BE1303" s="107"/>
      <c r="BF1303" s="107"/>
      <c r="BG1303" s="107"/>
      <c r="BH1303" s="107"/>
      <c r="BI1303" s="107"/>
      <c r="BJ1303" s="107"/>
      <c r="BK1303" s="107"/>
      <c r="BL1303" s="107"/>
      <c r="BM1303" s="107"/>
      <c r="BN1303" s="107"/>
      <c r="BO1303" s="107"/>
      <c r="BP1303" s="107"/>
      <c r="BQ1303" s="107"/>
      <c r="BR1303" s="107"/>
    </row>
    <row r="1304" customFormat="false" ht="12.75" hidden="false" customHeight="false" outlineLevel="0" collapsed="false">
      <c r="A1304" s="100"/>
      <c r="B1304" s="100"/>
      <c r="C1304" s="100"/>
      <c r="D1304" s="100"/>
      <c r="E1304" s="100"/>
      <c r="F1304" s="277"/>
      <c r="H1304" s="277"/>
      <c r="I1304" s="277"/>
      <c r="J1304" s="277"/>
      <c r="K1304" s="277"/>
      <c r="L1304" s="277"/>
      <c r="M1304" s="277"/>
      <c r="N1304" s="277"/>
      <c r="O1304" s="277"/>
      <c r="P1304" s="277"/>
      <c r="Q1304" s="277"/>
      <c r="R1304" s="277"/>
      <c r="T1304" s="277"/>
      <c r="U1304" s="277"/>
      <c r="W1304" s="277"/>
      <c r="Y1304" s="107"/>
      <c r="Z1304" s="107"/>
      <c r="AA1304" s="107"/>
      <c r="AB1304" s="107"/>
      <c r="AC1304" s="107"/>
      <c r="AD1304" s="233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7"/>
      <c r="AV1304" s="107"/>
      <c r="AW1304" s="107"/>
      <c r="AX1304" s="107"/>
      <c r="AY1304" s="107"/>
      <c r="AZ1304" s="107"/>
      <c r="BA1304" s="107"/>
      <c r="BB1304" s="107"/>
      <c r="BC1304" s="107"/>
      <c r="BD1304" s="107"/>
      <c r="BE1304" s="107"/>
      <c r="BF1304" s="107"/>
      <c r="BG1304" s="107"/>
      <c r="BH1304" s="107"/>
      <c r="BI1304" s="107"/>
      <c r="BJ1304" s="107"/>
      <c r="BK1304" s="107"/>
      <c r="BL1304" s="107"/>
      <c r="BM1304" s="107"/>
      <c r="BN1304" s="107"/>
      <c r="BO1304" s="107"/>
      <c r="BP1304" s="107"/>
      <c r="BQ1304" s="107"/>
      <c r="BR1304" s="107"/>
    </row>
    <row r="1305" customFormat="false" ht="12.75" hidden="false" customHeight="false" outlineLevel="0" collapsed="false">
      <c r="A1305" s="100"/>
      <c r="B1305" s="100"/>
      <c r="C1305" s="100"/>
      <c r="D1305" s="100"/>
      <c r="E1305" s="100"/>
      <c r="F1305" s="277"/>
      <c r="H1305" s="277"/>
      <c r="I1305" s="277"/>
      <c r="J1305" s="277"/>
      <c r="K1305" s="277"/>
      <c r="L1305" s="277"/>
      <c r="M1305" s="277"/>
      <c r="N1305" s="277"/>
      <c r="O1305" s="277"/>
      <c r="P1305" s="277"/>
      <c r="Q1305" s="277"/>
      <c r="R1305" s="277"/>
      <c r="T1305" s="277"/>
      <c r="U1305" s="277"/>
      <c r="W1305" s="277"/>
      <c r="Y1305" s="107"/>
      <c r="Z1305" s="107"/>
      <c r="AA1305" s="107"/>
      <c r="AB1305" s="107"/>
      <c r="AC1305" s="107"/>
      <c r="AD1305" s="233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7"/>
      <c r="AV1305" s="107"/>
      <c r="AW1305" s="107"/>
      <c r="AX1305" s="107"/>
      <c r="AY1305" s="107"/>
      <c r="AZ1305" s="107"/>
      <c r="BA1305" s="107"/>
      <c r="BB1305" s="107"/>
      <c r="BC1305" s="107"/>
      <c r="BD1305" s="107"/>
      <c r="BE1305" s="107"/>
      <c r="BF1305" s="107"/>
      <c r="BG1305" s="107"/>
      <c r="BH1305" s="107"/>
      <c r="BI1305" s="107"/>
      <c r="BJ1305" s="107"/>
      <c r="BK1305" s="107"/>
      <c r="BL1305" s="107"/>
      <c r="BM1305" s="107"/>
      <c r="BN1305" s="107"/>
      <c r="BO1305" s="107"/>
      <c r="BP1305" s="107"/>
      <c r="BQ1305" s="107"/>
      <c r="BR1305" s="107"/>
    </row>
    <row r="1306" customFormat="false" ht="12.75" hidden="false" customHeight="false" outlineLevel="0" collapsed="false">
      <c r="A1306" s="100"/>
      <c r="B1306" s="100"/>
      <c r="C1306" s="100"/>
      <c r="D1306" s="100"/>
      <c r="E1306" s="100"/>
      <c r="F1306" s="277"/>
      <c r="H1306" s="277"/>
      <c r="I1306" s="277"/>
      <c r="J1306" s="277"/>
      <c r="K1306" s="277"/>
      <c r="L1306" s="277"/>
      <c r="M1306" s="277"/>
      <c r="N1306" s="277"/>
      <c r="O1306" s="277"/>
      <c r="P1306" s="277"/>
      <c r="Q1306" s="277"/>
      <c r="R1306" s="277"/>
      <c r="T1306" s="277"/>
      <c r="U1306" s="277"/>
      <c r="W1306" s="277"/>
      <c r="Y1306" s="107"/>
      <c r="Z1306" s="107"/>
      <c r="AA1306" s="107"/>
      <c r="AB1306" s="107"/>
      <c r="AC1306" s="107"/>
      <c r="AD1306" s="233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7"/>
      <c r="AV1306" s="107"/>
      <c r="AW1306" s="107"/>
      <c r="AX1306" s="107"/>
      <c r="AY1306" s="107"/>
      <c r="AZ1306" s="107"/>
      <c r="BA1306" s="107"/>
      <c r="BB1306" s="107"/>
      <c r="BC1306" s="107"/>
      <c r="BD1306" s="107"/>
      <c r="BE1306" s="107"/>
      <c r="BF1306" s="107"/>
      <c r="BG1306" s="107"/>
      <c r="BH1306" s="107"/>
      <c r="BI1306" s="107"/>
      <c r="BJ1306" s="107"/>
      <c r="BK1306" s="107"/>
      <c r="BL1306" s="107"/>
      <c r="BM1306" s="107"/>
      <c r="BN1306" s="107"/>
      <c r="BO1306" s="107"/>
      <c r="BP1306" s="107"/>
      <c r="BQ1306" s="107"/>
      <c r="BR1306" s="107"/>
    </row>
    <row r="1307" customFormat="false" ht="12.75" hidden="false" customHeight="false" outlineLevel="0" collapsed="false">
      <c r="A1307" s="100"/>
      <c r="B1307" s="100"/>
      <c r="C1307" s="100"/>
      <c r="D1307" s="100"/>
      <c r="E1307" s="100"/>
      <c r="F1307" s="277"/>
      <c r="H1307" s="277"/>
      <c r="I1307" s="277"/>
      <c r="J1307" s="277"/>
      <c r="K1307" s="277"/>
      <c r="L1307" s="277"/>
      <c r="M1307" s="277"/>
      <c r="N1307" s="277"/>
      <c r="O1307" s="277"/>
      <c r="P1307" s="277"/>
      <c r="Q1307" s="277"/>
      <c r="R1307" s="277"/>
      <c r="T1307" s="277"/>
      <c r="U1307" s="277"/>
      <c r="W1307" s="277"/>
      <c r="Y1307" s="107"/>
      <c r="Z1307" s="107"/>
      <c r="AA1307" s="107"/>
      <c r="AB1307" s="107"/>
      <c r="AC1307" s="107"/>
      <c r="AD1307" s="233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7"/>
      <c r="AV1307" s="107"/>
      <c r="AW1307" s="107"/>
      <c r="AX1307" s="107"/>
      <c r="AY1307" s="107"/>
      <c r="AZ1307" s="107"/>
      <c r="BA1307" s="107"/>
      <c r="BB1307" s="107"/>
      <c r="BC1307" s="107"/>
      <c r="BD1307" s="107"/>
      <c r="BE1307" s="107"/>
      <c r="BF1307" s="107"/>
      <c r="BG1307" s="107"/>
      <c r="BH1307" s="107"/>
      <c r="BI1307" s="107"/>
      <c r="BJ1307" s="107"/>
      <c r="BK1307" s="107"/>
      <c r="BL1307" s="107"/>
      <c r="BM1307" s="107"/>
      <c r="BN1307" s="107"/>
      <c r="BO1307" s="107"/>
      <c r="BP1307" s="107"/>
      <c r="BQ1307" s="107"/>
      <c r="BR1307" s="107"/>
    </row>
    <row r="1308" customFormat="false" ht="12.75" hidden="false" customHeight="false" outlineLevel="0" collapsed="false">
      <c r="A1308" s="100"/>
      <c r="B1308" s="100"/>
      <c r="C1308" s="100"/>
      <c r="D1308" s="100"/>
      <c r="E1308" s="100"/>
      <c r="F1308" s="277"/>
      <c r="H1308" s="277"/>
      <c r="I1308" s="277"/>
      <c r="J1308" s="277"/>
      <c r="K1308" s="277"/>
      <c r="L1308" s="277"/>
      <c r="M1308" s="277"/>
      <c r="N1308" s="277"/>
      <c r="O1308" s="277"/>
      <c r="P1308" s="277"/>
      <c r="Q1308" s="277"/>
      <c r="R1308" s="277"/>
      <c r="T1308" s="277"/>
      <c r="U1308" s="277"/>
      <c r="W1308" s="277"/>
      <c r="Y1308" s="107"/>
      <c r="Z1308" s="107"/>
      <c r="AA1308" s="107"/>
      <c r="AB1308" s="107"/>
      <c r="AC1308" s="107"/>
      <c r="AD1308" s="233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7"/>
      <c r="AV1308" s="107"/>
      <c r="AW1308" s="107"/>
      <c r="AX1308" s="107"/>
      <c r="AY1308" s="107"/>
      <c r="AZ1308" s="107"/>
      <c r="BA1308" s="107"/>
      <c r="BB1308" s="107"/>
      <c r="BC1308" s="107"/>
      <c r="BD1308" s="107"/>
      <c r="BE1308" s="107"/>
      <c r="BF1308" s="107"/>
      <c r="BG1308" s="107"/>
      <c r="BH1308" s="107"/>
      <c r="BI1308" s="107"/>
      <c r="BJ1308" s="107"/>
      <c r="BK1308" s="107"/>
      <c r="BL1308" s="107"/>
      <c r="BM1308" s="107"/>
      <c r="BN1308" s="107"/>
      <c r="BO1308" s="107"/>
      <c r="BP1308" s="107"/>
      <c r="BQ1308" s="107"/>
      <c r="BR1308" s="107"/>
    </row>
    <row r="1309" customFormat="false" ht="12.75" hidden="false" customHeight="false" outlineLevel="0" collapsed="false">
      <c r="A1309" s="100"/>
      <c r="B1309" s="100"/>
      <c r="C1309" s="100"/>
      <c r="D1309" s="100"/>
      <c r="E1309" s="100"/>
      <c r="F1309" s="277"/>
      <c r="H1309" s="277"/>
      <c r="I1309" s="277"/>
      <c r="J1309" s="277"/>
      <c r="K1309" s="277"/>
      <c r="L1309" s="277"/>
      <c r="M1309" s="277"/>
      <c r="N1309" s="277"/>
      <c r="O1309" s="277"/>
      <c r="P1309" s="277"/>
      <c r="Q1309" s="277"/>
      <c r="R1309" s="277"/>
      <c r="T1309" s="277"/>
      <c r="U1309" s="277"/>
      <c r="W1309" s="277"/>
      <c r="Y1309" s="107"/>
      <c r="Z1309" s="107"/>
      <c r="AA1309" s="107"/>
      <c r="AB1309" s="107"/>
      <c r="AC1309" s="107"/>
      <c r="AD1309" s="233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7"/>
      <c r="AV1309" s="107"/>
      <c r="AW1309" s="107"/>
      <c r="AX1309" s="107"/>
      <c r="AY1309" s="107"/>
      <c r="AZ1309" s="107"/>
      <c r="BA1309" s="107"/>
      <c r="BB1309" s="107"/>
      <c r="BC1309" s="107"/>
      <c r="BD1309" s="107"/>
      <c r="BE1309" s="107"/>
      <c r="BF1309" s="107"/>
      <c r="BG1309" s="107"/>
      <c r="BH1309" s="107"/>
      <c r="BI1309" s="107"/>
      <c r="BJ1309" s="107"/>
      <c r="BK1309" s="107"/>
      <c r="BL1309" s="107"/>
      <c r="BM1309" s="107"/>
      <c r="BN1309" s="107"/>
      <c r="BO1309" s="107"/>
      <c r="BP1309" s="107"/>
      <c r="BQ1309" s="107"/>
      <c r="BR1309" s="107"/>
    </row>
    <row r="1310" customFormat="false" ht="12.75" hidden="false" customHeight="false" outlineLevel="0" collapsed="false">
      <c r="A1310" s="100"/>
      <c r="B1310" s="100"/>
      <c r="C1310" s="100"/>
      <c r="D1310" s="100"/>
      <c r="E1310" s="100"/>
      <c r="F1310" s="277"/>
      <c r="H1310" s="277"/>
      <c r="I1310" s="277"/>
      <c r="J1310" s="277"/>
      <c r="K1310" s="277"/>
      <c r="L1310" s="277"/>
      <c r="M1310" s="277"/>
      <c r="N1310" s="277"/>
      <c r="O1310" s="277"/>
      <c r="P1310" s="277"/>
      <c r="Q1310" s="277"/>
      <c r="R1310" s="277"/>
      <c r="T1310" s="277"/>
      <c r="U1310" s="277"/>
      <c r="W1310" s="277"/>
      <c r="Y1310" s="107"/>
      <c r="Z1310" s="107"/>
      <c r="AA1310" s="107"/>
      <c r="AB1310" s="107"/>
      <c r="AC1310" s="107"/>
      <c r="AD1310" s="233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7"/>
      <c r="AV1310" s="107"/>
      <c r="AW1310" s="107"/>
      <c r="AX1310" s="107"/>
      <c r="AY1310" s="107"/>
      <c r="AZ1310" s="107"/>
      <c r="BA1310" s="107"/>
      <c r="BB1310" s="107"/>
      <c r="BC1310" s="107"/>
      <c r="BD1310" s="107"/>
      <c r="BE1310" s="107"/>
      <c r="BF1310" s="107"/>
      <c r="BG1310" s="107"/>
      <c r="BH1310" s="107"/>
      <c r="BI1310" s="107"/>
      <c r="BJ1310" s="107"/>
      <c r="BK1310" s="107"/>
      <c r="BL1310" s="107"/>
      <c r="BM1310" s="107"/>
      <c r="BN1310" s="107"/>
      <c r="BO1310" s="107"/>
      <c r="BP1310" s="107"/>
      <c r="BQ1310" s="107"/>
      <c r="BR1310" s="107"/>
    </row>
    <row r="1311" customFormat="false" ht="12.75" hidden="false" customHeight="false" outlineLevel="0" collapsed="false">
      <c r="A1311" s="100"/>
      <c r="B1311" s="100"/>
      <c r="C1311" s="100"/>
      <c r="D1311" s="100"/>
      <c r="E1311" s="100"/>
      <c r="F1311" s="277"/>
      <c r="H1311" s="277"/>
      <c r="I1311" s="277"/>
      <c r="J1311" s="277"/>
      <c r="K1311" s="277"/>
      <c r="L1311" s="277"/>
      <c r="M1311" s="277"/>
      <c r="N1311" s="277"/>
      <c r="O1311" s="277"/>
      <c r="P1311" s="277"/>
      <c r="Q1311" s="277"/>
      <c r="R1311" s="277"/>
      <c r="T1311" s="277"/>
      <c r="U1311" s="277"/>
      <c r="W1311" s="277"/>
      <c r="Y1311" s="107"/>
      <c r="Z1311" s="107"/>
      <c r="AA1311" s="107"/>
      <c r="AB1311" s="107"/>
      <c r="AC1311" s="107"/>
      <c r="AD1311" s="233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7"/>
      <c r="AV1311" s="107"/>
      <c r="AW1311" s="107"/>
      <c r="AX1311" s="107"/>
      <c r="AY1311" s="107"/>
      <c r="AZ1311" s="107"/>
      <c r="BA1311" s="107"/>
      <c r="BB1311" s="107"/>
      <c r="BC1311" s="107"/>
      <c r="BD1311" s="107"/>
      <c r="BE1311" s="107"/>
      <c r="BF1311" s="107"/>
      <c r="BG1311" s="107"/>
      <c r="BH1311" s="107"/>
      <c r="BI1311" s="107"/>
      <c r="BJ1311" s="107"/>
      <c r="BK1311" s="107"/>
      <c r="BL1311" s="107"/>
      <c r="BM1311" s="107"/>
      <c r="BN1311" s="107"/>
      <c r="BO1311" s="107"/>
      <c r="BP1311" s="107"/>
      <c r="BQ1311" s="107"/>
      <c r="BR1311" s="107"/>
    </row>
    <row r="1312" customFormat="false" ht="12.75" hidden="false" customHeight="false" outlineLevel="0" collapsed="false">
      <c r="A1312" s="100"/>
      <c r="B1312" s="100"/>
      <c r="C1312" s="100"/>
      <c r="D1312" s="100"/>
      <c r="E1312" s="100"/>
      <c r="F1312" s="277"/>
      <c r="H1312" s="277"/>
      <c r="I1312" s="277"/>
      <c r="J1312" s="277"/>
      <c r="K1312" s="277"/>
      <c r="L1312" s="277"/>
      <c r="M1312" s="277"/>
      <c r="N1312" s="277"/>
      <c r="O1312" s="277"/>
      <c r="P1312" s="277"/>
      <c r="Q1312" s="277"/>
      <c r="R1312" s="277"/>
      <c r="T1312" s="277"/>
      <c r="U1312" s="277"/>
      <c r="W1312" s="277"/>
      <c r="Y1312" s="107"/>
      <c r="Z1312" s="107"/>
      <c r="AA1312" s="107"/>
      <c r="AB1312" s="107"/>
      <c r="AC1312" s="107"/>
      <c r="AD1312" s="233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7"/>
      <c r="AV1312" s="107"/>
      <c r="AW1312" s="107"/>
      <c r="AX1312" s="107"/>
      <c r="AY1312" s="107"/>
      <c r="AZ1312" s="107"/>
      <c r="BA1312" s="107"/>
      <c r="BB1312" s="107"/>
      <c r="BC1312" s="107"/>
      <c r="BD1312" s="107"/>
      <c r="BE1312" s="107"/>
      <c r="BF1312" s="107"/>
      <c r="BG1312" s="107"/>
      <c r="BH1312" s="107"/>
      <c r="BI1312" s="107"/>
      <c r="BJ1312" s="107"/>
      <c r="BK1312" s="107"/>
      <c r="BL1312" s="107"/>
      <c r="BM1312" s="107"/>
      <c r="BN1312" s="107"/>
      <c r="BO1312" s="107"/>
      <c r="BP1312" s="107"/>
      <c r="BQ1312" s="107"/>
      <c r="BR1312" s="107"/>
    </row>
    <row r="1313" customFormat="false" ht="12.75" hidden="false" customHeight="false" outlineLevel="0" collapsed="false">
      <c r="A1313" s="100"/>
      <c r="B1313" s="100"/>
      <c r="C1313" s="100"/>
      <c r="D1313" s="100"/>
      <c r="E1313" s="100"/>
      <c r="F1313" s="277"/>
      <c r="H1313" s="277"/>
      <c r="I1313" s="277"/>
      <c r="J1313" s="277"/>
      <c r="K1313" s="277"/>
      <c r="L1313" s="277"/>
      <c r="M1313" s="277"/>
      <c r="N1313" s="277"/>
      <c r="O1313" s="277"/>
      <c r="P1313" s="277"/>
      <c r="Q1313" s="277"/>
      <c r="R1313" s="277"/>
      <c r="T1313" s="277"/>
      <c r="U1313" s="277"/>
      <c r="W1313" s="277"/>
      <c r="Y1313" s="107"/>
      <c r="Z1313" s="107"/>
      <c r="AA1313" s="107"/>
      <c r="AB1313" s="107"/>
      <c r="AC1313" s="107"/>
      <c r="AD1313" s="233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7"/>
      <c r="AV1313" s="107"/>
      <c r="AW1313" s="107"/>
      <c r="AX1313" s="107"/>
      <c r="AY1313" s="107"/>
      <c r="AZ1313" s="107"/>
      <c r="BA1313" s="107"/>
      <c r="BB1313" s="107"/>
      <c r="BC1313" s="107"/>
      <c r="BD1313" s="107"/>
      <c r="BE1313" s="107"/>
      <c r="BF1313" s="107"/>
      <c r="BG1313" s="107"/>
      <c r="BH1313" s="107"/>
      <c r="BI1313" s="107"/>
      <c r="BJ1313" s="107"/>
      <c r="BK1313" s="107"/>
      <c r="BL1313" s="107"/>
      <c r="BM1313" s="107"/>
      <c r="BN1313" s="107"/>
      <c r="BO1313" s="107"/>
      <c r="BP1313" s="107"/>
      <c r="BQ1313" s="107"/>
      <c r="BR1313" s="107"/>
    </row>
    <row r="1314" customFormat="false" ht="12.75" hidden="false" customHeight="false" outlineLevel="0" collapsed="false">
      <c r="A1314" s="100"/>
      <c r="B1314" s="100"/>
      <c r="C1314" s="100"/>
      <c r="D1314" s="100"/>
      <c r="E1314" s="100"/>
      <c r="F1314" s="277"/>
      <c r="H1314" s="277"/>
      <c r="I1314" s="277"/>
      <c r="J1314" s="277"/>
      <c r="K1314" s="277"/>
      <c r="L1314" s="277"/>
      <c r="M1314" s="277"/>
      <c r="N1314" s="277"/>
      <c r="O1314" s="277"/>
      <c r="P1314" s="277"/>
      <c r="Q1314" s="277"/>
      <c r="R1314" s="277"/>
      <c r="T1314" s="277"/>
      <c r="U1314" s="277"/>
      <c r="W1314" s="277"/>
      <c r="Y1314" s="107"/>
      <c r="Z1314" s="107"/>
      <c r="AA1314" s="107"/>
      <c r="AB1314" s="107"/>
      <c r="AC1314" s="107"/>
      <c r="AD1314" s="233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7"/>
      <c r="AV1314" s="107"/>
      <c r="AW1314" s="107"/>
      <c r="AX1314" s="107"/>
      <c r="AY1314" s="107"/>
      <c r="AZ1314" s="107"/>
      <c r="BA1314" s="107"/>
      <c r="BB1314" s="107"/>
      <c r="BC1314" s="107"/>
      <c r="BD1314" s="107"/>
      <c r="BE1314" s="107"/>
      <c r="BF1314" s="107"/>
      <c r="BG1314" s="107"/>
      <c r="BH1314" s="107"/>
      <c r="BI1314" s="107"/>
      <c r="BJ1314" s="107"/>
      <c r="BK1314" s="107"/>
      <c r="BL1314" s="107"/>
      <c r="BM1314" s="107"/>
      <c r="BN1314" s="107"/>
      <c r="BO1314" s="107"/>
      <c r="BP1314" s="107"/>
      <c r="BQ1314" s="107"/>
      <c r="BR1314" s="107"/>
    </row>
    <row r="1315" customFormat="false" ht="12.75" hidden="false" customHeight="false" outlineLevel="0" collapsed="false">
      <c r="A1315" s="100"/>
      <c r="B1315" s="100"/>
      <c r="C1315" s="100"/>
      <c r="D1315" s="100"/>
      <c r="E1315" s="100"/>
      <c r="F1315" s="277"/>
      <c r="H1315" s="277"/>
      <c r="I1315" s="277"/>
      <c r="J1315" s="277"/>
      <c r="K1315" s="277"/>
      <c r="L1315" s="277"/>
      <c r="M1315" s="277"/>
      <c r="N1315" s="277"/>
      <c r="O1315" s="277"/>
      <c r="P1315" s="277"/>
      <c r="Q1315" s="277"/>
      <c r="R1315" s="277"/>
      <c r="T1315" s="277"/>
      <c r="U1315" s="277"/>
      <c r="W1315" s="277"/>
      <c r="Y1315" s="107"/>
      <c r="Z1315" s="107"/>
      <c r="AA1315" s="107"/>
      <c r="AB1315" s="107"/>
      <c r="AC1315" s="107"/>
      <c r="AD1315" s="233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7"/>
      <c r="AV1315" s="107"/>
      <c r="AW1315" s="107"/>
      <c r="AX1315" s="107"/>
      <c r="AY1315" s="107"/>
      <c r="AZ1315" s="107"/>
      <c r="BA1315" s="107"/>
      <c r="BB1315" s="107"/>
      <c r="BC1315" s="107"/>
      <c r="BD1315" s="107"/>
      <c r="BE1315" s="107"/>
      <c r="BF1315" s="107"/>
      <c r="BG1315" s="107"/>
      <c r="BH1315" s="107"/>
      <c r="BI1315" s="107"/>
      <c r="BJ1315" s="107"/>
      <c r="BK1315" s="107"/>
      <c r="BL1315" s="107"/>
      <c r="BM1315" s="107"/>
      <c r="BN1315" s="107"/>
      <c r="BO1315" s="107"/>
      <c r="BP1315" s="107"/>
      <c r="BQ1315" s="107"/>
      <c r="BR1315" s="107"/>
    </row>
    <row r="1316" customFormat="false" ht="12.75" hidden="false" customHeight="false" outlineLevel="0" collapsed="false">
      <c r="A1316" s="100"/>
      <c r="B1316" s="100"/>
      <c r="C1316" s="100"/>
      <c r="D1316" s="100"/>
      <c r="E1316" s="100"/>
      <c r="F1316" s="277"/>
      <c r="H1316" s="277"/>
      <c r="I1316" s="277"/>
      <c r="J1316" s="277"/>
      <c r="K1316" s="277"/>
      <c r="L1316" s="277"/>
      <c r="M1316" s="277"/>
      <c r="N1316" s="277"/>
      <c r="O1316" s="277"/>
      <c r="P1316" s="277"/>
      <c r="Q1316" s="277"/>
      <c r="R1316" s="277"/>
      <c r="T1316" s="277"/>
      <c r="U1316" s="277"/>
      <c r="W1316" s="277"/>
      <c r="Y1316" s="107"/>
      <c r="Z1316" s="107"/>
      <c r="AA1316" s="107"/>
      <c r="AB1316" s="107"/>
      <c r="AC1316" s="107"/>
      <c r="AD1316" s="233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7"/>
      <c r="AV1316" s="107"/>
      <c r="AW1316" s="107"/>
      <c r="AX1316" s="107"/>
      <c r="AY1316" s="107"/>
      <c r="AZ1316" s="107"/>
      <c r="BA1316" s="107"/>
      <c r="BB1316" s="107"/>
      <c r="BC1316" s="107"/>
      <c r="BD1316" s="107"/>
      <c r="BE1316" s="107"/>
      <c r="BF1316" s="107"/>
      <c r="BG1316" s="107"/>
      <c r="BH1316" s="107"/>
      <c r="BI1316" s="107"/>
      <c r="BJ1316" s="107"/>
      <c r="BK1316" s="107"/>
      <c r="BL1316" s="107"/>
      <c r="BM1316" s="107"/>
      <c r="BN1316" s="107"/>
      <c r="BO1316" s="107"/>
      <c r="BP1316" s="107"/>
      <c r="BQ1316" s="107"/>
      <c r="BR1316" s="107"/>
    </row>
    <row r="1317" customFormat="false" ht="12.75" hidden="false" customHeight="false" outlineLevel="0" collapsed="false">
      <c r="A1317" s="100"/>
      <c r="B1317" s="100"/>
      <c r="C1317" s="100"/>
      <c r="D1317" s="100"/>
      <c r="E1317" s="100"/>
      <c r="F1317" s="277"/>
      <c r="H1317" s="277"/>
      <c r="I1317" s="277"/>
      <c r="J1317" s="277"/>
      <c r="K1317" s="277"/>
      <c r="L1317" s="277"/>
      <c r="M1317" s="277"/>
      <c r="N1317" s="277"/>
      <c r="O1317" s="277"/>
      <c r="P1317" s="277"/>
      <c r="Q1317" s="277"/>
      <c r="R1317" s="277"/>
      <c r="T1317" s="277"/>
      <c r="U1317" s="277"/>
      <c r="W1317" s="277"/>
      <c r="Y1317" s="107"/>
      <c r="Z1317" s="107"/>
      <c r="AA1317" s="107"/>
      <c r="AB1317" s="107"/>
      <c r="AC1317" s="107"/>
      <c r="AD1317" s="233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7"/>
      <c r="AV1317" s="107"/>
      <c r="AW1317" s="107"/>
      <c r="AX1317" s="107"/>
      <c r="AY1317" s="107"/>
      <c r="AZ1317" s="107"/>
      <c r="BA1317" s="107"/>
      <c r="BB1317" s="107"/>
      <c r="BC1317" s="107"/>
      <c r="BD1317" s="107"/>
      <c r="BE1317" s="107"/>
      <c r="BF1317" s="107"/>
      <c r="BG1317" s="107"/>
      <c r="BH1317" s="107"/>
      <c r="BI1317" s="107"/>
      <c r="BJ1317" s="107"/>
      <c r="BK1317" s="107"/>
      <c r="BL1317" s="107"/>
      <c r="BM1317" s="107"/>
      <c r="BN1317" s="107"/>
      <c r="BO1317" s="107"/>
      <c r="BP1317" s="107"/>
      <c r="BQ1317" s="107"/>
      <c r="BR1317" s="107"/>
    </row>
    <row r="1318" customFormat="false" ht="12.75" hidden="false" customHeight="false" outlineLevel="0" collapsed="false">
      <c r="A1318" s="100"/>
      <c r="B1318" s="100"/>
      <c r="C1318" s="100"/>
      <c r="D1318" s="100"/>
      <c r="E1318" s="100"/>
      <c r="F1318" s="277"/>
      <c r="H1318" s="277"/>
      <c r="I1318" s="277"/>
      <c r="J1318" s="277"/>
      <c r="K1318" s="277"/>
      <c r="L1318" s="277"/>
      <c r="M1318" s="277"/>
      <c r="N1318" s="277"/>
      <c r="O1318" s="277"/>
      <c r="P1318" s="277"/>
      <c r="Q1318" s="277"/>
      <c r="R1318" s="277"/>
      <c r="T1318" s="277"/>
      <c r="U1318" s="277"/>
      <c r="W1318" s="277"/>
      <c r="Y1318" s="107"/>
      <c r="Z1318" s="107"/>
      <c r="AA1318" s="107"/>
      <c r="AB1318" s="107"/>
      <c r="AC1318" s="107"/>
      <c r="AD1318" s="233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7"/>
      <c r="AV1318" s="107"/>
      <c r="AW1318" s="107"/>
      <c r="AX1318" s="107"/>
      <c r="AY1318" s="107"/>
      <c r="AZ1318" s="107"/>
      <c r="BA1318" s="107"/>
      <c r="BB1318" s="107"/>
      <c r="BC1318" s="107"/>
      <c r="BD1318" s="107"/>
      <c r="BE1318" s="107"/>
      <c r="BF1318" s="107"/>
      <c r="BG1318" s="107"/>
      <c r="BH1318" s="107"/>
      <c r="BI1318" s="107"/>
      <c r="BJ1318" s="107"/>
      <c r="BK1318" s="107"/>
      <c r="BL1318" s="107"/>
      <c r="BM1318" s="107"/>
      <c r="BN1318" s="107"/>
      <c r="BO1318" s="107"/>
      <c r="BP1318" s="107"/>
      <c r="BQ1318" s="107"/>
      <c r="BR1318" s="107"/>
    </row>
    <row r="1319" customFormat="false" ht="12.75" hidden="false" customHeight="false" outlineLevel="0" collapsed="false">
      <c r="A1319" s="100"/>
      <c r="B1319" s="100"/>
      <c r="C1319" s="100"/>
      <c r="D1319" s="100"/>
      <c r="E1319" s="100"/>
      <c r="F1319" s="277"/>
      <c r="H1319" s="277"/>
      <c r="I1319" s="277"/>
      <c r="J1319" s="277"/>
      <c r="K1319" s="277"/>
      <c r="L1319" s="277"/>
      <c r="M1319" s="277"/>
      <c r="N1319" s="277"/>
      <c r="O1319" s="277"/>
      <c r="P1319" s="277"/>
      <c r="Q1319" s="277"/>
      <c r="R1319" s="277"/>
      <c r="T1319" s="277"/>
      <c r="U1319" s="277"/>
      <c r="W1319" s="277"/>
      <c r="Y1319" s="107"/>
      <c r="Z1319" s="107"/>
      <c r="AA1319" s="107"/>
      <c r="AB1319" s="107"/>
      <c r="AC1319" s="107"/>
      <c r="AD1319" s="233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7"/>
      <c r="AV1319" s="107"/>
      <c r="AW1319" s="107"/>
      <c r="AX1319" s="107"/>
      <c r="AY1319" s="107"/>
      <c r="AZ1319" s="107"/>
      <c r="BA1319" s="107"/>
      <c r="BB1319" s="107"/>
      <c r="BC1319" s="107"/>
      <c r="BD1319" s="107"/>
      <c r="BE1319" s="107"/>
      <c r="BF1319" s="107"/>
      <c r="BG1319" s="107"/>
      <c r="BH1319" s="107"/>
      <c r="BI1319" s="107"/>
      <c r="BJ1319" s="107"/>
      <c r="BK1319" s="107"/>
      <c r="BL1319" s="107"/>
      <c r="BM1319" s="107"/>
      <c r="BN1319" s="107"/>
      <c r="BO1319" s="107"/>
      <c r="BP1319" s="107"/>
      <c r="BQ1319" s="107"/>
      <c r="BR1319" s="107"/>
    </row>
    <row r="1320" customFormat="false" ht="12.75" hidden="false" customHeight="false" outlineLevel="0" collapsed="false">
      <c r="A1320" s="100"/>
      <c r="B1320" s="100"/>
      <c r="C1320" s="100"/>
      <c r="D1320" s="100"/>
      <c r="E1320" s="100"/>
      <c r="F1320" s="277"/>
      <c r="H1320" s="277"/>
      <c r="I1320" s="277"/>
      <c r="J1320" s="277"/>
      <c r="K1320" s="277"/>
      <c r="L1320" s="277"/>
      <c r="M1320" s="277"/>
      <c r="N1320" s="277"/>
      <c r="O1320" s="277"/>
      <c r="P1320" s="277"/>
      <c r="Q1320" s="277"/>
      <c r="R1320" s="277"/>
      <c r="T1320" s="277"/>
      <c r="U1320" s="277"/>
      <c r="W1320" s="277"/>
      <c r="Y1320" s="107"/>
      <c r="Z1320" s="107"/>
      <c r="AA1320" s="107"/>
      <c r="AB1320" s="107"/>
      <c r="AC1320" s="107"/>
      <c r="AD1320" s="233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7"/>
      <c r="AV1320" s="107"/>
      <c r="AW1320" s="107"/>
      <c r="AX1320" s="107"/>
      <c r="AY1320" s="107"/>
      <c r="AZ1320" s="107"/>
      <c r="BA1320" s="107"/>
      <c r="BB1320" s="107"/>
      <c r="BC1320" s="107"/>
      <c r="BD1320" s="107"/>
      <c r="BE1320" s="107"/>
      <c r="BF1320" s="107"/>
      <c r="BG1320" s="107"/>
      <c r="BH1320" s="107"/>
      <c r="BI1320" s="107"/>
      <c r="BJ1320" s="107"/>
      <c r="BK1320" s="107"/>
      <c r="BL1320" s="107"/>
      <c r="BM1320" s="107"/>
      <c r="BN1320" s="107"/>
      <c r="BO1320" s="107"/>
      <c r="BP1320" s="107"/>
      <c r="BQ1320" s="107"/>
      <c r="BR1320" s="107"/>
    </row>
    <row r="1321" customFormat="false" ht="12.75" hidden="false" customHeight="false" outlineLevel="0" collapsed="false">
      <c r="A1321" s="100"/>
      <c r="B1321" s="100"/>
      <c r="C1321" s="100"/>
      <c r="D1321" s="100"/>
      <c r="E1321" s="100"/>
      <c r="F1321" s="277"/>
      <c r="H1321" s="277"/>
      <c r="I1321" s="277"/>
      <c r="J1321" s="277"/>
      <c r="K1321" s="277"/>
      <c r="L1321" s="277"/>
      <c r="M1321" s="277"/>
      <c r="N1321" s="277"/>
      <c r="O1321" s="277"/>
      <c r="P1321" s="277"/>
      <c r="Q1321" s="277"/>
      <c r="R1321" s="277"/>
      <c r="T1321" s="277"/>
      <c r="U1321" s="277"/>
      <c r="W1321" s="277"/>
      <c r="Y1321" s="107"/>
      <c r="Z1321" s="107"/>
      <c r="AA1321" s="107"/>
      <c r="AB1321" s="107"/>
      <c r="AC1321" s="107"/>
      <c r="AD1321" s="233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7"/>
      <c r="AV1321" s="107"/>
      <c r="AW1321" s="107"/>
      <c r="AX1321" s="107"/>
      <c r="AY1321" s="107"/>
      <c r="AZ1321" s="107"/>
      <c r="BA1321" s="107"/>
      <c r="BB1321" s="107"/>
      <c r="BC1321" s="107"/>
      <c r="BD1321" s="107"/>
      <c r="BE1321" s="107"/>
      <c r="BF1321" s="107"/>
      <c r="BG1321" s="107"/>
      <c r="BH1321" s="107"/>
      <c r="BI1321" s="107"/>
      <c r="BJ1321" s="107"/>
      <c r="BK1321" s="107"/>
      <c r="BL1321" s="107"/>
      <c r="BM1321" s="107"/>
      <c r="BN1321" s="107"/>
      <c r="BO1321" s="107"/>
      <c r="BP1321" s="107"/>
      <c r="BQ1321" s="107"/>
      <c r="BR1321" s="107"/>
    </row>
    <row r="1322" customFormat="false" ht="12.75" hidden="false" customHeight="false" outlineLevel="0" collapsed="false">
      <c r="A1322" s="100"/>
      <c r="B1322" s="100"/>
      <c r="C1322" s="100"/>
      <c r="D1322" s="100"/>
      <c r="E1322" s="100"/>
      <c r="F1322" s="277"/>
      <c r="H1322" s="277"/>
      <c r="I1322" s="277"/>
      <c r="J1322" s="277"/>
      <c r="K1322" s="277"/>
      <c r="L1322" s="277"/>
      <c r="M1322" s="277"/>
      <c r="N1322" s="277"/>
      <c r="O1322" s="277"/>
      <c r="P1322" s="277"/>
      <c r="Q1322" s="277"/>
      <c r="R1322" s="277"/>
      <c r="T1322" s="277"/>
      <c r="U1322" s="277"/>
      <c r="W1322" s="277"/>
      <c r="Y1322" s="107"/>
      <c r="Z1322" s="107"/>
      <c r="AA1322" s="107"/>
      <c r="AB1322" s="107"/>
      <c r="AC1322" s="107"/>
      <c r="AD1322" s="233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7"/>
      <c r="AV1322" s="107"/>
      <c r="AW1322" s="107"/>
      <c r="AX1322" s="107"/>
      <c r="AY1322" s="107"/>
      <c r="AZ1322" s="107"/>
      <c r="BA1322" s="107"/>
      <c r="BB1322" s="107"/>
      <c r="BC1322" s="107"/>
      <c r="BD1322" s="107"/>
      <c r="BE1322" s="107"/>
      <c r="BF1322" s="107"/>
      <c r="BG1322" s="107"/>
      <c r="BH1322" s="107"/>
      <c r="BI1322" s="107"/>
      <c r="BJ1322" s="107"/>
      <c r="BK1322" s="107"/>
      <c r="BL1322" s="107"/>
      <c r="BM1322" s="107"/>
      <c r="BN1322" s="107"/>
      <c r="BO1322" s="107"/>
      <c r="BP1322" s="107"/>
      <c r="BQ1322" s="107"/>
      <c r="BR1322" s="107"/>
    </row>
    <row r="1323" customFormat="false" ht="12.75" hidden="false" customHeight="false" outlineLevel="0" collapsed="false">
      <c r="A1323" s="100"/>
      <c r="B1323" s="100"/>
      <c r="C1323" s="100"/>
      <c r="D1323" s="100"/>
      <c r="E1323" s="100"/>
      <c r="F1323" s="277"/>
      <c r="H1323" s="277"/>
      <c r="I1323" s="277"/>
      <c r="J1323" s="277"/>
      <c r="K1323" s="277"/>
      <c r="L1323" s="277"/>
      <c r="M1323" s="277"/>
      <c r="N1323" s="277"/>
      <c r="O1323" s="277"/>
      <c r="P1323" s="277"/>
      <c r="Q1323" s="277"/>
      <c r="R1323" s="277"/>
      <c r="T1323" s="277"/>
      <c r="U1323" s="277"/>
      <c r="W1323" s="277"/>
      <c r="Y1323" s="107"/>
      <c r="Z1323" s="107"/>
      <c r="AA1323" s="107"/>
      <c r="AB1323" s="107"/>
      <c r="AC1323" s="107"/>
      <c r="AD1323" s="233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7"/>
      <c r="AV1323" s="107"/>
      <c r="AW1323" s="107"/>
      <c r="AX1323" s="107"/>
      <c r="AY1323" s="107"/>
      <c r="AZ1323" s="107"/>
      <c r="BA1323" s="107"/>
      <c r="BB1323" s="107"/>
      <c r="BC1323" s="107"/>
      <c r="BD1323" s="107"/>
      <c r="BE1323" s="107"/>
      <c r="BF1323" s="107"/>
      <c r="BG1323" s="107"/>
      <c r="BH1323" s="107"/>
      <c r="BI1323" s="107"/>
      <c r="BJ1323" s="107"/>
      <c r="BK1323" s="107"/>
      <c r="BL1323" s="107"/>
      <c r="BM1323" s="107"/>
      <c r="BN1323" s="107"/>
      <c r="BO1323" s="107"/>
      <c r="BP1323" s="107"/>
      <c r="BQ1323" s="107"/>
      <c r="BR1323" s="107"/>
    </row>
    <row r="1324" customFormat="false" ht="12.75" hidden="false" customHeight="false" outlineLevel="0" collapsed="false">
      <c r="A1324" s="100"/>
      <c r="B1324" s="100"/>
      <c r="C1324" s="100"/>
      <c r="D1324" s="100"/>
      <c r="E1324" s="100"/>
      <c r="F1324" s="277"/>
      <c r="H1324" s="277"/>
      <c r="I1324" s="277"/>
      <c r="J1324" s="277"/>
      <c r="K1324" s="277"/>
      <c r="L1324" s="277"/>
      <c r="M1324" s="277"/>
      <c r="N1324" s="277"/>
      <c r="O1324" s="277"/>
      <c r="P1324" s="277"/>
      <c r="Q1324" s="277"/>
      <c r="R1324" s="277"/>
      <c r="T1324" s="277"/>
      <c r="U1324" s="277"/>
      <c r="W1324" s="277"/>
      <c r="Y1324" s="107"/>
      <c r="Z1324" s="107"/>
      <c r="AA1324" s="107"/>
      <c r="AB1324" s="107"/>
      <c r="AC1324" s="107"/>
      <c r="AD1324" s="233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7"/>
      <c r="AV1324" s="107"/>
      <c r="AW1324" s="107"/>
      <c r="AX1324" s="107"/>
      <c r="AY1324" s="107"/>
      <c r="AZ1324" s="107"/>
      <c r="BA1324" s="107"/>
      <c r="BB1324" s="107"/>
      <c r="BC1324" s="107"/>
      <c r="BD1324" s="107"/>
      <c r="BE1324" s="107"/>
      <c r="BF1324" s="107"/>
      <c r="BG1324" s="107"/>
      <c r="BH1324" s="107"/>
      <c r="BI1324" s="107"/>
      <c r="BJ1324" s="107"/>
      <c r="BK1324" s="107"/>
      <c r="BL1324" s="107"/>
      <c r="BM1324" s="107"/>
      <c r="BN1324" s="107"/>
      <c r="BO1324" s="107"/>
      <c r="BP1324" s="107"/>
      <c r="BQ1324" s="107"/>
      <c r="BR1324" s="107"/>
    </row>
    <row r="1325" customFormat="false" ht="12.75" hidden="false" customHeight="false" outlineLevel="0" collapsed="false">
      <c r="A1325" s="100"/>
      <c r="B1325" s="100"/>
      <c r="C1325" s="100"/>
      <c r="D1325" s="100"/>
      <c r="E1325" s="100"/>
      <c r="F1325" s="277"/>
      <c r="H1325" s="277"/>
      <c r="I1325" s="277"/>
      <c r="J1325" s="277"/>
      <c r="K1325" s="277"/>
      <c r="L1325" s="277"/>
      <c r="M1325" s="277"/>
      <c r="N1325" s="277"/>
      <c r="O1325" s="277"/>
      <c r="P1325" s="277"/>
      <c r="Q1325" s="277"/>
      <c r="R1325" s="277"/>
      <c r="T1325" s="277"/>
      <c r="U1325" s="277"/>
      <c r="W1325" s="277"/>
      <c r="Y1325" s="107"/>
      <c r="Z1325" s="107"/>
      <c r="AA1325" s="107"/>
      <c r="AB1325" s="107"/>
      <c r="AC1325" s="107"/>
      <c r="AD1325" s="233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7"/>
      <c r="AV1325" s="107"/>
      <c r="AW1325" s="107"/>
      <c r="AX1325" s="107"/>
      <c r="AY1325" s="107"/>
      <c r="AZ1325" s="107"/>
      <c r="BA1325" s="107"/>
      <c r="BB1325" s="107"/>
      <c r="BC1325" s="107"/>
      <c r="BD1325" s="107"/>
      <c r="BE1325" s="107"/>
      <c r="BF1325" s="107"/>
      <c r="BG1325" s="107"/>
      <c r="BH1325" s="107"/>
      <c r="BI1325" s="107"/>
      <c r="BJ1325" s="107"/>
      <c r="BK1325" s="107"/>
      <c r="BL1325" s="107"/>
      <c r="BM1325" s="107"/>
      <c r="BN1325" s="107"/>
      <c r="BO1325" s="107"/>
      <c r="BP1325" s="107"/>
      <c r="BQ1325" s="107"/>
      <c r="BR1325" s="107"/>
    </row>
    <row r="1326" customFormat="false" ht="12.75" hidden="false" customHeight="false" outlineLevel="0" collapsed="false">
      <c r="A1326" s="100"/>
      <c r="B1326" s="100"/>
      <c r="C1326" s="100"/>
      <c r="D1326" s="100"/>
      <c r="E1326" s="100"/>
      <c r="F1326" s="277"/>
      <c r="H1326" s="277"/>
      <c r="I1326" s="277"/>
      <c r="J1326" s="277"/>
      <c r="K1326" s="277"/>
      <c r="L1326" s="277"/>
      <c r="M1326" s="277"/>
      <c r="N1326" s="277"/>
      <c r="O1326" s="277"/>
      <c r="P1326" s="277"/>
      <c r="Q1326" s="277"/>
      <c r="R1326" s="277"/>
      <c r="T1326" s="277"/>
      <c r="U1326" s="277"/>
      <c r="W1326" s="277"/>
      <c r="Y1326" s="107"/>
      <c r="Z1326" s="107"/>
      <c r="AA1326" s="107"/>
      <c r="AB1326" s="107"/>
      <c r="AC1326" s="107"/>
      <c r="AD1326" s="233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7"/>
      <c r="AV1326" s="107"/>
      <c r="AW1326" s="107"/>
      <c r="AX1326" s="107"/>
      <c r="AY1326" s="107"/>
      <c r="AZ1326" s="107"/>
      <c r="BA1326" s="107"/>
      <c r="BB1326" s="107"/>
      <c r="BC1326" s="107"/>
      <c r="BD1326" s="107"/>
      <c r="BE1326" s="107"/>
      <c r="BF1326" s="107"/>
      <c r="BG1326" s="107"/>
      <c r="BH1326" s="107"/>
      <c r="BI1326" s="107"/>
      <c r="BJ1326" s="107"/>
      <c r="BK1326" s="107"/>
      <c r="BL1326" s="107"/>
      <c r="BM1326" s="107"/>
      <c r="BN1326" s="107"/>
      <c r="BO1326" s="107"/>
      <c r="BP1326" s="107"/>
      <c r="BQ1326" s="107"/>
      <c r="BR1326" s="107"/>
    </row>
    <row r="1327" customFormat="false" ht="12.75" hidden="false" customHeight="false" outlineLevel="0" collapsed="false">
      <c r="A1327" s="100"/>
      <c r="B1327" s="100"/>
      <c r="C1327" s="100"/>
      <c r="D1327" s="100"/>
      <c r="E1327" s="100"/>
      <c r="F1327" s="277"/>
      <c r="H1327" s="277"/>
      <c r="I1327" s="277"/>
      <c r="J1327" s="277"/>
      <c r="K1327" s="277"/>
      <c r="L1327" s="277"/>
      <c r="M1327" s="277"/>
      <c r="N1327" s="277"/>
      <c r="O1327" s="277"/>
      <c r="P1327" s="277"/>
      <c r="Q1327" s="277"/>
      <c r="R1327" s="277"/>
      <c r="T1327" s="277"/>
      <c r="U1327" s="277"/>
      <c r="W1327" s="277"/>
      <c r="Y1327" s="107"/>
      <c r="Z1327" s="107"/>
      <c r="AA1327" s="107"/>
      <c r="AB1327" s="107"/>
      <c r="AC1327" s="107"/>
      <c r="AD1327" s="233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7"/>
      <c r="AV1327" s="107"/>
      <c r="AW1327" s="107"/>
      <c r="AX1327" s="107"/>
      <c r="AY1327" s="107"/>
      <c r="AZ1327" s="107"/>
      <c r="BA1327" s="107"/>
      <c r="BB1327" s="107"/>
      <c r="BC1327" s="107"/>
      <c r="BD1327" s="107"/>
      <c r="BE1327" s="107"/>
      <c r="BF1327" s="107"/>
      <c r="BG1327" s="107"/>
      <c r="BH1327" s="107"/>
      <c r="BI1327" s="107"/>
      <c r="BJ1327" s="107"/>
      <c r="BK1327" s="107"/>
      <c r="BL1327" s="107"/>
      <c r="BM1327" s="107"/>
      <c r="BN1327" s="107"/>
      <c r="BO1327" s="107"/>
      <c r="BP1327" s="107"/>
      <c r="BQ1327" s="107"/>
      <c r="BR1327" s="107"/>
    </row>
    <row r="1328" customFormat="false" ht="12.75" hidden="false" customHeight="false" outlineLevel="0" collapsed="false">
      <c r="A1328" s="100"/>
      <c r="B1328" s="100"/>
      <c r="C1328" s="100"/>
      <c r="D1328" s="100"/>
      <c r="E1328" s="100"/>
      <c r="F1328" s="277"/>
      <c r="H1328" s="277"/>
      <c r="I1328" s="277"/>
      <c r="J1328" s="277"/>
      <c r="K1328" s="277"/>
      <c r="L1328" s="277"/>
      <c r="M1328" s="277"/>
      <c r="N1328" s="277"/>
      <c r="O1328" s="277"/>
      <c r="P1328" s="277"/>
      <c r="Q1328" s="277"/>
      <c r="R1328" s="277"/>
      <c r="T1328" s="277"/>
      <c r="U1328" s="277"/>
      <c r="W1328" s="277"/>
      <c r="Y1328" s="107"/>
      <c r="Z1328" s="107"/>
      <c r="AA1328" s="107"/>
      <c r="AB1328" s="107"/>
      <c r="AC1328" s="107"/>
      <c r="AD1328" s="233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7"/>
      <c r="AV1328" s="107"/>
      <c r="AW1328" s="107"/>
      <c r="AX1328" s="107"/>
      <c r="AY1328" s="107"/>
      <c r="AZ1328" s="107"/>
      <c r="BA1328" s="107"/>
      <c r="BB1328" s="107"/>
      <c r="BC1328" s="107"/>
      <c r="BD1328" s="107"/>
      <c r="BE1328" s="107"/>
      <c r="BF1328" s="107"/>
      <c r="BG1328" s="107"/>
      <c r="BH1328" s="107"/>
      <c r="BI1328" s="107"/>
      <c r="BJ1328" s="107"/>
      <c r="BK1328" s="107"/>
      <c r="BL1328" s="107"/>
      <c r="BM1328" s="107"/>
      <c r="BN1328" s="107"/>
      <c r="BO1328" s="107"/>
      <c r="BP1328" s="107"/>
      <c r="BQ1328" s="107"/>
      <c r="BR1328" s="107"/>
    </row>
    <row r="1329" customFormat="false" ht="12.75" hidden="false" customHeight="false" outlineLevel="0" collapsed="false">
      <c r="A1329" s="100"/>
      <c r="B1329" s="100"/>
      <c r="C1329" s="100"/>
      <c r="D1329" s="100"/>
      <c r="E1329" s="100"/>
      <c r="F1329" s="277"/>
      <c r="H1329" s="277"/>
      <c r="I1329" s="277"/>
      <c r="J1329" s="277"/>
      <c r="K1329" s="277"/>
      <c r="L1329" s="277"/>
      <c r="M1329" s="277"/>
      <c r="N1329" s="277"/>
      <c r="O1329" s="277"/>
      <c r="P1329" s="277"/>
      <c r="Q1329" s="277"/>
      <c r="R1329" s="277"/>
      <c r="T1329" s="277"/>
      <c r="U1329" s="277"/>
      <c r="W1329" s="277"/>
      <c r="Y1329" s="107"/>
      <c r="Z1329" s="107"/>
      <c r="AA1329" s="107"/>
      <c r="AB1329" s="107"/>
      <c r="AC1329" s="107"/>
      <c r="AD1329" s="233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7"/>
      <c r="AV1329" s="107"/>
      <c r="AW1329" s="107"/>
      <c r="AX1329" s="107"/>
      <c r="AY1329" s="107"/>
      <c r="AZ1329" s="107"/>
      <c r="BA1329" s="107"/>
      <c r="BB1329" s="107"/>
      <c r="BC1329" s="107"/>
      <c r="BD1329" s="107"/>
      <c r="BE1329" s="107"/>
      <c r="BF1329" s="107"/>
      <c r="BG1329" s="107"/>
      <c r="BH1329" s="107"/>
      <c r="BI1329" s="107"/>
      <c r="BJ1329" s="107"/>
      <c r="BK1329" s="107"/>
      <c r="BL1329" s="107"/>
      <c r="BM1329" s="107"/>
      <c r="BN1329" s="107"/>
      <c r="BO1329" s="107"/>
      <c r="BP1329" s="107"/>
      <c r="BQ1329" s="107"/>
      <c r="BR1329" s="107"/>
    </row>
    <row r="1330" customFormat="false" ht="12.75" hidden="false" customHeight="false" outlineLevel="0" collapsed="false">
      <c r="A1330" s="100"/>
      <c r="B1330" s="100"/>
      <c r="C1330" s="100"/>
      <c r="D1330" s="100"/>
      <c r="E1330" s="100"/>
      <c r="F1330" s="277"/>
      <c r="H1330" s="277"/>
      <c r="I1330" s="277"/>
      <c r="J1330" s="277"/>
      <c r="K1330" s="277"/>
      <c r="L1330" s="277"/>
      <c r="M1330" s="277"/>
      <c r="N1330" s="277"/>
      <c r="O1330" s="277"/>
      <c r="P1330" s="277"/>
      <c r="Q1330" s="277"/>
      <c r="R1330" s="277"/>
      <c r="T1330" s="277"/>
      <c r="U1330" s="277"/>
      <c r="W1330" s="277"/>
      <c r="Y1330" s="107"/>
      <c r="Z1330" s="107"/>
      <c r="AA1330" s="107"/>
      <c r="AB1330" s="107"/>
      <c r="AC1330" s="107"/>
      <c r="AD1330" s="233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7"/>
      <c r="AV1330" s="107"/>
      <c r="AW1330" s="107"/>
      <c r="AX1330" s="107"/>
      <c r="AY1330" s="107"/>
      <c r="AZ1330" s="107"/>
      <c r="BA1330" s="107"/>
      <c r="BB1330" s="107"/>
      <c r="BC1330" s="107"/>
      <c r="BD1330" s="107"/>
      <c r="BE1330" s="107"/>
      <c r="BF1330" s="107"/>
      <c r="BG1330" s="107"/>
      <c r="BH1330" s="107"/>
      <c r="BI1330" s="107"/>
      <c r="BJ1330" s="107"/>
      <c r="BK1330" s="107"/>
      <c r="BL1330" s="107"/>
      <c r="BM1330" s="107"/>
      <c r="BN1330" s="107"/>
      <c r="BO1330" s="107"/>
      <c r="BP1330" s="107"/>
      <c r="BQ1330" s="107"/>
      <c r="BR1330" s="107"/>
    </row>
    <row r="1331" customFormat="false" ht="12.75" hidden="false" customHeight="false" outlineLevel="0" collapsed="false">
      <c r="A1331" s="100"/>
      <c r="B1331" s="100"/>
      <c r="C1331" s="100"/>
      <c r="D1331" s="100"/>
      <c r="E1331" s="100"/>
      <c r="F1331" s="277"/>
      <c r="H1331" s="277"/>
      <c r="I1331" s="277"/>
      <c r="J1331" s="277"/>
      <c r="K1331" s="277"/>
      <c r="L1331" s="277"/>
      <c r="M1331" s="277"/>
      <c r="N1331" s="277"/>
      <c r="O1331" s="277"/>
      <c r="P1331" s="277"/>
      <c r="Q1331" s="277"/>
      <c r="R1331" s="277"/>
      <c r="T1331" s="277"/>
      <c r="U1331" s="277"/>
      <c r="W1331" s="277"/>
      <c r="Y1331" s="107"/>
      <c r="Z1331" s="107"/>
      <c r="AA1331" s="107"/>
      <c r="AB1331" s="107"/>
      <c r="AC1331" s="107"/>
      <c r="AD1331" s="233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7"/>
      <c r="AV1331" s="107"/>
      <c r="AW1331" s="107"/>
      <c r="AX1331" s="107"/>
      <c r="AY1331" s="107"/>
      <c r="AZ1331" s="107"/>
      <c r="BA1331" s="107"/>
      <c r="BB1331" s="107"/>
      <c r="BC1331" s="107"/>
      <c r="BD1331" s="107"/>
      <c r="BE1331" s="107"/>
      <c r="BF1331" s="107"/>
      <c r="BG1331" s="107"/>
      <c r="BH1331" s="107"/>
      <c r="BI1331" s="107"/>
      <c r="BJ1331" s="107"/>
      <c r="BK1331" s="107"/>
      <c r="BL1331" s="107"/>
      <c r="BM1331" s="107"/>
      <c r="BN1331" s="107"/>
      <c r="BO1331" s="107"/>
      <c r="BP1331" s="107"/>
      <c r="BQ1331" s="107"/>
      <c r="BR1331" s="107"/>
    </row>
    <row r="1332" customFormat="false" ht="12.75" hidden="false" customHeight="false" outlineLevel="0" collapsed="false">
      <c r="A1332" s="100"/>
      <c r="B1332" s="100"/>
      <c r="C1332" s="100"/>
      <c r="D1332" s="100"/>
      <c r="E1332" s="100"/>
      <c r="F1332" s="277"/>
      <c r="H1332" s="277"/>
      <c r="I1332" s="277"/>
      <c r="J1332" s="277"/>
      <c r="K1332" s="277"/>
      <c r="L1332" s="277"/>
      <c r="M1332" s="277"/>
      <c r="N1332" s="277"/>
      <c r="O1332" s="277"/>
      <c r="P1332" s="277"/>
      <c r="Q1332" s="277"/>
      <c r="R1332" s="277"/>
      <c r="T1332" s="277"/>
      <c r="U1332" s="277"/>
      <c r="W1332" s="277"/>
      <c r="Y1332" s="107"/>
      <c r="Z1332" s="107"/>
      <c r="AA1332" s="107"/>
      <c r="AB1332" s="107"/>
      <c r="AC1332" s="107"/>
      <c r="AD1332" s="233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7"/>
      <c r="AV1332" s="107"/>
      <c r="AW1332" s="107"/>
      <c r="AX1332" s="107"/>
      <c r="AY1332" s="107"/>
      <c r="AZ1332" s="107"/>
      <c r="BA1332" s="107"/>
      <c r="BB1332" s="107"/>
      <c r="BC1332" s="107"/>
      <c r="BD1332" s="107"/>
      <c r="BE1332" s="107"/>
      <c r="BF1332" s="107"/>
      <c r="BG1332" s="107"/>
      <c r="BH1332" s="107"/>
      <c r="BI1332" s="107"/>
      <c r="BJ1332" s="107"/>
      <c r="BK1332" s="107"/>
      <c r="BL1332" s="107"/>
      <c r="BM1332" s="107"/>
      <c r="BN1332" s="107"/>
      <c r="BO1332" s="107"/>
      <c r="BP1332" s="107"/>
      <c r="BQ1332" s="107"/>
      <c r="BR1332" s="107"/>
    </row>
    <row r="1333" customFormat="false" ht="12.75" hidden="false" customHeight="false" outlineLevel="0" collapsed="false">
      <c r="A1333" s="100"/>
      <c r="B1333" s="100"/>
      <c r="C1333" s="100"/>
      <c r="D1333" s="100"/>
      <c r="E1333" s="100"/>
      <c r="F1333" s="277"/>
      <c r="H1333" s="277"/>
      <c r="I1333" s="277"/>
      <c r="J1333" s="277"/>
      <c r="K1333" s="277"/>
      <c r="L1333" s="277"/>
      <c r="M1333" s="277"/>
      <c r="N1333" s="277"/>
      <c r="O1333" s="277"/>
      <c r="P1333" s="277"/>
      <c r="Q1333" s="277"/>
      <c r="R1333" s="277"/>
      <c r="T1333" s="277"/>
      <c r="U1333" s="277"/>
      <c r="W1333" s="277"/>
      <c r="Y1333" s="107"/>
      <c r="Z1333" s="107"/>
      <c r="AA1333" s="107"/>
      <c r="AB1333" s="107"/>
      <c r="AC1333" s="107"/>
      <c r="AD1333" s="233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7"/>
      <c r="AV1333" s="107"/>
      <c r="AW1333" s="107"/>
      <c r="AX1333" s="107"/>
      <c r="AY1333" s="107"/>
      <c r="AZ1333" s="107"/>
      <c r="BA1333" s="107"/>
      <c r="BB1333" s="107"/>
      <c r="BC1333" s="107"/>
      <c r="BD1333" s="107"/>
      <c r="BE1333" s="107"/>
      <c r="BF1333" s="107"/>
      <c r="BG1333" s="107"/>
      <c r="BH1333" s="107"/>
      <c r="BI1333" s="107"/>
      <c r="BJ1333" s="107"/>
      <c r="BK1333" s="107"/>
      <c r="BL1333" s="107"/>
      <c r="BM1333" s="107"/>
      <c r="BN1333" s="107"/>
      <c r="BO1333" s="107"/>
      <c r="BP1333" s="107"/>
      <c r="BQ1333" s="107"/>
      <c r="BR1333" s="107"/>
    </row>
    <row r="1334" customFormat="false" ht="12.75" hidden="false" customHeight="false" outlineLevel="0" collapsed="false">
      <c r="A1334" s="100"/>
      <c r="B1334" s="100"/>
      <c r="C1334" s="100"/>
      <c r="D1334" s="100"/>
      <c r="E1334" s="100"/>
      <c r="F1334" s="277"/>
      <c r="H1334" s="277"/>
      <c r="I1334" s="277"/>
      <c r="J1334" s="277"/>
      <c r="K1334" s="277"/>
      <c r="L1334" s="277"/>
      <c r="M1334" s="277"/>
      <c r="N1334" s="277"/>
      <c r="O1334" s="277"/>
      <c r="P1334" s="277"/>
      <c r="Q1334" s="277"/>
      <c r="R1334" s="277"/>
      <c r="T1334" s="277"/>
      <c r="U1334" s="277"/>
      <c r="W1334" s="277"/>
      <c r="Y1334" s="107"/>
      <c r="Z1334" s="107"/>
      <c r="AA1334" s="107"/>
      <c r="AB1334" s="107"/>
      <c r="AC1334" s="107"/>
      <c r="AD1334" s="233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7"/>
      <c r="AV1334" s="107"/>
      <c r="AW1334" s="107"/>
      <c r="AX1334" s="107"/>
      <c r="AY1334" s="107"/>
      <c r="AZ1334" s="107"/>
      <c r="BA1334" s="107"/>
      <c r="BB1334" s="107"/>
      <c r="BC1334" s="107"/>
      <c r="BD1334" s="107"/>
      <c r="BE1334" s="107"/>
      <c r="BF1334" s="107"/>
      <c r="BG1334" s="107"/>
      <c r="BH1334" s="107"/>
      <c r="BI1334" s="107"/>
      <c r="BJ1334" s="107"/>
      <c r="BK1334" s="107"/>
      <c r="BL1334" s="107"/>
      <c r="BM1334" s="107"/>
      <c r="BN1334" s="107"/>
      <c r="BO1334" s="107"/>
      <c r="BP1334" s="107"/>
      <c r="BQ1334" s="107"/>
      <c r="BR1334" s="107"/>
    </row>
    <row r="1335" customFormat="false" ht="12.75" hidden="false" customHeight="false" outlineLevel="0" collapsed="false">
      <c r="A1335" s="100"/>
      <c r="B1335" s="100"/>
      <c r="C1335" s="100"/>
      <c r="D1335" s="100"/>
      <c r="E1335" s="100"/>
      <c r="F1335" s="277"/>
      <c r="H1335" s="277"/>
      <c r="I1335" s="277"/>
      <c r="J1335" s="277"/>
      <c r="K1335" s="277"/>
      <c r="L1335" s="277"/>
      <c r="M1335" s="277"/>
      <c r="N1335" s="277"/>
      <c r="O1335" s="277"/>
      <c r="P1335" s="277"/>
      <c r="Q1335" s="277"/>
      <c r="R1335" s="277"/>
      <c r="T1335" s="277"/>
      <c r="U1335" s="277"/>
      <c r="W1335" s="277"/>
      <c r="Y1335" s="107"/>
      <c r="Z1335" s="107"/>
      <c r="AA1335" s="107"/>
      <c r="AB1335" s="107"/>
      <c r="AC1335" s="107"/>
      <c r="AD1335" s="233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7"/>
      <c r="AV1335" s="107"/>
      <c r="AW1335" s="107"/>
      <c r="AX1335" s="107"/>
      <c r="AY1335" s="107"/>
      <c r="AZ1335" s="107"/>
      <c r="BA1335" s="107"/>
      <c r="BB1335" s="107"/>
      <c r="BC1335" s="107"/>
      <c r="BD1335" s="107"/>
      <c r="BE1335" s="107"/>
      <c r="BF1335" s="107"/>
      <c r="BG1335" s="107"/>
      <c r="BH1335" s="107"/>
      <c r="BI1335" s="107"/>
      <c r="BJ1335" s="107"/>
      <c r="BK1335" s="107"/>
      <c r="BL1335" s="107"/>
      <c r="BM1335" s="107"/>
      <c r="BN1335" s="107"/>
      <c r="BO1335" s="107"/>
      <c r="BP1335" s="107"/>
      <c r="BQ1335" s="107"/>
      <c r="BR1335" s="107"/>
    </row>
    <row r="1336" customFormat="false" ht="12.75" hidden="false" customHeight="false" outlineLevel="0" collapsed="false">
      <c r="A1336" s="100"/>
      <c r="B1336" s="100"/>
      <c r="C1336" s="100"/>
      <c r="D1336" s="100"/>
      <c r="E1336" s="100"/>
      <c r="F1336" s="277"/>
      <c r="H1336" s="277"/>
      <c r="I1336" s="277"/>
      <c r="J1336" s="277"/>
      <c r="K1336" s="277"/>
      <c r="L1336" s="277"/>
      <c r="M1336" s="277"/>
      <c r="N1336" s="277"/>
      <c r="O1336" s="277"/>
      <c r="P1336" s="277"/>
      <c r="Q1336" s="277"/>
      <c r="R1336" s="277"/>
      <c r="T1336" s="277"/>
      <c r="U1336" s="277"/>
      <c r="W1336" s="277"/>
      <c r="Y1336" s="107"/>
      <c r="Z1336" s="107"/>
      <c r="AA1336" s="107"/>
      <c r="AB1336" s="107"/>
      <c r="AC1336" s="107"/>
      <c r="AD1336" s="233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7"/>
      <c r="AV1336" s="107"/>
      <c r="AW1336" s="107"/>
      <c r="AX1336" s="107"/>
      <c r="AY1336" s="107"/>
      <c r="AZ1336" s="107"/>
      <c r="BA1336" s="107"/>
      <c r="BB1336" s="107"/>
      <c r="BC1336" s="107"/>
      <c r="BD1336" s="107"/>
      <c r="BE1336" s="107"/>
      <c r="BF1336" s="107"/>
      <c r="BG1336" s="107"/>
      <c r="BH1336" s="107"/>
      <c r="BI1336" s="107"/>
      <c r="BJ1336" s="107"/>
      <c r="BK1336" s="107"/>
      <c r="BL1336" s="107"/>
      <c r="BM1336" s="107"/>
      <c r="BN1336" s="107"/>
      <c r="BO1336" s="107"/>
      <c r="BP1336" s="107"/>
      <c r="BQ1336" s="107"/>
      <c r="BR1336" s="107"/>
    </row>
    <row r="1337" customFormat="false" ht="12.75" hidden="false" customHeight="false" outlineLevel="0" collapsed="false">
      <c r="A1337" s="100"/>
      <c r="B1337" s="100"/>
      <c r="C1337" s="100"/>
      <c r="D1337" s="100"/>
      <c r="E1337" s="100"/>
      <c r="F1337" s="277"/>
      <c r="H1337" s="277"/>
      <c r="I1337" s="277"/>
      <c r="J1337" s="277"/>
      <c r="K1337" s="277"/>
      <c r="L1337" s="277"/>
      <c r="M1337" s="277"/>
      <c r="N1337" s="277"/>
      <c r="O1337" s="277"/>
      <c r="P1337" s="277"/>
      <c r="Q1337" s="277"/>
      <c r="R1337" s="277"/>
      <c r="T1337" s="277"/>
      <c r="U1337" s="277"/>
      <c r="W1337" s="277"/>
      <c r="Y1337" s="107"/>
      <c r="Z1337" s="107"/>
      <c r="AA1337" s="107"/>
      <c r="AB1337" s="107"/>
      <c r="AC1337" s="107"/>
      <c r="AD1337" s="233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7"/>
      <c r="AV1337" s="107"/>
      <c r="AW1337" s="107"/>
      <c r="AX1337" s="107"/>
      <c r="AY1337" s="107"/>
      <c r="AZ1337" s="107"/>
      <c r="BA1337" s="107"/>
      <c r="BB1337" s="107"/>
      <c r="BC1337" s="107"/>
      <c r="BD1337" s="107"/>
      <c r="BE1337" s="107"/>
      <c r="BF1337" s="107"/>
      <c r="BG1337" s="107"/>
      <c r="BH1337" s="107"/>
      <c r="BI1337" s="107"/>
      <c r="BJ1337" s="107"/>
      <c r="BK1337" s="107"/>
      <c r="BL1337" s="107"/>
      <c r="BM1337" s="107"/>
      <c r="BN1337" s="107"/>
      <c r="BO1337" s="107"/>
      <c r="BP1337" s="107"/>
      <c r="BQ1337" s="107"/>
      <c r="BR1337" s="107"/>
    </row>
    <row r="1338" customFormat="false" ht="12.75" hidden="false" customHeight="false" outlineLevel="0" collapsed="false">
      <c r="A1338" s="100"/>
      <c r="B1338" s="100"/>
      <c r="C1338" s="100"/>
      <c r="D1338" s="100"/>
      <c r="E1338" s="100"/>
      <c r="F1338" s="277"/>
      <c r="H1338" s="277"/>
      <c r="I1338" s="277"/>
      <c r="J1338" s="277"/>
      <c r="K1338" s="277"/>
      <c r="L1338" s="277"/>
      <c r="M1338" s="277"/>
      <c r="N1338" s="277"/>
      <c r="O1338" s="277"/>
      <c r="P1338" s="277"/>
      <c r="Q1338" s="277"/>
      <c r="R1338" s="277"/>
      <c r="T1338" s="277"/>
      <c r="U1338" s="277"/>
      <c r="W1338" s="277"/>
      <c r="Y1338" s="107"/>
      <c r="Z1338" s="107"/>
      <c r="AA1338" s="107"/>
      <c r="AB1338" s="107"/>
      <c r="AC1338" s="107"/>
      <c r="AD1338" s="233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7"/>
      <c r="AV1338" s="107"/>
      <c r="AW1338" s="107"/>
      <c r="AX1338" s="107"/>
      <c r="AY1338" s="107"/>
      <c r="AZ1338" s="107"/>
      <c r="BA1338" s="107"/>
      <c r="BB1338" s="107"/>
      <c r="BC1338" s="107"/>
      <c r="BD1338" s="107"/>
      <c r="BE1338" s="107"/>
      <c r="BF1338" s="107"/>
      <c r="BG1338" s="107"/>
      <c r="BH1338" s="107"/>
      <c r="BI1338" s="107"/>
      <c r="BJ1338" s="107"/>
      <c r="BK1338" s="107"/>
      <c r="BL1338" s="107"/>
      <c r="BM1338" s="107"/>
      <c r="BN1338" s="107"/>
      <c r="BO1338" s="107"/>
      <c r="BP1338" s="107"/>
      <c r="BQ1338" s="107"/>
      <c r="BR1338" s="107"/>
    </row>
    <row r="1339" customFormat="false" ht="12.75" hidden="false" customHeight="false" outlineLevel="0" collapsed="false">
      <c r="A1339" s="100"/>
      <c r="B1339" s="100"/>
      <c r="C1339" s="100"/>
      <c r="D1339" s="100"/>
      <c r="E1339" s="100"/>
      <c r="F1339" s="277"/>
      <c r="H1339" s="277"/>
      <c r="I1339" s="277"/>
      <c r="J1339" s="277"/>
      <c r="K1339" s="277"/>
      <c r="L1339" s="277"/>
      <c r="M1339" s="277"/>
      <c r="N1339" s="277"/>
      <c r="O1339" s="277"/>
      <c r="P1339" s="277"/>
      <c r="Q1339" s="277"/>
      <c r="R1339" s="277"/>
      <c r="T1339" s="277"/>
      <c r="U1339" s="277"/>
      <c r="W1339" s="277"/>
      <c r="Y1339" s="107"/>
      <c r="Z1339" s="107"/>
      <c r="AA1339" s="107"/>
      <c r="AB1339" s="107"/>
      <c r="AC1339" s="107"/>
      <c r="AD1339" s="233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7"/>
      <c r="AV1339" s="107"/>
      <c r="AW1339" s="107"/>
      <c r="AX1339" s="107"/>
      <c r="AY1339" s="107"/>
      <c r="AZ1339" s="107"/>
      <c r="BA1339" s="107"/>
      <c r="BB1339" s="107"/>
      <c r="BC1339" s="107"/>
      <c r="BD1339" s="107"/>
      <c r="BE1339" s="107"/>
      <c r="BF1339" s="107"/>
      <c r="BG1339" s="107"/>
      <c r="BH1339" s="107"/>
      <c r="BI1339" s="107"/>
      <c r="BJ1339" s="107"/>
      <c r="BK1339" s="107"/>
      <c r="BL1339" s="107"/>
      <c r="BM1339" s="107"/>
      <c r="BN1339" s="107"/>
      <c r="BO1339" s="107"/>
      <c r="BP1339" s="107"/>
      <c r="BQ1339" s="107"/>
      <c r="BR1339" s="107"/>
    </row>
    <row r="1340" customFormat="false" ht="12.75" hidden="false" customHeight="false" outlineLevel="0" collapsed="false">
      <c r="A1340" s="100"/>
      <c r="B1340" s="100"/>
      <c r="C1340" s="100"/>
      <c r="D1340" s="100"/>
      <c r="E1340" s="100"/>
      <c r="F1340" s="277"/>
      <c r="H1340" s="277"/>
      <c r="I1340" s="277"/>
      <c r="J1340" s="277"/>
      <c r="K1340" s="277"/>
      <c r="L1340" s="277"/>
      <c r="M1340" s="277"/>
      <c r="N1340" s="277"/>
      <c r="O1340" s="277"/>
      <c r="P1340" s="277"/>
      <c r="Q1340" s="277"/>
      <c r="R1340" s="277"/>
      <c r="T1340" s="277"/>
      <c r="U1340" s="277"/>
      <c r="W1340" s="277"/>
      <c r="Y1340" s="107"/>
      <c r="Z1340" s="107"/>
      <c r="AA1340" s="107"/>
      <c r="AB1340" s="107"/>
      <c r="AC1340" s="107"/>
      <c r="AD1340" s="233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7"/>
      <c r="AV1340" s="107"/>
      <c r="AW1340" s="107"/>
      <c r="AX1340" s="107"/>
      <c r="AY1340" s="107"/>
      <c r="AZ1340" s="107"/>
      <c r="BA1340" s="107"/>
      <c r="BB1340" s="107"/>
      <c r="BC1340" s="107"/>
      <c r="BD1340" s="107"/>
      <c r="BE1340" s="107"/>
      <c r="BF1340" s="107"/>
      <c r="BG1340" s="107"/>
      <c r="BH1340" s="107"/>
      <c r="BI1340" s="107"/>
      <c r="BJ1340" s="107"/>
      <c r="BK1340" s="107"/>
      <c r="BL1340" s="107"/>
      <c r="BM1340" s="107"/>
      <c r="BN1340" s="107"/>
      <c r="BO1340" s="107"/>
      <c r="BP1340" s="107"/>
      <c r="BQ1340" s="107"/>
      <c r="BR1340" s="107"/>
    </row>
    <row r="1341" customFormat="false" ht="12.75" hidden="false" customHeight="false" outlineLevel="0" collapsed="false">
      <c r="A1341" s="100"/>
      <c r="B1341" s="100"/>
      <c r="C1341" s="100"/>
      <c r="D1341" s="100"/>
      <c r="E1341" s="100"/>
      <c r="F1341" s="277"/>
      <c r="H1341" s="277"/>
      <c r="I1341" s="277"/>
      <c r="J1341" s="277"/>
      <c r="K1341" s="277"/>
      <c r="L1341" s="277"/>
      <c r="M1341" s="277"/>
      <c r="N1341" s="277"/>
      <c r="O1341" s="277"/>
      <c r="P1341" s="277"/>
      <c r="Q1341" s="277"/>
      <c r="R1341" s="277"/>
      <c r="T1341" s="277"/>
      <c r="U1341" s="277"/>
      <c r="W1341" s="277"/>
      <c r="Y1341" s="107"/>
      <c r="Z1341" s="107"/>
      <c r="AA1341" s="107"/>
      <c r="AB1341" s="107"/>
      <c r="AC1341" s="107"/>
      <c r="AD1341" s="233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7"/>
      <c r="AV1341" s="107"/>
      <c r="AW1341" s="107"/>
      <c r="AX1341" s="107"/>
      <c r="AY1341" s="107"/>
      <c r="AZ1341" s="107"/>
      <c r="BA1341" s="107"/>
      <c r="BB1341" s="107"/>
      <c r="BC1341" s="107"/>
      <c r="BD1341" s="107"/>
      <c r="BE1341" s="107"/>
      <c r="BF1341" s="107"/>
      <c r="BG1341" s="107"/>
      <c r="BH1341" s="107"/>
      <c r="BI1341" s="107"/>
      <c r="BJ1341" s="107"/>
      <c r="BK1341" s="107"/>
      <c r="BL1341" s="107"/>
      <c r="BM1341" s="107"/>
      <c r="BN1341" s="107"/>
      <c r="BO1341" s="107"/>
      <c r="BP1341" s="107"/>
      <c r="BQ1341" s="107"/>
      <c r="BR1341" s="107"/>
    </row>
    <row r="1342" customFormat="false" ht="12.75" hidden="false" customHeight="false" outlineLevel="0" collapsed="false">
      <c r="A1342" s="100"/>
      <c r="B1342" s="100"/>
      <c r="C1342" s="100"/>
      <c r="D1342" s="100"/>
      <c r="E1342" s="100"/>
      <c r="F1342" s="277"/>
      <c r="H1342" s="277"/>
      <c r="I1342" s="277"/>
      <c r="J1342" s="277"/>
      <c r="K1342" s="277"/>
      <c r="L1342" s="277"/>
      <c r="M1342" s="277"/>
      <c r="N1342" s="277"/>
      <c r="O1342" s="277"/>
      <c r="P1342" s="277"/>
      <c r="Q1342" s="277"/>
      <c r="R1342" s="277"/>
      <c r="T1342" s="277"/>
      <c r="U1342" s="277"/>
      <c r="W1342" s="277"/>
      <c r="Y1342" s="107"/>
      <c r="Z1342" s="107"/>
      <c r="AA1342" s="107"/>
      <c r="AB1342" s="107"/>
      <c r="AC1342" s="107"/>
      <c r="AD1342" s="233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7"/>
      <c r="AV1342" s="107"/>
      <c r="AW1342" s="107"/>
      <c r="AX1342" s="107"/>
      <c r="AY1342" s="107"/>
      <c r="AZ1342" s="107"/>
      <c r="BA1342" s="107"/>
      <c r="BB1342" s="107"/>
      <c r="BC1342" s="107"/>
      <c r="BD1342" s="107"/>
      <c r="BE1342" s="107"/>
      <c r="BF1342" s="107"/>
      <c r="BG1342" s="107"/>
      <c r="BH1342" s="107"/>
      <c r="BI1342" s="107"/>
      <c r="BJ1342" s="107"/>
      <c r="BK1342" s="107"/>
      <c r="BL1342" s="107"/>
      <c r="BM1342" s="107"/>
      <c r="BN1342" s="107"/>
      <c r="BO1342" s="107"/>
      <c r="BP1342" s="107"/>
      <c r="BQ1342" s="107"/>
      <c r="BR1342" s="107"/>
    </row>
    <row r="1343" customFormat="false" ht="12.75" hidden="false" customHeight="false" outlineLevel="0" collapsed="false">
      <c r="A1343" s="100"/>
      <c r="B1343" s="100"/>
      <c r="C1343" s="100"/>
      <c r="D1343" s="100"/>
      <c r="E1343" s="100"/>
      <c r="F1343" s="277"/>
      <c r="H1343" s="277"/>
      <c r="I1343" s="277"/>
      <c r="J1343" s="277"/>
      <c r="K1343" s="277"/>
      <c r="L1343" s="277"/>
      <c r="M1343" s="277"/>
      <c r="N1343" s="277"/>
      <c r="O1343" s="277"/>
      <c r="P1343" s="277"/>
      <c r="Q1343" s="277"/>
      <c r="R1343" s="277"/>
      <c r="T1343" s="277"/>
      <c r="U1343" s="277"/>
      <c r="W1343" s="277"/>
      <c r="Y1343" s="107"/>
      <c r="Z1343" s="107"/>
      <c r="AA1343" s="107"/>
      <c r="AB1343" s="107"/>
      <c r="AC1343" s="107"/>
      <c r="AD1343" s="233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7"/>
      <c r="AV1343" s="107"/>
      <c r="AW1343" s="107"/>
      <c r="AX1343" s="107"/>
      <c r="AY1343" s="107"/>
      <c r="AZ1343" s="107"/>
      <c r="BA1343" s="107"/>
      <c r="BB1343" s="107"/>
      <c r="BC1343" s="107"/>
      <c r="BD1343" s="107"/>
      <c r="BE1343" s="107"/>
      <c r="BF1343" s="107"/>
      <c r="BG1343" s="107"/>
      <c r="BH1343" s="107"/>
      <c r="BI1343" s="107"/>
      <c r="BJ1343" s="107"/>
      <c r="BK1343" s="107"/>
      <c r="BL1343" s="107"/>
      <c r="BM1343" s="107"/>
      <c r="BN1343" s="107"/>
      <c r="BO1343" s="107"/>
      <c r="BP1343" s="107"/>
      <c r="BQ1343" s="107"/>
      <c r="BR1343" s="107"/>
    </row>
    <row r="1344" customFormat="false" ht="12.75" hidden="false" customHeight="false" outlineLevel="0" collapsed="false">
      <c r="A1344" s="100"/>
      <c r="B1344" s="100"/>
      <c r="C1344" s="100"/>
      <c r="D1344" s="100"/>
      <c r="E1344" s="100"/>
      <c r="F1344" s="277"/>
      <c r="H1344" s="277"/>
      <c r="I1344" s="277"/>
      <c r="J1344" s="277"/>
      <c r="K1344" s="277"/>
      <c r="L1344" s="277"/>
      <c r="M1344" s="277"/>
      <c r="N1344" s="277"/>
      <c r="O1344" s="277"/>
      <c r="P1344" s="277"/>
      <c r="Q1344" s="277"/>
      <c r="R1344" s="277"/>
      <c r="T1344" s="277"/>
      <c r="U1344" s="277"/>
      <c r="W1344" s="277"/>
      <c r="Y1344" s="107"/>
      <c r="Z1344" s="107"/>
      <c r="AA1344" s="107"/>
      <c r="AB1344" s="107"/>
      <c r="AC1344" s="107"/>
      <c r="AD1344" s="233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7"/>
      <c r="AV1344" s="107"/>
      <c r="AW1344" s="107"/>
      <c r="AX1344" s="107"/>
      <c r="AY1344" s="107"/>
      <c r="AZ1344" s="107"/>
      <c r="BA1344" s="107"/>
      <c r="BB1344" s="107"/>
      <c r="BC1344" s="107"/>
      <c r="BD1344" s="107"/>
      <c r="BE1344" s="107"/>
      <c r="BF1344" s="107"/>
      <c r="BG1344" s="107"/>
      <c r="BH1344" s="107"/>
      <c r="BI1344" s="107"/>
      <c r="BJ1344" s="107"/>
      <c r="BK1344" s="107"/>
      <c r="BL1344" s="107"/>
      <c r="BM1344" s="107"/>
      <c r="BN1344" s="107"/>
      <c r="BO1344" s="107"/>
      <c r="BP1344" s="107"/>
      <c r="BQ1344" s="107"/>
      <c r="BR1344" s="107"/>
    </row>
    <row r="1345" customFormat="false" ht="12.75" hidden="false" customHeight="false" outlineLevel="0" collapsed="false">
      <c r="A1345" s="100"/>
      <c r="B1345" s="100"/>
      <c r="C1345" s="100"/>
      <c r="D1345" s="100"/>
      <c r="E1345" s="100"/>
      <c r="F1345" s="277"/>
      <c r="H1345" s="277"/>
      <c r="I1345" s="277"/>
      <c r="J1345" s="277"/>
      <c r="K1345" s="277"/>
      <c r="L1345" s="277"/>
      <c r="M1345" s="277"/>
      <c r="N1345" s="277"/>
      <c r="O1345" s="277"/>
      <c r="P1345" s="277"/>
      <c r="Q1345" s="277"/>
      <c r="R1345" s="277"/>
      <c r="T1345" s="277"/>
      <c r="U1345" s="277"/>
      <c r="W1345" s="277"/>
      <c r="Y1345" s="107"/>
      <c r="Z1345" s="107"/>
      <c r="AA1345" s="107"/>
      <c r="AB1345" s="107"/>
      <c r="AC1345" s="107"/>
      <c r="AD1345" s="233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7"/>
      <c r="AV1345" s="107"/>
      <c r="AW1345" s="107"/>
      <c r="AX1345" s="107"/>
      <c r="AY1345" s="107"/>
      <c r="AZ1345" s="107"/>
      <c r="BA1345" s="107"/>
      <c r="BB1345" s="107"/>
      <c r="BC1345" s="107"/>
      <c r="BD1345" s="107"/>
      <c r="BE1345" s="107"/>
      <c r="BF1345" s="107"/>
      <c r="BG1345" s="107"/>
      <c r="BH1345" s="107"/>
      <c r="BI1345" s="107"/>
      <c r="BJ1345" s="107"/>
      <c r="BK1345" s="107"/>
      <c r="BL1345" s="107"/>
      <c r="BM1345" s="107"/>
      <c r="BN1345" s="107"/>
      <c r="BO1345" s="107"/>
      <c r="BP1345" s="107"/>
      <c r="BQ1345" s="107"/>
      <c r="BR1345" s="107"/>
    </row>
    <row r="1346" customFormat="false" ht="12.75" hidden="false" customHeight="false" outlineLevel="0" collapsed="false">
      <c r="A1346" s="100"/>
      <c r="B1346" s="100"/>
      <c r="C1346" s="100"/>
      <c r="D1346" s="100"/>
      <c r="E1346" s="100"/>
      <c r="F1346" s="277"/>
      <c r="H1346" s="277"/>
      <c r="I1346" s="277"/>
      <c r="J1346" s="277"/>
      <c r="K1346" s="277"/>
      <c r="L1346" s="277"/>
      <c r="M1346" s="277"/>
      <c r="N1346" s="277"/>
      <c r="O1346" s="277"/>
      <c r="P1346" s="277"/>
      <c r="Q1346" s="277"/>
      <c r="R1346" s="277"/>
      <c r="T1346" s="277"/>
      <c r="U1346" s="277"/>
      <c r="W1346" s="277"/>
      <c r="Y1346" s="107"/>
      <c r="Z1346" s="107"/>
      <c r="AA1346" s="107"/>
      <c r="AB1346" s="107"/>
      <c r="AC1346" s="107"/>
      <c r="AD1346" s="233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7"/>
      <c r="AV1346" s="107"/>
      <c r="AW1346" s="107"/>
      <c r="AX1346" s="107"/>
      <c r="AY1346" s="107"/>
      <c r="AZ1346" s="107"/>
      <c r="BA1346" s="107"/>
      <c r="BB1346" s="107"/>
      <c r="BC1346" s="107"/>
      <c r="BD1346" s="107"/>
      <c r="BE1346" s="107"/>
      <c r="BF1346" s="107"/>
      <c r="BG1346" s="107"/>
      <c r="BH1346" s="107"/>
      <c r="BI1346" s="107"/>
      <c r="BJ1346" s="107"/>
      <c r="BK1346" s="107"/>
      <c r="BL1346" s="107"/>
      <c r="BM1346" s="107"/>
      <c r="BN1346" s="107"/>
      <c r="BO1346" s="107"/>
      <c r="BP1346" s="107"/>
      <c r="BQ1346" s="107"/>
      <c r="BR1346" s="107"/>
    </row>
    <row r="1347" customFormat="false" ht="12.75" hidden="false" customHeight="false" outlineLevel="0" collapsed="false">
      <c r="A1347" s="100"/>
      <c r="B1347" s="100"/>
      <c r="C1347" s="100"/>
      <c r="D1347" s="100"/>
      <c r="E1347" s="100"/>
      <c r="F1347" s="277"/>
      <c r="H1347" s="277"/>
      <c r="I1347" s="277"/>
      <c r="J1347" s="277"/>
      <c r="K1347" s="277"/>
      <c r="L1347" s="277"/>
      <c r="M1347" s="277"/>
      <c r="N1347" s="277"/>
      <c r="O1347" s="277"/>
      <c r="P1347" s="277"/>
      <c r="Q1347" s="277"/>
      <c r="R1347" s="277"/>
      <c r="T1347" s="277"/>
      <c r="U1347" s="277"/>
      <c r="W1347" s="277"/>
      <c r="Y1347" s="107"/>
      <c r="Z1347" s="107"/>
      <c r="AA1347" s="107"/>
      <c r="AB1347" s="107"/>
      <c r="AC1347" s="107"/>
      <c r="AD1347" s="233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7"/>
      <c r="AV1347" s="107"/>
      <c r="AW1347" s="107"/>
      <c r="AX1347" s="107"/>
      <c r="AY1347" s="107"/>
      <c r="AZ1347" s="107"/>
      <c r="BA1347" s="107"/>
      <c r="BB1347" s="107"/>
      <c r="BC1347" s="107"/>
      <c r="BD1347" s="107"/>
      <c r="BE1347" s="107"/>
      <c r="BF1347" s="107"/>
      <c r="BG1347" s="107"/>
      <c r="BH1347" s="107"/>
      <c r="BI1347" s="107"/>
      <c r="BJ1347" s="107"/>
      <c r="BK1347" s="107"/>
      <c r="BL1347" s="107"/>
      <c r="BM1347" s="107"/>
      <c r="BN1347" s="107"/>
      <c r="BO1347" s="107"/>
      <c r="BP1347" s="107"/>
      <c r="BQ1347" s="107"/>
      <c r="BR1347" s="107"/>
    </row>
    <row r="1348" customFormat="false" ht="12.75" hidden="false" customHeight="false" outlineLevel="0" collapsed="false">
      <c r="A1348" s="100"/>
      <c r="B1348" s="100"/>
      <c r="C1348" s="100"/>
      <c r="D1348" s="100"/>
      <c r="E1348" s="100"/>
      <c r="F1348" s="277"/>
      <c r="H1348" s="277"/>
      <c r="I1348" s="277"/>
      <c r="J1348" s="277"/>
      <c r="K1348" s="277"/>
      <c r="L1348" s="277"/>
      <c r="M1348" s="277"/>
      <c r="N1348" s="277"/>
      <c r="O1348" s="277"/>
      <c r="P1348" s="277"/>
      <c r="Q1348" s="277"/>
      <c r="R1348" s="277"/>
      <c r="T1348" s="277"/>
      <c r="U1348" s="277"/>
      <c r="W1348" s="277"/>
      <c r="Y1348" s="107"/>
      <c r="Z1348" s="107"/>
      <c r="AA1348" s="107"/>
      <c r="AB1348" s="107"/>
      <c r="AC1348" s="107"/>
      <c r="AD1348" s="233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7"/>
      <c r="AV1348" s="107"/>
      <c r="AW1348" s="107"/>
      <c r="AX1348" s="107"/>
      <c r="AY1348" s="107"/>
      <c r="AZ1348" s="107"/>
      <c r="BA1348" s="107"/>
      <c r="BB1348" s="107"/>
      <c r="BC1348" s="107"/>
      <c r="BD1348" s="107"/>
      <c r="BE1348" s="107"/>
      <c r="BF1348" s="107"/>
      <c r="BG1348" s="107"/>
      <c r="BH1348" s="107"/>
      <c r="BI1348" s="107"/>
      <c r="BJ1348" s="107"/>
      <c r="BK1348" s="107"/>
      <c r="BL1348" s="107"/>
      <c r="BM1348" s="107"/>
      <c r="BN1348" s="107"/>
      <c r="BO1348" s="107"/>
      <c r="BP1348" s="107"/>
      <c r="BQ1348" s="107"/>
      <c r="BR1348" s="107"/>
    </row>
    <row r="1349" customFormat="false" ht="12.75" hidden="false" customHeight="false" outlineLevel="0" collapsed="false">
      <c r="A1349" s="100"/>
      <c r="B1349" s="100"/>
      <c r="C1349" s="100"/>
      <c r="D1349" s="100"/>
      <c r="E1349" s="100"/>
      <c r="F1349" s="277"/>
      <c r="H1349" s="277"/>
      <c r="I1349" s="277"/>
      <c r="J1349" s="277"/>
      <c r="K1349" s="277"/>
      <c r="L1349" s="277"/>
      <c r="M1349" s="277"/>
      <c r="N1349" s="277"/>
      <c r="O1349" s="277"/>
      <c r="P1349" s="277"/>
      <c r="Q1349" s="277"/>
      <c r="R1349" s="277"/>
      <c r="T1349" s="277"/>
      <c r="U1349" s="277"/>
      <c r="W1349" s="277"/>
      <c r="Y1349" s="107"/>
      <c r="Z1349" s="107"/>
      <c r="AA1349" s="107"/>
      <c r="AB1349" s="107"/>
      <c r="AC1349" s="107"/>
      <c r="AD1349" s="233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7"/>
      <c r="AV1349" s="107"/>
      <c r="AW1349" s="107"/>
      <c r="AX1349" s="107"/>
      <c r="AY1349" s="107"/>
      <c r="AZ1349" s="107"/>
      <c r="BA1349" s="107"/>
      <c r="BB1349" s="107"/>
      <c r="BC1349" s="107"/>
      <c r="BD1349" s="107"/>
      <c r="BE1349" s="107"/>
      <c r="BF1349" s="107"/>
      <c r="BG1349" s="107"/>
      <c r="BH1349" s="107"/>
      <c r="BI1349" s="107"/>
      <c r="BJ1349" s="107"/>
      <c r="BK1349" s="107"/>
      <c r="BL1349" s="107"/>
      <c r="BM1349" s="107"/>
      <c r="BN1349" s="107"/>
      <c r="BO1349" s="107"/>
      <c r="BP1349" s="107"/>
      <c r="BQ1349" s="107"/>
      <c r="BR1349" s="107"/>
    </row>
    <row r="1350" customFormat="false" ht="12.75" hidden="false" customHeight="false" outlineLevel="0" collapsed="false">
      <c r="A1350" s="100"/>
      <c r="B1350" s="100"/>
      <c r="C1350" s="100"/>
      <c r="D1350" s="100"/>
      <c r="E1350" s="100"/>
      <c r="F1350" s="277"/>
      <c r="H1350" s="277"/>
      <c r="I1350" s="277"/>
      <c r="J1350" s="277"/>
      <c r="K1350" s="277"/>
      <c r="L1350" s="277"/>
      <c r="M1350" s="277"/>
      <c r="N1350" s="277"/>
      <c r="O1350" s="277"/>
      <c r="P1350" s="277"/>
      <c r="Q1350" s="277"/>
      <c r="R1350" s="277"/>
      <c r="T1350" s="277"/>
      <c r="U1350" s="277"/>
      <c r="W1350" s="277"/>
      <c r="Y1350" s="107"/>
      <c r="Z1350" s="107"/>
      <c r="AA1350" s="107"/>
      <c r="AB1350" s="107"/>
      <c r="AC1350" s="107"/>
      <c r="AD1350" s="233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7"/>
      <c r="AV1350" s="107"/>
      <c r="AW1350" s="107"/>
      <c r="AX1350" s="107"/>
      <c r="AY1350" s="107"/>
      <c r="AZ1350" s="107"/>
      <c r="BA1350" s="107"/>
      <c r="BB1350" s="107"/>
      <c r="BC1350" s="107"/>
      <c r="BD1350" s="107"/>
      <c r="BE1350" s="107"/>
      <c r="BF1350" s="107"/>
      <c r="BG1350" s="107"/>
      <c r="BH1350" s="107"/>
      <c r="BI1350" s="107"/>
      <c r="BJ1350" s="107"/>
      <c r="BK1350" s="107"/>
      <c r="BL1350" s="107"/>
      <c r="BM1350" s="107"/>
      <c r="BN1350" s="107"/>
      <c r="BO1350" s="107"/>
      <c r="BP1350" s="107"/>
      <c r="BQ1350" s="107"/>
      <c r="BR1350" s="107"/>
    </row>
    <row r="1351" customFormat="false" ht="12.75" hidden="false" customHeight="false" outlineLevel="0" collapsed="false">
      <c r="A1351" s="100"/>
      <c r="B1351" s="100"/>
      <c r="C1351" s="100"/>
      <c r="D1351" s="100"/>
      <c r="E1351" s="100"/>
      <c r="F1351" s="277"/>
      <c r="H1351" s="277"/>
      <c r="I1351" s="277"/>
      <c r="J1351" s="277"/>
      <c r="K1351" s="277"/>
      <c r="L1351" s="277"/>
      <c r="M1351" s="277"/>
      <c r="N1351" s="277"/>
      <c r="O1351" s="277"/>
      <c r="P1351" s="277"/>
      <c r="Q1351" s="277"/>
      <c r="R1351" s="277"/>
      <c r="T1351" s="277"/>
      <c r="U1351" s="277"/>
      <c r="W1351" s="277"/>
      <c r="Y1351" s="107"/>
      <c r="Z1351" s="107"/>
      <c r="AA1351" s="107"/>
      <c r="AB1351" s="107"/>
      <c r="AC1351" s="107"/>
      <c r="AD1351" s="233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7"/>
      <c r="AV1351" s="107"/>
      <c r="AW1351" s="107"/>
      <c r="AX1351" s="107"/>
      <c r="AY1351" s="107"/>
      <c r="AZ1351" s="107"/>
      <c r="BA1351" s="107"/>
      <c r="BB1351" s="107"/>
      <c r="BC1351" s="107"/>
      <c r="BD1351" s="107"/>
      <c r="BE1351" s="107"/>
      <c r="BF1351" s="107"/>
      <c r="BG1351" s="107"/>
      <c r="BH1351" s="107"/>
      <c r="BI1351" s="107"/>
      <c r="BJ1351" s="107"/>
      <c r="BK1351" s="107"/>
      <c r="BL1351" s="107"/>
      <c r="BM1351" s="107"/>
      <c r="BN1351" s="107"/>
      <c r="BO1351" s="107"/>
      <c r="BP1351" s="107"/>
      <c r="BQ1351" s="107"/>
      <c r="BR1351" s="107"/>
    </row>
    <row r="1352" customFormat="false" ht="12.75" hidden="false" customHeight="false" outlineLevel="0" collapsed="false">
      <c r="A1352" s="100"/>
      <c r="B1352" s="100"/>
      <c r="C1352" s="100"/>
      <c r="D1352" s="100"/>
      <c r="E1352" s="100"/>
      <c r="F1352" s="277"/>
      <c r="H1352" s="277"/>
      <c r="I1352" s="277"/>
      <c r="J1352" s="277"/>
      <c r="K1352" s="277"/>
      <c r="L1352" s="277"/>
      <c r="M1352" s="277"/>
      <c r="N1352" s="277"/>
      <c r="O1352" s="277"/>
      <c r="P1352" s="277"/>
      <c r="Q1352" s="277"/>
      <c r="R1352" s="277"/>
      <c r="T1352" s="277"/>
      <c r="U1352" s="277"/>
      <c r="W1352" s="277"/>
      <c r="Y1352" s="107"/>
      <c r="Z1352" s="107"/>
      <c r="AA1352" s="107"/>
      <c r="AB1352" s="107"/>
      <c r="AC1352" s="107"/>
      <c r="AD1352" s="233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7"/>
      <c r="AV1352" s="107"/>
      <c r="AW1352" s="107"/>
      <c r="AX1352" s="107"/>
      <c r="AY1352" s="107"/>
      <c r="AZ1352" s="107"/>
      <c r="BA1352" s="107"/>
      <c r="BB1352" s="107"/>
      <c r="BC1352" s="107"/>
      <c r="BD1352" s="107"/>
      <c r="BE1352" s="107"/>
      <c r="BF1352" s="107"/>
      <c r="BG1352" s="107"/>
      <c r="BH1352" s="107"/>
      <c r="BI1352" s="107"/>
      <c r="BJ1352" s="107"/>
      <c r="BK1352" s="107"/>
      <c r="BL1352" s="107"/>
      <c r="BM1352" s="107"/>
      <c r="BN1352" s="107"/>
      <c r="BO1352" s="107"/>
      <c r="BP1352" s="107"/>
      <c r="BQ1352" s="107"/>
      <c r="BR1352" s="107"/>
    </row>
    <row r="1353" customFormat="false" ht="12.75" hidden="false" customHeight="false" outlineLevel="0" collapsed="false">
      <c r="A1353" s="100"/>
      <c r="B1353" s="100"/>
      <c r="C1353" s="100"/>
      <c r="D1353" s="100"/>
      <c r="E1353" s="100"/>
      <c r="F1353" s="277"/>
      <c r="H1353" s="277"/>
      <c r="I1353" s="277"/>
      <c r="J1353" s="277"/>
      <c r="K1353" s="277"/>
      <c r="L1353" s="277"/>
      <c r="M1353" s="277"/>
      <c r="N1353" s="277"/>
      <c r="O1353" s="277"/>
      <c r="P1353" s="277"/>
      <c r="Q1353" s="277"/>
      <c r="R1353" s="277"/>
      <c r="T1353" s="277"/>
      <c r="U1353" s="277"/>
      <c r="W1353" s="277"/>
      <c r="Y1353" s="107"/>
      <c r="Z1353" s="107"/>
      <c r="AA1353" s="107"/>
      <c r="AB1353" s="107"/>
      <c r="AC1353" s="107"/>
      <c r="AD1353" s="233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7"/>
      <c r="AV1353" s="107"/>
      <c r="AW1353" s="107"/>
      <c r="AX1353" s="107"/>
      <c r="AY1353" s="107"/>
      <c r="AZ1353" s="107"/>
      <c r="BA1353" s="107"/>
      <c r="BB1353" s="107"/>
      <c r="BC1353" s="107"/>
      <c r="BD1353" s="107"/>
      <c r="BE1353" s="107"/>
      <c r="BF1353" s="107"/>
      <c r="BG1353" s="107"/>
      <c r="BH1353" s="107"/>
      <c r="BI1353" s="107"/>
      <c r="BJ1353" s="107"/>
      <c r="BK1353" s="107"/>
      <c r="BL1353" s="107"/>
      <c r="BM1353" s="107"/>
      <c r="BN1353" s="107"/>
      <c r="BO1353" s="107"/>
      <c r="BP1353" s="107"/>
      <c r="BQ1353" s="107"/>
      <c r="BR1353" s="107"/>
    </row>
    <row r="1354" customFormat="false" ht="12.75" hidden="false" customHeight="false" outlineLevel="0" collapsed="false">
      <c r="A1354" s="100"/>
      <c r="B1354" s="100"/>
      <c r="C1354" s="100"/>
      <c r="D1354" s="100"/>
      <c r="E1354" s="100"/>
      <c r="F1354" s="277"/>
      <c r="H1354" s="277"/>
      <c r="I1354" s="277"/>
      <c r="J1354" s="277"/>
      <c r="K1354" s="277"/>
      <c r="L1354" s="277"/>
      <c r="M1354" s="277"/>
      <c r="N1354" s="277"/>
      <c r="O1354" s="277"/>
      <c r="P1354" s="277"/>
      <c r="Q1354" s="277"/>
      <c r="R1354" s="277"/>
      <c r="T1354" s="277"/>
      <c r="U1354" s="277"/>
      <c r="W1354" s="277"/>
      <c r="Y1354" s="107"/>
      <c r="Z1354" s="107"/>
      <c r="AA1354" s="107"/>
      <c r="AB1354" s="107"/>
      <c r="AC1354" s="107"/>
      <c r="AD1354" s="233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7"/>
      <c r="AV1354" s="107"/>
      <c r="AW1354" s="107"/>
      <c r="AX1354" s="107"/>
      <c r="AY1354" s="107"/>
      <c r="AZ1354" s="107"/>
      <c r="BA1354" s="107"/>
      <c r="BB1354" s="107"/>
      <c r="BC1354" s="107"/>
      <c r="BD1354" s="107"/>
      <c r="BE1354" s="107"/>
      <c r="BF1354" s="107"/>
      <c r="BG1354" s="107"/>
      <c r="BH1354" s="107"/>
      <c r="BI1354" s="107"/>
      <c r="BJ1354" s="107"/>
      <c r="BK1354" s="107"/>
      <c r="BL1354" s="107"/>
      <c r="BM1354" s="107"/>
      <c r="BN1354" s="107"/>
      <c r="BO1354" s="107"/>
      <c r="BP1354" s="107"/>
      <c r="BQ1354" s="107"/>
      <c r="BR1354" s="107"/>
    </row>
    <row r="1355" customFormat="false" ht="12.75" hidden="false" customHeight="false" outlineLevel="0" collapsed="false">
      <c r="A1355" s="100"/>
      <c r="B1355" s="100"/>
      <c r="C1355" s="100"/>
      <c r="D1355" s="100"/>
      <c r="E1355" s="100"/>
      <c r="F1355" s="277"/>
      <c r="H1355" s="277"/>
      <c r="I1355" s="277"/>
      <c r="J1355" s="277"/>
      <c r="K1355" s="277"/>
      <c r="L1355" s="277"/>
      <c r="M1355" s="277"/>
      <c r="N1355" s="277"/>
      <c r="O1355" s="277"/>
      <c r="P1355" s="277"/>
      <c r="Q1355" s="277"/>
      <c r="R1355" s="277"/>
      <c r="T1355" s="277"/>
      <c r="U1355" s="277"/>
      <c r="W1355" s="277"/>
      <c r="Y1355" s="107"/>
      <c r="Z1355" s="107"/>
      <c r="AA1355" s="107"/>
      <c r="AB1355" s="107"/>
      <c r="AC1355" s="107"/>
      <c r="AD1355" s="233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7"/>
      <c r="AV1355" s="107"/>
      <c r="AW1355" s="107"/>
      <c r="AX1355" s="107"/>
      <c r="AY1355" s="107"/>
      <c r="AZ1355" s="107"/>
      <c r="BA1355" s="107"/>
      <c r="BB1355" s="107"/>
      <c r="BC1355" s="107"/>
      <c r="BD1355" s="107"/>
      <c r="BE1355" s="107"/>
      <c r="BF1355" s="107"/>
      <c r="BG1355" s="107"/>
      <c r="BH1355" s="107"/>
      <c r="BI1355" s="107"/>
      <c r="BJ1355" s="107"/>
      <c r="BK1355" s="107"/>
      <c r="BL1355" s="107"/>
      <c r="BM1355" s="107"/>
      <c r="BN1355" s="107"/>
      <c r="BO1355" s="107"/>
      <c r="BP1355" s="107"/>
      <c r="BQ1355" s="107"/>
      <c r="BR1355" s="107"/>
    </row>
    <row r="1356" customFormat="false" ht="12.75" hidden="false" customHeight="false" outlineLevel="0" collapsed="false">
      <c r="A1356" s="100"/>
      <c r="B1356" s="100"/>
      <c r="C1356" s="100"/>
      <c r="D1356" s="100"/>
      <c r="E1356" s="100"/>
      <c r="F1356" s="277"/>
      <c r="H1356" s="277"/>
      <c r="I1356" s="277"/>
      <c r="J1356" s="277"/>
      <c r="K1356" s="277"/>
      <c r="L1356" s="277"/>
      <c r="M1356" s="277"/>
      <c r="N1356" s="277"/>
      <c r="O1356" s="277"/>
      <c r="P1356" s="277"/>
      <c r="Q1356" s="277"/>
      <c r="R1356" s="277"/>
      <c r="T1356" s="277"/>
      <c r="U1356" s="277"/>
      <c r="W1356" s="277"/>
      <c r="Y1356" s="107"/>
      <c r="Z1356" s="107"/>
      <c r="AA1356" s="107"/>
      <c r="AB1356" s="107"/>
      <c r="AC1356" s="107"/>
      <c r="AD1356" s="233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7"/>
      <c r="AV1356" s="107"/>
      <c r="AW1356" s="107"/>
      <c r="AX1356" s="107"/>
      <c r="AY1356" s="107"/>
      <c r="AZ1356" s="107"/>
      <c r="BA1356" s="107"/>
      <c r="BB1356" s="107"/>
      <c r="BC1356" s="107"/>
      <c r="BD1356" s="107"/>
      <c r="BE1356" s="107"/>
      <c r="BF1356" s="107"/>
      <c r="BG1356" s="107"/>
      <c r="BH1356" s="107"/>
      <c r="BI1356" s="107"/>
      <c r="BJ1356" s="107"/>
      <c r="BK1356" s="107"/>
      <c r="BL1356" s="107"/>
      <c r="BM1356" s="107"/>
      <c r="BN1356" s="107"/>
      <c r="BO1356" s="107"/>
      <c r="BP1356" s="107"/>
      <c r="BQ1356" s="107"/>
      <c r="BR1356" s="107"/>
    </row>
    <row r="1357" customFormat="false" ht="12.75" hidden="false" customHeight="false" outlineLevel="0" collapsed="false">
      <c r="A1357" s="100"/>
      <c r="B1357" s="100"/>
      <c r="C1357" s="100"/>
      <c r="D1357" s="100"/>
      <c r="E1357" s="100"/>
      <c r="F1357" s="277"/>
      <c r="H1357" s="277"/>
      <c r="I1357" s="277"/>
      <c r="J1357" s="277"/>
      <c r="K1357" s="277"/>
      <c r="L1357" s="277"/>
      <c r="M1357" s="277"/>
      <c r="N1357" s="277"/>
      <c r="O1357" s="277"/>
      <c r="P1357" s="277"/>
      <c r="Q1357" s="277"/>
      <c r="R1357" s="277"/>
      <c r="T1357" s="277"/>
      <c r="U1357" s="277"/>
      <c r="W1357" s="277"/>
      <c r="Y1357" s="107"/>
      <c r="Z1357" s="107"/>
      <c r="AA1357" s="107"/>
      <c r="AB1357" s="107"/>
      <c r="AC1357" s="107"/>
      <c r="AD1357" s="233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7"/>
      <c r="AV1357" s="107"/>
      <c r="AW1357" s="107"/>
      <c r="AX1357" s="107"/>
      <c r="AY1357" s="107"/>
      <c r="AZ1357" s="107"/>
      <c r="BA1357" s="107"/>
      <c r="BB1357" s="107"/>
      <c r="BC1357" s="107"/>
      <c r="BD1357" s="107"/>
      <c r="BE1357" s="107"/>
      <c r="BF1357" s="107"/>
      <c r="BG1357" s="107"/>
      <c r="BH1357" s="107"/>
      <c r="BI1357" s="107"/>
      <c r="BJ1357" s="107"/>
      <c r="BK1357" s="107"/>
      <c r="BL1357" s="107"/>
      <c r="BM1357" s="107"/>
      <c r="BN1357" s="107"/>
      <c r="BO1357" s="107"/>
      <c r="BP1357" s="107"/>
      <c r="BQ1357" s="107"/>
      <c r="BR1357" s="107"/>
    </row>
    <row r="1358" customFormat="false" ht="12.75" hidden="false" customHeight="false" outlineLevel="0" collapsed="false">
      <c r="A1358" s="100"/>
      <c r="B1358" s="100"/>
      <c r="C1358" s="100"/>
      <c r="D1358" s="100"/>
      <c r="E1358" s="100"/>
      <c r="F1358" s="277"/>
      <c r="H1358" s="277"/>
      <c r="I1358" s="277"/>
      <c r="J1358" s="277"/>
      <c r="K1358" s="277"/>
      <c r="L1358" s="277"/>
      <c r="M1358" s="277"/>
      <c r="N1358" s="277"/>
      <c r="O1358" s="277"/>
      <c r="P1358" s="277"/>
      <c r="Q1358" s="277"/>
      <c r="R1358" s="277"/>
      <c r="T1358" s="277"/>
      <c r="U1358" s="277"/>
      <c r="W1358" s="277"/>
      <c r="Y1358" s="107"/>
      <c r="Z1358" s="107"/>
      <c r="AA1358" s="107"/>
      <c r="AB1358" s="107"/>
      <c r="AC1358" s="107"/>
      <c r="AD1358" s="233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7"/>
      <c r="AV1358" s="107"/>
      <c r="AW1358" s="107"/>
      <c r="AX1358" s="107"/>
      <c r="AY1358" s="107"/>
      <c r="AZ1358" s="107"/>
      <c r="BA1358" s="107"/>
      <c r="BB1358" s="107"/>
      <c r="BC1358" s="107"/>
      <c r="BD1358" s="107"/>
      <c r="BE1358" s="107"/>
      <c r="BF1358" s="107"/>
      <c r="BG1358" s="107"/>
      <c r="BH1358" s="107"/>
      <c r="BI1358" s="107"/>
      <c r="BJ1358" s="107"/>
      <c r="BK1358" s="107"/>
      <c r="BL1358" s="107"/>
      <c r="BM1358" s="107"/>
      <c r="BN1358" s="107"/>
      <c r="BO1358" s="107"/>
      <c r="BP1358" s="107"/>
      <c r="BQ1358" s="107"/>
      <c r="BR1358" s="107"/>
    </row>
    <row r="1359" customFormat="false" ht="12.75" hidden="false" customHeight="false" outlineLevel="0" collapsed="false">
      <c r="A1359" s="100"/>
      <c r="B1359" s="100"/>
      <c r="C1359" s="100"/>
      <c r="D1359" s="100"/>
      <c r="E1359" s="100"/>
      <c r="F1359" s="277"/>
      <c r="H1359" s="277"/>
      <c r="I1359" s="277"/>
      <c r="J1359" s="277"/>
      <c r="K1359" s="277"/>
      <c r="L1359" s="277"/>
      <c r="M1359" s="277"/>
      <c r="N1359" s="277"/>
      <c r="O1359" s="277"/>
      <c r="P1359" s="277"/>
      <c r="Q1359" s="277"/>
      <c r="R1359" s="277"/>
      <c r="T1359" s="277"/>
      <c r="U1359" s="277"/>
      <c r="W1359" s="277"/>
      <c r="Y1359" s="107"/>
      <c r="Z1359" s="107"/>
      <c r="AA1359" s="107"/>
      <c r="AB1359" s="107"/>
      <c r="AC1359" s="107"/>
      <c r="AD1359" s="233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7"/>
      <c r="AV1359" s="107"/>
      <c r="AW1359" s="107"/>
      <c r="AX1359" s="107"/>
      <c r="AY1359" s="107"/>
      <c r="AZ1359" s="107"/>
      <c r="BA1359" s="107"/>
      <c r="BB1359" s="107"/>
      <c r="BC1359" s="107"/>
      <c r="BD1359" s="107"/>
      <c r="BE1359" s="107"/>
      <c r="BF1359" s="107"/>
      <c r="BG1359" s="107"/>
      <c r="BH1359" s="107"/>
      <c r="BI1359" s="107"/>
      <c r="BJ1359" s="107"/>
      <c r="BK1359" s="107"/>
      <c r="BL1359" s="107"/>
      <c r="BM1359" s="107"/>
      <c r="BN1359" s="107"/>
      <c r="BO1359" s="107"/>
      <c r="BP1359" s="107"/>
      <c r="BQ1359" s="107"/>
      <c r="BR1359" s="107"/>
    </row>
    <row r="1360" customFormat="false" ht="12.75" hidden="false" customHeight="false" outlineLevel="0" collapsed="false">
      <c r="A1360" s="100"/>
      <c r="B1360" s="100"/>
      <c r="C1360" s="100"/>
      <c r="D1360" s="100"/>
      <c r="E1360" s="100"/>
      <c r="F1360" s="277"/>
      <c r="H1360" s="277"/>
      <c r="I1360" s="277"/>
      <c r="J1360" s="277"/>
      <c r="K1360" s="277"/>
      <c r="L1360" s="277"/>
      <c r="M1360" s="277"/>
      <c r="N1360" s="277"/>
      <c r="O1360" s="277"/>
      <c r="P1360" s="277"/>
      <c r="Q1360" s="277"/>
      <c r="R1360" s="277"/>
      <c r="T1360" s="277"/>
      <c r="U1360" s="277"/>
      <c r="W1360" s="277"/>
      <c r="Y1360" s="107"/>
      <c r="Z1360" s="107"/>
      <c r="AA1360" s="107"/>
      <c r="AB1360" s="107"/>
      <c r="AC1360" s="107"/>
      <c r="AD1360" s="233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7"/>
      <c r="AV1360" s="107"/>
      <c r="AW1360" s="107"/>
      <c r="AX1360" s="107"/>
      <c r="AY1360" s="107"/>
      <c r="AZ1360" s="107"/>
      <c r="BA1360" s="107"/>
      <c r="BB1360" s="107"/>
      <c r="BC1360" s="107"/>
      <c r="BD1360" s="107"/>
      <c r="BE1360" s="107"/>
      <c r="BF1360" s="107"/>
      <c r="BG1360" s="107"/>
      <c r="BH1360" s="107"/>
      <c r="BI1360" s="107"/>
      <c r="BJ1360" s="107"/>
      <c r="BK1360" s="107"/>
      <c r="BL1360" s="107"/>
      <c r="BM1360" s="107"/>
      <c r="BN1360" s="107"/>
      <c r="BO1360" s="107"/>
      <c r="BP1360" s="107"/>
      <c r="BQ1360" s="107"/>
      <c r="BR1360" s="107"/>
    </row>
    <row r="1361" customFormat="false" ht="12.75" hidden="false" customHeight="false" outlineLevel="0" collapsed="false">
      <c r="A1361" s="100"/>
      <c r="B1361" s="100"/>
      <c r="C1361" s="100"/>
      <c r="D1361" s="100"/>
      <c r="E1361" s="100"/>
      <c r="F1361" s="277"/>
      <c r="H1361" s="277"/>
      <c r="I1361" s="277"/>
      <c r="J1361" s="277"/>
      <c r="K1361" s="277"/>
      <c r="L1361" s="277"/>
      <c r="M1361" s="277"/>
      <c r="N1361" s="277"/>
      <c r="O1361" s="277"/>
      <c r="P1361" s="277"/>
      <c r="Q1361" s="277"/>
      <c r="R1361" s="277"/>
      <c r="T1361" s="277"/>
      <c r="U1361" s="277"/>
      <c r="W1361" s="277"/>
      <c r="Y1361" s="107"/>
      <c r="Z1361" s="107"/>
      <c r="AA1361" s="107"/>
      <c r="AB1361" s="107"/>
      <c r="AC1361" s="107"/>
      <c r="AD1361" s="233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7"/>
      <c r="AV1361" s="107"/>
      <c r="AW1361" s="107"/>
      <c r="AX1361" s="107"/>
      <c r="AY1361" s="107"/>
      <c r="AZ1361" s="107"/>
      <c r="BA1361" s="107"/>
      <c r="BB1361" s="107"/>
      <c r="BC1361" s="107"/>
      <c r="BD1361" s="107"/>
      <c r="BE1361" s="107"/>
      <c r="BF1361" s="107"/>
      <c r="BG1361" s="107"/>
      <c r="BH1361" s="107"/>
      <c r="BI1361" s="107"/>
      <c r="BJ1361" s="107"/>
      <c r="BK1361" s="107"/>
      <c r="BL1361" s="107"/>
      <c r="BM1361" s="107"/>
      <c r="BN1361" s="107"/>
      <c r="BO1361" s="107"/>
      <c r="BP1361" s="107"/>
      <c r="BQ1361" s="107"/>
      <c r="BR1361" s="107"/>
    </row>
    <row r="1362" customFormat="false" ht="12.75" hidden="false" customHeight="false" outlineLevel="0" collapsed="false">
      <c r="A1362" s="100"/>
      <c r="B1362" s="100"/>
      <c r="C1362" s="100"/>
      <c r="D1362" s="100"/>
      <c r="E1362" s="100"/>
      <c r="F1362" s="277"/>
      <c r="H1362" s="277"/>
      <c r="I1362" s="277"/>
      <c r="J1362" s="277"/>
      <c r="K1362" s="277"/>
      <c r="L1362" s="277"/>
      <c r="M1362" s="277"/>
      <c r="N1362" s="277"/>
      <c r="O1362" s="277"/>
      <c r="P1362" s="277"/>
      <c r="Q1362" s="277"/>
      <c r="R1362" s="277"/>
      <c r="T1362" s="277"/>
      <c r="U1362" s="277"/>
      <c r="W1362" s="277"/>
      <c r="Y1362" s="107"/>
      <c r="Z1362" s="107"/>
      <c r="AA1362" s="107"/>
      <c r="AB1362" s="107"/>
      <c r="AC1362" s="107"/>
      <c r="AD1362" s="233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7"/>
      <c r="AV1362" s="107"/>
      <c r="AW1362" s="107"/>
      <c r="AX1362" s="107"/>
      <c r="AY1362" s="107"/>
      <c r="AZ1362" s="107"/>
      <c r="BA1362" s="107"/>
      <c r="BB1362" s="107"/>
      <c r="BC1362" s="107"/>
      <c r="BD1362" s="107"/>
      <c r="BE1362" s="107"/>
      <c r="BF1362" s="107"/>
      <c r="BG1362" s="107"/>
      <c r="BH1362" s="107"/>
      <c r="BI1362" s="107"/>
      <c r="BJ1362" s="107"/>
      <c r="BK1362" s="107"/>
      <c r="BL1362" s="107"/>
      <c r="BM1362" s="107"/>
      <c r="BN1362" s="107"/>
      <c r="BO1362" s="107"/>
      <c r="BP1362" s="107"/>
      <c r="BQ1362" s="107"/>
      <c r="BR1362" s="107"/>
    </row>
    <row r="1363" customFormat="false" ht="12.75" hidden="false" customHeight="false" outlineLevel="0" collapsed="false">
      <c r="A1363" s="100"/>
      <c r="B1363" s="100"/>
      <c r="C1363" s="100"/>
      <c r="D1363" s="100"/>
      <c r="E1363" s="100"/>
      <c r="F1363" s="277"/>
      <c r="H1363" s="277"/>
      <c r="I1363" s="277"/>
      <c r="J1363" s="277"/>
      <c r="K1363" s="277"/>
      <c r="L1363" s="277"/>
      <c r="M1363" s="277"/>
      <c r="N1363" s="277"/>
      <c r="O1363" s="277"/>
      <c r="P1363" s="277"/>
      <c r="Q1363" s="277"/>
      <c r="R1363" s="277"/>
      <c r="T1363" s="277"/>
      <c r="U1363" s="277"/>
      <c r="W1363" s="277"/>
      <c r="Y1363" s="107"/>
      <c r="Z1363" s="107"/>
      <c r="AA1363" s="107"/>
      <c r="AB1363" s="107"/>
      <c r="AC1363" s="107"/>
      <c r="AD1363" s="233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7"/>
      <c r="AV1363" s="107"/>
      <c r="AW1363" s="107"/>
      <c r="AX1363" s="107"/>
      <c r="AY1363" s="107"/>
      <c r="AZ1363" s="107"/>
      <c r="BA1363" s="107"/>
      <c r="BB1363" s="107"/>
      <c r="BC1363" s="107"/>
      <c r="BD1363" s="107"/>
      <c r="BE1363" s="107"/>
      <c r="BF1363" s="107"/>
      <c r="BG1363" s="107"/>
      <c r="BH1363" s="107"/>
      <c r="BI1363" s="107"/>
      <c r="BJ1363" s="107"/>
      <c r="BK1363" s="107"/>
      <c r="BL1363" s="107"/>
      <c r="BM1363" s="107"/>
      <c r="BN1363" s="107"/>
      <c r="BO1363" s="107"/>
      <c r="BP1363" s="107"/>
      <c r="BQ1363" s="107"/>
      <c r="BR1363" s="107"/>
    </row>
    <row r="1364" customFormat="false" ht="12.75" hidden="false" customHeight="false" outlineLevel="0" collapsed="false">
      <c r="A1364" s="100"/>
      <c r="B1364" s="100"/>
      <c r="C1364" s="100"/>
      <c r="D1364" s="100"/>
      <c r="E1364" s="100"/>
      <c r="F1364" s="277"/>
      <c r="H1364" s="277"/>
      <c r="I1364" s="277"/>
      <c r="J1364" s="277"/>
      <c r="K1364" s="277"/>
      <c r="L1364" s="277"/>
      <c r="M1364" s="277"/>
      <c r="N1364" s="277"/>
      <c r="O1364" s="277"/>
      <c r="P1364" s="277"/>
      <c r="Q1364" s="277"/>
      <c r="R1364" s="277"/>
      <c r="T1364" s="277"/>
      <c r="U1364" s="277"/>
      <c r="W1364" s="277"/>
      <c r="Y1364" s="107"/>
      <c r="Z1364" s="107"/>
      <c r="AA1364" s="107"/>
      <c r="AB1364" s="107"/>
      <c r="AC1364" s="107"/>
      <c r="AD1364" s="233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7"/>
      <c r="AV1364" s="107"/>
      <c r="AW1364" s="107"/>
      <c r="AX1364" s="107"/>
      <c r="AY1364" s="107"/>
      <c r="AZ1364" s="107"/>
      <c r="BA1364" s="107"/>
      <c r="BB1364" s="107"/>
      <c r="BC1364" s="107"/>
      <c r="BD1364" s="107"/>
      <c r="BE1364" s="107"/>
      <c r="BF1364" s="107"/>
      <c r="BG1364" s="107"/>
      <c r="BH1364" s="107"/>
      <c r="BI1364" s="107"/>
      <c r="BJ1364" s="107"/>
      <c r="BK1364" s="107"/>
      <c r="BL1364" s="107"/>
      <c r="BM1364" s="107"/>
      <c r="BN1364" s="107"/>
      <c r="BO1364" s="107"/>
      <c r="BP1364" s="107"/>
      <c r="BQ1364" s="107"/>
      <c r="BR1364" s="107"/>
    </row>
    <row r="1365" customFormat="false" ht="12.75" hidden="false" customHeight="false" outlineLevel="0" collapsed="false">
      <c r="A1365" s="100"/>
      <c r="B1365" s="100"/>
      <c r="C1365" s="100"/>
      <c r="D1365" s="100"/>
      <c r="E1365" s="100"/>
      <c r="F1365" s="277"/>
      <c r="H1365" s="277"/>
      <c r="I1365" s="277"/>
      <c r="J1365" s="277"/>
      <c r="K1365" s="277"/>
      <c r="L1365" s="277"/>
      <c r="M1365" s="277"/>
      <c r="N1365" s="277"/>
      <c r="O1365" s="277"/>
      <c r="P1365" s="277"/>
      <c r="Q1365" s="277"/>
      <c r="R1365" s="277"/>
      <c r="T1365" s="277"/>
      <c r="U1365" s="277"/>
      <c r="W1365" s="277"/>
      <c r="Y1365" s="107"/>
      <c r="Z1365" s="107"/>
      <c r="AA1365" s="107"/>
      <c r="AB1365" s="107"/>
      <c r="AC1365" s="107"/>
      <c r="AD1365" s="233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7"/>
      <c r="AV1365" s="107"/>
      <c r="AW1365" s="107"/>
      <c r="AX1365" s="107"/>
      <c r="AY1365" s="107"/>
      <c r="AZ1365" s="107"/>
      <c r="BA1365" s="107"/>
      <c r="BB1365" s="107"/>
      <c r="BC1365" s="107"/>
      <c r="BD1365" s="107"/>
      <c r="BE1365" s="107"/>
      <c r="BF1365" s="107"/>
      <c r="BG1365" s="107"/>
      <c r="BH1365" s="107"/>
      <c r="BI1365" s="107"/>
      <c r="BJ1365" s="107"/>
      <c r="BK1365" s="107"/>
      <c r="BL1365" s="107"/>
      <c r="BM1365" s="107"/>
      <c r="BN1365" s="107"/>
      <c r="BO1365" s="107"/>
      <c r="BP1365" s="107"/>
      <c r="BQ1365" s="107"/>
      <c r="BR1365" s="107"/>
    </row>
    <row r="1366" customFormat="false" ht="12.75" hidden="false" customHeight="false" outlineLevel="0" collapsed="false">
      <c r="A1366" s="100"/>
      <c r="B1366" s="100"/>
      <c r="C1366" s="100"/>
      <c r="D1366" s="100"/>
      <c r="E1366" s="100"/>
      <c r="F1366" s="277"/>
      <c r="H1366" s="277"/>
      <c r="I1366" s="277"/>
      <c r="J1366" s="277"/>
      <c r="K1366" s="277"/>
      <c r="L1366" s="277"/>
      <c r="M1366" s="277"/>
      <c r="N1366" s="277"/>
      <c r="O1366" s="277"/>
      <c r="P1366" s="277"/>
      <c r="Q1366" s="277"/>
      <c r="R1366" s="277"/>
      <c r="T1366" s="277"/>
      <c r="U1366" s="277"/>
      <c r="W1366" s="277"/>
      <c r="Y1366" s="107"/>
      <c r="Z1366" s="107"/>
      <c r="AA1366" s="107"/>
      <c r="AB1366" s="107"/>
      <c r="AC1366" s="107"/>
      <c r="AD1366" s="233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7"/>
      <c r="AV1366" s="107"/>
      <c r="AW1366" s="107"/>
      <c r="AX1366" s="107"/>
      <c r="AY1366" s="107"/>
      <c r="AZ1366" s="107"/>
      <c r="BA1366" s="107"/>
      <c r="BB1366" s="107"/>
      <c r="BC1366" s="107"/>
      <c r="BD1366" s="107"/>
      <c r="BE1366" s="107"/>
      <c r="BF1366" s="107"/>
      <c r="BG1366" s="107"/>
      <c r="BH1366" s="107"/>
      <c r="BI1366" s="107"/>
      <c r="BJ1366" s="107"/>
      <c r="BK1366" s="107"/>
      <c r="BL1366" s="107"/>
      <c r="BM1366" s="107"/>
      <c r="BN1366" s="107"/>
      <c r="BO1366" s="107"/>
      <c r="BP1366" s="107"/>
      <c r="BQ1366" s="107"/>
      <c r="BR1366" s="107"/>
    </row>
    <row r="1367" customFormat="false" ht="12.75" hidden="false" customHeight="false" outlineLevel="0" collapsed="false">
      <c r="A1367" s="100"/>
      <c r="B1367" s="100"/>
      <c r="C1367" s="100"/>
      <c r="D1367" s="100"/>
      <c r="E1367" s="100"/>
      <c r="F1367" s="277"/>
      <c r="H1367" s="277"/>
      <c r="I1367" s="277"/>
      <c r="J1367" s="277"/>
      <c r="K1367" s="277"/>
      <c r="L1367" s="277"/>
      <c r="M1367" s="277"/>
      <c r="N1367" s="277"/>
      <c r="O1367" s="277"/>
      <c r="P1367" s="277"/>
      <c r="Q1367" s="277"/>
      <c r="R1367" s="277"/>
      <c r="T1367" s="277"/>
      <c r="U1367" s="277"/>
      <c r="W1367" s="277"/>
      <c r="Y1367" s="107"/>
      <c r="Z1367" s="107"/>
      <c r="AA1367" s="107"/>
      <c r="AB1367" s="107"/>
      <c r="AC1367" s="107"/>
      <c r="AD1367" s="233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7"/>
      <c r="AV1367" s="107"/>
      <c r="AW1367" s="107"/>
      <c r="AX1367" s="107"/>
      <c r="AY1367" s="107"/>
      <c r="AZ1367" s="107"/>
      <c r="BA1367" s="107"/>
      <c r="BB1367" s="107"/>
      <c r="BC1367" s="107"/>
      <c r="BD1367" s="107"/>
      <c r="BE1367" s="107"/>
      <c r="BF1367" s="107"/>
      <c r="BG1367" s="107"/>
      <c r="BH1367" s="107"/>
      <c r="BI1367" s="107"/>
      <c r="BJ1367" s="107"/>
      <c r="BK1367" s="107"/>
      <c r="BL1367" s="107"/>
      <c r="BM1367" s="107"/>
      <c r="BN1367" s="107"/>
      <c r="BO1367" s="107"/>
      <c r="BP1367" s="107"/>
      <c r="BQ1367" s="107"/>
      <c r="BR1367" s="107"/>
    </row>
    <row r="1368" customFormat="false" ht="12.75" hidden="false" customHeight="false" outlineLevel="0" collapsed="false">
      <c r="A1368" s="100"/>
      <c r="B1368" s="100"/>
      <c r="C1368" s="100"/>
      <c r="D1368" s="100"/>
      <c r="E1368" s="100"/>
      <c r="F1368" s="277"/>
      <c r="H1368" s="277"/>
      <c r="I1368" s="277"/>
      <c r="J1368" s="277"/>
      <c r="K1368" s="277"/>
      <c r="L1368" s="277"/>
      <c r="M1368" s="277"/>
      <c r="N1368" s="277"/>
      <c r="O1368" s="277"/>
      <c r="P1368" s="277"/>
      <c r="Q1368" s="277"/>
      <c r="R1368" s="277"/>
      <c r="T1368" s="277"/>
      <c r="U1368" s="277"/>
      <c r="W1368" s="277"/>
      <c r="Y1368" s="107"/>
      <c r="Z1368" s="107"/>
      <c r="AA1368" s="107"/>
      <c r="AB1368" s="107"/>
      <c r="AC1368" s="107"/>
      <c r="AD1368" s="233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7"/>
      <c r="AV1368" s="107"/>
      <c r="AW1368" s="107"/>
      <c r="AX1368" s="107"/>
      <c r="AY1368" s="107"/>
      <c r="AZ1368" s="107"/>
      <c r="BA1368" s="107"/>
      <c r="BB1368" s="107"/>
      <c r="BC1368" s="107"/>
      <c r="BD1368" s="107"/>
      <c r="BE1368" s="107"/>
      <c r="BF1368" s="107"/>
      <c r="BG1368" s="107"/>
      <c r="BH1368" s="107"/>
      <c r="BI1368" s="107"/>
      <c r="BJ1368" s="107"/>
      <c r="BK1368" s="107"/>
      <c r="BL1368" s="107"/>
      <c r="BM1368" s="107"/>
      <c r="BN1368" s="107"/>
      <c r="BO1368" s="107"/>
      <c r="BP1368" s="107"/>
      <c r="BQ1368" s="107"/>
      <c r="BR1368" s="107"/>
    </row>
    <row r="1369" customFormat="false" ht="12.75" hidden="false" customHeight="false" outlineLevel="0" collapsed="false">
      <c r="A1369" s="100"/>
      <c r="B1369" s="100"/>
      <c r="C1369" s="100"/>
      <c r="D1369" s="100"/>
      <c r="E1369" s="100"/>
      <c r="F1369" s="277"/>
      <c r="H1369" s="277"/>
      <c r="I1369" s="277"/>
      <c r="J1369" s="277"/>
      <c r="K1369" s="277"/>
      <c r="L1369" s="277"/>
      <c r="M1369" s="277"/>
      <c r="N1369" s="277"/>
      <c r="O1369" s="277"/>
      <c r="P1369" s="277"/>
      <c r="Q1369" s="277"/>
      <c r="R1369" s="277"/>
      <c r="T1369" s="277"/>
      <c r="U1369" s="277"/>
      <c r="W1369" s="277"/>
      <c r="Y1369" s="107"/>
      <c r="Z1369" s="107"/>
      <c r="AA1369" s="107"/>
      <c r="AB1369" s="107"/>
      <c r="AC1369" s="107"/>
      <c r="AD1369" s="233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7"/>
      <c r="AV1369" s="107"/>
      <c r="AW1369" s="107"/>
      <c r="AX1369" s="107"/>
      <c r="AY1369" s="107"/>
      <c r="AZ1369" s="107"/>
      <c r="BA1369" s="107"/>
      <c r="BB1369" s="107"/>
      <c r="BC1369" s="107"/>
      <c r="BD1369" s="107"/>
      <c r="BE1369" s="107"/>
      <c r="BF1369" s="107"/>
      <c r="BG1369" s="107"/>
      <c r="BH1369" s="107"/>
      <c r="BI1369" s="107"/>
      <c r="BJ1369" s="107"/>
      <c r="BK1369" s="107"/>
      <c r="BL1369" s="107"/>
      <c r="BM1369" s="107"/>
      <c r="BN1369" s="107"/>
      <c r="BO1369" s="107"/>
      <c r="BP1369" s="107"/>
      <c r="BQ1369" s="107"/>
      <c r="BR1369" s="107"/>
    </row>
    <row r="1370" customFormat="false" ht="12.75" hidden="false" customHeight="false" outlineLevel="0" collapsed="false">
      <c r="A1370" s="100"/>
      <c r="B1370" s="100"/>
      <c r="C1370" s="100"/>
      <c r="D1370" s="100"/>
      <c r="E1370" s="100"/>
      <c r="F1370" s="277"/>
      <c r="H1370" s="277"/>
      <c r="I1370" s="277"/>
      <c r="J1370" s="277"/>
      <c r="K1370" s="277"/>
      <c r="L1370" s="277"/>
      <c r="M1370" s="277"/>
      <c r="N1370" s="277"/>
      <c r="O1370" s="277"/>
      <c r="P1370" s="277"/>
      <c r="Q1370" s="277"/>
      <c r="R1370" s="277"/>
      <c r="T1370" s="277"/>
      <c r="U1370" s="277"/>
      <c r="W1370" s="277"/>
      <c r="Y1370" s="107"/>
      <c r="Z1370" s="107"/>
      <c r="AA1370" s="107"/>
      <c r="AB1370" s="107"/>
      <c r="AC1370" s="107"/>
      <c r="AD1370" s="233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7"/>
      <c r="AV1370" s="107"/>
      <c r="AW1370" s="107"/>
      <c r="AX1370" s="107"/>
      <c r="AY1370" s="107"/>
      <c r="AZ1370" s="107"/>
      <c r="BA1370" s="107"/>
      <c r="BB1370" s="107"/>
      <c r="BC1370" s="107"/>
      <c r="BD1370" s="107"/>
      <c r="BE1370" s="107"/>
      <c r="BF1370" s="107"/>
      <c r="BG1370" s="107"/>
      <c r="BH1370" s="107"/>
      <c r="BI1370" s="107"/>
      <c r="BJ1370" s="107"/>
      <c r="BK1370" s="107"/>
      <c r="BL1370" s="107"/>
      <c r="BM1370" s="107"/>
      <c r="BN1370" s="107"/>
      <c r="BO1370" s="107"/>
      <c r="BP1370" s="107"/>
      <c r="BQ1370" s="107"/>
      <c r="BR1370" s="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25">
              <controlPr defaultSize="0" print="false" autoFill="0" autoPict="0" macro="settles.settles">
                <anchor moveWithCells="true" sizeWithCells="false">
                  <from>
                    <xdr:col>11</xdr:col>
                    <xdr:colOff>10080</xdr:colOff>
                    <xdr:row>2</xdr:row>
                    <xdr:rowOff>47160</xdr:rowOff>
                  </from>
                  <to>
                    <xdr:col>12</xdr:col>
                    <xdr:colOff>20520</xdr:colOff>
                    <xdr:row>4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526">
              <controlPr defaultSize="0" print="false" autoFill="0" autoPict="0" macro="getcs.getcs">
                <anchor moveWithCells="true" sizeWithCells="false">
                  <from>
                    <xdr:col>2</xdr:col>
                    <xdr:colOff>321840</xdr:colOff>
                    <xdr:row>0</xdr:row>
                    <xdr:rowOff>0</xdr:rowOff>
                  </from>
                  <to>
                    <xdr:col>3</xdr:col>
                    <xdr:colOff>251640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33">
              <controlPr defaultSize="0" print="false" autoFill="0" autoPict="0" macro="DailyInterestRate.IRCurve">
                <anchor moveWithCells="true" sizeWithCells="false">
                  <from>
                    <xdr:col>1</xdr:col>
                    <xdr:colOff>20160</xdr:colOff>
                    <xdr:row>0</xdr:row>
                    <xdr:rowOff>0</xdr:rowOff>
                  </from>
                  <to>
                    <xdr:col>2</xdr:col>
                    <xdr:colOff>302400</xdr:colOff>
                    <xdr:row>1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34">
              <controlPr defaultSize="0" print="false" autoFill="0" autoPict="0" macro="linktoJA.linktojohn">
                <anchor moveWithCells="true" sizeWithCells="false">
                  <from>
                    <xdr:col>11</xdr:col>
                    <xdr:colOff>10080</xdr:colOff>
                    <xdr:row>0</xdr:row>
                    <xdr:rowOff>0</xdr:rowOff>
                  </from>
                  <to>
                    <xdr:col>12</xdr:col>
                    <xdr:colOff>20520</xdr:colOff>
                    <xdr:row>2</xdr:row>
                    <xdr:rowOff>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40">
              <controlPr defaultSize="0" print="false" autoFill="0" autoPict="0" macro="settles.sendprices">
                <anchor moveWithCells="true" sizeWithCells="false">
                  <from>
                    <xdr:col>6</xdr:col>
                    <xdr:colOff>0</xdr:colOff>
                    <xdr:row>8</xdr:row>
                    <xdr:rowOff>0</xdr:rowOff>
                  </from>
                  <to>
                    <xdr:col>7</xdr:col>
                    <xdr:colOff>0</xdr:colOff>
                    <xdr:row>9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463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12" activeCellId="0" sqref="C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0.85"/>
    <col collapsed="false" customWidth="true" hidden="false" outlineLevel="0" max="2" min="2" style="0" width="10.99"/>
    <col collapsed="false" customWidth="true" hidden="false" outlineLevel="0" max="3" min="3" style="0" width="12.28"/>
    <col collapsed="false" customWidth="true" hidden="false" outlineLevel="0" max="4" min="4" style="0" width="10.56"/>
    <col collapsed="false" customWidth="true" hidden="false" outlineLevel="0" max="5" min="5" style="0" width="10.99"/>
    <col collapsed="false" customWidth="true" hidden="false" outlineLevel="0" max="6" min="6" style="0" width="0.85"/>
    <col collapsed="false" customWidth="true" hidden="false" outlineLevel="0" max="7" min="7" style="0" width="9.7"/>
    <col collapsed="false" customWidth="true" hidden="false" outlineLevel="0" max="8" min="8" style="0" width="7.7"/>
    <col collapsed="false" customWidth="true" hidden="false" outlineLevel="0" max="9" min="9" style="0" width="10.71"/>
    <col collapsed="false" customWidth="true" hidden="false" outlineLevel="0" max="10" min="10" style="0" width="9.85"/>
    <col collapsed="false" customWidth="true" hidden="false" outlineLevel="0" max="11" min="11" style="0" width="8.14"/>
    <col collapsed="false" customWidth="true" hidden="false" outlineLevel="0" max="12" min="12" style="0" width="8.85"/>
    <col collapsed="false" customWidth="true" hidden="false" outlineLevel="0" max="13" min="13" style="0" width="10.28"/>
    <col collapsed="false" customWidth="true" hidden="false" outlineLevel="0" max="14" min="14" style="0" width="12.42"/>
    <col collapsed="false" customWidth="true" hidden="false" outlineLevel="0" max="15" min="15" style="0" width="10.56"/>
    <col collapsed="false" customWidth="true" hidden="false" outlineLevel="0" max="16" min="16" style="0" width="12.28"/>
    <col collapsed="false" customWidth="true" hidden="false" outlineLevel="0" max="23" min="23" style="305" width="9.14"/>
    <col collapsed="false" customWidth="true" hidden="false" outlineLevel="0" max="24" min="24" style="306" width="9.14"/>
  </cols>
  <sheetData>
    <row r="1" customFormat="false" ht="7.5" hidden="false" customHeight="true" outlineLevel="0" collapsed="false">
      <c r="A1" s="307"/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</row>
    <row r="2" customFormat="false" ht="15.75" hidden="false" customHeight="false" outlineLevel="0" collapsed="false">
      <c r="A2" s="307"/>
      <c r="B2" s="308" t="s">
        <v>198</v>
      </c>
      <c r="C2" s="309" t="n">
        <f aca="true">TODAY()</f>
        <v>45926</v>
      </c>
      <c r="D2" s="310"/>
      <c r="E2" s="311"/>
      <c r="F2" s="311"/>
      <c r="G2" s="312" t="s">
        <v>199</v>
      </c>
      <c r="H2" s="313" t="s">
        <v>200</v>
      </c>
      <c r="I2" s="314" t="s">
        <v>201</v>
      </c>
      <c r="J2" s="314" t="s">
        <v>202</v>
      </c>
      <c r="K2" s="314" t="s">
        <v>203</v>
      </c>
      <c r="L2" s="314" t="s">
        <v>184</v>
      </c>
      <c r="M2" s="315" t="s">
        <v>204</v>
      </c>
      <c r="N2" s="307"/>
      <c r="O2" s="312" t="s">
        <v>199</v>
      </c>
      <c r="P2" s="313" t="s">
        <v>200</v>
      </c>
      <c r="Q2" s="314" t="s">
        <v>201</v>
      </c>
      <c r="R2" s="314" t="s">
        <v>202</v>
      </c>
      <c r="S2" s="314" t="s">
        <v>203</v>
      </c>
      <c r="T2" s="307"/>
      <c r="U2" s="307"/>
      <c r="V2" s="307"/>
      <c r="W2" s="307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</row>
    <row r="3" customFormat="false" ht="13.5" hidden="false" customHeight="false" outlineLevel="0" collapsed="false">
      <c r="A3" s="307"/>
      <c r="B3" s="307"/>
      <c r="C3" s="307"/>
      <c r="D3" s="311"/>
      <c r="E3" s="311"/>
      <c r="F3" s="311"/>
      <c r="G3" s="316" t="n">
        <v>37165</v>
      </c>
      <c r="H3" s="317" t="n">
        <v>37469</v>
      </c>
      <c r="I3" s="71" t="n">
        <f aca="false">SUMPRODUCT(INDEX(PriceTable,MATCH($G3,PriceTableMonths,0),5):INDEX(PriceTable,MATCH($H3,PriceTableMonths,0),5)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2.70383351551082</v>
      </c>
      <c r="J3" s="318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2.71436239866771</v>
      </c>
      <c r="K3" s="319" t="n">
        <f aca="false">(I3-J3)*1000</f>
        <v>-10.5288831568853</v>
      </c>
      <c r="L3" s="320" t="n">
        <f aca="false">I3-I4</f>
        <v>-0.196683301430399</v>
      </c>
      <c r="M3" s="321" t="n">
        <f aca="false">J3-J4</f>
        <v>-0.195154418273514</v>
      </c>
      <c r="N3" s="307"/>
      <c r="O3" s="322" t="n">
        <v>37196</v>
      </c>
      <c r="P3" s="323" t="n">
        <v>37530</v>
      </c>
      <c r="Q3" s="324" t="n">
        <f aca="false">SUMPRODUCT(INDEX(PriceTable,MATCH($O3,PriceTableMonths,0),5):INDEX(PriceTable,MATCH($P3,PriceTableMonths,0),5),INDEX(PriceTable,MATCH($O3,PriceTableMonths,0),34):INDEX(PriceTable,MATCH($P3,PriceTableMonths,0),34),INDEX(PriceTable,MATCH($O3,PriceTableMonths,0),25):INDEX(PriceTable,MATCH($P3,PriceTableMonths,0),25))/SUMPRODUCT(INDEX(PriceTable,MATCH($O3,PriceTableMonths,0),34):INDEX(PriceTable,MATCH($P3,PriceTableMonths,0),34),INDEX(PriceTable,MATCH($O3,PriceTableMonths,0),25):INDEX(PriceTable,MATCH($P3,PriceTableMonths,0),25))</f>
        <v>2.82258146708398</v>
      </c>
      <c r="R3" s="297" t="n">
        <f aca="false">SUMPRODUCT(INDEX(PriceTable,MATCH($G3,PriceTableMonths,0),3):INDEX(PriceTable,MATCH($H3,PriceTableMonths,0),3),INDEX(PriceTable,MATCH($G3,PriceTableMonths,0),34):INDEX(PriceTable,MATCH($H3,PriceTableMonths,0),34),INDEX(PriceTable,MATCH($G3,PriceTableMonths,0),25):INDEX(PriceTable,MATCH($H3,PriceTableMonths,0),25))/SUMPRODUCT(INDEX(PriceTable,MATCH($G3,PriceTableMonths,0),34):INDEX(PriceTable,MATCH($H3,PriceTableMonths,0),34),INDEX(PriceTable,MATCH($G3,PriceTableMonths,0),25):INDEX(PriceTable,MATCH($H3,PriceTableMonths,0),25))</f>
        <v>2.71436239866771</v>
      </c>
      <c r="S3" s="294" t="n">
        <f aca="false">(Q3-R3)*1000</f>
        <v>108.21906841627</v>
      </c>
      <c r="T3" s="307"/>
      <c r="U3" s="307"/>
      <c r="V3" s="307"/>
      <c r="W3" s="325" t="s">
        <v>205</v>
      </c>
      <c r="X3" s="326"/>
      <c r="Y3" s="32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</row>
    <row r="4" customFormat="false" ht="15.75" hidden="false" customHeight="false" outlineLevel="0" collapsed="false">
      <c r="A4" s="307"/>
      <c r="B4" s="328" t="s">
        <v>206</v>
      </c>
      <c r="C4" s="329" t="e">
        <f aca="false">Swap!$AI$9/Swap!$AC$9</f>
        <v>#VALUE!</v>
      </c>
      <c r="D4" s="330" t="n">
        <f aca="false">Swap!AD9</f>
        <v>0</v>
      </c>
      <c r="E4" s="331" t="s">
        <v>207</v>
      </c>
      <c r="F4" s="311"/>
      <c r="G4" s="322" t="n">
        <v>37347</v>
      </c>
      <c r="H4" s="323" t="n">
        <v>37530</v>
      </c>
      <c r="I4" s="69" t="n">
        <f aca="false">SUMPRODUCT(INDEX(PriceTable,MATCH($G4,PriceTableMonths,0),5):INDEX(PriceTable,MATCH($H4,PriceTableMonths,0),5)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2.90051681694122</v>
      </c>
      <c r="J4" s="297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2.90951681694122</v>
      </c>
      <c r="K4" s="294" t="n">
        <f aca="false">(I4-J4)*1000</f>
        <v>-8.9999999999999</v>
      </c>
      <c r="L4" s="279" t="n">
        <f aca="false">I4-I5</f>
        <v>-0.191637339728791</v>
      </c>
      <c r="M4" s="332" t="n">
        <f aca="false">J4-J5</f>
        <v>-0.191637339728791</v>
      </c>
      <c r="N4" s="307"/>
      <c r="O4" s="322" t="n">
        <v>37196</v>
      </c>
      <c r="P4" s="323" t="n">
        <v>37895</v>
      </c>
      <c r="Q4" s="69" t="n">
        <f aca="false">SUMPRODUCT(INDEX(PriceTable,MATCH($O4,PriceTableMonths,0),5):INDEX(PriceTable,MATCH($P4,PriceTableMonths,0),5),INDEX(PriceTable,MATCH($O4,PriceTableMonths,0),34):INDEX(PriceTable,MATCH($P4,PriceTableMonths,0),34),INDEX(PriceTable,MATCH($O4,PriceTableMonths,0),25):INDEX(PriceTable,MATCH($P4,PriceTableMonths,0),25))/SUMPRODUCT(INDEX(PriceTable,MATCH($O4,PriceTableMonths,0),34):INDEX(PriceTable,MATCH($P4,PriceTableMonths,0),34),INDEX(PriceTable,MATCH($O4,PriceTableMonths,0),25):INDEX(PriceTable,MATCH($P4,PriceTableMonths,0),25))</f>
        <v>3.00287194329123</v>
      </c>
      <c r="R4" s="297" t="n">
        <f aca="false">SUMPRODUCT(INDEX(PriceTable,MATCH($G4,PriceTableMonths,0),3):INDEX(PriceTable,MATCH($H4,PriceTableMonths,0),3),INDEX(PriceTable,MATCH($G4,PriceTableMonths,0),34):INDEX(PriceTable,MATCH($H4,PriceTableMonths,0),34),INDEX(PriceTable,MATCH($G4,PriceTableMonths,0),25):INDEX(PriceTable,MATCH($H4,PriceTableMonths,0),25))/SUMPRODUCT(INDEX(PriceTable,MATCH($G4,PriceTableMonths,0),34):INDEX(PriceTable,MATCH($H4,PriceTableMonths,0),34),INDEX(PriceTable,MATCH($G4,PriceTableMonths,0),25):INDEX(PriceTable,MATCH($H4,PriceTableMonths,0),25))</f>
        <v>2.90951681694122</v>
      </c>
      <c r="S4" s="294" t="n">
        <f aca="false">(Q4-R4)*1000</f>
        <v>93.3551263500156</v>
      </c>
      <c r="T4" s="307"/>
      <c r="U4" s="307"/>
      <c r="V4" s="307"/>
      <c r="W4" s="333"/>
      <c r="X4" s="109"/>
      <c r="Y4" s="334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</row>
    <row r="5" customFormat="false" ht="15.75" hidden="false" customHeight="false" outlineLevel="0" collapsed="false">
      <c r="A5" s="307"/>
      <c r="B5" s="335" t="s">
        <v>208</v>
      </c>
      <c r="D5" s="329" t="str">
        <f aca="false">IF(OR(Swap!AD9=0,E5=0),"No Adj",Swap!AJ5)</f>
        <v>No Adj</v>
      </c>
      <c r="E5" s="336" t="n">
        <v>1</v>
      </c>
      <c r="F5" s="311"/>
      <c r="G5" s="322" t="n">
        <v>37712</v>
      </c>
      <c r="H5" s="323" t="n">
        <v>37895</v>
      </c>
      <c r="I5" s="69" t="n">
        <f aca="false">SUMPRODUCT(INDEX(PriceTable,MATCH($G5,PriceTableMonths,0),5):INDEX(PriceTable,MATCH($H5,PriceTableMonths,0),5)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3.09215415667001</v>
      </c>
      <c r="J5" s="297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3.10115415667001</v>
      </c>
      <c r="K5" s="294" t="n">
        <f aca="false">(I5-J5)*1000</f>
        <v>-8.9999999999999</v>
      </c>
      <c r="L5" s="279" t="n">
        <f aca="false">I5-I6</f>
        <v>-0.0791904192455775</v>
      </c>
      <c r="M5" s="332" t="n">
        <f aca="false">J5-J6</f>
        <v>-0.0791904192455775</v>
      </c>
      <c r="N5" s="307" t="n">
        <v>3.367</v>
      </c>
      <c r="O5" s="322" t="n">
        <v>37561</v>
      </c>
      <c r="P5" s="323" t="n">
        <v>37895</v>
      </c>
      <c r="Q5" s="69" t="n">
        <f aca="false">SUMPRODUCT(INDEX(PriceTable,MATCH($O5,PriceTableMonths,0),5):INDEX(PriceTable,MATCH($P5,PriceTableMonths,0),5),INDEX(PriceTable,MATCH($O5,PriceTableMonths,0),34):INDEX(PriceTable,MATCH($P5,PriceTableMonths,0),34),INDEX(PriceTable,MATCH($O5,PriceTableMonths,0),25):INDEX(PriceTable,MATCH($P5,PriceTableMonths,0),25))/SUMPRODUCT(INDEX(PriceTable,MATCH($O5,PriceTableMonths,0),34):INDEX(PriceTable,MATCH($P5,PriceTableMonths,0),34),INDEX(PriceTable,MATCH($O5,PriceTableMonths,0),25):INDEX(PriceTable,MATCH($P5,PriceTableMonths,0),25))</f>
        <v>3.16863992689984</v>
      </c>
      <c r="R5" s="297" t="n">
        <f aca="false">SUMPRODUCT(INDEX(PriceTable,MATCH($G5,PriceTableMonths,0),3):INDEX(PriceTable,MATCH($H5,PriceTableMonths,0),3),INDEX(PriceTable,MATCH($G5,PriceTableMonths,0),34):INDEX(PriceTable,MATCH($H5,PriceTableMonths,0),34),INDEX(PriceTable,MATCH($G5,PriceTableMonths,0),25):INDEX(PriceTable,MATCH($H5,PriceTableMonths,0),25))/SUMPRODUCT(INDEX(PriceTable,MATCH($G5,PriceTableMonths,0),34):INDEX(PriceTable,MATCH($H5,PriceTableMonths,0),34),INDEX(PriceTable,MATCH($G5,PriceTableMonths,0),25):INDEX(PriceTable,MATCH($H5,PriceTableMonths,0),25))</f>
        <v>3.10115415667001</v>
      </c>
      <c r="S5" s="294" t="n">
        <f aca="false">(Q5-R5)*1000</f>
        <v>67.4857702298337</v>
      </c>
      <c r="T5" s="307"/>
      <c r="U5" s="307"/>
      <c r="V5" s="307"/>
      <c r="W5" s="337" t="s">
        <v>209</v>
      </c>
      <c r="X5" s="338" t="s">
        <v>210</v>
      </c>
      <c r="Y5" s="334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</row>
    <row r="6" customFormat="false" ht="15" hidden="false" customHeight="false" outlineLevel="0" collapsed="false">
      <c r="A6" s="307"/>
      <c r="B6" s="339" t="s">
        <v>202</v>
      </c>
      <c r="C6" s="340" t="e">
        <f aca="false">Swap!AK9/Swap!AC9</f>
        <v>#VALUE!</v>
      </c>
      <c r="D6" s="311" t="e">
        <f aca="false">C6+0.025+0.125</f>
        <v>#VALUE!</v>
      </c>
      <c r="E6" s="311"/>
      <c r="F6" s="311"/>
      <c r="G6" s="341" t="n">
        <v>38078</v>
      </c>
      <c r="H6" s="342" t="n">
        <v>38261</v>
      </c>
      <c r="I6" s="77" t="n">
        <f aca="false">SUMPRODUCT(INDEX(PriceTable,MATCH($G6,PriceTableMonths,0),5):INDEX(PriceTable,MATCH($H6,PriceTableMonths,0),5)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3.17134457591559</v>
      </c>
      <c r="J6" s="343" t="n">
        <f aca="false">SUMPRODUCT(INDEX(PriceTable,MATCH($G6,PriceTableMonths,0),3):INDEX(PriceTable,MATCH($H6,PriceTableMonths,0),3),INDEX(PriceTable,MATCH($G6,PriceTableMonths,0),34):INDEX(PriceTable,MATCH($H6,PriceTableMonths,0),34),INDEX(PriceTable,MATCH($G6,PriceTableMonths,0),25):INDEX(PriceTable,MATCH($H6,PriceTableMonths,0),25))/SUMPRODUCT(INDEX(PriceTable,MATCH($G6,PriceTableMonths,0),34):INDEX(PriceTable,MATCH($H6,PriceTableMonths,0),34),INDEX(PriceTable,MATCH($G6,PriceTableMonths,0),25):INDEX(PriceTable,MATCH($H6,PriceTableMonths,0),25))</f>
        <v>3.18034457591559</v>
      </c>
      <c r="K6" s="344" t="n">
        <f aca="false">(I6-J6)*1000</f>
        <v>-8.9999999999999</v>
      </c>
      <c r="L6" s="279"/>
      <c r="M6" s="332"/>
      <c r="N6" s="311" t="n">
        <f aca="false">N5-J5</f>
        <v>0.26584584332999</v>
      </c>
      <c r="O6" s="345"/>
      <c r="P6" s="346" t="n">
        <f aca="false">1.327-0.57</f>
        <v>0.757</v>
      </c>
      <c r="Q6" s="307"/>
      <c r="R6" s="307"/>
      <c r="S6" s="307"/>
      <c r="T6" s="307"/>
      <c r="U6" s="307"/>
      <c r="V6" s="307"/>
      <c r="W6" s="337" t="n">
        <v>1</v>
      </c>
      <c r="X6" s="14" t="n">
        <v>1</v>
      </c>
      <c r="Y6" s="334" t="n">
        <v>21</v>
      </c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  <c r="AK6" s="307"/>
      <c r="AL6" s="307"/>
    </row>
    <row r="7" customFormat="false" ht="15.75" hidden="false" customHeight="false" outlineLevel="0" collapsed="false">
      <c r="A7" s="307"/>
      <c r="B7" s="347" t="s">
        <v>211</v>
      </c>
      <c r="C7" s="348" t="e">
        <f aca="false">ROUND((C4-C6)*1000,0)</f>
        <v>#VALUE!</v>
      </c>
      <c r="D7" s="329" t="str">
        <f aca="false">IF(D5="No Adj","",D5-C4)</f>
        <v/>
      </c>
      <c r="E7" s="311"/>
      <c r="F7" s="311"/>
      <c r="G7" s="322" t="n">
        <v>37196</v>
      </c>
      <c r="H7" s="323" t="n">
        <v>37316</v>
      </c>
      <c r="I7" s="69" t="n">
        <f aca="false">SUMPRODUCT(INDEX(PriceTable,MATCH($G7,PriceTableMonths,0),5):INDEX(PriceTable,MATCH($H7,PriceTableMonths,0),5)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2.71381916967147</v>
      </c>
      <c r="J7" s="297" t="n">
        <f aca="false">SUMPRODUCT(INDEX(PriceTable,MATCH($G7,PriceTableMonths,0),3):INDEX(PriceTable,MATCH($H7,PriceTableMonths,0),3),INDEX(PriceTable,MATCH($G7,PriceTableMonths,0),34):INDEX(PriceTable,MATCH($H7,PriceTableMonths,0),34),INDEX(PriceTable,MATCH($G7,PriceTableMonths,0),25):INDEX(PriceTable,MATCH($H7,PriceTableMonths,0),25))/SUMPRODUCT(INDEX(PriceTable,MATCH($G7,PriceTableMonths,0),34):INDEX(PriceTable,MATCH($H7,PriceTableMonths,0),34),INDEX(PriceTable,MATCH($G7,PriceTableMonths,0),25):INDEX(PriceTable,MATCH($H7,PriceTableMonths,0),25))</f>
        <v>2.72486569254153</v>
      </c>
      <c r="K7" s="294" t="n">
        <f aca="false">(I7-J7)*1000</f>
        <v>-11.0465228700605</v>
      </c>
      <c r="L7" s="279" t="n">
        <f aca="false">I7-I8</f>
        <v>-0.570879651811167</v>
      </c>
      <c r="M7" s="332" t="n">
        <f aca="false">J7-J8</f>
        <v>-0.568833128941106</v>
      </c>
      <c r="N7" s="307"/>
      <c r="O7" s="307"/>
      <c r="P7" s="349"/>
      <c r="Q7" s="307"/>
      <c r="R7" s="307"/>
      <c r="S7" s="307"/>
      <c r="T7" s="307"/>
      <c r="U7" s="307"/>
      <c r="V7" s="307"/>
      <c r="W7" s="337" t="n">
        <f aca="false">W6+1</f>
        <v>2</v>
      </c>
      <c r="X7" s="14" t="n">
        <v>1</v>
      </c>
      <c r="Y7" s="334" t="n">
        <v>21</v>
      </c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</row>
    <row r="8" customFormat="false" ht="15" hidden="false" customHeight="false" outlineLevel="0" collapsed="false">
      <c r="A8" s="307"/>
      <c r="B8" s="307"/>
      <c r="C8" s="350"/>
      <c r="D8" s="311"/>
      <c r="E8" s="307"/>
      <c r="F8" s="311"/>
      <c r="G8" s="322" t="n">
        <v>37561</v>
      </c>
      <c r="H8" s="323" t="n">
        <v>37681</v>
      </c>
      <c r="I8" s="69" t="n">
        <f aca="false">SUMPRODUCT(INDEX(PriceTable,MATCH($G8,PriceTableMonths,0),5):INDEX(PriceTable,MATCH($H8,PriceTableMonths,0),5)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3.28469882148263</v>
      </c>
      <c r="J8" s="297" t="n">
        <f aca="false">SUMPRODUCT(INDEX(PriceTable,MATCH($G8,PriceTableMonths,0),3):INDEX(PriceTable,MATCH($H8,PriceTableMonths,0),3),INDEX(PriceTable,MATCH($G8,PriceTableMonths,0),34):INDEX(PriceTable,MATCH($H8,PriceTableMonths,0),34),INDEX(PriceTable,MATCH($G8,PriceTableMonths,0),25):INDEX(PriceTable,MATCH($H8,PriceTableMonths,0),25))/SUMPRODUCT(INDEX(PriceTable,MATCH($G8,PriceTableMonths,0),34):INDEX(PriceTable,MATCH($H8,PriceTableMonths,0),34),INDEX(PriceTable,MATCH($G8,PriceTableMonths,0),25):INDEX(PriceTable,MATCH($H8,PriceTableMonths,0),25))</f>
        <v>3.29369882148264</v>
      </c>
      <c r="K8" s="294" t="n">
        <f aca="false">(I8-J8)*1000</f>
        <v>-9.00000000000034</v>
      </c>
      <c r="L8" s="279" t="n">
        <f aca="false">I8-I9</f>
        <v>-0.106568553100652</v>
      </c>
      <c r="M8" s="332" t="n">
        <f aca="false">J8-J9</f>
        <v>-0.106568553100651</v>
      </c>
      <c r="N8" s="311" t="n">
        <f aca="false">J8*2-J7-J10</f>
        <v>0.372690247514649</v>
      </c>
      <c r="O8" s="307"/>
      <c r="P8" s="349"/>
      <c r="Q8" s="307"/>
      <c r="R8" s="307"/>
      <c r="S8" s="307"/>
      <c r="T8" s="307"/>
      <c r="U8" s="307"/>
      <c r="V8" s="307"/>
      <c r="W8" s="337" t="n">
        <f aca="false">W7+1</f>
        <v>3</v>
      </c>
      <c r="X8" s="14" t="n">
        <v>1</v>
      </c>
      <c r="Y8" s="334" t="n">
        <v>21</v>
      </c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</row>
    <row r="9" customFormat="false" ht="15" hidden="false" customHeight="false" outlineLevel="0" collapsed="false">
      <c r="A9" s="307"/>
      <c r="B9" s="351" t="s">
        <v>212</v>
      </c>
      <c r="C9" s="352"/>
      <c r="D9" s="353" t="n">
        <v>1</v>
      </c>
      <c r="E9" s="307" t="e">
        <f aca="false">E8*E10</f>
        <v>#VALUE!</v>
      </c>
      <c r="F9" s="311"/>
      <c r="G9" s="322" t="n">
        <v>37926</v>
      </c>
      <c r="H9" s="323" t="n">
        <v>38047</v>
      </c>
      <c r="I9" s="69" t="n">
        <f aca="false">SUMPRODUCT(INDEX(PriceTable,MATCH($G9,PriceTableMonths,0),5):INDEX(PriceTable,MATCH($H9,PriceTableMonths,0),5)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3.39126737458329</v>
      </c>
      <c r="J9" s="297" t="n">
        <f aca="false">SUMPRODUCT(INDEX(PriceTable,MATCH($G9,PriceTableMonths,0),3):INDEX(PriceTable,MATCH($H9,PriceTableMonths,0),3),INDEX(PriceTable,MATCH($G9,PriceTableMonths,0),34):INDEX(PriceTable,MATCH($H9,PriceTableMonths,0),34),INDEX(PriceTable,MATCH($G9,PriceTableMonths,0),25):INDEX(PriceTable,MATCH($H9,PriceTableMonths,0),25))/SUMPRODUCT(INDEX(PriceTable,MATCH($G9,PriceTableMonths,0),34):INDEX(PriceTable,MATCH($H9,PriceTableMonths,0),34),INDEX(PriceTable,MATCH($G9,PriceTableMonths,0),25):INDEX(PriceTable,MATCH($H9,PriceTableMonths,0),25))</f>
        <v>3.40026737458329</v>
      </c>
      <c r="K9" s="294" t="n">
        <f aca="false">(I9-J9)*1000</f>
        <v>-8.99999999999945</v>
      </c>
      <c r="L9" s="279" t="n">
        <f aca="false">I9-I10</f>
        <v>-0.0910704391352697</v>
      </c>
      <c r="M9" s="332" t="n">
        <f aca="false">J9-J10</f>
        <v>-0.0895743283258059</v>
      </c>
      <c r="N9" s="307"/>
      <c r="O9" s="307"/>
      <c r="P9" s="349"/>
      <c r="Q9" s="307"/>
      <c r="R9" s="307"/>
      <c r="S9" s="307"/>
      <c r="T9" s="307"/>
      <c r="U9" s="307"/>
      <c r="V9" s="307"/>
      <c r="W9" s="337" t="n">
        <f aca="false">W8+1</f>
        <v>4</v>
      </c>
      <c r="X9" s="14" t="n">
        <v>1</v>
      </c>
      <c r="Y9" s="334" t="n">
        <v>21</v>
      </c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</row>
    <row r="10" customFormat="false" ht="13.5" hidden="false" customHeight="false" outlineLevel="0" collapsed="false">
      <c r="A10" s="307"/>
      <c r="B10" s="307"/>
      <c r="C10" s="307"/>
      <c r="D10" s="307"/>
      <c r="E10" s="354" t="e">
        <f aca="false">E12-E11</f>
        <v>#VALUE!</v>
      </c>
      <c r="F10" s="311"/>
      <c r="G10" s="341" t="n">
        <v>38292</v>
      </c>
      <c r="H10" s="342" t="n">
        <v>38412</v>
      </c>
      <c r="I10" s="77" t="n">
        <f aca="false">SUMPRODUCT(INDEX(PriceTable,MATCH($G10,PriceTableMonths,0),5):INDEX(PriceTable,MATCH($H10,PriceTableMonths,0),5)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3.48233781371856</v>
      </c>
      <c r="J10" s="343" t="n">
        <f aca="false">SUMPRODUCT(INDEX(PriceTable,MATCH($G10,PriceTableMonths,0),3):INDEX(PriceTable,MATCH($H10,PriceTableMonths,0),3),INDEX(PriceTable,MATCH($G10,PriceTableMonths,0),34):INDEX(PriceTable,MATCH($H10,PriceTableMonths,0),34),INDEX(PriceTable,MATCH($G10,PriceTableMonths,0),25):INDEX(PriceTable,MATCH($H10,PriceTableMonths,0),25))/SUMPRODUCT(INDEX(PriceTable,MATCH($G10,PriceTableMonths,0),34):INDEX(PriceTable,MATCH($H10,PriceTableMonths,0),34),INDEX(PriceTable,MATCH($G10,PriceTableMonths,0),25):INDEX(PriceTable,MATCH($H10,PriceTableMonths,0),25))</f>
        <v>3.48984170290909</v>
      </c>
      <c r="K10" s="344" t="n">
        <f aca="false">(I10-J10)*1000</f>
        <v>-7.50388919053568</v>
      </c>
      <c r="L10" s="355"/>
      <c r="M10" s="356"/>
      <c r="N10" s="307"/>
      <c r="O10" s="357" t="n">
        <v>37119</v>
      </c>
      <c r="P10" s="357" t="n">
        <v>37118</v>
      </c>
      <c r="Q10" s="307"/>
      <c r="R10" s="307"/>
      <c r="S10" s="307"/>
      <c r="T10" s="307"/>
      <c r="U10" s="307"/>
      <c r="V10" s="307"/>
      <c r="W10" s="337" t="n">
        <f aca="false">W9+1</f>
        <v>5</v>
      </c>
      <c r="X10" s="14" t="n">
        <v>1</v>
      </c>
      <c r="Y10" s="334" t="n">
        <v>21</v>
      </c>
      <c r="Z10" s="307"/>
      <c r="AA10" s="307"/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</row>
    <row r="11" customFormat="false" ht="15.75" hidden="false" customHeight="false" outlineLevel="0" collapsed="false">
      <c r="A11" s="307"/>
      <c r="B11" s="328" t="s">
        <v>213</v>
      </c>
      <c r="C11" s="358" t="n">
        <v>11</v>
      </c>
      <c r="D11" s="359" t="n">
        <v>101</v>
      </c>
      <c r="E11" s="360" t="e">
        <f aca="false">DATE(D11,C11,1)</f>
        <v>#VALUE!</v>
      </c>
      <c r="F11" s="311"/>
      <c r="G11" s="361" t="n">
        <v>37622</v>
      </c>
      <c r="H11" s="362" t="n">
        <v>40513</v>
      </c>
      <c r="I11" s="363" t="n">
        <f aca="false">SUMPRODUCT(INDEX(PriceTable,MATCH($G11,PriceTableMonths,0),5):INDEX(PriceTable,MATCH($H11,PriceTableMonths,0),5)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3.50621476879807</v>
      </c>
      <c r="J11" s="363" t="n">
        <f aca="false">SUMPRODUCT(INDEX(PriceTable,MATCH($G11,PriceTableMonths,0),3):INDEX(PriceTable,MATCH($H11,PriceTableMonths,0),3),INDEX(PriceTable,MATCH($G11,PriceTableMonths,0),34):INDEX(PriceTable,MATCH($H11,PriceTableMonths,0),34),INDEX(PriceTable,MATCH($G11,PriceTableMonths,0),25):INDEX(PriceTable,MATCH($H11,PriceTableMonths,0),25))/SUMPRODUCT(INDEX(PriceTable,MATCH($G11,PriceTableMonths,0),34):INDEX(PriceTable,MATCH($H11,PriceTableMonths,0),34),INDEX(PriceTable,MATCH($G11,PriceTableMonths,0),25):INDEX(PriceTable,MATCH($H11,PriceTableMonths,0),25))</f>
        <v>3.50857411237353</v>
      </c>
      <c r="K11" s="364" t="n">
        <f aca="false">(I11-J11)*1000</f>
        <v>-2.35934357546341</v>
      </c>
      <c r="L11" s="311"/>
      <c r="M11" s="361" t="n">
        <v>40544</v>
      </c>
      <c r="N11" s="362" t="n">
        <v>42339</v>
      </c>
      <c r="O11" s="363" t="n">
        <v>4.44428752353981</v>
      </c>
      <c r="P11" s="363" t="n">
        <v>4.461653455497</v>
      </c>
      <c r="Q11" s="307"/>
      <c r="R11" s="307"/>
      <c r="S11" s="307"/>
      <c r="T11" s="307"/>
      <c r="U11" s="307"/>
      <c r="V11" s="307"/>
      <c r="W11" s="337" t="n">
        <f aca="false">W10+1</f>
        <v>6</v>
      </c>
      <c r="X11" s="14" t="n">
        <v>1</v>
      </c>
      <c r="Y11" s="334" t="n">
        <v>21</v>
      </c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</row>
    <row r="12" customFormat="false" ht="15.75" hidden="false" customHeight="false" outlineLevel="0" collapsed="false">
      <c r="A12" s="307"/>
      <c r="B12" s="365" t="s">
        <v>214</v>
      </c>
      <c r="C12" s="366" t="n">
        <v>3</v>
      </c>
      <c r="D12" s="367" t="n">
        <v>102</v>
      </c>
      <c r="E12" s="368" t="e">
        <f aca="false">DATE(D12,C12,1)</f>
        <v>#VALUE!</v>
      </c>
      <c r="F12" s="311"/>
      <c r="G12" s="361" t="n">
        <v>37347</v>
      </c>
      <c r="H12" s="362" t="n">
        <v>37956</v>
      </c>
      <c r="I12" s="369" t="n">
        <f aca="false">SUMPRODUCT(INDEX(PriceTable,MATCH($G12,PriceTableMonths,0),5):INDEX(PriceTable,MATCH($H12,PriceTableMonths,0),5)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3.1072734738624</v>
      </c>
      <c r="J12" s="318" t="n">
        <f aca="false">SUMPRODUCT(INDEX(PriceTable,MATCH($G12,PriceTableMonths,0),3):INDEX(PriceTable,MATCH($H12,PriceTableMonths,0),3),INDEX(PriceTable,MATCH($G12,PriceTableMonths,0),34):INDEX(PriceTable,MATCH($H12,PriceTableMonths,0),34),INDEX(PriceTable,MATCH($G12,PriceTableMonths,0),25):INDEX(PriceTable,MATCH($H12,PriceTableMonths,0),25))/SUMPRODUCT(INDEX(PriceTable,MATCH($G12,PriceTableMonths,0),34):INDEX(PriceTable,MATCH($H12,PriceTableMonths,0),34),INDEX(PriceTable,MATCH($G12,PriceTableMonths,0),25):INDEX(PriceTable,MATCH($H12,PriceTableMonths,0),25))</f>
        <v>3.1162734738624</v>
      </c>
      <c r="K12" s="319" t="n">
        <f aca="false">(I12-J12)*1000</f>
        <v>-8.9999999999999</v>
      </c>
      <c r="L12" s="320"/>
      <c r="M12" s="321" t="n">
        <f aca="false">J12-J13</f>
        <v>0.155069797156091</v>
      </c>
      <c r="N12" s="307"/>
      <c r="O12" s="307"/>
      <c r="P12" s="307"/>
      <c r="Q12" s="370" t="s">
        <v>215</v>
      </c>
      <c r="R12" s="371"/>
      <c r="S12" s="372" t="s">
        <v>216</v>
      </c>
      <c r="T12" s="373" t="s">
        <v>203</v>
      </c>
      <c r="U12" s="307"/>
      <c r="V12" s="307"/>
      <c r="W12" s="337" t="n">
        <f aca="false">W11+1</f>
        <v>7</v>
      </c>
      <c r="X12" s="14" t="n">
        <v>1</v>
      </c>
      <c r="Y12" s="334" t="n">
        <v>21</v>
      </c>
      <c r="Z12" s="307"/>
      <c r="AA12" s="307"/>
      <c r="AB12" s="307"/>
      <c r="AC12" s="307"/>
      <c r="AD12" s="307"/>
      <c r="AE12" s="307"/>
      <c r="AF12" s="307"/>
      <c r="AG12" s="307"/>
      <c r="AH12" s="307"/>
      <c r="AI12" s="307"/>
      <c r="AJ12" s="307"/>
      <c r="AK12" s="307"/>
      <c r="AL12" s="307"/>
    </row>
    <row r="13" customFormat="false" ht="15.75" hidden="false" customHeight="false" outlineLevel="0" collapsed="false">
      <c r="A13" s="307"/>
      <c r="B13" s="374"/>
      <c r="C13" s="375" t="str">
        <f aca="false">CONCATENATE("Term: ",D12-D11+INT((C12-C11+1)/12)," Years, ",MOD(C12-C11+1,12)," Months")</f>
        <v>Term: 0 Years, 5 Months</v>
      </c>
      <c r="D13" s="376"/>
      <c r="E13" s="377"/>
      <c r="F13" s="311"/>
      <c r="G13" s="322" t="n">
        <v>37257</v>
      </c>
      <c r="H13" s="323" t="n">
        <v>37591</v>
      </c>
      <c r="I13" s="69" t="n">
        <f aca="false">SUMPRODUCT(INDEX(PriceTable,MATCH($G13,PriceTableMonths,0),5):INDEX(PriceTable,MATCH($H13,PriceTableMonths,0),5)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2.95203252633012</v>
      </c>
      <c r="J13" s="297" t="n">
        <f aca="false">SUMPRODUCT(INDEX(PriceTable,MATCH($G13,PriceTableMonths,0),3):INDEX(PriceTable,MATCH($H13,PriceTableMonths,0),3),INDEX(PriceTable,MATCH($G13,PriceTableMonths,0),34):INDEX(PriceTable,MATCH($H13,PriceTableMonths,0),34),INDEX(PriceTable,MATCH($G13,PriceTableMonths,0),25):INDEX(PriceTable,MATCH($H13,PriceTableMonths,0),25))/SUMPRODUCT(INDEX(PriceTable,MATCH($G13,PriceTableMonths,0),34):INDEX(PriceTable,MATCH($H13,PriceTableMonths,0),34),INDEX(PriceTable,MATCH($G13,PriceTableMonths,0),25):INDEX(PriceTable,MATCH($H13,PriceTableMonths,0),25))</f>
        <v>2.96120367670631</v>
      </c>
      <c r="K13" s="294" t="n">
        <f aca="false">(I13-J13)*1000</f>
        <v>-9.17115037619087</v>
      </c>
      <c r="L13" s="279" t="n">
        <f aca="false">I13-I14</f>
        <v>-0.242968288739761</v>
      </c>
      <c r="M13" s="332" t="n">
        <f aca="false">J13-J14</f>
        <v>-0.24279713836357</v>
      </c>
      <c r="N13" s="307"/>
      <c r="O13" s="307"/>
      <c r="P13" s="307"/>
      <c r="Q13" s="378"/>
      <c r="R13" s="277"/>
      <c r="S13" s="379"/>
      <c r="T13" s="380"/>
      <c r="U13" s="307"/>
      <c r="V13" s="307"/>
      <c r="W13" s="337" t="n">
        <f aca="false">W12+1</f>
        <v>8</v>
      </c>
      <c r="X13" s="14" t="n">
        <v>1</v>
      </c>
      <c r="Y13" s="334" t="n">
        <v>21</v>
      </c>
      <c r="Z13" s="307"/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</row>
    <row r="14" customFormat="false" ht="13.5" hidden="false" customHeight="false" outlineLevel="0" collapsed="false">
      <c r="A14" s="307"/>
      <c r="B14" s="307"/>
      <c r="C14" s="307"/>
      <c r="D14" s="307"/>
      <c r="E14" s="307"/>
      <c r="F14" s="311"/>
      <c r="G14" s="322" t="n">
        <v>37622</v>
      </c>
      <c r="H14" s="323" t="n">
        <v>37956</v>
      </c>
      <c r="I14" s="69" t="n">
        <f aca="false">SUMPRODUCT(INDEX(PriceTable,MATCH($G14,PriceTableMonths,0),5):INDEX(PriceTable,MATCH($H14,PriceTableMonths,0),5)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3.19500081506988</v>
      </c>
      <c r="J14" s="297" t="n">
        <f aca="false">SUMPRODUCT(INDEX(PriceTable,MATCH($G14,PriceTableMonths,0),3):INDEX(PriceTable,MATCH($H14,PriceTableMonths,0),3),INDEX(PriceTable,MATCH($G14,PriceTableMonths,0),34):INDEX(PriceTable,MATCH($H14,PriceTableMonths,0),34),INDEX(PriceTable,MATCH($G14,PriceTableMonths,0),25):INDEX(PriceTable,MATCH($H14,PriceTableMonths,0),25))/SUMPRODUCT(INDEX(PriceTable,MATCH($G14,PriceTableMonths,0),34):INDEX(PriceTable,MATCH($H14,PriceTableMonths,0),34),INDEX(PriceTable,MATCH($G14,PriceTableMonths,0),25):INDEX(PriceTable,MATCH($H14,PriceTableMonths,0),25))</f>
        <v>3.20400081506988</v>
      </c>
      <c r="K14" s="294" t="n">
        <f aca="false">(I14-J14)*1000</f>
        <v>-8.9999999999999</v>
      </c>
      <c r="L14" s="279" t="n">
        <f aca="false">I14-I15</f>
        <v>-0.0841253159676678</v>
      </c>
      <c r="M14" s="332" t="n">
        <f aca="false">J14-J15</f>
        <v>-0.0841253159676678</v>
      </c>
      <c r="N14" s="307"/>
      <c r="O14" s="307"/>
      <c r="P14" s="307"/>
      <c r="Q14" s="378"/>
      <c r="R14" s="277"/>
      <c r="S14" s="379"/>
      <c r="T14" s="380"/>
      <c r="U14" s="307"/>
      <c r="V14" s="307"/>
      <c r="W14" s="337" t="n">
        <f aca="false">W13+1</f>
        <v>9</v>
      </c>
      <c r="X14" s="14" t="n">
        <v>1</v>
      </c>
      <c r="Y14" s="334" t="n">
        <v>21</v>
      </c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</row>
    <row r="15" customFormat="false" ht="12.75" hidden="false" customHeight="false" outlineLevel="0" collapsed="false">
      <c r="A15" s="307"/>
      <c r="B15" s="381"/>
      <c r="C15" s="382" t="s">
        <v>217</v>
      </c>
      <c r="D15" s="383" t="s">
        <v>218</v>
      </c>
      <c r="E15" s="384" t="n">
        <f aca="false">36*200</f>
        <v>7200</v>
      </c>
      <c r="F15" s="311"/>
      <c r="G15" s="322" t="n">
        <v>37987</v>
      </c>
      <c r="H15" s="323" t="n">
        <v>38322</v>
      </c>
      <c r="I15" s="69" t="n">
        <f aca="false">SUMPRODUCT(INDEX(PriceTable,MATCH($G15,PriceTableMonths,0),5):INDEX(PriceTable,MATCH($H15,PriceTableMonths,0),5)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3.27912613103755</v>
      </c>
      <c r="J15" s="297" t="n">
        <f aca="false">SUMPRODUCT(INDEX(PriceTable,MATCH($G15,PriceTableMonths,0),3):INDEX(PriceTable,MATCH($H15,PriceTableMonths,0),3),INDEX(PriceTable,MATCH($G15,PriceTableMonths,0),34):INDEX(PriceTable,MATCH($H15,PriceTableMonths,0),34),INDEX(PriceTable,MATCH($G15,PriceTableMonths,0),25):INDEX(PriceTable,MATCH($H15,PriceTableMonths,0),25))/SUMPRODUCT(INDEX(PriceTable,MATCH($G15,PriceTableMonths,0),34):INDEX(PriceTable,MATCH($H15,PriceTableMonths,0),34),INDEX(PriceTable,MATCH($G15,PriceTableMonths,0),25):INDEX(PriceTable,MATCH($H15,PriceTableMonths,0),25))</f>
        <v>3.28812613103755</v>
      </c>
      <c r="K15" s="294" t="n">
        <f aca="false">(I15-J15)*1000</f>
        <v>-8.9999999999999</v>
      </c>
      <c r="L15" s="279" t="n">
        <f aca="false">I15-I16</f>
        <v>-0.0846009513882886</v>
      </c>
      <c r="M15" s="332" t="n">
        <f aca="false">J15-J16</f>
        <v>-0.0821009513882882</v>
      </c>
      <c r="N15" s="307"/>
      <c r="O15" s="307"/>
      <c r="P15" s="307"/>
      <c r="Q15" s="378"/>
      <c r="R15" s="277"/>
      <c r="S15" s="379"/>
      <c r="T15" s="380"/>
      <c r="U15" s="307"/>
      <c r="V15" s="307"/>
      <c r="W15" s="337" t="n">
        <f aca="false">W14+1</f>
        <v>10</v>
      </c>
      <c r="X15" s="14" t="n">
        <v>1</v>
      </c>
      <c r="Y15" s="334" t="n">
        <v>21</v>
      </c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</row>
    <row r="16" customFormat="false" ht="15" hidden="false" customHeight="false" outlineLevel="0" collapsed="false">
      <c r="A16" s="307"/>
      <c r="B16" s="385" t="s">
        <v>219</v>
      </c>
      <c r="C16" s="386" t="n">
        <v>3.45</v>
      </c>
      <c r="D16" s="387" t="e">
        <f aca="false">C4</f>
        <v>#VALUE!</v>
      </c>
      <c r="E16" s="384" t="n">
        <f aca="false">60*200</f>
        <v>12000</v>
      </c>
      <c r="F16" s="311"/>
      <c r="G16" s="322" t="n">
        <v>38353</v>
      </c>
      <c r="H16" s="323" t="n">
        <v>38687</v>
      </c>
      <c r="I16" s="69" t="n">
        <f aca="false">SUMPRODUCT(INDEX(PriceTable,MATCH($G16,PriceTableMonths,0),5):INDEX(PriceTable,MATCH($H16,PriceTableMonths,0),5)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3.36372708242584</v>
      </c>
      <c r="J16" s="297" t="n">
        <f aca="false">SUMPRODUCT(INDEX(PriceTable,MATCH($G16,PriceTableMonths,0),3):INDEX(PriceTable,MATCH($H16,PriceTableMonths,0),3),INDEX(PriceTable,MATCH($G16,PriceTableMonths,0),34):INDEX(PriceTable,MATCH($H16,PriceTableMonths,0),34),INDEX(PriceTable,MATCH($G16,PriceTableMonths,0),25):INDEX(PriceTable,MATCH($H16,PriceTableMonths,0),25))/SUMPRODUCT(INDEX(PriceTable,MATCH($G16,PriceTableMonths,0),34):INDEX(PriceTable,MATCH($H16,PriceTableMonths,0),34),INDEX(PriceTable,MATCH($G16,PriceTableMonths,0),25):INDEX(PriceTable,MATCH($H16,PriceTableMonths,0),25))</f>
        <v>3.37022708242584</v>
      </c>
      <c r="K16" s="294" t="n">
        <f aca="false">(I16-J16)*1000</f>
        <v>-6.49999999999951</v>
      </c>
      <c r="L16" s="279" t="n">
        <f aca="false">I16-I17</f>
        <v>-0.0874540636454113</v>
      </c>
      <c r="M16" s="332" t="n">
        <f aca="false">J16-J17</f>
        <v>-0.0849540636454114</v>
      </c>
      <c r="N16" s="307"/>
      <c r="O16" s="307"/>
      <c r="P16" s="307"/>
      <c r="Q16" s="378"/>
      <c r="R16" s="277"/>
      <c r="S16" s="379"/>
      <c r="T16" s="380"/>
      <c r="U16" s="307"/>
      <c r="V16" s="307"/>
      <c r="W16" s="337" t="n">
        <f aca="false">W15+1</f>
        <v>11</v>
      </c>
      <c r="X16" s="14" t="n">
        <v>1</v>
      </c>
      <c r="Y16" s="334" t="n">
        <v>12</v>
      </c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</row>
    <row r="17" customFormat="false" ht="15.75" hidden="false" customHeight="false" outlineLevel="0" collapsed="false">
      <c r="A17" s="307"/>
      <c r="B17" s="388" t="s">
        <v>220</v>
      </c>
      <c r="C17" s="389" t="n">
        <v>3.45</v>
      </c>
      <c r="D17" s="390" t="e">
        <f aca="false">Call2</f>
        <v>#VALUE!</v>
      </c>
      <c r="E17" s="307"/>
      <c r="F17" s="311"/>
      <c r="G17" s="322" t="n">
        <v>38718</v>
      </c>
      <c r="H17" s="323" t="n">
        <v>39052</v>
      </c>
      <c r="I17" s="69" t="n">
        <f aca="false">SUMPRODUCT(INDEX(PriceTable,MATCH($G17,PriceTableMonths,0),5):INDEX(PriceTable,MATCH($H17,PriceTableMonths,0),5)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3.45118114607125</v>
      </c>
      <c r="J17" s="297" t="n">
        <f aca="false">SUMPRODUCT(INDEX(PriceTable,MATCH($G17,PriceTableMonths,0),3):INDEX(PriceTable,MATCH($H17,PriceTableMonths,0),3),INDEX(PriceTable,MATCH($G17,PriceTableMonths,0),34):INDEX(PriceTable,MATCH($H17,PriceTableMonths,0),34),INDEX(PriceTable,MATCH($G17,PriceTableMonths,0),25):INDEX(PriceTable,MATCH($H17,PriceTableMonths,0),25))/SUMPRODUCT(INDEX(PriceTable,MATCH($G17,PriceTableMonths,0),34):INDEX(PriceTable,MATCH($H17,PriceTableMonths,0),34),INDEX(PriceTable,MATCH($G17,PriceTableMonths,0),25):INDEX(PriceTable,MATCH($H17,PriceTableMonths,0),25))</f>
        <v>3.45518114607125</v>
      </c>
      <c r="K17" s="294" t="n">
        <f aca="false">(I17-J17)*1000</f>
        <v>-3.99999999999956</v>
      </c>
      <c r="L17" s="279" t="n">
        <f aca="false">I17-I18</f>
        <v>-0.0900056556272748</v>
      </c>
      <c r="M17" s="332" t="n">
        <f aca="false">J17-J18</f>
        <v>-0.0875056556272749</v>
      </c>
      <c r="N17" s="307"/>
      <c r="O17" s="307"/>
      <c r="P17" s="307"/>
      <c r="Q17" s="378"/>
      <c r="R17" s="277"/>
      <c r="S17" s="379"/>
      <c r="T17" s="380"/>
      <c r="U17" s="307"/>
      <c r="V17" s="307"/>
      <c r="W17" s="391" t="n">
        <f aca="false">W16+1</f>
        <v>12</v>
      </c>
      <c r="X17" s="392" t="n">
        <v>1</v>
      </c>
      <c r="Y17" s="393" t="n">
        <v>12</v>
      </c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</row>
    <row r="18" customFormat="false" ht="13.5" hidden="false" customHeight="false" outlineLevel="0" collapsed="false">
      <c r="A18" s="307"/>
      <c r="B18" s="311"/>
      <c r="C18" s="307"/>
      <c r="D18" s="311"/>
      <c r="E18" s="307"/>
      <c r="F18" s="311"/>
      <c r="G18" s="341" t="n">
        <v>39083</v>
      </c>
      <c r="H18" s="342" t="n">
        <v>39417</v>
      </c>
      <c r="I18" s="77" t="n">
        <f aca="false">SUMPRODUCT(INDEX(PriceTable,MATCH($G18,PriceTableMonths,0),5):INDEX(PriceTable,MATCH($H18,PriceTableMonths,0),5)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3.54118680169852</v>
      </c>
      <c r="J18" s="343" t="n">
        <f aca="false">SUMPRODUCT(INDEX(PriceTable,MATCH($G18,PriceTableMonths,0),3):INDEX(PriceTable,MATCH($H18,PriceTableMonths,0),3),INDEX(PriceTable,MATCH($G18,PriceTableMonths,0),34):INDEX(PriceTable,MATCH($H18,PriceTableMonths,0),34),INDEX(PriceTable,MATCH($G18,PriceTableMonths,0),25):INDEX(PriceTable,MATCH($H18,PriceTableMonths,0),25))/SUMPRODUCT(INDEX(PriceTable,MATCH($G18,PriceTableMonths,0),34):INDEX(PriceTable,MATCH($H18,PriceTableMonths,0),34),INDEX(PriceTable,MATCH($G18,PriceTableMonths,0),25):INDEX(PriceTable,MATCH($H18,PriceTableMonths,0),25))</f>
        <v>3.54268680169852</v>
      </c>
      <c r="K18" s="344" t="n">
        <f aca="false">(I18-J18)*1000</f>
        <v>-1.49999999999961</v>
      </c>
      <c r="L18" s="394"/>
      <c r="M18" s="395"/>
      <c r="N18" s="307"/>
      <c r="O18" s="307"/>
      <c r="P18" s="307"/>
      <c r="Q18" s="378"/>
      <c r="R18" s="277"/>
      <c r="S18" s="379"/>
      <c r="T18" s="380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  <c r="AH18" s="307"/>
      <c r="AI18" s="307"/>
      <c r="AJ18" s="307"/>
      <c r="AK18" s="307"/>
      <c r="AL18" s="307"/>
    </row>
    <row r="19" customFormat="false" ht="13.5" hidden="false" customHeight="false" outlineLevel="0" collapsed="false">
      <c r="A19" s="307"/>
      <c r="B19" s="396" t="s">
        <v>221</v>
      </c>
      <c r="C19" s="397" t="n">
        <v>1</v>
      </c>
      <c r="D19" s="311"/>
      <c r="E19" s="396" t="s">
        <v>222</v>
      </c>
      <c r="F19" s="307"/>
      <c r="G19" s="398"/>
      <c r="H19" s="399" t="s">
        <v>50</v>
      </c>
      <c r="I19" s="307"/>
      <c r="J19" s="307"/>
      <c r="K19" s="345"/>
      <c r="L19" s="307"/>
      <c r="M19" s="307"/>
      <c r="N19" s="307"/>
      <c r="O19" s="307"/>
      <c r="P19" s="307"/>
      <c r="Q19" s="378"/>
      <c r="R19" s="277"/>
      <c r="S19" s="379"/>
      <c r="T19" s="380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</row>
    <row r="20" customFormat="false" ht="13.5" hidden="false" customHeight="false" outlineLevel="0" collapsed="false">
      <c r="A20" s="307"/>
      <c r="B20" s="307"/>
      <c r="C20" s="307"/>
      <c r="D20" s="307"/>
      <c r="E20" s="400" t="n">
        <v>0</v>
      </c>
      <c r="F20" s="307"/>
      <c r="G20" s="401" t="s">
        <v>223</v>
      </c>
      <c r="H20" s="400" t="n">
        <v>0</v>
      </c>
      <c r="I20" s="307"/>
      <c r="J20" s="307"/>
      <c r="K20" s="307"/>
      <c r="L20" s="307"/>
      <c r="M20" s="307"/>
      <c r="N20" s="307"/>
      <c r="O20" s="307"/>
      <c r="P20" s="307"/>
      <c r="Q20" s="378" t="n">
        <v>37.533900090012</v>
      </c>
      <c r="R20" s="277" t="n">
        <f aca="false">H24</f>
        <v>0</v>
      </c>
      <c r="S20" s="379" t="n">
        <v>0.325</v>
      </c>
      <c r="T20" s="380" t="n">
        <f aca="false">I24-S20</f>
        <v>-0.325</v>
      </c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</row>
    <row r="21" customFormat="false" ht="15.75" hidden="false" customHeight="false" outlineLevel="0" collapsed="false">
      <c r="A21" s="307"/>
      <c r="B21" s="402" t="s">
        <v>59</v>
      </c>
      <c r="C21" s="403" t="s">
        <v>224</v>
      </c>
      <c r="D21" s="307"/>
      <c r="E21" s="404" t="n">
        <v>-0.00025</v>
      </c>
      <c r="F21" s="307"/>
      <c r="G21" s="398" t="s">
        <v>225</v>
      </c>
      <c r="H21" s="405" t="n">
        <v>0.005</v>
      </c>
      <c r="I21" s="307"/>
      <c r="J21" s="307"/>
      <c r="K21" s="307"/>
      <c r="L21" s="307"/>
      <c r="M21" s="307"/>
      <c r="N21" s="307"/>
      <c r="O21" s="307"/>
      <c r="P21" s="307"/>
      <c r="Q21" s="378" t="n">
        <v>39.2896048052729</v>
      </c>
      <c r="R21" s="277" t="n">
        <f aca="false">H25</f>
        <v>37165</v>
      </c>
      <c r="S21" s="379" t="n">
        <v>0.3</v>
      </c>
      <c r="T21" s="380" t="n">
        <f aca="false">I25-S21</f>
        <v>0.55</v>
      </c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</row>
    <row r="22" customFormat="false" ht="15.75" hidden="false" customHeight="false" outlineLevel="0" collapsed="false">
      <c r="A22" s="307"/>
      <c r="B22" s="406" t="e">
        <f aca="false">Opt!AI7</f>
        <v>#VALUE!</v>
      </c>
      <c r="C22" s="407" t="e">
        <f aca="false">Opt!AJ7</f>
        <v>#VALUE!</v>
      </c>
      <c r="D22" s="307"/>
      <c r="E22" s="408" t="e">
        <f aca="false">Opt!N7/Opt!E7</f>
        <v>#VALUE!</v>
      </c>
      <c r="F22" s="307"/>
      <c r="G22" s="409" t="s">
        <v>226</v>
      </c>
      <c r="H22" s="410" t="e">
        <f aca="false">SUMPRODUCT(Opt!L10:L250,Opt!F10:F250)/Opt!F7</f>
        <v>#VALUE!</v>
      </c>
      <c r="I22" s="307" t="n">
        <f aca="false">1/16</f>
        <v>0.0625</v>
      </c>
      <c r="J22" s="307"/>
      <c r="K22" s="307"/>
      <c r="L22" s="307"/>
      <c r="M22" s="307"/>
      <c r="N22" s="307"/>
      <c r="O22" s="307"/>
      <c r="P22" s="307"/>
      <c r="Q22" s="378" t="n">
        <v>40.8200919163774</v>
      </c>
      <c r="R22" s="277" t="n">
        <f aca="false">H26</f>
        <v>37196</v>
      </c>
      <c r="S22" s="379" t="n">
        <v>0.2875</v>
      </c>
      <c r="T22" s="380" t="n">
        <f aca="false">I26-S22</f>
        <v>0.4425</v>
      </c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</row>
    <row r="23" customFormat="false" ht="15.75" hidden="false" customHeight="false" outlineLevel="0" collapsed="false">
      <c r="A23" s="307"/>
      <c r="B23" s="307"/>
      <c r="C23" s="307"/>
      <c r="D23" s="307"/>
      <c r="E23" s="411" t="str">
        <f aca="false">IF(Skew_Switch&lt;&gt;1,"SKEW OFF     SKEW OFF     SKEW OFF     SKEW OFF","")</f>
        <v/>
      </c>
      <c r="F23" s="307"/>
      <c r="G23" s="412"/>
      <c r="H23" s="412"/>
      <c r="I23" s="413"/>
      <c r="J23" s="307"/>
      <c r="K23" s="311"/>
      <c r="L23" s="307"/>
      <c r="M23" s="307"/>
      <c r="N23" s="307"/>
      <c r="O23" s="307"/>
      <c r="P23" s="307"/>
      <c r="Q23" s="378" t="n">
        <v>42.7395325483299</v>
      </c>
      <c r="R23" s="277" t="n">
        <f aca="false">H27</f>
        <v>37226</v>
      </c>
      <c r="S23" s="379" t="n">
        <v>0.285</v>
      </c>
      <c r="T23" s="380" t="n">
        <f aca="false">I27-S23</f>
        <v>0.345</v>
      </c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</row>
    <row r="24" customFormat="false" ht="13.5" hidden="false" customHeight="false" outlineLevel="0" collapsed="false">
      <c r="A24" s="307"/>
      <c r="B24" s="414" t="s">
        <v>217</v>
      </c>
      <c r="C24" s="415" t="s">
        <v>227</v>
      </c>
      <c r="D24" s="416" t="s">
        <v>228</v>
      </c>
      <c r="E24" s="417" t="s">
        <v>221</v>
      </c>
      <c r="F24" s="307"/>
      <c r="G24" s="418"/>
      <c r="H24" s="317"/>
      <c r="I24" s="419"/>
      <c r="J24" s="420"/>
      <c r="K24" s="421" t="s">
        <v>229</v>
      </c>
      <c r="L24" s="420"/>
      <c r="M24" s="307"/>
      <c r="N24" s="84" t="s">
        <v>64</v>
      </c>
      <c r="O24" s="84" t="s">
        <v>47</v>
      </c>
      <c r="P24" s="307"/>
      <c r="Q24" s="378" t="n">
        <v>45.7360648066441</v>
      </c>
      <c r="R24" s="277" t="n">
        <f aca="false">H28</f>
        <v>37257</v>
      </c>
      <c r="S24" s="379" t="n">
        <v>0.28</v>
      </c>
      <c r="T24" s="380" t="n">
        <f aca="false">I28-S24</f>
        <v>0.3375</v>
      </c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</row>
    <row r="25" customFormat="false" ht="15" hidden="false" customHeight="false" outlineLevel="0" collapsed="false">
      <c r="A25" s="307"/>
      <c r="B25" s="422" t="s">
        <v>219</v>
      </c>
      <c r="C25" s="423" t="e">
        <f aca="false">Opt!W7/Opt!E7</f>
        <v>#VALUE!</v>
      </c>
      <c r="D25" s="424" t="e">
        <f aca="false">Opt!AA7/Opt!E7</f>
        <v>#VALUE!</v>
      </c>
      <c r="E25" s="425" t="e">
        <f aca="false">(Opt!$S$7-Opt!$N$7)/Opt!$E$7</f>
        <v>#VALUE!</v>
      </c>
      <c r="F25" s="307"/>
      <c r="G25" s="426"/>
      <c r="H25" s="427" t="n">
        <f aca="false">Swap!A11</f>
        <v>37165</v>
      </c>
      <c r="I25" s="428" t="n">
        <f aca="false">INDEX(IRTable,MATCH(H25,IRMonth,0),3)+K25</f>
        <v>0.85</v>
      </c>
      <c r="J25" s="429" t="e">
        <f aca="false">xEURO(Swap!E11,Swap!E11,Opt!G11,Opt!G11,I25,Opt!J11,1,0)*2*100</f>
        <v>#NAME?</v>
      </c>
      <c r="K25" s="428"/>
      <c r="L25" s="430"/>
      <c r="M25" s="307"/>
      <c r="N25" s="92" t="n">
        <v>36951</v>
      </c>
      <c r="O25" s="92" t="n">
        <v>36945</v>
      </c>
      <c r="P25" s="307"/>
      <c r="Q25" s="378" t="n">
        <v>48.8310229001569</v>
      </c>
      <c r="R25" s="277" t="n">
        <f aca="false">H29</f>
        <v>37288</v>
      </c>
      <c r="S25" s="379" t="n">
        <v>0.2825</v>
      </c>
      <c r="T25" s="380" t="n">
        <f aca="false">I29-S25</f>
        <v>0.3125</v>
      </c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</row>
    <row r="26" customFormat="false" ht="15" hidden="false" customHeight="false" outlineLevel="0" collapsed="false">
      <c r="A26" s="307"/>
      <c r="B26" s="431" t="s">
        <v>220</v>
      </c>
      <c r="C26" s="432" t="e">
        <f aca="false">Opt!X7/Opt!E7</f>
        <v>#VALUE!</v>
      </c>
      <c r="D26" s="433" t="e">
        <f aca="false">Opt!AB7/Opt!E7</f>
        <v>#VALUE!</v>
      </c>
      <c r="E26" s="434" t="e">
        <f aca="false">(Opt!$T$7-Opt!$N$7)/Opt!$E$7</f>
        <v>#VALUE!</v>
      </c>
      <c r="F26" s="307"/>
      <c r="G26" s="435"/>
      <c r="H26" s="323" t="n">
        <f aca="false">Swap!A12</f>
        <v>37196</v>
      </c>
      <c r="I26" s="428" t="n">
        <f aca="false">INDEX(IRTable,MATCH(H26,IRMonth,0),3)+K26</f>
        <v>0.73</v>
      </c>
      <c r="J26" s="436" t="e">
        <f aca="false">xEURO(Swap!E12,Swap!E12,Opt!G12,Opt!G12,I26,Opt!J12,1,0)*2*100</f>
        <v>#NAME?</v>
      </c>
      <c r="K26" s="428"/>
      <c r="L26" s="430"/>
      <c r="M26" s="307"/>
      <c r="N26" s="92" t="n">
        <v>36982</v>
      </c>
      <c r="O26" s="92" t="n">
        <v>36977</v>
      </c>
      <c r="P26" s="307"/>
      <c r="Q26" s="378" t="n">
        <v>53.5832628887041</v>
      </c>
      <c r="R26" s="277" t="n">
        <f aca="false">H30</f>
        <v>37316</v>
      </c>
      <c r="S26" s="379" t="n">
        <v>0.285</v>
      </c>
      <c r="T26" s="380" t="n">
        <f aca="false">I30-S26</f>
        <v>0.245</v>
      </c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</row>
    <row r="27" customFormat="false" ht="15" hidden="false" customHeight="false" outlineLevel="0" collapsed="false">
      <c r="A27" s="307"/>
      <c r="B27" s="339" t="s">
        <v>230</v>
      </c>
      <c r="C27" s="437" t="e">
        <f aca="false">C25+C26</f>
        <v>#VALUE!</v>
      </c>
      <c r="D27" s="438" t="e">
        <f aca="false">D25+D26</f>
        <v>#VALUE!</v>
      </c>
      <c r="E27" s="439"/>
      <c r="F27" s="412"/>
      <c r="G27" s="435"/>
      <c r="H27" s="323" t="n">
        <f aca="false">Swap!A13</f>
        <v>37226</v>
      </c>
      <c r="I27" s="428" t="n">
        <f aca="false">INDEX(IRTable,MATCH(H27,IRMonth,0),3)+K27</f>
        <v>0.63</v>
      </c>
      <c r="J27" s="436" t="e">
        <f aca="false">xEURO(Swap!E13,Swap!E13,Opt!G13,Opt!G13,I27,Opt!J13,1,0)*2*100</f>
        <v>#NAME?</v>
      </c>
      <c r="K27" s="428"/>
      <c r="L27" s="430"/>
      <c r="M27" s="307"/>
      <c r="N27" s="92" t="n">
        <v>37012</v>
      </c>
      <c r="O27" s="92" t="n">
        <v>37006</v>
      </c>
      <c r="P27" s="307"/>
      <c r="Q27" s="378" t="n">
        <v>58.9938246714856</v>
      </c>
      <c r="R27" s="277" t="n">
        <f aca="false">H31</f>
        <v>37347</v>
      </c>
      <c r="S27" s="379" t="n">
        <v>0.285</v>
      </c>
      <c r="T27" s="380" t="n">
        <f aca="false">I31-S27</f>
        <v>0.2</v>
      </c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  <c r="AH27" s="307"/>
      <c r="AI27" s="307"/>
      <c r="AJ27" s="307"/>
      <c r="AK27" s="307"/>
      <c r="AL27" s="307"/>
    </row>
    <row r="28" customFormat="false" ht="15.75" hidden="false" customHeight="false" outlineLevel="0" collapsed="false">
      <c r="A28" s="307"/>
      <c r="B28" s="440" t="s">
        <v>231</v>
      </c>
      <c r="C28" s="441" t="e">
        <f aca="false">C25-C26</f>
        <v>#VALUE!</v>
      </c>
      <c r="D28" s="442" t="e">
        <f aca="false">D25-D26</f>
        <v>#VALUE!</v>
      </c>
      <c r="E28" s="377"/>
      <c r="F28" s="412"/>
      <c r="G28" s="435"/>
      <c r="H28" s="323" t="n">
        <f aca="false">Swap!A14</f>
        <v>37257</v>
      </c>
      <c r="I28" s="428" t="n">
        <f aca="false">INDEX(IRTable,MATCH(H28,IRMonth,0),3)+K28</f>
        <v>0.6175</v>
      </c>
      <c r="J28" s="436" t="e">
        <f aca="false">xEURO(Swap!E14,Swap!E14,Opt!G14,Opt!G14,I28,Opt!J14,1,0)*2*100</f>
        <v>#NAME?</v>
      </c>
      <c r="K28" s="443"/>
      <c r="L28" s="444"/>
      <c r="M28" s="307"/>
      <c r="N28" s="92" t="n">
        <v>37043</v>
      </c>
      <c r="O28" s="92" t="n">
        <v>37036</v>
      </c>
      <c r="P28" s="307"/>
      <c r="Q28" s="378" t="n">
        <v>62.6312727960617</v>
      </c>
      <c r="R28" s="277" t="n">
        <f aca="false">H32</f>
        <v>37377</v>
      </c>
      <c r="S28" s="379" t="n">
        <v>0.29</v>
      </c>
      <c r="T28" s="380" t="n">
        <f aca="false">I32-S28</f>
        <v>0.16</v>
      </c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</row>
    <row r="29" customFormat="false" ht="15.75" hidden="false" customHeight="false" outlineLevel="0" collapsed="false">
      <c r="A29" s="307"/>
      <c r="B29" s="414" t="s">
        <v>218</v>
      </c>
      <c r="C29" s="415" t="s">
        <v>227</v>
      </c>
      <c r="D29" s="445" t="e">
        <f aca="false">D28-5</f>
        <v>#VALUE!</v>
      </c>
      <c r="E29" s="417" t="s">
        <v>221</v>
      </c>
      <c r="F29" s="412"/>
      <c r="G29" s="435"/>
      <c r="H29" s="323" t="n">
        <f aca="false">Swap!A15</f>
        <v>37288</v>
      </c>
      <c r="I29" s="428" t="n">
        <f aca="false">INDEX(IRTable,MATCH(H29,IRMonth,0),3)+K29</f>
        <v>0.595</v>
      </c>
      <c r="J29" s="436" t="e">
        <f aca="false">xEURO(Swap!E15,Swap!E15,Opt!G15,Opt!G15,I29,Opt!J15,1,0)*2*100</f>
        <v>#NAME?</v>
      </c>
      <c r="K29" s="428"/>
      <c r="L29" s="430"/>
      <c r="M29" s="307"/>
      <c r="N29" s="92" t="n">
        <v>37073</v>
      </c>
      <c r="O29" s="92" t="n">
        <v>37068</v>
      </c>
      <c r="P29" s="307"/>
      <c r="Q29" s="378" t="n">
        <v>60.6826304805353</v>
      </c>
      <c r="R29" s="277" t="n">
        <f aca="false">H33</f>
        <v>37408</v>
      </c>
      <c r="S29" s="379" t="n">
        <v>0.285</v>
      </c>
      <c r="T29" s="380" t="n">
        <f aca="false">I33-S29</f>
        <v>0.1575</v>
      </c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</row>
    <row r="30" customFormat="false" ht="15" hidden="false" customHeight="false" outlineLevel="0" collapsed="false">
      <c r="A30" s="307"/>
      <c r="B30" s="422" t="s">
        <v>219</v>
      </c>
      <c r="C30" s="423" t="e">
        <f aca="false">Opt!Y7/Opt!E7</f>
        <v>#VALUE!</v>
      </c>
      <c r="D30" s="424" t="e">
        <f aca="false">Opt!AC7/Opt!E7</f>
        <v>#VALUE!</v>
      </c>
      <c r="E30" s="425" t="e">
        <f aca="false">(Opt!$U$7-Opt!$N$7)/Opt!$E$7</f>
        <v>#VALUE!</v>
      </c>
      <c r="F30" s="412"/>
      <c r="G30" s="435"/>
      <c r="H30" s="323" t="n">
        <f aca="false">Swap!A16</f>
        <v>37316</v>
      </c>
      <c r="I30" s="428" t="n">
        <f aca="false">INDEX(IRTable,MATCH(H30,IRMonth,0),3)+K30</f>
        <v>0.53</v>
      </c>
      <c r="J30" s="436" t="e">
        <f aca="false">xEURO(Swap!E16,Swap!E16,Opt!G16,Opt!G16,I30,Opt!J16,1,0)*2*100</f>
        <v>#NAME?</v>
      </c>
      <c r="K30" s="428"/>
      <c r="L30" s="430"/>
      <c r="M30" s="307"/>
      <c r="N30" s="92" t="n">
        <v>37104</v>
      </c>
      <c r="O30" s="92" t="n">
        <v>37098</v>
      </c>
      <c r="P30" s="307"/>
      <c r="Q30" s="378" t="n">
        <v>53.0692290311846</v>
      </c>
      <c r="R30" s="277" t="n">
        <f aca="false">H34</f>
        <v>37438</v>
      </c>
      <c r="S30" s="379" t="n">
        <v>0.255</v>
      </c>
      <c r="T30" s="380" t="n">
        <f aca="false">I34-S30</f>
        <v>0.1875</v>
      </c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</row>
    <row r="31" customFormat="false" ht="15" hidden="false" customHeight="false" outlineLevel="0" collapsed="false">
      <c r="A31" s="307"/>
      <c r="B31" s="431" t="s">
        <v>220</v>
      </c>
      <c r="C31" s="432" t="e">
        <f aca="false">Opt!Z7/Opt!E7</f>
        <v>#VALUE!</v>
      </c>
      <c r="D31" s="433" t="e">
        <f aca="false">Opt!AD7/Opt!E7</f>
        <v>#VALUE!</v>
      </c>
      <c r="E31" s="434" t="e">
        <f aca="false">(Opt!$V$7-Opt!$N$7)/Opt!$E$7</f>
        <v>#VALUE!</v>
      </c>
      <c r="F31" s="412"/>
      <c r="G31" s="435"/>
      <c r="H31" s="323" t="n">
        <f aca="false">Swap!A17</f>
        <v>37347</v>
      </c>
      <c r="I31" s="428" t="n">
        <f aca="false">INDEX(IRTable,MATCH(H31,IRMonth,0),3)+K31</f>
        <v>0.485</v>
      </c>
      <c r="J31" s="436" t="e">
        <f aca="false">xEURO(Swap!E17,Swap!E17,Opt!G17,Opt!G17,I31,Opt!J17,1,0)*2*100</f>
        <v>#NAME?</v>
      </c>
      <c r="K31" s="428"/>
      <c r="L31" s="430"/>
      <c r="M31" s="307"/>
      <c r="N31" s="92" t="n">
        <v>37135</v>
      </c>
      <c r="O31" s="92" t="n">
        <v>37131</v>
      </c>
      <c r="P31" s="307"/>
      <c r="Q31" s="378" t="n">
        <v>44.3586859962573</v>
      </c>
      <c r="R31" s="277" t="n">
        <f aca="false">H35</f>
        <v>37469</v>
      </c>
      <c r="S31" s="379" t="n">
        <v>0.2175</v>
      </c>
      <c r="T31" s="380" t="n">
        <f aca="false">I35-S31</f>
        <v>0.225</v>
      </c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</row>
    <row r="32" customFormat="false" ht="15" hidden="false" customHeight="false" outlineLevel="0" collapsed="false">
      <c r="A32" s="307"/>
      <c r="B32" s="339" t="s">
        <v>230</v>
      </c>
      <c r="C32" s="437" t="e">
        <f aca="false">C30+C31</f>
        <v>#VALUE!</v>
      </c>
      <c r="D32" s="438" t="e">
        <f aca="false">D30+D31</f>
        <v>#VALUE!</v>
      </c>
      <c r="E32" s="439"/>
      <c r="F32" s="412"/>
      <c r="G32" s="426"/>
      <c r="H32" s="323" t="n">
        <f aca="false">Swap!A18</f>
        <v>37377</v>
      </c>
      <c r="I32" s="428" t="n">
        <f aca="false">INDEX(IRTable,MATCH(H32,IRMonth,0),3)+K32</f>
        <v>0.45</v>
      </c>
      <c r="J32" s="429" t="e">
        <f aca="false">xEURO(Swap!E18,Swap!E18,Opt!G18,Opt!G18,I32,Opt!J18,1,0)*2*100</f>
        <v>#NAME?</v>
      </c>
      <c r="K32" s="428"/>
      <c r="L32" s="430"/>
      <c r="M32" s="307"/>
      <c r="N32" s="92" t="n">
        <v>37165</v>
      </c>
      <c r="O32" s="92" t="n">
        <v>37159</v>
      </c>
      <c r="P32" s="307"/>
      <c r="Q32" s="378" t="n">
        <v>40.5950601487445</v>
      </c>
      <c r="R32" s="277" t="n">
        <f aca="false">H36</f>
        <v>37500</v>
      </c>
      <c r="S32" s="379" t="n">
        <v>0.2025</v>
      </c>
      <c r="T32" s="380" t="n">
        <f aca="false">I36-S32</f>
        <v>0.2425</v>
      </c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</row>
    <row r="33" customFormat="false" ht="15.75" hidden="false" customHeight="false" outlineLevel="0" collapsed="false">
      <c r="A33" s="307"/>
      <c r="B33" s="440" t="s">
        <v>231</v>
      </c>
      <c r="C33" s="441" t="e">
        <f aca="false">C30-C31</f>
        <v>#VALUE!</v>
      </c>
      <c r="D33" s="442" t="e">
        <f aca="false">D30-D31</f>
        <v>#VALUE!</v>
      </c>
      <c r="E33" s="377"/>
      <c r="F33" s="412"/>
      <c r="G33" s="435"/>
      <c r="H33" s="323" t="n">
        <f aca="false">Swap!A19</f>
        <v>37408</v>
      </c>
      <c r="I33" s="428" t="n">
        <f aca="false">INDEX(IRTable,MATCH(H33,IRMonth,0),3)+K33</f>
        <v>0.4425</v>
      </c>
      <c r="J33" s="436" t="e">
        <f aca="false">xEURO(Swap!E19,Swap!E19,Opt!G19,Opt!G19,I33,Opt!J19,1,0)*2*100</f>
        <v>#NAME?</v>
      </c>
      <c r="K33" s="428"/>
      <c r="L33" s="430"/>
      <c r="M33" s="307"/>
      <c r="N33" s="92" t="n">
        <v>37196</v>
      </c>
      <c r="O33" s="92" t="n">
        <v>37190</v>
      </c>
      <c r="P33" s="307"/>
      <c r="Q33" s="378" t="n">
        <v>41.831944915819</v>
      </c>
      <c r="R33" s="277" t="n">
        <f aca="false">H37</f>
        <v>37530</v>
      </c>
      <c r="S33" s="379" t="n">
        <v>0.1975</v>
      </c>
      <c r="T33" s="380" t="n">
        <f aca="false">I37-S33</f>
        <v>0.245</v>
      </c>
      <c r="U33" s="307"/>
      <c r="V33" s="307"/>
      <c r="W33" s="307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</row>
    <row r="34" customFormat="false" ht="15.75" hidden="false" customHeight="false" outlineLevel="0" collapsed="false">
      <c r="A34" s="307"/>
      <c r="B34" s="446"/>
      <c r="C34" s="447" t="s">
        <v>232</v>
      </c>
      <c r="D34" s="448" t="s">
        <v>228</v>
      </c>
      <c r="E34" s="449" t="s">
        <v>233</v>
      </c>
      <c r="F34" s="412"/>
      <c r="G34" s="435"/>
      <c r="H34" s="323" t="n">
        <f aca="false">Swap!A20</f>
        <v>37438</v>
      </c>
      <c r="I34" s="428" t="n">
        <f aca="false">INDEX(IRTable,MATCH(H34,IRMonth,0),3)+K34</f>
        <v>0.4425</v>
      </c>
      <c r="J34" s="436" t="e">
        <f aca="false">xEURO(Swap!E20,Swap!E20,Opt!G20,Opt!G20,I34,Opt!J20,1,0)*2*100</f>
        <v>#NAME?</v>
      </c>
      <c r="K34" s="428"/>
      <c r="L34" s="430"/>
      <c r="M34" s="307"/>
      <c r="N34" s="92" t="n">
        <v>37226</v>
      </c>
      <c r="O34" s="92" t="n">
        <v>37222</v>
      </c>
      <c r="P34" s="307"/>
      <c r="Q34" s="378" t="n">
        <v>42.9773194041827</v>
      </c>
      <c r="R34" s="277" t="n">
        <f aca="false">H38</f>
        <v>37561</v>
      </c>
      <c r="S34" s="379" t="n">
        <v>0.195</v>
      </c>
      <c r="T34" s="380" t="n">
        <f aca="false">I38-S34</f>
        <v>0.24</v>
      </c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</row>
    <row r="35" customFormat="false" ht="15" hidden="false" customHeight="false" outlineLevel="0" collapsed="false">
      <c r="A35" s="307"/>
      <c r="B35" s="446"/>
      <c r="C35" s="450" t="e">
        <f aca="false">C25-C30</f>
        <v>#VALUE!</v>
      </c>
      <c r="D35" s="451" t="e">
        <f aca="false">D25-D30</f>
        <v>#VALUE!</v>
      </c>
      <c r="E35" s="452" t="e">
        <f aca="false">C25-2*C30</f>
        <v>#VALUE!</v>
      </c>
      <c r="F35" s="412"/>
      <c r="G35" s="435"/>
      <c r="H35" s="323" t="n">
        <f aca="false">Swap!A21</f>
        <v>37469</v>
      </c>
      <c r="I35" s="428" t="n">
        <f aca="false">INDEX(IRTable,MATCH(H35,IRMonth,0),3)+K35</f>
        <v>0.4425</v>
      </c>
      <c r="J35" s="436" t="e">
        <f aca="false">xEURO(Swap!E21,Swap!E21,Opt!G21,Opt!G21,I35,Opt!J21,1,0)*2*100</f>
        <v>#NAME?</v>
      </c>
      <c r="K35" s="428"/>
      <c r="L35" s="430"/>
      <c r="M35" s="307"/>
      <c r="N35" s="92" t="n">
        <v>37257</v>
      </c>
      <c r="O35" s="92" t="n">
        <v>37251</v>
      </c>
      <c r="P35" s="307"/>
      <c r="Q35" s="378" t="n">
        <v>43.9595035610979</v>
      </c>
      <c r="R35" s="277" t="n">
        <f aca="false">H39</f>
        <v>37591</v>
      </c>
      <c r="S35" s="379" t="n">
        <v>0.195</v>
      </c>
      <c r="T35" s="380" t="n">
        <f aca="false">I39-S35</f>
        <v>0.24</v>
      </c>
      <c r="U35" s="307"/>
      <c r="V35" s="307"/>
      <c r="W35" s="307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</row>
    <row r="36" customFormat="false" ht="15" hidden="false" customHeight="false" outlineLevel="0" collapsed="false">
      <c r="A36" s="307"/>
      <c r="B36" s="446"/>
      <c r="C36" s="453" t="e">
        <f aca="false">C26-C31</f>
        <v>#VALUE!</v>
      </c>
      <c r="D36" s="454" t="e">
        <f aca="false">D26-D31</f>
        <v>#VALUE!</v>
      </c>
      <c r="E36" s="455" t="e">
        <f aca="false">C26-2*C31</f>
        <v>#VALUE!</v>
      </c>
      <c r="F36" s="412"/>
      <c r="G36" s="435"/>
      <c r="H36" s="323" t="n">
        <f aca="false">Swap!A22</f>
        <v>37500</v>
      </c>
      <c r="I36" s="428" t="n">
        <f aca="false">INDEX(IRTable,MATCH(H36,IRMonth,0),3)+K36</f>
        <v>0.445</v>
      </c>
      <c r="J36" s="436" t="e">
        <f aca="false">xEURO(Swap!E22,Swap!E22,Opt!G22,Opt!G22,I36,Opt!J22,1,0)*2*100</f>
        <v>#NAME?</v>
      </c>
      <c r="K36" s="428"/>
      <c r="L36" s="430"/>
      <c r="M36" s="307"/>
      <c r="N36" s="92" t="n">
        <v>37288</v>
      </c>
      <c r="O36" s="92" t="n">
        <v>37284</v>
      </c>
      <c r="P36" s="307"/>
      <c r="Q36" s="378" t="n">
        <v>45.0072580934557</v>
      </c>
      <c r="R36" s="277" t="n">
        <f aca="false">H40</f>
        <v>37622</v>
      </c>
      <c r="S36" s="379" t="n">
        <v>0.195</v>
      </c>
      <c r="T36" s="380" t="n">
        <f aca="false">I40-S36</f>
        <v>0.24</v>
      </c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7"/>
      <c r="AF36" s="307"/>
      <c r="AG36" s="307"/>
      <c r="AH36" s="307"/>
      <c r="AI36" s="307"/>
      <c r="AJ36" s="307"/>
      <c r="AK36" s="307"/>
      <c r="AL36" s="307"/>
    </row>
    <row r="37" customFormat="false" ht="15" hidden="false" customHeight="false" outlineLevel="0" collapsed="false">
      <c r="A37" s="307"/>
      <c r="B37" s="446"/>
      <c r="C37" s="456" t="e">
        <f aca="false">IF(C35=0,0,C35/(Call2-Call1))</f>
        <v>#VALUE!</v>
      </c>
      <c r="D37" s="457"/>
      <c r="E37" s="458" t="e">
        <f aca="false">C25-C30-C26</f>
        <v>#VALUE!</v>
      </c>
      <c r="F37" s="412"/>
      <c r="G37" s="426"/>
      <c r="H37" s="323" t="n">
        <f aca="false">Swap!A23</f>
        <v>37530</v>
      </c>
      <c r="I37" s="428" t="n">
        <f aca="false">INDEX(IRTable,MATCH(H37,IRMonth,0),3)+K37</f>
        <v>0.4425</v>
      </c>
      <c r="J37" s="429" t="e">
        <f aca="false">xEURO(Swap!E23,Swap!E23,Opt!G23,Opt!G23,I37,Opt!J23,1,0)*2*100</f>
        <v>#NAME?</v>
      </c>
      <c r="K37" s="428"/>
      <c r="L37" s="430"/>
      <c r="M37" s="307"/>
      <c r="N37" s="92" t="n">
        <v>37316</v>
      </c>
      <c r="O37" s="92" t="n">
        <v>37312</v>
      </c>
      <c r="P37" s="307"/>
      <c r="Q37" s="378" t="n">
        <v>46.9365510693052</v>
      </c>
      <c r="R37" s="277" t="n">
        <f aca="false">H41</f>
        <v>37653</v>
      </c>
      <c r="S37" s="379" t="n">
        <v>0.1975</v>
      </c>
      <c r="T37" s="380" t="n">
        <f aca="false">I41-S37</f>
        <v>0.23</v>
      </c>
      <c r="U37" s="307"/>
      <c r="V37" s="307"/>
      <c r="W37" s="307"/>
      <c r="X37" s="307"/>
      <c r="Y37" s="307"/>
      <c r="Z37" s="307"/>
      <c r="AA37" s="307"/>
      <c r="AB37" s="307"/>
      <c r="AC37" s="307"/>
      <c r="AD37" s="307"/>
      <c r="AE37" s="307"/>
      <c r="AF37" s="307"/>
      <c r="AG37" s="307"/>
      <c r="AH37" s="307"/>
      <c r="AI37" s="307"/>
      <c r="AJ37" s="307"/>
      <c r="AK37" s="307"/>
      <c r="AL37" s="307"/>
    </row>
    <row r="38" customFormat="false" ht="15.75" hidden="false" customHeight="false" outlineLevel="0" collapsed="false">
      <c r="A38" s="307"/>
      <c r="B38" s="459"/>
      <c r="C38" s="460" t="e">
        <f aca="false">IF(C36=0,0,C36/(Put1-Put2))</f>
        <v>#VALUE!</v>
      </c>
      <c r="D38" s="461"/>
      <c r="E38" s="462" t="e">
        <f aca="false">C36-C25</f>
        <v>#VALUE!</v>
      </c>
      <c r="F38" s="412"/>
      <c r="G38" s="435"/>
      <c r="H38" s="323" t="n">
        <f aca="false">Swap!A24</f>
        <v>37561</v>
      </c>
      <c r="I38" s="428" t="n">
        <f aca="false">INDEX(IRTable,MATCH(H38,IRMonth,0),3)+K38</f>
        <v>0.435</v>
      </c>
      <c r="J38" s="436" t="e">
        <f aca="false">xEURO(Swap!E24,Swap!E24,Opt!G24,Opt!G24,I38,Opt!J24,1,0)*2*100</f>
        <v>#NAME?</v>
      </c>
      <c r="K38" s="428"/>
      <c r="L38" s="430"/>
      <c r="M38" s="307"/>
      <c r="N38" s="92" t="n">
        <v>37347</v>
      </c>
      <c r="O38" s="92" t="n">
        <v>37340</v>
      </c>
      <c r="P38" s="307"/>
      <c r="Q38" s="378" t="n">
        <v>50.9523050296286</v>
      </c>
      <c r="R38" s="277" t="n">
        <f aca="false">H42</f>
        <v>37681</v>
      </c>
      <c r="S38" s="379" t="n">
        <v>0.2025</v>
      </c>
      <c r="T38" s="380" t="n">
        <f aca="false">I42-S38</f>
        <v>0.205</v>
      </c>
      <c r="U38" s="307"/>
      <c r="V38" s="307"/>
      <c r="W38" s="307"/>
      <c r="X38" s="307"/>
      <c r="Y38" s="307"/>
      <c r="Z38" s="307"/>
      <c r="AA38" s="307"/>
      <c r="AB38" s="307"/>
      <c r="AC38" s="307"/>
      <c r="AD38" s="307"/>
      <c r="AE38" s="307"/>
      <c r="AF38" s="307"/>
      <c r="AG38" s="307"/>
      <c r="AH38" s="307"/>
      <c r="AI38" s="307"/>
      <c r="AJ38" s="307"/>
      <c r="AK38" s="307"/>
      <c r="AL38" s="307"/>
    </row>
    <row r="39" customFormat="false" ht="12.75" hidden="false" customHeight="false" outlineLevel="0" collapsed="false">
      <c r="A39" s="307"/>
      <c r="B39" s="307"/>
      <c r="C39" s="307"/>
      <c r="D39" s="307"/>
      <c r="E39" s="307"/>
      <c r="F39" s="307"/>
      <c r="G39" s="435"/>
      <c r="H39" s="323" t="n">
        <f aca="false">Swap!A25</f>
        <v>37591</v>
      </c>
      <c r="I39" s="428" t="n">
        <f aca="false">INDEX(IRTable,MATCH(H39,IRMonth,0),3)+K39</f>
        <v>0.435</v>
      </c>
      <c r="J39" s="436" t="e">
        <f aca="false">xEURO(Swap!E25,Swap!E25,Opt!G25,Opt!G25,I39,Opt!J25,1,0)*2*100</f>
        <v>#NAME?</v>
      </c>
      <c r="K39" s="428"/>
      <c r="L39" s="430"/>
      <c r="M39" s="307"/>
      <c r="N39" s="92" t="n">
        <v>37377</v>
      </c>
      <c r="O39" s="92" t="n">
        <v>37371</v>
      </c>
      <c r="P39" s="307"/>
      <c r="Q39" s="378" t="n">
        <v>55.8232005476475</v>
      </c>
      <c r="R39" s="277" t="n">
        <f aca="false">H43</f>
        <v>37712</v>
      </c>
      <c r="S39" s="379" t="n">
        <v>0.2075</v>
      </c>
      <c r="T39" s="380" t="n">
        <f aca="false">I43-S39</f>
        <v>0.1575</v>
      </c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</row>
    <row r="40" customFormat="false" ht="15" hidden="false" customHeight="false" outlineLevel="0" collapsed="false">
      <c r="A40" s="307"/>
      <c r="B40" s="459"/>
      <c r="C40" s="463"/>
      <c r="D40" s="463"/>
      <c r="E40" s="463"/>
      <c r="F40" s="412"/>
      <c r="G40" s="435"/>
      <c r="H40" s="323" t="n">
        <f aca="false">Swap!A26</f>
        <v>37622</v>
      </c>
      <c r="I40" s="428" t="n">
        <f aca="false">INDEX(IRTable,MATCH(H40,IRMonth,0),3)+K40</f>
        <v>0.435</v>
      </c>
      <c r="J40" s="436" t="e">
        <f aca="false">xEURO(Swap!E26,Swap!E26,Opt!G26,Opt!G26,I40,Opt!J26,1,0)*2*100</f>
        <v>#NAME?</v>
      </c>
      <c r="K40" s="428"/>
      <c r="L40" s="430"/>
      <c r="M40" s="307"/>
      <c r="N40" s="92" t="n">
        <v>37408</v>
      </c>
      <c r="O40" s="92" t="n">
        <v>37404</v>
      </c>
      <c r="P40" s="307"/>
      <c r="Q40" s="378" t="n">
        <v>58.5974765067602</v>
      </c>
      <c r="R40" s="277" t="n">
        <f aca="false">H44</f>
        <v>37742</v>
      </c>
      <c r="S40" s="379" t="n">
        <v>0.2125</v>
      </c>
      <c r="T40" s="380" t="n">
        <f aca="false">I44-S40</f>
        <v>0.1325</v>
      </c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  <c r="AH40" s="307"/>
      <c r="AI40" s="307"/>
      <c r="AJ40" s="307"/>
      <c r="AK40" s="307"/>
      <c r="AL40" s="307"/>
    </row>
    <row r="41" customFormat="false" ht="15" hidden="false" customHeight="false" outlineLevel="0" collapsed="false">
      <c r="A41" s="307"/>
      <c r="B41" s="459"/>
      <c r="C41" s="463"/>
      <c r="D41" s="463"/>
      <c r="E41" s="463"/>
      <c r="F41" s="412"/>
      <c r="G41" s="435"/>
      <c r="H41" s="323" t="n">
        <f aca="false">Swap!A27</f>
        <v>37653</v>
      </c>
      <c r="I41" s="428" t="n">
        <f aca="false">INDEX(IRTable,MATCH(H41,IRMonth,0),3)+K41</f>
        <v>0.4275</v>
      </c>
      <c r="J41" s="436" t="e">
        <f aca="false">xEURO(Swap!E27,Swap!E27,Opt!G27,Opt!G27,I41,Opt!J27,1,0)*2*100</f>
        <v>#NAME?</v>
      </c>
      <c r="K41" s="428"/>
      <c r="L41" s="430"/>
      <c r="M41" s="307"/>
      <c r="N41" s="92" t="n">
        <v>37438</v>
      </c>
      <c r="O41" s="92" t="n">
        <v>37432</v>
      </c>
      <c r="P41" s="307"/>
      <c r="Q41" s="378" t="n">
        <v>56.3648831807218</v>
      </c>
      <c r="R41" s="277" t="n">
        <f aca="false">H45</f>
        <v>37773</v>
      </c>
      <c r="S41" s="379" t="n">
        <v>0.21</v>
      </c>
      <c r="T41" s="380" t="n">
        <f aca="false">I45-S41</f>
        <v>0.1275</v>
      </c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</row>
    <row r="42" customFormat="false" ht="15" hidden="false" customHeight="false" outlineLevel="0" collapsed="false">
      <c r="A42" s="307"/>
      <c r="B42" s="459"/>
      <c r="C42" s="463"/>
      <c r="D42" s="463"/>
      <c r="E42" s="463"/>
      <c r="F42" s="412"/>
      <c r="G42" s="435"/>
      <c r="H42" s="323" t="n">
        <f aca="false">Swap!A28</f>
        <v>37681</v>
      </c>
      <c r="I42" s="428" t="n">
        <f aca="false">INDEX(IRTable,MATCH(H42,IRMonth,0),3)+K42</f>
        <v>0.4075</v>
      </c>
      <c r="J42" s="436" t="e">
        <f aca="false">xEURO(Swap!E28,Swap!E28,Opt!G28,Opt!G28,I42,Opt!J28,1,0)*2*100</f>
        <v>#NAME?</v>
      </c>
      <c r="K42" s="428"/>
      <c r="L42" s="430"/>
      <c r="M42" s="307"/>
      <c r="N42" s="92" t="n">
        <v>37469</v>
      </c>
      <c r="O42" s="92" t="n">
        <v>37463</v>
      </c>
      <c r="P42" s="307"/>
      <c r="Q42" s="378" t="n">
        <v>52.1840127908433</v>
      </c>
      <c r="R42" s="277" t="n">
        <f aca="false">H46</f>
        <v>37803</v>
      </c>
      <c r="S42" s="379" t="n">
        <v>0.2</v>
      </c>
      <c r="T42" s="380" t="n">
        <f aca="false">I46-S42</f>
        <v>0.1375</v>
      </c>
      <c r="U42" s="307"/>
      <c r="V42" s="307"/>
      <c r="W42" s="307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</row>
    <row r="43" customFormat="false" ht="15" hidden="false" customHeight="false" outlineLevel="0" collapsed="false">
      <c r="A43" s="307"/>
      <c r="B43" s="459"/>
      <c r="C43" s="459"/>
      <c r="D43" s="459"/>
      <c r="E43" s="459"/>
      <c r="F43" s="412"/>
      <c r="G43" s="435"/>
      <c r="H43" s="323" t="n">
        <f aca="false">Swap!A29</f>
        <v>37712</v>
      </c>
      <c r="I43" s="428" t="n">
        <f aca="false">INDEX(IRTable,MATCH(H43,IRMonth,0),3)+K43</f>
        <v>0.365</v>
      </c>
      <c r="J43" s="436" t="e">
        <f aca="false">xEURO(Swap!E29,Swap!E29,Opt!G29,Opt!G29,I43,Opt!J29,1,0)*2*100</f>
        <v>#NAME?</v>
      </c>
      <c r="K43" s="428"/>
      <c r="L43" s="430"/>
      <c r="M43" s="307"/>
      <c r="N43" s="92" t="n">
        <v>37500</v>
      </c>
      <c r="O43" s="92" t="n">
        <v>37495</v>
      </c>
      <c r="P43" s="307"/>
      <c r="Q43" s="378" t="n">
        <v>46.1712847643806</v>
      </c>
      <c r="R43" s="277" t="n">
        <f aca="false">H47</f>
        <v>37834</v>
      </c>
      <c r="S43" s="379" t="n">
        <v>0.18</v>
      </c>
      <c r="T43" s="380" t="n">
        <f aca="false">I47-S43</f>
        <v>0.155</v>
      </c>
      <c r="U43" s="307"/>
      <c r="V43" s="307"/>
      <c r="W43" s="307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</row>
    <row r="44" customFormat="false" ht="15" hidden="false" customHeight="false" outlineLevel="0" collapsed="false">
      <c r="A44" s="307"/>
      <c r="B44" s="307"/>
      <c r="C44" s="307"/>
      <c r="D44" s="307"/>
      <c r="E44" s="307"/>
      <c r="F44" s="412"/>
      <c r="G44" s="426"/>
      <c r="H44" s="323" t="n">
        <f aca="false">Swap!A30</f>
        <v>37742</v>
      </c>
      <c r="I44" s="428" t="n">
        <f aca="false">INDEX(IRTable,MATCH(H44,IRMonth,0),3)+K44</f>
        <v>0.345</v>
      </c>
      <c r="J44" s="429" t="e">
        <f aca="false">xEURO(Swap!E30,Swap!E30,Opt!G30,Opt!G30,I44,Opt!J30,1,0)*2*100</f>
        <v>#NAME?</v>
      </c>
      <c r="K44" s="428"/>
      <c r="L44" s="430"/>
      <c r="M44" s="307"/>
      <c r="N44" s="92" t="n">
        <v>37530</v>
      </c>
      <c r="O44" s="92" t="n">
        <v>37524</v>
      </c>
      <c r="P44" s="307"/>
      <c r="Q44" s="378" t="n">
        <v>45.7530431233948</v>
      </c>
      <c r="R44" s="277" t="n">
        <f aca="false">H48</f>
        <v>37865</v>
      </c>
      <c r="S44" s="379" t="n">
        <v>0.1775</v>
      </c>
      <c r="T44" s="380" t="n">
        <f aca="false">I48-S44</f>
        <v>0.1576</v>
      </c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</row>
    <row r="45" customFormat="false" ht="15" hidden="false" customHeight="false" outlineLevel="0" collapsed="false">
      <c r="A45" s="307"/>
      <c r="B45" s="307"/>
      <c r="C45" s="307"/>
      <c r="D45" s="307"/>
      <c r="E45" s="307"/>
      <c r="F45" s="412"/>
      <c r="G45" s="435"/>
      <c r="H45" s="323" t="n">
        <f aca="false">Swap!A31</f>
        <v>37773</v>
      </c>
      <c r="I45" s="428" t="n">
        <f aca="false">INDEX(IRTable,MATCH(H45,IRMonth,0),3)+K45</f>
        <v>0.3375</v>
      </c>
      <c r="J45" s="436" t="e">
        <f aca="false">xEURO(Swap!E31,Swap!E31,Opt!G31,Opt!G31,I45,Opt!J31,1,0)*2*100</f>
        <v>#NAME?</v>
      </c>
      <c r="K45" s="428"/>
      <c r="L45" s="430"/>
      <c r="M45" s="307"/>
      <c r="N45" s="92" t="n">
        <v>37561</v>
      </c>
      <c r="O45" s="92" t="n">
        <v>37557</v>
      </c>
      <c r="P45" s="307"/>
      <c r="Q45" s="378" t="n">
        <v>46.1684892105782</v>
      </c>
      <c r="R45" s="277" t="n">
        <f aca="false">H49</f>
        <v>37895</v>
      </c>
      <c r="S45" s="379" t="n">
        <v>0.1765</v>
      </c>
      <c r="T45" s="380" t="n">
        <f aca="false">I49-S45</f>
        <v>0.1585</v>
      </c>
      <c r="U45" s="307"/>
      <c r="V45" s="307"/>
      <c r="W45" s="307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</row>
    <row r="46" customFormat="false" ht="13.5" hidden="false" customHeight="false" outlineLevel="0" collapsed="false">
      <c r="A46" s="307"/>
      <c r="B46" s="307"/>
      <c r="C46" s="307"/>
      <c r="D46" s="307"/>
      <c r="E46" s="307"/>
      <c r="F46" s="307"/>
      <c r="G46" s="435"/>
      <c r="H46" s="323" t="n">
        <f aca="false">Swap!A32</f>
        <v>37803</v>
      </c>
      <c r="I46" s="428" t="n">
        <f aca="false">INDEX(IRTable,MATCH(H46,IRMonth,0),3)+K46</f>
        <v>0.3375</v>
      </c>
      <c r="J46" s="436" t="e">
        <f aca="false">xEURO(Swap!E32,Swap!E32,Opt!G32,Opt!G32,I46,Opt!J32,1,0)*2*100</f>
        <v>#NAME?</v>
      </c>
      <c r="K46" s="428"/>
      <c r="L46" s="430"/>
      <c r="M46" s="307"/>
      <c r="N46" s="92" t="n">
        <v>37591</v>
      </c>
      <c r="O46" s="92" t="n">
        <v>37585</v>
      </c>
      <c r="P46" s="307"/>
      <c r="Q46" s="378" t="n">
        <v>46.4573440257969</v>
      </c>
      <c r="R46" s="277" t="n">
        <f aca="false">H50</f>
        <v>37926</v>
      </c>
      <c r="S46" s="379" t="n">
        <v>0.1755</v>
      </c>
      <c r="T46" s="380" t="n">
        <f aca="false">I50-S46</f>
        <v>0.1595</v>
      </c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  <c r="AI46" s="307"/>
      <c r="AJ46" s="307"/>
      <c r="AK46" s="307"/>
      <c r="AL46" s="307"/>
    </row>
    <row r="47" customFormat="false" ht="12.75" hidden="false" customHeight="false" outlineLevel="0" collapsed="false">
      <c r="A47" s="307"/>
      <c r="B47" s="464" t="s">
        <v>234</v>
      </c>
      <c r="C47" s="465" t="s">
        <v>235</v>
      </c>
      <c r="D47" s="466" t="n">
        <v>3.67</v>
      </c>
      <c r="E47" s="465"/>
      <c r="F47" s="465"/>
      <c r="G47" s="435"/>
      <c r="H47" s="323" t="n">
        <f aca="false">Swap!A33</f>
        <v>37834</v>
      </c>
      <c r="I47" s="428" t="n">
        <f aca="false">INDEX(IRTable,MATCH(H47,IRMonth,0),3)+K47</f>
        <v>0.335</v>
      </c>
      <c r="J47" s="436" t="e">
        <f aca="false">xEURO(Swap!E33,Swap!E33,Opt!G33,Opt!G33,I47,Opt!J33,1,0)*2*100</f>
        <v>#NAME?</v>
      </c>
      <c r="K47" s="428"/>
      <c r="L47" s="430"/>
      <c r="M47" s="307"/>
      <c r="N47" s="92" t="n">
        <v>37622</v>
      </c>
      <c r="O47" s="92" t="n">
        <v>37616</v>
      </c>
      <c r="P47" s="307"/>
      <c r="Q47" s="378" t="n">
        <v>46.8090504305547</v>
      </c>
      <c r="R47" s="277" t="n">
        <f aca="false">H51</f>
        <v>37956</v>
      </c>
      <c r="S47" s="379" t="n">
        <v>0.1745</v>
      </c>
      <c r="T47" s="380" t="n">
        <f aca="false">I51-S47</f>
        <v>0.1605</v>
      </c>
      <c r="U47" s="307"/>
      <c r="V47" s="307"/>
      <c r="W47" s="307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</row>
    <row r="48" customFormat="false" ht="12.75" hidden="false" customHeight="false" outlineLevel="0" collapsed="false">
      <c r="A48" s="307"/>
      <c r="B48" s="467"/>
      <c r="C48" s="468" t="s">
        <v>236</v>
      </c>
      <c r="D48" s="469" t="n">
        <v>3.25</v>
      </c>
      <c r="E48" s="468"/>
      <c r="F48" s="468"/>
      <c r="G48" s="435"/>
      <c r="H48" s="323" t="n">
        <f aca="false">Swap!A34</f>
        <v>37865</v>
      </c>
      <c r="I48" s="428" t="n">
        <f aca="false">INDEX(IRTable,MATCH(H48,IRMonth,0),3)+K48</f>
        <v>0.3351</v>
      </c>
      <c r="J48" s="436" t="e">
        <f aca="false">xEURO(Swap!E34,Swap!E34,Opt!G34,Opt!G34,I48,Opt!J34,1,0)*2*100</f>
        <v>#NAME?</v>
      </c>
      <c r="K48" s="428"/>
      <c r="L48" s="430"/>
      <c r="M48" s="307"/>
      <c r="N48" s="92" t="n">
        <v>37653</v>
      </c>
      <c r="O48" s="92" t="n">
        <v>37649</v>
      </c>
      <c r="P48" s="307"/>
      <c r="Q48" s="378" t="n">
        <v>47.0769903983664</v>
      </c>
      <c r="R48" s="277" t="n">
        <f aca="false">H52</f>
        <v>37987</v>
      </c>
      <c r="S48" s="379" t="n">
        <v>0.1735</v>
      </c>
      <c r="T48" s="380" t="n">
        <f aca="false">I52-S48</f>
        <v>0.159</v>
      </c>
      <c r="U48" s="307"/>
      <c r="V48" s="307"/>
      <c r="W48" s="307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</row>
    <row r="49" customFormat="false" ht="12.75" hidden="false" customHeight="false" outlineLevel="0" collapsed="false">
      <c r="A49" s="307"/>
      <c r="B49" s="467"/>
      <c r="C49" s="468" t="s">
        <v>46</v>
      </c>
      <c r="D49" s="469" t="n">
        <v>0.897</v>
      </c>
      <c r="E49" s="468"/>
      <c r="F49" s="468"/>
      <c r="G49" s="426"/>
      <c r="H49" s="323" t="n">
        <f aca="false">Swap!A35</f>
        <v>37895</v>
      </c>
      <c r="I49" s="428" t="n">
        <f aca="false">INDEX(IRTable,MATCH(H49,IRMonth,0),3)+K49</f>
        <v>0.335</v>
      </c>
      <c r="J49" s="429" t="e">
        <f aca="false">xEURO(Swap!E35,Swap!E35,Opt!G35,Opt!G35,I49,Opt!J35,1,0)*2*100</f>
        <v>#NAME?</v>
      </c>
      <c r="K49" s="428"/>
      <c r="L49" s="430"/>
      <c r="M49" s="307"/>
      <c r="N49" s="92" t="n">
        <v>37681</v>
      </c>
      <c r="O49" s="92" t="n">
        <v>37677</v>
      </c>
      <c r="P49" s="307"/>
      <c r="Q49" s="378" t="n">
        <v>47.8038934288798</v>
      </c>
      <c r="R49" s="277" t="n">
        <f aca="false">H53</f>
        <v>38018</v>
      </c>
      <c r="S49" s="379" t="n">
        <v>0.1735</v>
      </c>
      <c r="T49" s="380" t="n">
        <f aca="false">I53-S49</f>
        <v>0.154</v>
      </c>
      <c r="U49" s="307"/>
      <c r="V49" s="307"/>
      <c r="W49" s="307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307"/>
      <c r="AL49" s="307"/>
    </row>
    <row r="50" customFormat="false" ht="12.75" hidden="false" customHeight="false" outlineLevel="0" collapsed="false">
      <c r="A50" s="307"/>
      <c r="B50" s="467"/>
      <c r="C50" s="468" t="s">
        <v>237</v>
      </c>
      <c r="D50" s="469" t="n">
        <v>0.265</v>
      </c>
      <c r="E50" s="468"/>
      <c r="F50" s="468"/>
      <c r="G50" s="435"/>
      <c r="H50" s="323" t="n">
        <f aca="false">Swap!A36</f>
        <v>37926</v>
      </c>
      <c r="I50" s="428" t="n">
        <f aca="false">INDEX(IRTable,MATCH(H50,IRMonth,0),3)+K50</f>
        <v>0.335</v>
      </c>
      <c r="J50" s="436" t="e">
        <f aca="false">xEURO(Swap!E36,Swap!E36,Opt!G36,Opt!G36,I50,Opt!J36,1,0)*2*100</f>
        <v>#NAME?</v>
      </c>
      <c r="K50" s="428"/>
      <c r="L50" s="430"/>
      <c r="M50" s="307"/>
      <c r="N50" s="92" t="n">
        <v>37712</v>
      </c>
      <c r="O50" s="92" t="n">
        <v>37706</v>
      </c>
      <c r="P50" s="307"/>
      <c r="Q50" s="378" t="n">
        <v>51.1259852796837</v>
      </c>
      <c r="R50" s="277" t="n">
        <f aca="false">H54</f>
        <v>38047</v>
      </c>
      <c r="S50" s="379" t="n">
        <v>0.1745</v>
      </c>
      <c r="T50" s="380" t="n">
        <f aca="false">I54-S50</f>
        <v>0.1405</v>
      </c>
      <c r="U50" s="307"/>
      <c r="V50" s="307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07"/>
      <c r="AK50" s="307"/>
      <c r="AL50" s="307"/>
    </row>
    <row r="51" customFormat="false" ht="12.75" hidden="false" customHeight="false" outlineLevel="0" collapsed="false">
      <c r="A51" s="307"/>
      <c r="B51" s="467"/>
      <c r="C51" s="468" t="s">
        <v>238</v>
      </c>
      <c r="D51" s="470" t="n">
        <v>37339</v>
      </c>
      <c r="E51" s="468"/>
      <c r="F51" s="468"/>
      <c r="G51" s="435"/>
      <c r="H51" s="323" t="n">
        <f aca="false">Swap!A37</f>
        <v>37956</v>
      </c>
      <c r="I51" s="428" t="n">
        <f aca="false">INDEX(IRTable,MATCH(H51,IRMonth,0),3)+K51</f>
        <v>0.335</v>
      </c>
      <c r="J51" s="436" t="e">
        <f aca="false">xEURO(Swap!E37,Swap!E37,Opt!G37,Opt!G37,I51,Opt!J37,1,0)*2*100</f>
        <v>#NAME?</v>
      </c>
      <c r="K51" s="428"/>
      <c r="L51" s="430"/>
      <c r="M51" s="307"/>
      <c r="N51" s="92" t="n">
        <v>37742</v>
      </c>
      <c r="O51" s="92" t="n">
        <v>37736</v>
      </c>
      <c r="P51" s="307"/>
      <c r="Q51" s="378" t="n">
        <v>54.6104868194004</v>
      </c>
      <c r="R51" s="277" t="n">
        <f aca="false">H55</f>
        <v>38078</v>
      </c>
      <c r="S51" s="379" t="n">
        <v>0.1755</v>
      </c>
      <c r="T51" s="380" t="n">
        <f aca="false">I55-S51</f>
        <v>0.117</v>
      </c>
      <c r="U51" s="307"/>
      <c r="V51" s="307"/>
      <c r="W51" s="307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</row>
    <row r="52" customFormat="false" ht="12.75" hidden="false" customHeight="false" outlineLevel="0" collapsed="false">
      <c r="A52" s="307"/>
      <c r="B52" s="467"/>
      <c r="C52" s="468" t="s">
        <v>239</v>
      </c>
      <c r="D52" s="468" t="n">
        <v>0</v>
      </c>
      <c r="E52" s="468"/>
      <c r="F52" s="468"/>
      <c r="G52" s="435"/>
      <c r="H52" s="323" t="n">
        <f aca="false">Swap!A38</f>
        <v>37987</v>
      </c>
      <c r="I52" s="428" t="n">
        <f aca="false">INDEX(IRTable,MATCH(H52,IRMonth,0),3)+K52</f>
        <v>0.3325</v>
      </c>
      <c r="J52" s="436" t="e">
        <f aca="false">xEURO(Swap!E38,Swap!E38,Opt!G38,Opt!G38,I52,Opt!J38,1,0)*2*100</f>
        <v>#NAME?</v>
      </c>
      <c r="K52" s="428"/>
      <c r="L52" s="430"/>
      <c r="M52" s="307"/>
      <c r="N52" s="92" t="n">
        <v>37773</v>
      </c>
      <c r="O52" s="92" t="n">
        <v>37768</v>
      </c>
      <c r="P52" s="307"/>
      <c r="Q52" s="378" t="n">
        <v>56.2919214112795</v>
      </c>
      <c r="R52" s="277" t="n">
        <f aca="false">H56</f>
        <v>38108</v>
      </c>
      <c r="S52" s="379" t="n">
        <v>0.178</v>
      </c>
      <c r="T52" s="380" t="n">
        <f aca="false">I56-S52</f>
        <v>0.1095</v>
      </c>
      <c r="U52" s="307"/>
      <c r="V52" s="307"/>
      <c r="W52" s="307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07"/>
      <c r="AK52" s="307"/>
      <c r="AL52" s="307"/>
    </row>
    <row r="53" customFormat="false" ht="12.75" hidden="false" customHeight="false" outlineLevel="0" collapsed="false">
      <c r="A53" s="307"/>
      <c r="B53" s="467"/>
      <c r="C53" s="468"/>
      <c r="D53" s="468"/>
      <c r="E53" s="468"/>
      <c r="F53" s="468"/>
      <c r="G53" s="435" t="e">
        <f aca="false">J25-J49</f>
        <v>#NAME?</v>
      </c>
      <c r="H53" s="323" t="n">
        <f aca="false">Swap!A39</f>
        <v>38018</v>
      </c>
      <c r="I53" s="428" t="n">
        <f aca="false">INDEX(IRTable,MATCH(H53,IRMonth,0),3)+K53</f>
        <v>0.3275</v>
      </c>
      <c r="J53" s="436" t="e">
        <f aca="false">xEURO(Swap!E39,Swap!E39,Opt!G39,Opt!G39,I53,Opt!J39,1,0)*2*100</f>
        <v>#NAME?</v>
      </c>
      <c r="K53" s="428"/>
      <c r="L53" s="430"/>
      <c r="M53" s="307"/>
      <c r="N53" s="92" t="n">
        <v>37803</v>
      </c>
      <c r="O53" s="92" t="n">
        <v>37797</v>
      </c>
      <c r="P53" s="307"/>
      <c r="Q53" s="378" t="n">
        <v>53.9985470811689</v>
      </c>
      <c r="R53" s="277" t="n">
        <f aca="false">H57</f>
        <v>38139</v>
      </c>
      <c r="S53" s="379" t="n">
        <v>0.1765</v>
      </c>
      <c r="T53" s="380" t="n">
        <f aca="false">I57-S53</f>
        <v>0.1085</v>
      </c>
      <c r="U53" s="307"/>
      <c r="V53" s="307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  <c r="AK53" s="307"/>
      <c r="AL53" s="307"/>
    </row>
    <row r="54" customFormat="false" ht="12.75" hidden="false" customHeight="false" outlineLevel="0" collapsed="false">
      <c r="A54" s="307"/>
      <c r="B54" s="467"/>
      <c r="C54" s="468" t="s">
        <v>240</v>
      </c>
      <c r="D54" s="469" t="e">
        <f aca="false">xEURO(D47,D48,0,0,D50,D51-Today,D52,0)*D49</f>
        <v>#NAME?</v>
      </c>
      <c r="E54" s="468"/>
      <c r="F54" s="468"/>
      <c r="G54" s="435" t="n">
        <f aca="false">AVERAGE(I48:I59)</f>
        <v>0.312508333333333</v>
      </c>
      <c r="H54" s="323" t="n">
        <f aca="false">Swap!A40</f>
        <v>38047</v>
      </c>
      <c r="I54" s="428" t="n">
        <f aca="false">INDEX(IRTable,MATCH(H54,IRMonth,0),3)+K54</f>
        <v>0.315</v>
      </c>
      <c r="J54" s="436" t="e">
        <f aca="false">xEURO(Swap!E40,Swap!E40,Opt!G40,Opt!G40,I54,Opt!J40,1,0)*2*100</f>
        <v>#NAME?</v>
      </c>
      <c r="K54" s="428"/>
      <c r="L54" s="430"/>
      <c r="M54" s="307"/>
      <c r="N54" s="92" t="n">
        <v>37834</v>
      </c>
      <c r="O54" s="92" t="n">
        <v>37830</v>
      </c>
      <c r="P54" s="307"/>
      <c r="Q54" s="378" t="n">
        <v>51.094851897187</v>
      </c>
      <c r="R54" s="277" t="n">
        <f aca="false">H58</f>
        <v>38169</v>
      </c>
      <c r="S54" s="379" t="n">
        <v>0.1715</v>
      </c>
      <c r="T54" s="380" t="n">
        <f aca="false">I58-S54</f>
        <v>0.1135</v>
      </c>
      <c r="U54" s="307"/>
      <c r="V54" s="307"/>
      <c r="W54" s="307"/>
      <c r="X54" s="307"/>
      <c r="Y54" s="307"/>
      <c r="Z54" s="307"/>
      <c r="AA54" s="307"/>
      <c r="AB54" s="307"/>
      <c r="AC54" s="307"/>
      <c r="AD54" s="307"/>
      <c r="AE54" s="307"/>
      <c r="AF54" s="307"/>
      <c r="AG54" s="307"/>
      <c r="AH54" s="307"/>
      <c r="AI54" s="307"/>
      <c r="AJ54" s="307"/>
      <c r="AK54" s="307"/>
      <c r="AL54" s="307"/>
    </row>
    <row r="55" customFormat="false" ht="12.75" hidden="false" customHeight="false" outlineLevel="0" collapsed="false">
      <c r="A55" s="307"/>
      <c r="B55" s="467"/>
      <c r="C55" s="468" t="s">
        <v>241</v>
      </c>
      <c r="D55" s="469" t="e">
        <f aca="false">xEURO(D47,D48,0.07,0.07,D50,D51-Today,D52,1)</f>
        <v>#NAME?</v>
      </c>
      <c r="E55" s="468"/>
      <c r="F55" s="468"/>
      <c r="G55" s="435"/>
      <c r="H55" s="323" t="n">
        <f aca="false">Swap!A41</f>
        <v>38078</v>
      </c>
      <c r="I55" s="428" t="n">
        <f aca="false">INDEX(IRTable,MATCH(H55,IRMonth,0),3)+K55</f>
        <v>0.2925</v>
      </c>
      <c r="J55" s="436" t="e">
        <f aca="false">xEURO(Swap!E41,Swap!E41,Opt!G41,Opt!G41,I55,Opt!J41,1,0)*2*100</f>
        <v>#NAME?</v>
      </c>
      <c r="K55" s="428"/>
      <c r="L55" s="430"/>
      <c r="M55" s="307"/>
      <c r="N55" s="92" t="n">
        <v>37865</v>
      </c>
      <c r="O55" s="92" t="n">
        <v>37859</v>
      </c>
      <c r="P55" s="307"/>
      <c r="Q55" s="378" t="n">
        <v>48.7439582993479</v>
      </c>
      <c r="R55" s="277" t="n">
        <f aca="false">H59</f>
        <v>38200</v>
      </c>
      <c r="S55" s="379" t="n">
        <v>0.169</v>
      </c>
      <c r="T55" s="380" t="n">
        <f aca="false">I59-S55</f>
        <v>0.116</v>
      </c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7"/>
      <c r="AF55" s="307"/>
      <c r="AG55" s="307"/>
      <c r="AH55" s="307"/>
      <c r="AI55" s="307"/>
      <c r="AJ55" s="307"/>
      <c r="AK55" s="307"/>
      <c r="AL55" s="307"/>
    </row>
    <row r="56" customFormat="false" ht="12.75" hidden="false" customHeight="false" outlineLevel="0" collapsed="false">
      <c r="A56" s="307"/>
      <c r="B56" s="467"/>
      <c r="C56" s="468"/>
      <c r="D56" s="468"/>
      <c r="E56" s="468"/>
      <c r="F56" s="468"/>
      <c r="G56" s="426"/>
      <c r="H56" s="323" t="n">
        <f aca="false">Swap!A42</f>
        <v>38108</v>
      </c>
      <c r="I56" s="428" t="n">
        <f aca="false">INDEX(IRTable,MATCH(H56,IRMonth,0),3)+K56</f>
        <v>0.2875</v>
      </c>
      <c r="J56" s="429" t="e">
        <f aca="false">xEURO(Swap!E42,Swap!E42,Opt!G42,Opt!G42,I56,Opt!J42,1,0)*2*100</f>
        <v>#NAME?</v>
      </c>
      <c r="K56" s="428"/>
      <c r="L56" s="430"/>
      <c r="M56" s="307"/>
      <c r="N56" s="92" t="n">
        <v>37895</v>
      </c>
      <c r="O56" s="92" t="n">
        <v>37889</v>
      </c>
      <c r="P56" s="307"/>
      <c r="Q56" s="378" t="n">
        <v>47.8563873865154</v>
      </c>
      <c r="R56" s="277" t="n">
        <f aca="false">H60</f>
        <v>38231</v>
      </c>
      <c r="S56" s="379" t="n">
        <v>0.1665</v>
      </c>
      <c r="T56" s="380" t="n">
        <f aca="false">I60-S56</f>
        <v>0.121</v>
      </c>
      <c r="U56" s="307"/>
      <c r="V56" s="307"/>
      <c r="W56" s="307"/>
      <c r="X56" s="307"/>
      <c r="Y56" s="307"/>
      <c r="Z56" s="307"/>
      <c r="AA56" s="307"/>
      <c r="AB56" s="307"/>
      <c r="AC56" s="307"/>
      <c r="AD56" s="307"/>
      <c r="AE56" s="307"/>
      <c r="AF56" s="307"/>
      <c r="AG56" s="307"/>
      <c r="AH56" s="307"/>
      <c r="AI56" s="307"/>
      <c r="AJ56" s="307"/>
      <c r="AK56" s="307"/>
      <c r="AL56" s="307"/>
    </row>
    <row r="57" customFormat="false" ht="12.75" hidden="false" customHeight="false" outlineLevel="0" collapsed="false">
      <c r="A57" s="307"/>
      <c r="B57" s="467" t="s">
        <v>242</v>
      </c>
      <c r="C57" s="468" t="s">
        <v>243</v>
      </c>
      <c r="D57" s="469" t="n">
        <v>3.52</v>
      </c>
      <c r="E57" s="468"/>
      <c r="F57" s="468"/>
      <c r="G57" s="435"/>
      <c r="H57" s="323" t="n">
        <f aca="false">Swap!A43</f>
        <v>38139</v>
      </c>
      <c r="I57" s="428" t="n">
        <f aca="false">INDEX(IRTable,MATCH(H57,IRMonth,0),3)+K57</f>
        <v>0.285</v>
      </c>
      <c r="J57" s="436" t="e">
        <f aca="false">xEURO(Swap!E43,Swap!E43,Opt!G43,Opt!G43,I57,Opt!J43,1,0)*2*100</f>
        <v>#NAME?</v>
      </c>
      <c r="K57" s="428"/>
      <c r="L57" s="430"/>
      <c r="M57" s="307"/>
      <c r="N57" s="92" t="n">
        <v>37926</v>
      </c>
      <c r="O57" s="92" t="n">
        <v>37922</v>
      </c>
      <c r="P57" s="307"/>
      <c r="Q57" s="378" t="n">
        <v>48.3005055677069</v>
      </c>
      <c r="R57" s="277" t="n">
        <f aca="false">H61</f>
        <v>38261</v>
      </c>
      <c r="S57" s="379" t="n">
        <v>0.1665</v>
      </c>
      <c r="T57" s="380" t="n">
        <f aca="false">I61-S57</f>
        <v>0.121</v>
      </c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  <c r="AI57" s="307"/>
      <c r="AJ57" s="307"/>
      <c r="AK57" s="307"/>
      <c r="AL57" s="307"/>
    </row>
    <row r="58" customFormat="false" ht="12.75" hidden="false" customHeight="false" outlineLevel="0" collapsed="false">
      <c r="A58" s="307"/>
      <c r="B58" s="467"/>
      <c r="C58" s="468" t="s">
        <v>244</v>
      </c>
      <c r="D58" s="469" t="n">
        <v>3</v>
      </c>
      <c r="E58" s="468"/>
      <c r="F58" s="468"/>
      <c r="G58" s="435"/>
      <c r="H58" s="323" t="n">
        <f aca="false">Swap!A44</f>
        <v>38169</v>
      </c>
      <c r="I58" s="428" t="n">
        <f aca="false">INDEX(IRTable,MATCH(H58,IRMonth,0),3)+K58</f>
        <v>0.285</v>
      </c>
      <c r="J58" s="436" t="e">
        <f aca="false">xEURO(Swap!E44,Swap!E44,Opt!G44,Opt!G44,I58,Opt!J44,1,0)*2*100</f>
        <v>#NAME?</v>
      </c>
      <c r="K58" s="428"/>
      <c r="L58" s="430"/>
      <c r="M58" s="307"/>
      <c r="N58" s="92" t="n">
        <v>37956</v>
      </c>
      <c r="O58" s="92" t="n">
        <v>37949</v>
      </c>
      <c r="P58" s="307"/>
      <c r="Q58" s="378" t="n">
        <v>48.685390076415</v>
      </c>
      <c r="R58" s="277" t="n">
        <f aca="false">H62</f>
        <v>38292</v>
      </c>
      <c r="S58" s="379" t="n">
        <v>0.1665</v>
      </c>
      <c r="T58" s="380" t="n">
        <f aca="false">I62-S58</f>
        <v>0.1185</v>
      </c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</row>
    <row r="59" customFormat="false" ht="12.75" hidden="false" customHeight="false" outlineLevel="0" collapsed="false">
      <c r="A59" s="307"/>
      <c r="B59" s="467"/>
      <c r="C59" s="468" t="s">
        <v>7</v>
      </c>
      <c r="D59" s="469" t="n">
        <v>0.24</v>
      </c>
      <c r="E59" s="468"/>
      <c r="F59" s="468"/>
      <c r="G59" s="435"/>
      <c r="H59" s="323" t="n">
        <f aca="false">Swap!A45</f>
        <v>38200</v>
      </c>
      <c r="I59" s="428" t="n">
        <f aca="false">INDEX(IRTable,MATCH(H59,IRMonth,0),3)+K59</f>
        <v>0.285</v>
      </c>
      <c r="J59" s="436" t="e">
        <f aca="false">xEURO(Swap!E45,Swap!E45,Opt!G45,Opt!G45,I59,Opt!J45,1,0)*2*100</f>
        <v>#NAME?</v>
      </c>
      <c r="K59" s="428"/>
      <c r="L59" s="430"/>
      <c r="M59" s="307"/>
      <c r="N59" s="92" t="n">
        <v>37987</v>
      </c>
      <c r="O59" s="92" t="n">
        <v>37981</v>
      </c>
      <c r="P59" s="307"/>
      <c r="Q59" s="378" t="n">
        <v>49.1359616323551</v>
      </c>
      <c r="R59" s="277" t="n">
        <f aca="false">H63</f>
        <v>38322</v>
      </c>
      <c r="S59" s="379" t="n">
        <v>0.1665</v>
      </c>
      <c r="T59" s="380" t="n">
        <f aca="false">I63-S59</f>
        <v>0.116</v>
      </c>
      <c r="U59" s="307"/>
      <c r="V59" s="307"/>
      <c r="W59" s="307"/>
      <c r="X59" s="307"/>
      <c r="Y59" s="307"/>
      <c r="Z59" s="307"/>
      <c r="AA59" s="307"/>
      <c r="AB59" s="307"/>
      <c r="AC59" s="307"/>
      <c r="AD59" s="307"/>
      <c r="AE59" s="307"/>
      <c r="AF59" s="307"/>
      <c r="AG59" s="307"/>
      <c r="AH59" s="307"/>
      <c r="AI59" s="307"/>
      <c r="AJ59" s="307"/>
      <c r="AK59" s="307"/>
      <c r="AL59" s="307"/>
    </row>
    <row r="60" customFormat="false" ht="12.75" hidden="false" customHeight="false" outlineLevel="0" collapsed="false">
      <c r="A60" s="307"/>
      <c r="B60" s="467"/>
      <c r="C60" s="468" t="s">
        <v>245</v>
      </c>
      <c r="D60" s="469" t="n">
        <v>0.936</v>
      </c>
      <c r="E60" s="468"/>
      <c r="F60" s="468"/>
      <c r="G60" s="435"/>
      <c r="H60" s="323" t="n">
        <f aca="false">Swap!A46</f>
        <v>38231</v>
      </c>
      <c r="I60" s="428" t="n">
        <f aca="false">INDEX(IRTable,MATCH(H60,IRMonth,0),3)+K60</f>
        <v>0.2875</v>
      </c>
      <c r="J60" s="436" t="e">
        <f aca="false">xEURO(Swap!E46,Swap!E46,Opt!G46,Opt!G46,I60,Opt!J46,1,0)*2*100</f>
        <v>#NAME?</v>
      </c>
      <c r="K60" s="428"/>
      <c r="L60" s="430"/>
      <c r="M60" s="307"/>
      <c r="N60" s="92" t="n">
        <v>38018</v>
      </c>
      <c r="O60" s="92" t="n">
        <v>38013</v>
      </c>
      <c r="P60" s="307"/>
      <c r="Q60" s="378" t="n">
        <v>49.3092978016948</v>
      </c>
      <c r="R60" s="277" t="n">
        <f aca="false">H64</f>
        <v>38353</v>
      </c>
      <c r="S60" s="379" t="n">
        <v>0.166</v>
      </c>
      <c r="T60" s="380" t="n">
        <f aca="false">I64-S60</f>
        <v>0.119</v>
      </c>
      <c r="U60" s="307"/>
      <c r="V60" s="307"/>
      <c r="W60" s="307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307"/>
      <c r="AL60" s="307"/>
    </row>
    <row r="61" customFormat="false" ht="12.75" hidden="false" customHeight="false" outlineLevel="0" collapsed="false">
      <c r="A61" s="307"/>
      <c r="B61" s="467"/>
      <c r="C61" s="468" t="s">
        <v>246</v>
      </c>
      <c r="D61" s="469" t="n">
        <v>0.872</v>
      </c>
      <c r="E61" s="468"/>
      <c r="F61" s="468"/>
      <c r="G61" s="426"/>
      <c r="H61" s="323" t="n">
        <f aca="false">Swap!A47</f>
        <v>38261</v>
      </c>
      <c r="I61" s="428" t="n">
        <f aca="false">INDEX(IRTable,MATCH(H61,IRMonth,0),3)+K61</f>
        <v>0.2875</v>
      </c>
      <c r="J61" s="429" t="e">
        <f aca="false">xEURO(Swap!E47,Swap!E47,Opt!G47,Opt!G47,I61,Opt!J47,1,0)*2*100</f>
        <v>#NAME?</v>
      </c>
      <c r="K61" s="428"/>
      <c r="L61" s="430"/>
      <c r="M61" s="307"/>
      <c r="N61" s="92" t="n">
        <v>38047</v>
      </c>
      <c r="O61" s="92" t="n">
        <v>38041</v>
      </c>
      <c r="P61" s="307"/>
      <c r="Q61" s="378" t="n">
        <v>50.177268565093</v>
      </c>
      <c r="R61" s="277" t="n">
        <f aca="false">H65</f>
        <v>38384</v>
      </c>
      <c r="S61" s="379" t="n">
        <v>0.166</v>
      </c>
      <c r="T61" s="380" t="n">
        <f aca="false">I65-S61</f>
        <v>0.114</v>
      </c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307"/>
      <c r="AL61" s="307"/>
    </row>
    <row r="62" customFormat="false" ht="12.75" hidden="false" customHeight="false" outlineLevel="0" collapsed="false">
      <c r="A62" s="307"/>
      <c r="B62" s="467"/>
      <c r="C62" s="468" t="s">
        <v>238</v>
      </c>
      <c r="D62" s="470" t="n">
        <v>37249</v>
      </c>
      <c r="E62" s="468"/>
      <c r="F62" s="468"/>
      <c r="G62" s="435"/>
      <c r="H62" s="323" t="n">
        <f aca="false">Swap!A48</f>
        <v>38292</v>
      </c>
      <c r="I62" s="428" t="n">
        <f aca="false">INDEX(IRTable,MATCH(H62,IRMonth,0),3)+K62</f>
        <v>0.285</v>
      </c>
      <c r="J62" s="436" t="e">
        <f aca="false">xEURO(Swap!E48,Swap!E48,Opt!G48,Opt!G48,I62,Opt!J48,1,0)*2*100</f>
        <v>#NAME?</v>
      </c>
      <c r="K62" s="428"/>
      <c r="L62" s="430"/>
      <c r="M62" s="307"/>
      <c r="N62" s="92" t="n">
        <v>38078</v>
      </c>
      <c r="O62" s="92" t="n">
        <v>38072</v>
      </c>
      <c r="P62" s="307"/>
      <c r="Q62" s="378" t="n">
        <v>53.0948450967033</v>
      </c>
      <c r="R62" s="277" t="n">
        <f aca="false">H66</f>
        <v>38412</v>
      </c>
      <c r="S62" s="379" t="n">
        <v>0.166</v>
      </c>
      <c r="T62" s="380" t="n">
        <f aca="false">I66-S62</f>
        <v>0.099</v>
      </c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307"/>
      <c r="AL62" s="307"/>
    </row>
    <row r="63" customFormat="false" ht="12.75" hidden="false" customHeight="false" outlineLevel="0" collapsed="false">
      <c r="A63" s="307"/>
      <c r="B63" s="467"/>
      <c r="C63" s="468" t="s">
        <v>247</v>
      </c>
      <c r="D63" s="468" t="n">
        <v>12</v>
      </c>
      <c r="E63" s="468"/>
      <c r="F63" s="468"/>
      <c r="G63" s="435"/>
      <c r="H63" s="323" t="n">
        <f aca="false">Swap!A49</f>
        <v>38322</v>
      </c>
      <c r="I63" s="428" t="n">
        <f aca="false">INDEX(IRTable,MATCH(H63,IRMonth,0),3)+K63</f>
        <v>0.2825</v>
      </c>
      <c r="J63" s="436" t="e">
        <f aca="false">xEURO(Swap!E49,Swap!E49,Opt!G49,Opt!G49,I63,Opt!J49,1,0)*2*100</f>
        <v>#NAME?</v>
      </c>
      <c r="K63" s="428"/>
      <c r="L63" s="430"/>
      <c r="M63" s="307"/>
      <c r="N63" s="92" t="n">
        <v>38108</v>
      </c>
      <c r="O63" s="92" t="n">
        <v>38104</v>
      </c>
      <c r="P63" s="307"/>
      <c r="Q63" s="378" t="n">
        <v>56.324082023364</v>
      </c>
      <c r="R63" s="277" t="n">
        <f aca="false">H67</f>
        <v>38443</v>
      </c>
      <c r="S63" s="379" t="n">
        <v>0.1665</v>
      </c>
      <c r="T63" s="380" t="n">
        <f aca="false">I67-S63</f>
        <v>0.0835</v>
      </c>
      <c r="U63" s="307"/>
      <c r="V63" s="307"/>
      <c r="W63" s="307"/>
      <c r="X63" s="307"/>
      <c r="Y63" s="307"/>
      <c r="Z63" s="307"/>
      <c r="AA63" s="307"/>
      <c r="AB63" s="307"/>
      <c r="AC63" s="307"/>
      <c r="AD63" s="307"/>
      <c r="AE63" s="307"/>
      <c r="AF63" s="307"/>
      <c r="AG63" s="307"/>
      <c r="AH63" s="307"/>
      <c r="AI63" s="307"/>
      <c r="AJ63" s="307"/>
      <c r="AK63" s="307"/>
      <c r="AL63" s="307"/>
    </row>
    <row r="64" customFormat="false" ht="12.75" hidden="false" customHeight="false" outlineLevel="0" collapsed="false">
      <c r="A64" s="307"/>
      <c r="B64" s="467"/>
      <c r="C64" s="468" t="s">
        <v>248</v>
      </c>
      <c r="D64" s="468" t="n">
        <v>12</v>
      </c>
      <c r="E64" s="468"/>
      <c r="F64" s="468"/>
      <c r="G64" s="435"/>
      <c r="H64" s="323" t="n">
        <f aca="false">Swap!A50</f>
        <v>38353</v>
      </c>
      <c r="I64" s="428" t="n">
        <f aca="false">INDEX(IRTable,MATCH(H64,IRMonth,0),3)+K64</f>
        <v>0.285</v>
      </c>
      <c r="J64" s="436" t="e">
        <f aca="false">xEURO(Swap!E50,Swap!E50,Opt!G50,Opt!G50,I64,Opt!J50,1,0)*2*100</f>
        <v>#NAME?</v>
      </c>
      <c r="K64" s="428"/>
      <c r="L64" s="430"/>
      <c r="M64" s="307"/>
      <c r="N64" s="92" t="n">
        <v>38139</v>
      </c>
      <c r="O64" s="92" t="n">
        <v>38132</v>
      </c>
      <c r="P64" s="307"/>
      <c r="Q64" s="378" t="n">
        <v>57.6867896445555</v>
      </c>
      <c r="R64" s="277" t="n">
        <f aca="false">H68</f>
        <v>38473</v>
      </c>
      <c r="S64" s="379" t="n">
        <v>0.167</v>
      </c>
      <c r="T64" s="380" t="n">
        <f aca="false">I68-S64</f>
        <v>0.0755</v>
      </c>
      <c r="U64" s="307"/>
      <c r="V64" s="307"/>
      <c r="W64" s="307"/>
      <c r="X64" s="307"/>
      <c r="Y64" s="307"/>
      <c r="Z64" s="307"/>
      <c r="AA64" s="307"/>
      <c r="AB64" s="307"/>
      <c r="AC64" s="307"/>
      <c r="AD64" s="307"/>
      <c r="AE64" s="307"/>
      <c r="AF64" s="307"/>
      <c r="AG64" s="307"/>
      <c r="AH64" s="307"/>
      <c r="AI64" s="307"/>
      <c r="AJ64" s="307"/>
      <c r="AK64" s="307"/>
      <c r="AL64" s="307"/>
    </row>
    <row r="65" customFormat="false" ht="12.75" hidden="false" customHeight="false" outlineLevel="0" collapsed="false">
      <c r="A65" s="307"/>
      <c r="B65" s="467"/>
      <c r="C65" s="468"/>
      <c r="D65" s="468"/>
      <c r="E65" s="468"/>
      <c r="F65" s="468"/>
      <c r="G65" s="435"/>
      <c r="H65" s="323" t="n">
        <f aca="false">Swap!A51</f>
        <v>38384</v>
      </c>
      <c r="I65" s="428" t="n">
        <f aca="false">INDEX(IRTable,MATCH(H65,IRMonth,0),3)+K65</f>
        <v>0.28</v>
      </c>
      <c r="J65" s="436" t="e">
        <f aca="false">xEURO(Swap!E51,Swap!E51,Opt!G51,Opt!G51,I65,Opt!J51,1,0)*2*100</f>
        <v>#NAME?</v>
      </c>
      <c r="K65" s="428"/>
      <c r="L65" s="430"/>
      <c r="M65" s="307"/>
      <c r="N65" s="92" t="n">
        <v>38169</v>
      </c>
      <c r="O65" s="92" t="n">
        <v>38163</v>
      </c>
      <c r="P65" s="307"/>
      <c r="Q65" s="378" t="n">
        <v>55.1550535897786</v>
      </c>
      <c r="R65" s="277" t="n">
        <f aca="false">H69</f>
        <v>38504</v>
      </c>
      <c r="S65" s="379" t="n">
        <v>0.1655</v>
      </c>
      <c r="T65" s="380" t="n">
        <f aca="false">I69-S65</f>
        <v>0.072</v>
      </c>
      <c r="U65" s="307"/>
      <c r="V65" s="307"/>
      <c r="W65" s="307"/>
      <c r="X65" s="307"/>
      <c r="Y65" s="307"/>
      <c r="Z65" s="307"/>
      <c r="AA65" s="307"/>
      <c r="AB65" s="307"/>
      <c r="AC65" s="307"/>
      <c r="AD65" s="307"/>
      <c r="AE65" s="307"/>
      <c r="AF65" s="307"/>
      <c r="AG65" s="307"/>
      <c r="AH65" s="307"/>
      <c r="AI65" s="307"/>
      <c r="AJ65" s="307"/>
      <c r="AK65" s="307"/>
      <c r="AL65" s="307"/>
    </row>
    <row r="66" customFormat="false" ht="12.75" hidden="false" customHeight="false" outlineLevel="0" collapsed="false">
      <c r="A66" s="307"/>
      <c r="B66" s="467"/>
      <c r="C66" s="468" t="s">
        <v>249</v>
      </c>
      <c r="D66" s="469" t="n">
        <v>3.14</v>
      </c>
      <c r="E66" s="468"/>
      <c r="F66" s="468"/>
      <c r="G66" s="435" t="n">
        <f aca="false">AVERAGE(I60:I71)</f>
        <v>0.264791666666667</v>
      </c>
      <c r="H66" s="323" t="n">
        <f aca="false">Swap!A52</f>
        <v>38412</v>
      </c>
      <c r="I66" s="428" t="n">
        <f aca="false">INDEX(IRTable,MATCH(H66,IRMonth,0),3)+K66</f>
        <v>0.265</v>
      </c>
      <c r="J66" s="436" t="e">
        <f aca="false">xEURO(Swap!E52,Swap!E52,Opt!G52,Opt!G52,I66,Opt!J52,1,0)*2*100</f>
        <v>#NAME?</v>
      </c>
      <c r="K66" s="428"/>
      <c r="L66" s="430"/>
      <c r="M66" s="307"/>
      <c r="N66" s="92" t="n">
        <v>38200</v>
      </c>
      <c r="O66" s="92" t="n">
        <v>38195</v>
      </c>
      <c r="P66" s="307"/>
      <c r="Q66" s="378" t="n">
        <v>52.5055776724409</v>
      </c>
      <c r="R66" s="277" t="n">
        <f aca="false">H70</f>
        <v>38534</v>
      </c>
      <c r="S66" s="379" t="n">
        <v>0.163</v>
      </c>
      <c r="T66" s="380" t="n">
        <f aca="false">I70-S66</f>
        <v>0.0745</v>
      </c>
      <c r="U66" s="307"/>
      <c r="V66" s="307"/>
      <c r="W66" s="307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  <c r="AK66" s="307"/>
      <c r="AL66" s="307"/>
    </row>
    <row r="67" customFormat="false" ht="12.75" hidden="false" customHeight="false" outlineLevel="0" collapsed="false">
      <c r="A67" s="307"/>
      <c r="B67" s="467"/>
      <c r="C67" s="468"/>
      <c r="D67" s="468"/>
      <c r="E67" s="468"/>
      <c r="F67" s="468"/>
      <c r="G67" s="435"/>
      <c r="H67" s="323" t="n">
        <f aca="false">Swap!A53</f>
        <v>38443</v>
      </c>
      <c r="I67" s="428" t="n">
        <f aca="false">INDEX(IRTable,MATCH(H67,IRMonth,0),3)+K67</f>
        <v>0.25</v>
      </c>
      <c r="J67" s="436" t="e">
        <f aca="false">xEURO(Swap!E53,Swap!E53,Opt!G53,Opt!G53,I67,Opt!J53,1,0)*2*100</f>
        <v>#NAME?</v>
      </c>
      <c r="K67" s="428"/>
      <c r="L67" s="430"/>
      <c r="M67" s="307"/>
      <c r="N67" s="92" t="n">
        <v>38231</v>
      </c>
      <c r="O67" s="92" t="n">
        <v>38225</v>
      </c>
      <c r="P67" s="307"/>
      <c r="Q67" s="378" t="n">
        <v>49.9671360186339</v>
      </c>
      <c r="R67" s="277" t="n">
        <f aca="false">H71</f>
        <v>38565</v>
      </c>
      <c r="S67" s="379" t="n">
        <v>0.1605</v>
      </c>
      <c r="T67" s="380" t="n">
        <f aca="false">I71-S67</f>
        <v>0.077</v>
      </c>
      <c r="U67" s="307"/>
      <c r="V67" s="307"/>
      <c r="W67" s="307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  <c r="AK67" s="307"/>
      <c r="AL67" s="307"/>
    </row>
    <row r="68" customFormat="false" ht="12.75" hidden="false" customHeight="false" outlineLevel="0" collapsed="false">
      <c r="A68" s="307"/>
      <c r="B68" s="467"/>
      <c r="C68" s="468" t="s">
        <v>250</v>
      </c>
      <c r="D68" s="469" t="e">
        <f aca="false">xEURO(D58,D66,0,0,D59,D62-Today,0,0)*D61/D60</f>
        <v>#NAME?</v>
      </c>
      <c r="E68" s="469" t="e">
        <f aca="false">D57-D66-D68</f>
        <v>#NAME?</v>
      </c>
      <c r="F68" s="468"/>
      <c r="G68" s="426"/>
      <c r="H68" s="323" t="n">
        <f aca="false">Swap!A54</f>
        <v>38473</v>
      </c>
      <c r="I68" s="428" t="n">
        <f aca="false">INDEX(IRTable,MATCH(H68,IRMonth,0),3)+K68</f>
        <v>0.2425</v>
      </c>
      <c r="J68" s="429" t="e">
        <f aca="false">xEURO(Swap!E54,Swap!E54,Opt!G54,Opt!G54,I68,Opt!J54,1,0)*2*100</f>
        <v>#NAME?</v>
      </c>
      <c r="K68" s="428"/>
      <c r="L68" s="430"/>
      <c r="M68" s="307"/>
      <c r="N68" s="92" t="n">
        <v>38261</v>
      </c>
      <c r="O68" s="92" t="n">
        <v>38257</v>
      </c>
      <c r="P68" s="307"/>
      <c r="Q68" s="378" t="n">
        <v>49.070572152527</v>
      </c>
      <c r="R68" s="277" t="n">
        <f aca="false">H72</f>
        <v>38596</v>
      </c>
      <c r="S68" s="379" t="n">
        <v>0.1585</v>
      </c>
      <c r="T68" s="380" t="n">
        <f aca="false">I72-S68</f>
        <v>0.079</v>
      </c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</row>
    <row r="69" customFormat="false" ht="13.5" hidden="false" customHeight="false" outlineLevel="0" collapsed="false">
      <c r="A69" s="307"/>
      <c r="B69" s="471"/>
      <c r="C69" s="472" t="s">
        <v>251</v>
      </c>
      <c r="D69" s="473" t="e">
        <f aca="false">xEURO(D58,D66,0,0,D59,D62-Today,1,0)*D61/D60</f>
        <v>#NAME?</v>
      </c>
      <c r="E69" s="473" t="e">
        <f aca="false">D66-D57-D69</f>
        <v>#NAME?</v>
      </c>
      <c r="F69" s="472"/>
      <c r="G69" s="435"/>
      <c r="H69" s="323" t="n">
        <f aca="false">Swap!A55</f>
        <v>38504</v>
      </c>
      <c r="I69" s="428" t="n">
        <f aca="false">INDEX(IRTable,MATCH(H69,IRMonth,0),3)+K69</f>
        <v>0.2375</v>
      </c>
      <c r="J69" s="436" t="e">
        <f aca="false">xEURO(Swap!E55,Swap!E55,Opt!G55,Opt!G55,I69,Opt!J55,1,0)*2*100</f>
        <v>#NAME?</v>
      </c>
      <c r="K69" s="428"/>
      <c r="L69" s="430"/>
      <c r="M69" s="307"/>
      <c r="N69" s="92" t="n">
        <v>38292</v>
      </c>
      <c r="O69" s="92" t="n">
        <v>38286</v>
      </c>
      <c r="P69" s="307"/>
      <c r="Q69" s="378" t="n">
        <v>49.2754527682386</v>
      </c>
      <c r="R69" s="277" t="n">
        <f aca="false">H73</f>
        <v>38626</v>
      </c>
      <c r="S69" s="379" t="n">
        <v>0.1582</v>
      </c>
      <c r="T69" s="380" t="n">
        <f aca="false">I73-S69</f>
        <v>0.0793</v>
      </c>
      <c r="U69" s="307"/>
      <c r="V69" s="307"/>
      <c r="W69" s="307"/>
      <c r="X69" s="307"/>
      <c r="Y69" s="307"/>
      <c r="Z69" s="307"/>
      <c r="AA69" s="307"/>
      <c r="AB69" s="307"/>
      <c r="AC69" s="307"/>
      <c r="AD69" s="307"/>
      <c r="AE69" s="307"/>
      <c r="AF69" s="307"/>
      <c r="AG69" s="307"/>
      <c r="AH69" s="307"/>
      <c r="AI69" s="307"/>
      <c r="AJ69" s="307"/>
      <c r="AK69" s="307"/>
      <c r="AL69" s="307"/>
    </row>
    <row r="70" customFormat="false" ht="12.75" hidden="false" customHeight="false" outlineLevel="0" collapsed="false">
      <c r="A70" s="307"/>
      <c r="B70" s="464" t="s">
        <v>234</v>
      </c>
      <c r="C70" s="465" t="s">
        <v>235</v>
      </c>
      <c r="D70" s="466" t="n">
        <v>4.3</v>
      </c>
      <c r="E70" s="465"/>
      <c r="F70" s="474"/>
      <c r="G70" s="435"/>
      <c r="H70" s="323" t="n">
        <f aca="false">Swap!A56</f>
        <v>38534</v>
      </c>
      <c r="I70" s="428" t="n">
        <f aca="false">INDEX(IRTable,MATCH(H70,IRMonth,0),3)+K70</f>
        <v>0.2375</v>
      </c>
      <c r="J70" s="436" t="e">
        <f aca="false">xEURO(Swap!E56,Swap!E56,Opt!G56,Opt!G56,I70,Opt!J56,1,0)*2*100</f>
        <v>#NAME?</v>
      </c>
      <c r="K70" s="428"/>
      <c r="L70" s="430"/>
      <c r="M70" s="307"/>
      <c r="N70" s="92" t="n">
        <v>38322</v>
      </c>
      <c r="O70" s="92" t="n">
        <v>38315</v>
      </c>
      <c r="P70" s="307"/>
      <c r="Q70" s="378" t="n">
        <v>49.4712776191374</v>
      </c>
      <c r="R70" s="277" t="n">
        <f aca="false">H74</f>
        <v>38657</v>
      </c>
      <c r="S70" s="379" t="n">
        <v>0.1579</v>
      </c>
      <c r="T70" s="380" t="n">
        <f aca="false">I74-S70</f>
        <v>0.0821</v>
      </c>
      <c r="U70" s="307"/>
      <c r="V70" s="307"/>
      <c r="W70" s="307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  <c r="AK70" s="307"/>
      <c r="AL70" s="307"/>
    </row>
    <row r="71" customFormat="false" ht="12.75" hidden="false" customHeight="false" outlineLevel="0" collapsed="false">
      <c r="A71" s="307"/>
      <c r="B71" s="467"/>
      <c r="C71" s="468" t="s">
        <v>236</v>
      </c>
      <c r="D71" s="469" t="n">
        <v>3.75</v>
      </c>
      <c r="E71" s="468"/>
      <c r="F71" s="475"/>
      <c r="G71" s="435"/>
      <c r="H71" s="323" t="n">
        <f aca="false">Swap!A57</f>
        <v>38565</v>
      </c>
      <c r="I71" s="428" t="n">
        <f aca="false">INDEX(IRTable,MATCH(H71,IRMonth,0),3)+K71</f>
        <v>0.2375</v>
      </c>
      <c r="J71" s="436" t="e">
        <f aca="false">xEURO(Swap!E57,Swap!E57,Opt!G57,Opt!G57,I71,Opt!J57,1,0)*2*100</f>
        <v>#NAME?</v>
      </c>
      <c r="K71" s="428"/>
      <c r="L71" s="430"/>
      <c r="M71" s="307"/>
      <c r="N71" s="92" t="n">
        <v>38353</v>
      </c>
      <c r="O71" s="92" t="n">
        <v>38348</v>
      </c>
      <c r="P71" s="307"/>
      <c r="Q71" s="378" t="n">
        <v>49.7026754370107</v>
      </c>
      <c r="R71" s="277" t="n">
        <f aca="false">H75</f>
        <v>38687</v>
      </c>
      <c r="S71" s="379" t="n">
        <v>0.1576</v>
      </c>
      <c r="T71" s="380" t="n">
        <f aca="false">I75-S71</f>
        <v>0.0849</v>
      </c>
      <c r="U71" s="307"/>
      <c r="V71" s="307"/>
      <c r="W71" s="307"/>
      <c r="X71" s="307"/>
      <c r="Y71" s="307"/>
      <c r="Z71" s="307"/>
      <c r="AA71" s="307"/>
      <c r="AB71" s="307"/>
      <c r="AC71" s="307"/>
      <c r="AD71" s="307"/>
      <c r="AE71" s="307"/>
      <c r="AF71" s="307"/>
      <c r="AG71" s="307"/>
      <c r="AH71" s="307"/>
      <c r="AI71" s="307"/>
      <c r="AJ71" s="307"/>
      <c r="AK71" s="307"/>
      <c r="AL71" s="307"/>
    </row>
    <row r="72" customFormat="false" ht="12.75" hidden="false" customHeight="false" outlineLevel="0" collapsed="false">
      <c r="A72" s="307"/>
      <c r="B72" s="467"/>
      <c r="C72" s="468" t="s">
        <v>46</v>
      </c>
      <c r="D72" s="469" t="n">
        <v>0.912</v>
      </c>
      <c r="E72" s="468"/>
      <c r="F72" s="475"/>
      <c r="G72" s="435"/>
      <c r="H72" s="323" t="n">
        <f aca="false">Swap!A58</f>
        <v>38596</v>
      </c>
      <c r="I72" s="428" t="n">
        <f aca="false">INDEX(IRTable,MATCH(H72,IRMonth,0),3)+K72</f>
        <v>0.2375</v>
      </c>
      <c r="J72" s="436" t="e">
        <f aca="false">xEURO(Swap!E58,Swap!E58,Opt!G58,Opt!G58,I72,Opt!J58,1,0)*2*100</f>
        <v>#NAME?</v>
      </c>
      <c r="K72" s="428"/>
      <c r="L72" s="430"/>
      <c r="M72" s="307"/>
      <c r="N72" s="92" t="n">
        <v>38384</v>
      </c>
      <c r="O72" s="92" t="n">
        <v>38378</v>
      </c>
      <c r="P72" s="307"/>
      <c r="Q72" s="378" t="n">
        <v>49.8387034781155</v>
      </c>
      <c r="R72" s="277" t="n">
        <f aca="false">H76</f>
        <v>38718</v>
      </c>
      <c r="S72" s="379" t="n">
        <v>0.1573</v>
      </c>
      <c r="T72" s="380" t="n">
        <f aca="false">I76-S72</f>
        <v>0.0852</v>
      </c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  <c r="AK72" s="307"/>
      <c r="AL72" s="307"/>
    </row>
    <row r="73" customFormat="false" ht="12.75" hidden="false" customHeight="false" outlineLevel="0" collapsed="false">
      <c r="A73" s="307"/>
      <c r="B73" s="467"/>
      <c r="C73" s="468" t="s">
        <v>237</v>
      </c>
      <c r="D73" s="469" t="n">
        <v>0.38</v>
      </c>
      <c r="E73" s="468"/>
      <c r="F73" s="475"/>
      <c r="G73" s="426"/>
      <c r="H73" s="323" t="n">
        <f aca="false">Swap!A59</f>
        <v>38626</v>
      </c>
      <c r="I73" s="428" t="n">
        <f aca="false">INDEX(IRTable,MATCH(H73,IRMonth,0),3)+K73</f>
        <v>0.2375</v>
      </c>
      <c r="J73" s="429" t="e">
        <f aca="false">xEURO(Swap!E59,Swap!E59,Opt!G59,Opt!G59,I73,Opt!J59,1,0)*2*100</f>
        <v>#NAME?</v>
      </c>
      <c r="K73" s="428"/>
      <c r="L73" s="430"/>
      <c r="M73" s="307"/>
      <c r="N73" s="92" t="n">
        <v>38412</v>
      </c>
      <c r="O73" s="92" t="n">
        <v>38406</v>
      </c>
      <c r="P73" s="307"/>
      <c r="Q73" s="378" t="n">
        <v>50.5155231570083</v>
      </c>
      <c r="R73" s="277" t="n">
        <f aca="false">H77</f>
        <v>38749</v>
      </c>
      <c r="S73" s="379" t="n">
        <v>0.157</v>
      </c>
      <c r="T73" s="380" t="n">
        <f aca="false">I77-S73</f>
        <v>0.083</v>
      </c>
      <c r="U73" s="307"/>
      <c r="V73" s="307"/>
      <c r="W73" s="307"/>
      <c r="X73" s="307"/>
      <c r="Y73" s="307"/>
      <c r="Z73" s="307"/>
      <c r="AA73" s="307"/>
      <c r="AB73" s="307"/>
      <c r="AC73" s="307"/>
      <c r="AD73" s="307"/>
      <c r="AE73" s="307"/>
      <c r="AF73" s="307"/>
      <c r="AG73" s="307"/>
      <c r="AH73" s="307"/>
      <c r="AI73" s="307"/>
      <c r="AJ73" s="307"/>
      <c r="AK73" s="307"/>
      <c r="AL73" s="307"/>
    </row>
    <row r="74" customFormat="false" ht="12.75" hidden="false" customHeight="false" outlineLevel="0" collapsed="false">
      <c r="A74" s="307"/>
      <c r="B74" s="467"/>
      <c r="C74" s="468" t="s">
        <v>238</v>
      </c>
      <c r="D74" s="470" t="n">
        <v>37249</v>
      </c>
      <c r="E74" s="468"/>
      <c r="F74" s="475"/>
      <c r="G74" s="435"/>
      <c r="H74" s="323" t="n">
        <f aca="false">Swap!A60</f>
        <v>38657</v>
      </c>
      <c r="I74" s="428" t="n">
        <f aca="false">INDEX(IRTable,MATCH(H74,IRMonth,0),3)+K74</f>
        <v>0.24</v>
      </c>
      <c r="J74" s="436" t="e">
        <f aca="false">xEURO(Swap!E60,Swap!E60,Opt!G60,Opt!G60,I74,Opt!J60,1,0)*2*100</f>
        <v>#NAME?</v>
      </c>
      <c r="K74" s="428"/>
      <c r="L74" s="430"/>
      <c r="M74" s="307"/>
      <c r="N74" s="92" t="n">
        <v>38443</v>
      </c>
      <c r="O74" s="92" t="n">
        <v>38439</v>
      </c>
      <c r="P74" s="307"/>
      <c r="Q74" s="378" t="n">
        <v>53.2766705752284</v>
      </c>
      <c r="R74" s="277" t="n">
        <f aca="false">H78</f>
        <v>38777</v>
      </c>
      <c r="S74" s="379" t="n">
        <v>0.157</v>
      </c>
      <c r="T74" s="380" t="n">
        <f aca="false">I78-S74</f>
        <v>0.083</v>
      </c>
      <c r="U74" s="307"/>
      <c r="V74" s="307"/>
      <c r="W74" s="307"/>
      <c r="X74" s="307"/>
      <c r="Y74" s="307"/>
      <c r="Z74" s="307"/>
      <c r="AA74" s="307"/>
      <c r="AB74" s="307"/>
      <c r="AC74" s="307"/>
      <c r="AD74" s="307"/>
      <c r="AE74" s="307"/>
      <c r="AF74" s="307"/>
      <c r="AG74" s="307"/>
      <c r="AH74" s="307"/>
      <c r="AI74" s="307"/>
      <c r="AJ74" s="307"/>
      <c r="AK74" s="307"/>
      <c r="AL74" s="307"/>
    </row>
    <row r="75" customFormat="false" ht="12.75" hidden="false" customHeight="false" outlineLevel="0" collapsed="false">
      <c r="A75" s="307"/>
      <c r="B75" s="467"/>
      <c r="C75" s="468" t="s">
        <v>239</v>
      </c>
      <c r="D75" s="468" t="n">
        <v>0</v>
      </c>
      <c r="E75" s="468"/>
      <c r="F75" s="475"/>
      <c r="G75" s="435"/>
      <c r="H75" s="323" t="n">
        <f aca="false">Swap!A61</f>
        <v>38687</v>
      </c>
      <c r="I75" s="428" t="n">
        <f aca="false">INDEX(IRTable,MATCH(H75,IRMonth,0),3)+K75</f>
        <v>0.2425</v>
      </c>
      <c r="J75" s="436" t="e">
        <f aca="false">xEURO(Swap!E61,Swap!E61,Opt!G61,Opt!G61,I75,Opt!J61,1,0)*2*100</f>
        <v>#NAME?</v>
      </c>
      <c r="K75" s="428"/>
      <c r="L75" s="430"/>
      <c r="M75" s="307"/>
      <c r="N75" s="92" t="n">
        <v>38473</v>
      </c>
      <c r="O75" s="92" t="n">
        <v>38468</v>
      </c>
      <c r="P75" s="307"/>
      <c r="Q75" s="378" t="n">
        <v>56.2139159557458</v>
      </c>
      <c r="R75" s="277" t="n">
        <f aca="false">H79</f>
        <v>38808</v>
      </c>
      <c r="S75" s="379" t="n">
        <v>0.157</v>
      </c>
      <c r="T75" s="380" t="n">
        <f aca="false">I79-S75</f>
        <v>0.083</v>
      </c>
      <c r="U75" s="307"/>
      <c r="V75" s="307"/>
      <c r="W75" s="307"/>
      <c r="X75" s="307"/>
      <c r="Y75" s="307"/>
      <c r="Z75" s="307"/>
      <c r="AA75" s="307"/>
      <c r="AB75" s="307"/>
      <c r="AC75" s="307"/>
      <c r="AD75" s="307"/>
      <c r="AE75" s="307"/>
      <c r="AF75" s="307"/>
      <c r="AG75" s="307"/>
      <c r="AH75" s="307"/>
      <c r="AI75" s="307"/>
      <c r="AJ75" s="307"/>
      <c r="AK75" s="307"/>
      <c r="AL75" s="307"/>
    </row>
    <row r="76" customFormat="false" ht="12.75" hidden="false" customHeight="false" outlineLevel="0" collapsed="false">
      <c r="A76" s="307"/>
      <c r="B76" s="467"/>
      <c r="C76" s="468"/>
      <c r="D76" s="468"/>
      <c r="E76" s="468"/>
      <c r="F76" s="475"/>
      <c r="G76" s="435"/>
      <c r="H76" s="323" t="n">
        <f aca="false">Swap!A62</f>
        <v>38718</v>
      </c>
      <c r="I76" s="428" t="n">
        <f aca="false">INDEX(IRTable,MATCH(H76,IRMonth,0),3)+K76</f>
        <v>0.2425</v>
      </c>
      <c r="J76" s="436" t="e">
        <f aca="false">xEURO(Swap!E62,Swap!E62,Opt!G62,Opt!G62,I76,Opt!J62,1,0)*2*100</f>
        <v>#NAME?</v>
      </c>
      <c r="K76" s="428"/>
      <c r="L76" s="430"/>
      <c r="M76" s="307"/>
      <c r="N76" s="92" t="n">
        <v>38504</v>
      </c>
      <c r="O76" s="92" t="n">
        <v>38497</v>
      </c>
      <c r="P76" s="307"/>
      <c r="Q76" s="378" t="n">
        <v>57.9681055641396</v>
      </c>
      <c r="R76" s="277" t="n">
        <f aca="false">H80</f>
        <v>38838</v>
      </c>
      <c r="S76" s="379" t="n">
        <v>0.1585</v>
      </c>
      <c r="T76" s="380" t="n">
        <f aca="false">I80-S76</f>
        <v>0.079</v>
      </c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307"/>
      <c r="AF76" s="307"/>
      <c r="AG76" s="307"/>
      <c r="AH76" s="307"/>
      <c r="AI76" s="307"/>
      <c r="AJ76" s="307"/>
      <c r="AK76" s="307"/>
      <c r="AL76" s="307"/>
    </row>
    <row r="77" customFormat="false" ht="12.75" hidden="false" customHeight="false" outlineLevel="0" collapsed="false">
      <c r="A77" s="307"/>
      <c r="B77" s="467"/>
      <c r="C77" s="468" t="s">
        <v>240</v>
      </c>
      <c r="D77" s="469" t="e">
        <f aca="false">xEURO(D70,D71,0,0,D73,D74-Today,D75,0)*D72</f>
        <v>#NAME?</v>
      </c>
      <c r="E77" s="468"/>
      <c r="F77" s="475"/>
      <c r="G77" s="435"/>
      <c r="H77" s="323" t="n">
        <f aca="false">Swap!A63</f>
        <v>38749</v>
      </c>
      <c r="I77" s="428" t="n">
        <f aca="false">INDEX(IRTable,MATCH(H77,IRMonth,0),3)+K77</f>
        <v>0.24</v>
      </c>
      <c r="J77" s="436" t="e">
        <f aca="false">xEURO(Swap!E63,Swap!E63,Opt!G63,Opt!G63,I77,Opt!J63,1,0)*2*100</f>
        <v>#NAME?</v>
      </c>
      <c r="K77" s="428"/>
      <c r="L77" s="430"/>
      <c r="M77" s="307"/>
      <c r="N77" s="92" t="n">
        <v>38534</v>
      </c>
      <c r="O77" s="92" t="n">
        <v>38530</v>
      </c>
      <c r="P77" s="307"/>
      <c r="Q77" s="378" t="n">
        <v>55.8390100527799</v>
      </c>
      <c r="R77" s="277" t="n">
        <f aca="false">H81</f>
        <v>38869</v>
      </c>
      <c r="S77" s="379" t="n">
        <v>0.1585</v>
      </c>
      <c r="T77" s="380" t="n">
        <f aca="false">I81-S77</f>
        <v>0.079</v>
      </c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  <c r="AK77" s="307"/>
      <c r="AL77" s="307"/>
    </row>
    <row r="78" customFormat="false" ht="12.75" hidden="false" customHeight="false" outlineLevel="0" collapsed="false">
      <c r="A78" s="307"/>
      <c r="B78" s="467"/>
      <c r="C78" s="468" t="s">
        <v>241</v>
      </c>
      <c r="D78" s="469" t="e">
        <f aca="false">xEURO(D70,D71,1-D72,1-D72,D73,D74-Today,D75,1)</f>
        <v>#NAME?</v>
      </c>
      <c r="E78" s="468"/>
      <c r="F78" s="475"/>
      <c r="G78" s="435" t="n">
        <f aca="false">AVERAGE(I72:I83)</f>
        <v>0.239166666666667</v>
      </c>
      <c r="H78" s="323" t="n">
        <f aca="false">Swap!A64</f>
        <v>38777</v>
      </c>
      <c r="I78" s="428" t="n">
        <f aca="false">INDEX(IRTable,MATCH(H78,IRMonth,0),3)+K78</f>
        <v>0.24</v>
      </c>
      <c r="J78" s="436" t="e">
        <f aca="false">xEURO(Swap!E64,Swap!E64,Opt!G64,Opt!G64,I78,Opt!J64,1,0)*2*100</f>
        <v>#NAME?</v>
      </c>
      <c r="K78" s="428"/>
      <c r="L78" s="430"/>
      <c r="M78" s="307"/>
      <c r="N78" s="92" t="n">
        <v>38565</v>
      </c>
      <c r="O78" s="92" t="n">
        <v>38559</v>
      </c>
      <c r="P78" s="307"/>
      <c r="Q78" s="378" t="n">
        <v>53.2245455551706</v>
      </c>
      <c r="R78" s="277" t="n">
        <f aca="false">H82</f>
        <v>38899</v>
      </c>
      <c r="S78" s="379" t="n">
        <v>0.1565</v>
      </c>
      <c r="T78" s="380" t="n">
        <f aca="false">I82-S78</f>
        <v>0.081</v>
      </c>
      <c r="U78" s="307"/>
      <c r="V78" s="307"/>
      <c r="W78" s="307"/>
      <c r="X78" s="307"/>
      <c r="Y78" s="307"/>
      <c r="Z78" s="307"/>
      <c r="AA78" s="307"/>
      <c r="AB78" s="307"/>
      <c r="AC78" s="307"/>
      <c r="AD78" s="307"/>
      <c r="AE78" s="307"/>
      <c r="AF78" s="307"/>
      <c r="AG78" s="307"/>
      <c r="AH78" s="307"/>
      <c r="AI78" s="307"/>
      <c r="AJ78" s="307"/>
      <c r="AK78" s="307"/>
      <c r="AL78" s="307"/>
    </row>
    <row r="79" customFormat="false" ht="12.75" hidden="false" customHeight="false" outlineLevel="0" collapsed="false">
      <c r="A79" s="307"/>
      <c r="B79" s="467"/>
      <c r="C79" s="468"/>
      <c r="D79" s="468"/>
      <c r="E79" s="468"/>
      <c r="F79" s="475"/>
      <c r="G79" s="435"/>
      <c r="H79" s="323" t="n">
        <f aca="false">Swap!A65</f>
        <v>38808</v>
      </c>
      <c r="I79" s="428" t="n">
        <f aca="false">INDEX(IRTable,MATCH(H79,IRMonth,0),3)+K79</f>
        <v>0.24</v>
      </c>
      <c r="J79" s="436" t="e">
        <f aca="false">xEURO(Swap!E65,Swap!E65,Opt!G65,Opt!G65,I79,Opt!J65,1,0)*2*100</f>
        <v>#NAME?</v>
      </c>
      <c r="K79" s="428"/>
      <c r="L79" s="430"/>
      <c r="M79" s="307"/>
      <c r="N79" s="92" t="n">
        <v>38596</v>
      </c>
      <c r="O79" s="92" t="n">
        <v>38590</v>
      </c>
      <c r="P79" s="307"/>
      <c r="Q79" s="378" t="n">
        <v>50.7207296829747</v>
      </c>
      <c r="R79" s="277" t="n">
        <f aca="false">H83</f>
        <v>38930</v>
      </c>
      <c r="S79" s="379" t="n">
        <v>0.1545</v>
      </c>
      <c r="T79" s="380" t="n">
        <f aca="false">I83-S79</f>
        <v>0.083</v>
      </c>
      <c r="U79" s="307"/>
      <c r="V79" s="307"/>
      <c r="W79" s="307"/>
      <c r="X79" s="307"/>
      <c r="Y79" s="307"/>
      <c r="Z79" s="307"/>
      <c r="AA79" s="307"/>
      <c r="AB79" s="307"/>
      <c r="AC79" s="307"/>
      <c r="AD79" s="307"/>
      <c r="AE79" s="307"/>
      <c r="AF79" s="307"/>
      <c r="AG79" s="307"/>
      <c r="AH79" s="307"/>
      <c r="AI79" s="307"/>
      <c r="AJ79" s="307"/>
      <c r="AK79" s="307"/>
      <c r="AL79" s="307"/>
    </row>
    <row r="80" customFormat="false" ht="12.75" hidden="false" customHeight="false" outlineLevel="0" collapsed="false">
      <c r="A80" s="307"/>
      <c r="B80" s="467" t="s">
        <v>242</v>
      </c>
      <c r="C80" s="468" t="s">
        <v>243</v>
      </c>
      <c r="D80" s="469" t="n">
        <v>7.265</v>
      </c>
      <c r="E80" s="468"/>
      <c r="F80" s="475"/>
      <c r="G80" s="426"/>
      <c r="H80" s="323" t="n">
        <f aca="false">Swap!A66</f>
        <v>38838</v>
      </c>
      <c r="I80" s="428" t="n">
        <f aca="false">INDEX(IRTable,MATCH(H80,IRMonth,0),3)+K80</f>
        <v>0.2375</v>
      </c>
      <c r="J80" s="429" t="e">
        <f aca="false">xEURO(Swap!E66,Swap!E66,Opt!G66,Opt!G66,I80,Opt!J66,1,0)*2*100</f>
        <v>#NAME?</v>
      </c>
      <c r="K80" s="428"/>
      <c r="L80" s="430"/>
      <c r="M80" s="307"/>
      <c r="N80" s="92" t="n">
        <v>38626</v>
      </c>
      <c r="O80" s="92" t="n">
        <v>38622</v>
      </c>
      <c r="P80" s="307"/>
      <c r="Q80" s="378" t="n">
        <v>50.012602461294</v>
      </c>
      <c r="R80" s="277" t="n">
        <f aca="false">H84</f>
        <v>38961</v>
      </c>
      <c r="S80" s="379" t="n">
        <v>0.1535</v>
      </c>
      <c r="T80" s="380" t="n">
        <f aca="false">I84-S80</f>
        <v>0.084</v>
      </c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</row>
    <row r="81" customFormat="false" ht="12.75" hidden="false" customHeight="false" outlineLevel="0" collapsed="false">
      <c r="A81" s="307"/>
      <c r="B81" s="467"/>
      <c r="C81" s="468" t="s">
        <v>244</v>
      </c>
      <c r="D81" s="469" t="n">
        <v>5.41</v>
      </c>
      <c r="E81" s="468"/>
      <c r="F81" s="475"/>
      <c r="G81" s="435"/>
      <c r="H81" s="323" t="n">
        <f aca="false">Swap!A67</f>
        <v>38869</v>
      </c>
      <c r="I81" s="428" t="n">
        <f aca="false">INDEX(IRTable,MATCH(H81,IRMonth,0),3)+K81</f>
        <v>0.2375</v>
      </c>
      <c r="J81" s="436" t="e">
        <f aca="false">xEURO(Swap!E67,Swap!E67,Opt!G67,Opt!G67,I81,Opt!J67,1,0)*2*100</f>
        <v>#NAME?</v>
      </c>
      <c r="K81" s="428"/>
      <c r="L81" s="430"/>
      <c r="M81" s="307"/>
      <c r="N81" s="92" t="n">
        <v>38657</v>
      </c>
      <c r="O81" s="92" t="n">
        <v>38651</v>
      </c>
      <c r="P81" s="307"/>
      <c r="Q81" s="378" t="n">
        <v>50.1257459363577</v>
      </c>
      <c r="R81" s="277" t="n">
        <f aca="false">H85</f>
        <v>38991</v>
      </c>
      <c r="S81" s="379" t="n">
        <v>0.1532</v>
      </c>
      <c r="T81" s="380" t="n">
        <f aca="false">I85-S81</f>
        <v>0.0843</v>
      </c>
      <c r="U81" s="307"/>
      <c r="V81" s="307"/>
      <c r="W81" s="307"/>
      <c r="X81" s="307"/>
      <c r="Y81" s="307"/>
      <c r="Z81" s="307"/>
      <c r="AA81" s="307"/>
      <c r="AB81" s="307"/>
      <c r="AC81" s="307"/>
      <c r="AD81" s="307"/>
      <c r="AE81" s="307"/>
      <c r="AF81" s="307"/>
      <c r="AG81" s="307"/>
      <c r="AH81" s="307"/>
      <c r="AI81" s="307"/>
      <c r="AJ81" s="307"/>
      <c r="AK81" s="307"/>
      <c r="AL81" s="307"/>
    </row>
    <row r="82" customFormat="false" ht="12.75" hidden="false" customHeight="false" outlineLevel="0" collapsed="false">
      <c r="A82" s="307"/>
      <c r="B82" s="467"/>
      <c r="C82" s="468" t="s">
        <v>7</v>
      </c>
      <c r="D82" s="469" t="n">
        <v>0.55</v>
      </c>
      <c r="E82" s="468"/>
      <c r="F82" s="475"/>
      <c r="G82" s="435"/>
      <c r="H82" s="323" t="n">
        <f aca="false">Swap!A68</f>
        <v>38899</v>
      </c>
      <c r="I82" s="428" t="n">
        <f aca="false">INDEX(IRTable,MATCH(H82,IRMonth,0),3)+K82</f>
        <v>0.2375</v>
      </c>
      <c r="J82" s="436" t="e">
        <f aca="false">xEURO(Swap!E68,Swap!E68,Opt!G68,Opt!G68,I82,Opt!J68,1,0)*2*100</f>
        <v>#NAME?</v>
      </c>
      <c r="K82" s="428"/>
      <c r="L82" s="430"/>
      <c r="M82" s="307"/>
      <c r="N82" s="92" t="n">
        <v>38687</v>
      </c>
      <c r="O82" s="92" t="n">
        <v>38681</v>
      </c>
      <c r="P82" s="307"/>
      <c r="Q82" s="378" t="n">
        <v>50.226356371185</v>
      </c>
      <c r="R82" s="277" t="n">
        <f aca="false">H86</f>
        <v>39022</v>
      </c>
      <c r="S82" s="379" t="n">
        <v>0.1529</v>
      </c>
      <c r="T82" s="380" t="n">
        <f aca="false">I86-S82</f>
        <v>0.0846</v>
      </c>
      <c r="U82" s="307"/>
      <c r="V82" s="307"/>
      <c r="W82" s="307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/>
      <c r="AJ82" s="307"/>
      <c r="AK82" s="307"/>
      <c r="AL82" s="307"/>
    </row>
    <row r="83" customFormat="false" ht="12.75" hidden="false" customHeight="false" outlineLevel="0" collapsed="false">
      <c r="A83" s="307"/>
      <c r="B83" s="467"/>
      <c r="C83" s="468"/>
      <c r="D83" s="469" t="n">
        <v>0.99</v>
      </c>
      <c r="E83" s="468"/>
      <c r="F83" s="475"/>
      <c r="G83" s="435"/>
      <c r="H83" s="323" t="n">
        <f aca="false">Swap!A69</f>
        <v>38930</v>
      </c>
      <c r="I83" s="428" t="n">
        <f aca="false">INDEX(IRTable,MATCH(H83,IRMonth,0),3)+K83</f>
        <v>0.2375</v>
      </c>
      <c r="J83" s="436" t="e">
        <f aca="false">xEURO(Swap!E69,Swap!E69,Opt!G69,Opt!G69,I83,Opt!J69,1,0)*2*100</f>
        <v>#NAME?</v>
      </c>
      <c r="K83" s="428"/>
      <c r="L83" s="430"/>
      <c r="M83" s="307"/>
      <c r="N83" s="92" t="n">
        <v>38718</v>
      </c>
      <c r="O83" s="92" t="n">
        <v>38713</v>
      </c>
      <c r="P83" s="307"/>
      <c r="Q83" s="378" t="n">
        <v>50.3461775093124</v>
      </c>
      <c r="R83" s="277" t="n">
        <f aca="false">H87</f>
        <v>39052</v>
      </c>
      <c r="S83" s="379" t="n">
        <v>0.1526</v>
      </c>
      <c r="T83" s="380" t="n">
        <f aca="false">I87-S83</f>
        <v>0.0874</v>
      </c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  <c r="AH83" s="307"/>
      <c r="AI83" s="307"/>
      <c r="AJ83" s="307"/>
      <c r="AK83" s="307"/>
      <c r="AL83" s="307"/>
    </row>
    <row r="84" customFormat="false" ht="12.75" hidden="false" customHeight="false" outlineLevel="0" collapsed="false">
      <c r="A84" s="307"/>
      <c r="B84" s="467"/>
      <c r="C84" s="468" t="s">
        <v>246</v>
      </c>
      <c r="D84" s="469" t="n">
        <v>0.974</v>
      </c>
      <c r="E84" s="468"/>
      <c r="F84" s="475"/>
      <c r="G84" s="435"/>
      <c r="H84" s="323" t="n">
        <f aca="false">Swap!A70</f>
        <v>38961</v>
      </c>
      <c r="I84" s="428" t="n">
        <f aca="false">INDEX(IRTable,MATCH(H84,IRMonth,0),3)+K84</f>
        <v>0.2375</v>
      </c>
      <c r="J84" s="436" t="e">
        <f aca="false">xEURO(Swap!E70,Swap!E70,Opt!G70,Opt!G70,I84,Opt!J70,1,0)*2*100</f>
        <v>#NAME?</v>
      </c>
      <c r="K84" s="428"/>
      <c r="L84" s="430"/>
      <c r="M84" s="307"/>
      <c r="N84" s="92" t="n">
        <v>38749</v>
      </c>
      <c r="O84" s="92" t="n">
        <v>38743</v>
      </c>
      <c r="P84" s="307"/>
      <c r="Q84" s="378" t="n">
        <v>50.3893699264878</v>
      </c>
      <c r="R84" s="277" t="n">
        <f aca="false">H88</f>
        <v>39083</v>
      </c>
      <c r="S84" s="379" t="n">
        <v>0.1523</v>
      </c>
      <c r="T84" s="380" t="n">
        <f aca="false">I88-S84</f>
        <v>0.0902</v>
      </c>
      <c r="U84" s="307"/>
      <c r="V84" s="307"/>
      <c r="W84" s="307"/>
      <c r="X84" s="307"/>
      <c r="Y84" s="307"/>
      <c r="Z84" s="307"/>
      <c r="AA84" s="307"/>
      <c r="AB84" s="307"/>
      <c r="AC84" s="307"/>
      <c r="AD84" s="307"/>
      <c r="AE84" s="307"/>
      <c r="AF84" s="307"/>
      <c r="AG84" s="307"/>
      <c r="AH84" s="307"/>
      <c r="AI84" s="307"/>
      <c r="AJ84" s="307"/>
      <c r="AK84" s="307"/>
      <c r="AL84" s="307"/>
    </row>
    <row r="85" customFormat="false" ht="12.75" hidden="false" customHeight="false" outlineLevel="0" collapsed="false">
      <c r="A85" s="307"/>
      <c r="B85" s="467"/>
      <c r="C85" s="468" t="s">
        <v>238</v>
      </c>
      <c r="D85" s="470" t="n">
        <v>36974</v>
      </c>
      <c r="E85" s="468"/>
      <c r="F85" s="475"/>
      <c r="G85" s="426"/>
      <c r="H85" s="323" t="n">
        <f aca="false">Swap!A71</f>
        <v>38991</v>
      </c>
      <c r="I85" s="428" t="n">
        <f aca="false">INDEX(IRTable,MATCH(H85,IRMonth,0),3)+K85</f>
        <v>0.2375</v>
      </c>
      <c r="J85" s="429" t="e">
        <f aca="false">xEURO(Swap!E71,Swap!E71,Opt!G71,Opt!G71,I85,Opt!J71,1,0)*2*100</f>
        <v>#NAME?</v>
      </c>
      <c r="K85" s="428"/>
      <c r="L85" s="430"/>
      <c r="M85" s="307"/>
      <c r="N85" s="92" t="n">
        <v>38777</v>
      </c>
      <c r="O85" s="92" t="n">
        <v>38771</v>
      </c>
      <c r="P85" s="307"/>
      <c r="Q85" s="378" t="n">
        <v>50.9622830965611</v>
      </c>
      <c r="R85" s="277" t="n">
        <f aca="false">H89</f>
        <v>39114</v>
      </c>
      <c r="S85" s="379" t="n">
        <v>0.152</v>
      </c>
      <c r="T85" s="380" t="n">
        <f aca="false">I89-S85</f>
        <v>0.0854999999999999</v>
      </c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  <c r="AK85" s="307"/>
      <c r="AL85" s="307"/>
    </row>
    <row r="86" customFormat="false" ht="12.75" hidden="false" customHeight="false" outlineLevel="0" collapsed="false">
      <c r="A86" s="307"/>
      <c r="B86" s="467"/>
      <c r="C86" s="468" t="s">
        <v>247</v>
      </c>
      <c r="D86" s="468" t="n">
        <v>3</v>
      </c>
      <c r="E86" s="468"/>
      <c r="F86" s="475"/>
      <c r="G86" s="435"/>
      <c r="H86" s="323" t="n">
        <f aca="false">Swap!A72</f>
        <v>39022</v>
      </c>
      <c r="I86" s="428" t="n">
        <f aca="false">INDEX(IRTable,MATCH(H86,IRMonth,0),3)+K86</f>
        <v>0.2375</v>
      </c>
      <c r="J86" s="436" t="e">
        <f aca="false">xEURO(Swap!E72,Swap!E72,Opt!G72,Opt!G72,I86,Opt!J72,1,0)*2*100</f>
        <v>#NAME?</v>
      </c>
      <c r="K86" s="428"/>
      <c r="L86" s="430"/>
      <c r="M86" s="307"/>
      <c r="N86" s="92" t="n">
        <v>38808</v>
      </c>
      <c r="O86" s="92" t="n">
        <v>38804</v>
      </c>
      <c r="P86" s="307"/>
      <c r="Q86" s="378" t="n">
        <v>53.6066036856151</v>
      </c>
      <c r="R86" s="277" t="n">
        <f aca="false">H90</f>
        <v>39142</v>
      </c>
      <c r="S86" s="379" t="n">
        <v>0.152</v>
      </c>
      <c r="T86" s="380" t="n">
        <f aca="false">I90-S86</f>
        <v>0.0805</v>
      </c>
      <c r="U86" s="307"/>
      <c r="V86" s="307"/>
      <c r="W86" s="307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/>
      <c r="AI86" s="307"/>
      <c r="AJ86" s="307"/>
      <c r="AK86" s="307"/>
      <c r="AL86" s="307"/>
    </row>
    <row r="87" customFormat="false" ht="12.75" hidden="false" customHeight="false" outlineLevel="0" collapsed="false">
      <c r="A87" s="307"/>
      <c r="B87" s="467"/>
      <c r="C87" s="468" t="s">
        <v>248</v>
      </c>
      <c r="D87" s="468" t="n">
        <v>3</v>
      </c>
      <c r="E87" s="468"/>
      <c r="F87" s="475"/>
      <c r="G87" s="435"/>
      <c r="H87" s="323" t="n">
        <f aca="false">Swap!A73</f>
        <v>39052</v>
      </c>
      <c r="I87" s="428" t="n">
        <f aca="false">INDEX(IRTable,MATCH(H87,IRMonth,0),3)+K87</f>
        <v>0.24</v>
      </c>
      <c r="J87" s="436" t="e">
        <f aca="false">xEURO(Swap!E73,Swap!E73,Opt!G73,Opt!G73,I87,Opt!J73,1,0)*2*100</f>
        <v>#NAME?</v>
      </c>
      <c r="K87" s="428"/>
      <c r="L87" s="430"/>
      <c r="M87" s="307"/>
      <c r="N87" s="92" t="n">
        <v>38838</v>
      </c>
      <c r="O87" s="92" t="n">
        <v>38832</v>
      </c>
      <c r="P87" s="307"/>
      <c r="Q87" s="378" t="n">
        <v>56.4254613539551</v>
      </c>
      <c r="R87" s="277" t="n">
        <f aca="false">H91</f>
        <v>39173</v>
      </c>
      <c r="S87" s="379" t="n">
        <v>0.152</v>
      </c>
      <c r="T87" s="380" t="n">
        <f aca="false">I91-S87</f>
        <v>0.0805</v>
      </c>
      <c r="U87" s="307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</row>
    <row r="88" customFormat="false" ht="12.75" hidden="false" customHeight="false" outlineLevel="0" collapsed="false">
      <c r="A88" s="307"/>
      <c r="B88" s="467"/>
      <c r="C88" s="468"/>
      <c r="D88" s="468"/>
      <c r="E88" s="468"/>
      <c r="F88" s="475"/>
      <c r="G88" s="435"/>
      <c r="H88" s="323" t="n">
        <f aca="false">Swap!A74</f>
        <v>39083</v>
      </c>
      <c r="I88" s="428" t="n">
        <f aca="false">INDEX(IRTable,MATCH(H88,IRMonth,0),3)+K88</f>
        <v>0.2425</v>
      </c>
      <c r="J88" s="436" t="e">
        <f aca="false">xEURO(Swap!E74,Swap!E74,Opt!G74,Opt!G74,I88,Opt!J74,1,0)*2*100</f>
        <v>#NAME?</v>
      </c>
      <c r="K88" s="428"/>
      <c r="L88" s="430"/>
      <c r="M88" s="307"/>
      <c r="N88" s="92" t="n">
        <v>38869</v>
      </c>
      <c r="O88" s="92" t="n">
        <v>38862</v>
      </c>
      <c r="P88" s="307"/>
      <c r="Q88" s="378" t="n">
        <v>57.6060094707511</v>
      </c>
      <c r="R88" s="277" t="n">
        <f aca="false">H92</f>
        <v>39203</v>
      </c>
      <c r="S88" s="379" t="n">
        <v>0.152</v>
      </c>
      <c r="T88" s="380" t="n">
        <f aca="false">I92-S88</f>
        <v>0.0805</v>
      </c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</row>
    <row r="89" customFormat="false" ht="12.75" hidden="false" customHeight="false" outlineLevel="0" collapsed="false">
      <c r="A89" s="307"/>
      <c r="B89" s="467"/>
      <c r="C89" s="468" t="s">
        <v>249</v>
      </c>
      <c r="D89" s="469" t="n">
        <v>6.18</v>
      </c>
      <c r="E89" s="468"/>
      <c r="F89" s="475"/>
      <c r="G89" s="435"/>
      <c r="H89" s="323" t="n">
        <f aca="false">Swap!A75</f>
        <v>39114</v>
      </c>
      <c r="I89" s="428" t="n">
        <f aca="false">INDEX(IRTable,MATCH(H89,IRMonth,0),3)+K89</f>
        <v>0.2375</v>
      </c>
      <c r="J89" s="436" t="e">
        <f aca="false">xEURO(Swap!E75,Swap!E75,Opt!G75,Opt!G75,I89,Opt!J75,1,0)*2*100</f>
        <v>#NAME?</v>
      </c>
      <c r="K89" s="428"/>
      <c r="L89" s="430"/>
      <c r="M89" s="307"/>
      <c r="N89" s="92" t="n">
        <v>38899</v>
      </c>
      <c r="O89" s="92" t="n">
        <v>38895</v>
      </c>
      <c r="P89" s="307"/>
      <c r="Q89" s="378" t="n">
        <v>55.4536805210788</v>
      </c>
      <c r="R89" s="277" t="n">
        <f aca="false">H93</f>
        <v>39234</v>
      </c>
      <c r="S89" s="379" t="n">
        <v>0.152</v>
      </c>
      <c r="T89" s="380" t="n">
        <f aca="false">I93-S89</f>
        <v>0.0805</v>
      </c>
      <c r="U89" s="307"/>
      <c r="V89" s="307"/>
      <c r="W89" s="307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  <c r="AK89" s="307"/>
      <c r="AL89" s="307"/>
    </row>
    <row r="90" customFormat="false" ht="12.75" hidden="false" customHeight="false" outlineLevel="0" collapsed="false">
      <c r="A90" s="307"/>
      <c r="B90" s="467"/>
      <c r="C90" s="468"/>
      <c r="D90" s="468"/>
      <c r="E90" s="468"/>
      <c r="F90" s="475"/>
      <c r="G90" s="435" t="n">
        <f aca="false">AVERAGE(I84:I95)</f>
        <v>0.235625</v>
      </c>
      <c r="H90" s="323" t="n">
        <f aca="false">Swap!A76</f>
        <v>39142</v>
      </c>
      <c r="I90" s="428" t="n">
        <f aca="false">INDEX(IRTable,MATCH(H90,IRMonth,0),3)+K90</f>
        <v>0.2325</v>
      </c>
      <c r="J90" s="436" t="e">
        <f aca="false">xEURO(Swap!E76,Swap!E76,Opt!G76,Opt!G76,I90,Opt!J76,1,0)*2*100</f>
        <v>#NAME?</v>
      </c>
      <c r="K90" s="428"/>
      <c r="L90" s="430"/>
      <c r="M90" s="307"/>
      <c r="N90" s="92" t="n">
        <v>38930</v>
      </c>
      <c r="O90" s="92" t="n">
        <v>38924</v>
      </c>
      <c r="P90" s="307"/>
      <c r="Q90" s="378" t="n">
        <v>53.1592093893206</v>
      </c>
      <c r="R90" s="277" t="n">
        <f aca="false">H94</f>
        <v>39264</v>
      </c>
      <c r="S90" s="379" t="n">
        <v>0.151</v>
      </c>
      <c r="T90" s="380" t="n">
        <f aca="false">I94-S90</f>
        <v>0.0815</v>
      </c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307"/>
      <c r="AL90" s="307"/>
    </row>
    <row r="91" customFormat="false" ht="12.75" hidden="false" customHeight="false" outlineLevel="0" collapsed="false">
      <c r="A91" s="307"/>
      <c r="B91" s="467"/>
      <c r="C91" s="468" t="s">
        <v>250</v>
      </c>
      <c r="D91" s="469" t="e">
        <f aca="false">xEURO(D81,D89,0,0,D82,D85-Today,0,0)*D84/D83</f>
        <v>#NAME?</v>
      </c>
      <c r="E91" s="469" t="e">
        <f aca="false">D80-D89-D91</f>
        <v>#NAME?</v>
      </c>
      <c r="F91" s="475"/>
      <c r="G91" s="435"/>
      <c r="H91" s="323" t="n">
        <f aca="false">Swap!A77</f>
        <v>39173</v>
      </c>
      <c r="I91" s="428" t="n">
        <f aca="false">INDEX(IRTable,MATCH(H91,IRMonth,0),3)+K91</f>
        <v>0.2325</v>
      </c>
      <c r="J91" s="436" t="e">
        <f aca="false">xEURO(Swap!E77,Swap!E77,Opt!G77,Opt!G77,I91,Opt!J77,1,0)*2*100</f>
        <v>#NAME?</v>
      </c>
      <c r="K91" s="428"/>
      <c r="L91" s="430"/>
      <c r="M91" s="307"/>
      <c r="N91" s="92" t="n">
        <v>38961</v>
      </c>
      <c r="O91" s="92" t="n">
        <v>38957</v>
      </c>
      <c r="P91" s="307"/>
      <c r="Q91" s="378" t="n">
        <v>50.9466330150328</v>
      </c>
      <c r="R91" s="277" t="n">
        <f aca="false">H95</f>
        <v>39295</v>
      </c>
      <c r="S91" s="379" t="n">
        <v>0.15</v>
      </c>
      <c r="T91" s="380" t="n">
        <f aca="false">I95-S91</f>
        <v>0.0825</v>
      </c>
      <c r="U91" s="307"/>
      <c r="V91" s="307"/>
      <c r="W91" s="307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  <c r="AK91" s="307"/>
      <c r="AL91" s="307"/>
    </row>
    <row r="92" customFormat="false" ht="13.5" hidden="false" customHeight="false" outlineLevel="0" collapsed="false">
      <c r="A92" s="307"/>
      <c r="B92" s="471"/>
      <c r="C92" s="472" t="s">
        <v>251</v>
      </c>
      <c r="D92" s="473" t="e">
        <f aca="false">xEURO(D81,D89,0,0,D82,D85-Today,1,0)*D84/D83</f>
        <v>#NAME?</v>
      </c>
      <c r="E92" s="473" t="e">
        <f aca="false">D89-D80-D92</f>
        <v>#NAME?</v>
      </c>
      <c r="F92" s="476"/>
      <c r="G92" s="426"/>
      <c r="H92" s="323" t="n">
        <f aca="false">Swap!A78</f>
        <v>39203</v>
      </c>
      <c r="I92" s="428" t="n">
        <f aca="false">INDEX(IRTable,MATCH(H92,IRMonth,0),3)+K92</f>
        <v>0.2325</v>
      </c>
      <c r="J92" s="429" t="e">
        <f aca="false">xEURO(Swap!E78,Swap!E78,Opt!G78,Opt!G78,I92,Opt!J78,1,0)*2*100</f>
        <v>#NAME?</v>
      </c>
      <c r="K92" s="428"/>
      <c r="L92" s="430"/>
      <c r="M92" s="307"/>
      <c r="N92" s="92" t="n">
        <v>38991</v>
      </c>
      <c r="O92" s="92" t="n">
        <v>38986</v>
      </c>
      <c r="P92" s="307"/>
      <c r="Q92" s="378" t="n">
        <v>50.5164884913463</v>
      </c>
      <c r="R92" s="277" t="n">
        <f aca="false">H96</f>
        <v>39326</v>
      </c>
      <c r="S92" s="379" t="n">
        <v>0.15</v>
      </c>
      <c r="T92" s="380" t="n">
        <f aca="false">I96-S92</f>
        <v>0.0825</v>
      </c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  <c r="AK92" s="307"/>
      <c r="AL92" s="307"/>
    </row>
    <row r="93" customFormat="false" ht="12.75" hidden="false" customHeight="false" outlineLevel="0" collapsed="false">
      <c r="A93" s="307"/>
      <c r="B93" s="307"/>
      <c r="C93" s="307"/>
      <c r="D93" s="307"/>
      <c r="E93" s="307"/>
      <c r="F93" s="307"/>
      <c r="G93" s="435"/>
      <c r="H93" s="323" t="n">
        <f aca="false">Swap!A79</f>
        <v>39234</v>
      </c>
      <c r="I93" s="428" t="n">
        <f aca="false">INDEX(IRTable,MATCH(H93,IRMonth,0),3)+K93</f>
        <v>0.2325</v>
      </c>
      <c r="J93" s="436" t="e">
        <f aca="false">xEURO(Swap!E79,Swap!E79,Opt!G79,Opt!G79,I93,Opt!J79,1,0)*2*100</f>
        <v>#NAME?</v>
      </c>
      <c r="K93" s="428"/>
      <c r="L93" s="430"/>
      <c r="M93" s="307"/>
      <c r="N93" s="92" t="n">
        <v>39022</v>
      </c>
      <c r="O93" s="92" t="n">
        <v>39016</v>
      </c>
      <c r="P93" s="307"/>
      <c r="Q93" s="378" t="n">
        <v>50.6693741127544</v>
      </c>
      <c r="R93" s="277" t="n">
        <f aca="false">H97</f>
        <v>39356</v>
      </c>
      <c r="S93" s="379" t="n">
        <v>0.15</v>
      </c>
      <c r="T93" s="380" t="n">
        <f aca="false">I97-S93</f>
        <v>0.0825</v>
      </c>
      <c r="U93" s="307"/>
      <c r="V93" s="307"/>
      <c r="W93" s="307"/>
      <c r="X93" s="307"/>
      <c r="Y93" s="307"/>
      <c r="Z93" s="307"/>
      <c r="AA93" s="307"/>
      <c r="AB93" s="307"/>
      <c r="AC93" s="307"/>
      <c r="AD93" s="307"/>
      <c r="AE93" s="307"/>
      <c r="AF93" s="307"/>
      <c r="AG93" s="307"/>
      <c r="AH93" s="307"/>
      <c r="AI93" s="307"/>
      <c r="AJ93" s="307"/>
      <c r="AK93" s="307"/>
      <c r="AL93" s="307"/>
    </row>
    <row r="94" customFormat="false" ht="12.75" hidden="false" customHeight="false" outlineLevel="0" collapsed="false">
      <c r="A94" s="307"/>
      <c r="B94" s="307"/>
      <c r="C94" s="307"/>
      <c r="D94" s="307"/>
      <c r="E94" s="307"/>
      <c r="F94" s="307"/>
      <c r="G94" s="435"/>
      <c r="H94" s="323" t="n">
        <f aca="false">Swap!A80</f>
        <v>39264</v>
      </c>
      <c r="I94" s="428" t="n">
        <f aca="false">INDEX(IRTable,MATCH(H94,IRMonth,0),3)+K94</f>
        <v>0.2325</v>
      </c>
      <c r="J94" s="436" t="e">
        <f aca="false">xEURO(Swap!E80,Swap!E80,Opt!G80,Opt!G80,I94,Opt!J80,1,0)*2*100</f>
        <v>#NAME?</v>
      </c>
      <c r="K94" s="428"/>
      <c r="L94" s="430"/>
      <c r="M94" s="307"/>
      <c r="N94" s="92" t="n">
        <v>39052</v>
      </c>
      <c r="O94" s="92" t="n">
        <v>39048</v>
      </c>
      <c r="P94" s="307"/>
      <c r="Q94" s="378" t="n">
        <v>50.8027567479426</v>
      </c>
      <c r="R94" s="277" t="n">
        <f aca="false">H98</f>
        <v>39387</v>
      </c>
      <c r="S94" s="379" t="n">
        <v>0.15</v>
      </c>
      <c r="T94" s="380" t="n">
        <f aca="false">I98-S94</f>
        <v>0.0825</v>
      </c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  <c r="AK94" s="307"/>
      <c r="AL94" s="307"/>
    </row>
    <row r="95" customFormat="false" ht="12.75" hidden="false" customHeight="false" outlineLevel="0" collapsed="false">
      <c r="A95" s="307"/>
      <c r="B95" s="307"/>
      <c r="C95" s="307"/>
      <c r="D95" s="307"/>
      <c r="E95" s="307"/>
      <c r="F95" s="307"/>
      <c r="G95" s="435"/>
      <c r="H95" s="323" t="n">
        <f aca="false">Swap!A81</f>
        <v>39295</v>
      </c>
      <c r="I95" s="428" t="n">
        <f aca="false">INDEX(IRTable,MATCH(H95,IRMonth,0),3)+K95</f>
        <v>0.2325</v>
      </c>
      <c r="J95" s="436" t="e">
        <f aca="false">xEURO(Swap!E81,Swap!E81,Opt!G81,Opt!G81,I95,Opt!J81,1,0)*2*100</f>
        <v>#NAME?</v>
      </c>
      <c r="K95" s="428"/>
      <c r="L95" s="430"/>
      <c r="M95" s="307"/>
      <c r="N95" s="92" t="n">
        <v>39083</v>
      </c>
      <c r="O95" s="92" t="n">
        <v>39077</v>
      </c>
      <c r="P95" s="307"/>
      <c r="Q95" s="378" t="n">
        <v>50.9645494994935</v>
      </c>
      <c r="R95" s="277" t="n">
        <f aca="false">H99</f>
        <v>39417</v>
      </c>
      <c r="S95" s="379" t="n">
        <v>0.15</v>
      </c>
      <c r="T95" s="380" t="n">
        <f aca="false">I99-S95</f>
        <v>0.0825</v>
      </c>
      <c r="U95" s="307"/>
      <c r="V95" s="307"/>
      <c r="W95" s="307"/>
      <c r="X95" s="307"/>
      <c r="Y95" s="307"/>
      <c r="Z95" s="307"/>
      <c r="AA95" s="307"/>
      <c r="AB95" s="307"/>
      <c r="AC95" s="307"/>
      <c r="AD95" s="307"/>
      <c r="AE95" s="307"/>
      <c r="AF95" s="307"/>
      <c r="AG95" s="307"/>
      <c r="AH95" s="307"/>
      <c r="AI95" s="307"/>
      <c r="AJ95" s="307"/>
      <c r="AK95" s="307"/>
      <c r="AL95" s="307"/>
    </row>
    <row r="96" customFormat="false" ht="12.75" hidden="false" customHeight="false" outlineLevel="0" collapsed="false">
      <c r="A96" s="307"/>
      <c r="B96" s="307"/>
      <c r="C96" s="307"/>
      <c r="D96" s="307"/>
      <c r="E96" s="307"/>
      <c r="F96" s="307"/>
      <c r="G96" s="435"/>
      <c r="H96" s="323" t="n">
        <f aca="false">Swap!A82</f>
        <v>39326</v>
      </c>
      <c r="I96" s="428" t="n">
        <f aca="false">INDEX(IRTable,MATCH(H96,IRMonth,0),3)+K96</f>
        <v>0.2325</v>
      </c>
      <c r="J96" s="436" t="e">
        <f aca="false">xEURO(Swap!E82,Swap!E82,Opt!G82,Opt!G82,I96,Opt!J82,1,0)*2*100</f>
        <v>#NAME?</v>
      </c>
      <c r="K96" s="428"/>
      <c r="L96" s="430"/>
      <c r="M96" s="307"/>
      <c r="N96" s="92" t="n">
        <v>39114</v>
      </c>
      <c r="O96" s="92" t="n">
        <v>39108</v>
      </c>
      <c r="P96" s="307"/>
      <c r="Q96" s="378" t="n">
        <v>51.049907278707</v>
      </c>
      <c r="R96" s="277" t="n">
        <f aca="false">H100</f>
        <v>39448</v>
      </c>
      <c r="S96" s="379" t="n">
        <v>0.15</v>
      </c>
      <c r="T96" s="380" t="n">
        <f aca="false">I100-S96</f>
        <v>0.0825</v>
      </c>
      <c r="U96" s="307"/>
      <c r="V96" s="307"/>
      <c r="W96" s="307"/>
      <c r="X96" s="307"/>
      <c r="Y96" s="307"/>
      <c r="Z96" s="307"/>
      <c r="AA96" s="307"/>
      <c r="AB96" s="307"/>
      <c r="AC96" s="307"/>
      <c r="AD96" s="307"/>
      <c r="AE96" s="307"/>
      <c r="AF96" s="307"/>
      <c r="AG96" s="307"/>
      <c r="AH96" s="307"/>
      <c r="AI96" s="307"/>
      <c r="AJ96" s="307"/>
      <c r="AK96" s="307"/>
      <c r="AL96" s="307"/>
    </row>
    <row r="97" customFormat="false" ht="12.75" hidden="false" customHeight="false" outlineLevel="0" collapsed="false">
      <c r="A97" s="307"/>
      <c r="B97" s="307"/>
      <c r="C97" s="307"/>
      <c r="D97" s="307"/>
      <c r="E97" s="307"/>
      <c r="F97" s="307"/>
      <c r="G97" s="426"/>
      <c r="H97" s="323" t="n">
        <f aca="false">Swap!A83</f>
        <v>39356</v>
      </c>
      <c r="I97" s="428" t="n">
        <f aca="false">INDEX(IRTable,MATCH(H97,IRMonth,0),3)+K97</f>
        <v>0.2325</v>
      </c>
      <c r="J97" s="429" t="e">
        <f aca="false">xEURO(Swap!E83,Swap!E83,Opt!G83,Opt!G83,I97,Opt!J83,1,0)*2*100</f>
        <v>#NAME?</v>
      </c>
      <c r="K97" s="428"/>
      <c r="L97" s="430"/>
      <c r="M97" s="307"/>
      <c r="N97" s="92" t="n">
        <v>39142</v>
      </c>
      <c r="O97" s="92" t="n">
        <v>39136</v>
      </c>
      <c r="P97" s="307"/>
      <c r="Q97" s="378" t="n">
        <v>51.6576179579388</v>
      </c>
      <c r="R97" s="277" t="n">
        <f aca="false">H101</f>
        <v>39479</v>
      </c>
      <c r="S97" s="379" t="n">
        <v>0.15</v>
      </c>
      <c r="T97" s="380" t="n">
        <f aca="false">I101-S97</f>
        <v>0.0825</v>
      </c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7"/>
      <c r="AF97" s="307"/>
      <c r="AG97" s="307"/>
      <c r="AH97" s="307"/>
      <c r="AI97" s="307"/>
      <c r="AJ97" s="307"/>
      <c r="AK97" s="307"/>
      <c r="AL97" s="307"/>
    </row>
    <row r="98" customFormat="false" ht="12.75" hidden="false" customHeight="false" outlineLevel="0" collapsed="false">
      <c r="A98" s="307"/>
      <c r="B98" s="307"/>
      <c r="C98" s="307"/>
      <c r="D98" s="307"/>
      <c r="E98" s="307"/>
      <c r="F98" s="307"/>
      <c r="G98" s="435"/>
      <c r="H98" s="323" t="n">
        <f aca="false">Swap!A84</f>
        <v>39387</v>
      </c>
      <c r="I98" s="428" t="n">
        <f aca="false">INDEX(IRTable,MATCH(H98,IRMonth,0),3)+K98</f>
        <v>0.2325</v>
      </c>
      <c r="J98" s="436" t="e">
        <f aca="false">xEURO(Swap!E84,Swap!E84,Opt!G84,Opt!G84,I98,Opt!J84,1,0)*2*100</f>
        <v>#NAME?</v>
      </c>
      <c r="K98" s="428"/>
      <c r="L98" s="430"/>
      <c r="M98" s="307"/>
      <c r="N98" s="92" t="n">
        <v>39173</v>
      </c>
      <c r="O98" s="92" t="n">
        <v>39168</v>
      </c>
      <c r="P98" s="307"/>
      <c r="Q98" s="378" t="n">
        <v>54.2274372972416</v>
      </c>
      <c r="R98" s="277" t="n">
        <f aca="false">H102</f>
        <v>39508</v>
      </c>
      <c r="S98" s="379" t="n">
        <v>0.15</v>
      </c>
      <c r="T98" s="380"/>
      <c r="U98" s="307"/>
      <c r="V98" s="307"/>
      <c r="W98" s="307"/>
      <c r="X98" s="307"/>
      <c r="Y98" s="307"/>
      <c r="Z98" s="307"/>
      <c r="AA98" s="307"/>
      <c r="AB98" s="307"/>
      <c r="AC98" s="307"/>
      <c r="AD98" s="307"/>
      <c r="AE98" s="307"/>
      <c r="AF98" s="307"/>
      <c r="AG98" s="307"/>
      <c r="AH98" s="307"/>
      <c r="AI98" s="307"/>
      <c r="AJ98" s="307"/>
      <c r="AK98" s="307"/>
      <c r="AL98" s="307"/>
    </row>
    <row r="99" customFormat="false" ht="12.75" hidden="false" customHeight="false" outlineLevel="0" collapsed="false">
      <c r="A99" s="307"/>
      <c r="B99" s="307"/>
      <c r="C99" s="307"/>
      <c r="D99" s="307"/>
      <c r="E99" s="307"/>
      <c r="F99" s="307"/>
      <c r="G99" s="435"/>
      <c r="H99" s="323" t="n">
        <f aca="false">Swap!A85</f>
        <v>39417</v>
      </c>
      <c r="I99" s="428" t="n">
        <f aca="false">INDEX(IRTable,MATCH(H99,IRMonth,0),3)+K99</f>
        <v>0.2325</v>
      </c>
      <c r="J99" s="436" t="e">
        <f aca="false">xEURO(Swap!E85,Swap!E85,Opt!G85,Opt!G85,I99,Opt!J85,1,0)*2*100</f>
        <v>#NAME?</v>
      </c>
      <c r="K99" s="428"/>
      <c r="L99" s="430"/>
      <c r="M99" s="307"/>
      <c r="N99" s="92" t="n">
        <v>39203</v>
      </c>
      <c r="O99" s="92" t="n">
        <v>39197</v>
      </c>
      <c r="P99" s="307"/>
      <c r="Q99" s="378" t="n">
        <v>56.9666009688313</v>
      </c>
      <c r="R99" s="277" t="n">
        <f aca="false">H103</f>
        <v>39539</v>
      </c>
      <c r="S99" s="379" t="n">
        <v>0.15</v>
      </c>
      <c r="T99" s="380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7"/>
      <c r="AF99" s="307"/>
      <c r="AG99" s="307"/>
      <c r="AH99" s="307"/>
      <c r="AI99" s="307"/>
      <c r="AJ99" s="307"/>
      <c r="AK99" s="307"/>
      <c r="AL99" s="307"/>
    </row>
    <row r="100" customFormat="false" ht="12.75" hidden="false" customHeight="false" outlineLevel="0" collapsed="false">
      <c r="A100" s="307"/>
      <c r="B100" s="307"/>
      <c r="C100" s="307"/>
      <c r="D100" s="307"/>
      <c r="E100" s="307"/>
      <c r="F100" s="307"/>
      <c r="G100" s="435"/>
      <c r="H100" s="323" t="n">
        <f aca="false">Swap!A86</f>
        <v>39448</v>
      </c>
      <c r="I100" s="428" t="n">
        <f aca="false">INDEX(IRTable,MATCH(H100,IRMonth,0),3)+K100</f>
        <v>0.2325</v>
      </c>
      <c r="J100" s="436" t="e">
        <f aca="false">xEURO(Swap!E86,Swap!E86,Opt!G86,Opt!G86,I100,Opt!J86,1,0)*2*100</f>
        <v>#NAME?</v>
      </c>
      <c r="K100" s="428"/>
      <c r="L100" s="430"/>
      <c r="M100" s="307"/>
      <c r="N100" s="92" t="n">
        <v>39234</v>
      </c>
      <c r="O100" s="92" t="n">
        <v>39227</v>
      </c>
      <c r="P100" s="307"/>
      <c r="Q100" s="378"/>
      <c r="R100" s="277" t="n">
        <f aca="false">H104</f>
        <v>39569</v>
      </c>
      <c r="S100" s="379" t="n">
        <v>0.15</v>
      </c>
      <c r="T100" s="380"/>
      <c r="U100" s="307"/>
      <c r="V100" s="307"/>
      <c r="W100" s="307"/>
      <c r="X100" s="307"/>
      <c r="Y100" s="307"/>
      <c r="Z100" s="307"/>
      <c r="AA100" s="307"/>
      <c r="AB100" s="307"/>
      <c r="AC100" s="307"/>
      <c r="AD100" s="307"/>
      <c r="AE100" s="307"/>
      <c r="AF100" s="307"/>
      <c r="AG100" s="307"/>
      <c r="AH100" s="307"/>
      <c r="AI100" s="307"/>
      <c r="AJ100" s="307"/>
      <c r="AK100" s="307"/>
      <c r="AL100" s="307"/>
    </row>
    <row r="101" customFormat="false" ht="12.75" hidden="false" customHeight="false" outlineLevel="0" collapsed="false">
      <c r="A101" s="307"/>
      <c r="B101" s="307"/>
      <c r="C101" s="307"/>
      <c r="D101" s="307"/>
      <c r="E101" s="307"/>
      <c r="F101" s="307"/>
      <c r="G101" s="435"/>
      <c r="H101" s="323" t="n">
        <f aca="false">Swap!A87</f>
        <v>39479</v>
      </c>
      <c r="I101" s="428" t="n">
        <f aca="false">INDEX(IRTable,MATCH(H101,IRMonth,0),3)+K101</f>
        <v>0.2325</v>
      </c>
      <c r="J101" s="436" t="e">
        <f aca="false">xEURO(Swap!E87,Swap!E87,Opt!G87,Opt!G87,I101,Opt!J87,1,0)*2*100</f>
        <v>#NAME?</v>
      </c>
      <c r="K101" s="428"/>
      <c r="L101" s="430"/>
      <c r="M101" s="307"/>
      <c r="N101" s="92" t="n">
        <v>39264</v>
      </c>
      <c r="O101" s="92" t="n">
        <v>39259</v>
      </c>
      <c r="P101" s="307"/>
      <c r="Q101" s="378"/>
      <c r="R101" s="277" t="n">
        <f aca="false">H105</f>
        <v>39600</v>
      </c>
      <c r="S101" s="379" t="n">
        <v>0.15</v>
      </c>
      <c r="T101" s="380"/>
      <c r="U101" s="307"/>
      <c r="V101" s="307"/>
      <c r="W101" s="307"/>
      <c r="X101" s="307"/>
      <c r="Y101" s="307"/>
      <c r="Z101" s="307"/>
      <c r="AA101" s="307"/>
      <c r="AB101" s="307"/>
      <c r="AC101" s="307"/>
      <c r="AD101" s="307"/>
      <c r="AE101" s="307"/>
      <c r="AF101" s="307"/>
      <c r="AG101" s="307"/>
      <c r="AH101" s="307"/>
      <c r="AI101" s="307"/>
      <c r="AJ101" s="307"/>
      <c r="AK101" s="307"/>
      <c r="AL101" s="307"/>
    </row>
    <row r="102" customFormat="false" ht="12.75" hidden="false" customHeight="false" outlineLevel="0" collapsed="false">
      <c r="A102" s="307"/>
      <c r="B102" s="307"/>
      <c r="C102" s="307"/>
      <c r="D102" s="307"/>
      <c r="E102" s="307"/>
      <c r="F102" s="307"/>
      <c r="G102" s="435"/>
      <c r="H102" s="323" t="n">
        <f aca="false">Swap!A88</f>
        <v>39508</v>
      </c>
      <c r="I102" s="428" t="n">
        <f aca="false">INDEX(IRTable,MATCH(H102,IRMonth,0),3)+K102</f>
        <v>0.2225</v>
      </c>
      <c r="J102" s="436" t="e">
        <f aca="false">xEURO(Swap!E88,Swap!E88,Opt!G88,Opt!G88,I102,Opt!J88,1,0)*2*100</f>
        <v>#NAME?</v>
      </c>
      <c r="K102" s="428"/>
      <c r="L102" s="430"/>
      <c r="M102" s="307"/>
      <c r="N102" s="92" t="n">
        <v>39295</v>
      </c>
      <c r="O102" s="92" t="n">
        <v>39289</v>
      </c>
      <c r="P102" s="307"/>
      <c r="Q102" s="378"/>
      <c r="R102" s="277" t="n">
        <f aca="false">H106</f>
        <v>39630</v>
      </c>
      <c r="S102" s="379" t="n">
        <v>0.15</v>
      </c>
      <c r="T102" s="380"/>
      <c r="U102" s="307"/>
      <c r="V102" s="307"/>
      <c r="W102" s="307"/>
      <c r="X102" s="307"/>
      <c r="Y102" s="307"/>
      <c r="Z102" s="307"/>
      <c r="AA102" s="307"/>
      <c r="AB102" s="307"/>
      <c r="AC102" s="307"/>
      <c r="AD102" s="307"/>
      <c r="AE102" s="307"/>
      <c r="AF102" s="307"/>
      <c r="AG102" s="307"/>
      <c r="AH102" s="307"/>
      <c r="AI102" s="307"/>
      <c r="AJ102" s="307"/>
      <c r="AK102" s="307"/>
      <c r="AL102" s="307"/>
    </row>
    <row r="103" customFormat="false" ht="12.75" hidden="false" customHeight="false" outlineLevel="0" collapsed="false">
      <c r="A103" s="307"/>
      <c r="B103" s="307"/>
      <c r="C103" s="307"/>
      <c r="D103" s="307"/>
      <c r="E103" s="307"/>
      <c r="F103" s="307"/>
      <c r="G103" s="435"/>
      <c r="H103" s="323" t="n">
        <f aca="false">Swap!A89</f>
        <v>39539</v>
      </c>
      <c r="I103" s="428" t="n">
        <f aca="false">INDEX(IRTable,MATCH(H103,IRMonth,0),3)+K103</f>
        <v>0.2225</v>
      </c>
      <c r="J103" s="436" t="e">
        <f aca="false">xEURO(Swap!E89,Swap!E89,Opt!G89,Opt!G89,I103,Opt!J89,1,0)*2*100</f>
        <v>#NAME?</v>
      </c>
      <c r="K103" s="428"/>
      <c r="L103" s="430"/>
      <c r="M103" s="307"/>
      <c r="N103" s="92" t="n">
        <v>39326</v>
      </c>
      <c r="O103" s="92" t="n">
        <v>39322</v>
      </c>
      <c r="P103" s="307"/>
      <c r="Q103" s="378"/>
      <c r="R103" s="277" t="n">
        <f aca="false">H107</f>
        <v>39661</v>
      </c>
      <c r="S103" s="379" t="n">
        <v>0.15</v>
      </c>
      <c r="T103" s="380"/>
      <c r="U103" s="307"/>
      <c r="V103" s="307"/>
      <c r="W103" s="307"/>
      <c r="X103" s="307"/>
      <c r="Y103" s="307"/>
      <c r="Z103" s="307"/>
      <c r="AA103" s="307"/>
      <c r="AB103" s="307"/>
      <c r="AC103" s="307"/>
      <c r="AD103" s="307"/>
      <c r="AE103" s="307"/>
      <c r="AF103" s="307"/>
      <c r="AG103" s="307"/>
      <c r="AH103" s="307"/>
      <c r="AI103" s="307"/>
      <c r="AJ103" s="307"/>
      <c r="AK103" s="307"/>
      <c r="AL103" s="307"/>
    </row>
    <row r="104" customFormat="false" ht="12.75" hidden="false" customHeight="false" outlineLevel="0" collapsed="false">
      <c r="A104" s="307"/>
      <c r="B104" s="307"/>
      <c r="C104" s="307"/>
      <c r="D104" s="307"/>
      <c r="E104" s="307"/>
      <c r="F104" s="307"/>
      <c r="G104" s="426"/>
      <c r="H104" s="323" t="n">
        <f aca="false">Swap!A90</f>
        <v>39569</v>
      </c>
      <c r="I104" s="428" t="n">
        <f aca="false">INDEX(IRTable,MATCH(H104,IRMonth,0),3)+K104</f>
        <v>0.2225</v>
      </c>
      <c r="J104" s="429" t="e">
        <f aca="false">xEURO(Swap!E90,Swap!E90,Opt!G90,Opt!G90,I104,Opt!J90,1,0)*2*100</f>
        <v>#NAME?</v>
      </c>
      <c r="K104" s="428"/>
      <c r="L104" s="430"/>
      <c r="M104" s="307"/>
      <c r="N104" s="92" t="n">
        <v>39356</v>
      </c>
      <c r="O104" s="92" t="n">
        <v>39350</v>
      </c>
      <c r="P104" s="307"/>
      <c r="Q104" s="74"/>
      <c r="R104" s="277" t="n">
        <f aca="false">H108</f>
        <v>39692</v>
      </c>
      <c r="S104" s="379" t="n">
        <v>0.15</v>
      </c>
      <c r="T104" s="380"/>
      <c r="U104" s="307"/>
      <c r="V104" s="307"/>
      <c r="W104" s="307"/>
      <c r="X104" s="307"/>
      <c r="Y104" s="307"/>
      <c r="Z104" s="307"/>
      <c r="AA104" s="307"/>
      <c r="AB104" s="307"/>
      <c r="AC104" s="307"/>
      <c r="AD104" s="307"/>
      <c r="AE104" s="307"/>
      <c r="AF104" s="307"/>
      <c r="AG104" s="307"/>
      <c r="AH104" s="307"/>
      <c r="AI104" s="307"/>
      <c r="AJ104" s="307"/>
      <c r="AK104" s="307"/>
      <c r="AL104" s="307"/>
    </row>
    <row r="105" customFormat="false" ht="12.75" hidden="false" customHeight="false" outlineLevel="0" collapsed="false">
      <c r="A105" s="307"/>
      <c r="B105" s="307"/>
      <c r="C105" s="307"/>
      <c r="D105" s="307"/>
      <c r="E105" s="307"/>
      <c r="F105" s="307"/>
      <c r="G105" s="435"/>
      <c r="H105" s="323" t="n">
        <f aca="false">Swap!A91</f>
        <v>39600</v>
      </c>
      <c r="I105" s="428" t="n">
        <f aca="false">INDEX(IRTable,MATCH(H105,IRMonth,0),3)+K105</f>
        <v>0.2225</v>
      </c>
      <c r="J105" s="436" t="e">
        <f aca="false">xEURO(Swap!E91,Swap!E91,Opt!G91,Opt!G91,I105,Opt!J91,1,0)*2*100</f>
        <v>#NAME?</v>
      </c>
      <c r="K105" s="428"/>
      <c r="L105" s="430"/>
      <c r="M105" s="307"/>
      <c r="N105" s="92" t="n">
        <v>39387</v>
      </c>
      <c r="O105" s="92" t="n">
        <v>39381</v>
      </c>
      <c r="P105" s="307"/>
      <c r="Q105" s="74"/>
      <c r="R105" s="277" t="n">
        <f aca="false">H109</f>
        <v>39722</v>
      </c>
      <c r="S105" s="379" t="n">
        <v>0.15</v>
      </c>
      <c r="T105" s="380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</row>
    <row r="106" customFormat="false" ht="12.75" hidden="false" customHeight="false" outlineLevel="0" collapsed="false">
      <c r="A106" s="307"/>
      <c r="B106" s="307"/>
      <c r="C106" s="307"/>
      <c r="D106" s="307"/>
      <c r="E106" s="307"/>
      <c r="F106" s="307"/>
      <c r="G106" s="435"/>
      <c r="H106" s="323" t="n">
        <f aca="false">Swap!A92</f>
        <v>39630</v>
      </c>
      <c r="I106" s="428" t="n">
        <f aca="false">INDEX(IRTable,MATCH(H106,IRMonth,0),3)+K106</f>
        <v>0.22</v>
      </c>
      <c r="J106" s="436" t="e">
        <f aca="false">xEURO(Swap!E92,Swap!E92,Opt!G92,Opt!G92,I106,Opt!J92,1,0)*2*100</f>
        <v>#NAME?</v>
      </c>
      <c r="K106" s="428"/>
      <c r="L106" s="430"/>
      <c r="M106" s="307"/>
      <c r="N106" s="92" t="n">
        <v>39417</v>
      </c>
      <c r="O106" s="92" t="n">
        <v>39413</v>
      </c>
      <c r="P106" s="307"/>
      <c r="Q106" s="74"/>
      <c r="R106" s="277" t="n">
        <f aca="false">H110</f>
        <v>39753</v>
      </c>
      <c r="S106" s="379" t="n">
        <v>0.15</v>
      </c>
      <c r="T106" s="380"/>
      <c r="U106" s="307"/>
      <c r="V106" s="307"/>
      <c r="W106" s="307"/>
      <c r="X106" s="307"/>
      <c r="Y106" s="307"/>
      <c r="Z106" s="307"/>
      <c r="AA106" s="307"/>
      <c r="AB106" s="307"/>
      <c r="AC106" s="307"/>
      <c r="AD106" s="307"/>
      <c r="AE106" s="307"/>
      <c r="AF106" s="307"/>
      <c r="AG106" s="307"/>
      <c r="AH106" s="307"/>
      <c r="AI106" s="307"/>
      <c r="AJ106" s="307"/>
      <c r="AK106" s="307"/>
      <c r="AL106" s="307"/>
    </row>
    <row r="107" customFormat="false" ht="12.75" hidden="false" customHeight="false" outlineLevel="0" collapsed="false">
      <c r="A107" s="307"/>
      <c r="B107" s="307"/>
      <c r="C107" s="307"/>
      <c r="D107" s="307"/>
      <c r="E107" s="307"/>
      <c r="F107" s="307"/>
      <c r="G107" s="435"/>
      <c r="H107" s="323" t="n">
        <f aca="false">Swap!A93</f>
        <v>39661</v>
      </c>
      <c r="I107" s="428" t="n">
        <f aca="false">INDEX(IRTable,MATCH(H107,IRMonth,0),3)+K107</f>
        <v>0.22</v>
      </c>
      <c r="J107" s="436" t="e">
        <f aca="false">xEURO(Swap!E93,Swap!E93,Opt!G93,Opt!G93,I107,Opt!J93,1,0)*2*100</f>
        <v>#NAME?</v>
      </c>
      <c r="K107" s="428"/>
      <c r="L107" s="430"/>
      <c r="M107" s="307"/>
      <c r="N107" s="92" t="n">
        <v>39448</v>
      </c>
      <c r="O107" s="92" t="n">
        <v>39442</v>
      </c>
      <c r="P107" s="307"/>
      <c r="Q107" s="74"/>
      <c r="R107" s="277" t="n">
        <f aca="false">H111</f>
        <v>39783</v>
      </c>
      <c r="S107" s="379" t="n">
        <v>0.15</v>
      </c>
      <c r="T107" s="380"/>
      <c r="U107" s="307"/>
      <c r="V107" s="307"/>
      <c r="W107" s="307"/>
      <c r="X107" s="307"/>
      <c r="Y107" s="307"/>
      <c r="Z107" s="307"/>
      <c r="AA107" s="307"/>
      <c r="AB107" s="307"/>
      <c r="AC107" s="307"/>
      <c r="AD107" s="307"/>
      <c r="AE107" s="307"/>
      <c r="AF107" s="307"/>
      <c r="AG107" s="307"/>
      <c r="AH107" s="307"/>
      <c r="AI107" s="307"/>
      <c r="AJ107" s="307"/>
      <c r="AK107" s="307"/>
      <c r="AL107" s="307"/>
    </row>
    <row r="108" customFormat="false" ht="12.75" hidden="false" customHeight="false" outlineLevel="0" collapsed="false">
      <c r="A108" s="307"/>
      <c r="B108" s="307"/>
      <c r="C108" s="307"/>
      <c r="D108" s="307"/>
      <c r="E108" s="307"/>
      <c r="F108" s="307"/>
      <c r="G108" s="435"/>
      <c r="H108" s="323" t="n">
        <f aca="false">Swap!A94</f>
        <v>39692</v>
      </c>
      <c r="I108" s="428" t="n">
        <f aca="false">INDEX(IRTable,MATCH(H108,IRMonth,0),3)+K108</f>
        <v>0.22</v>
      </c>
      <c r="J108" s="436" t="e">
        <f aca="false">xEURO(Swap!E94,Swap!E94,Opt!G94,Opt!G94,I108,Opt!J94,1,0)*2*100</f>
        <v>#NAME?</v>
      </c>
      <c r="K108" s="428"/>
      <c r="L108" s="430"/>
      <c r="M108" s="307"/>
      <c r="N108" s="92" t="n">
        <v>39479</v>
      </c>
      <c r="O108" s="92" t="n">
        <v>39475</v>
      </c>
      <c r="P108" s="307"/>
      <c r="Q108" s="74"/>
      <c r="R108" s="277" t="n">
        <f aca="false">H112</f>
        <v>39814</v>
      </c>
      <c r="S108" s="379" t="n">
        <v>0.15</v>
      </c>
      <c r="T108" s="380"/>
      <c r="U108" s="307"/>
      <c r="V108" s="307"/>
      <c r="W108" s="307"/>
      <c r="X108" s="307"/>
      <c r="Y108" s="307"/>
      <c r="Z108" s="307"/>
      <c r="AA108" s="307"/>
      <c r="AB108" s="307"/>
      <c r="AC108" s="307"/>
      <c r="AD108" s="307"/>
      <c r="AE108" s="307"/>
      <c r="AF108" s="307"/>
      <c r="AG108" s="307"/>
      <c r="AH108" s="307"/>
      <c r="AI108" s="307"/>
      <c r="AJ108" s="307"/>
      <c r="AK108" s="307"/>
      <c r="AL108" s="307"/>
    </row>
    <row r="109" customFormat="false" ht="12.75" hidden="false" customHeight="false" outlineLevel="0" collapsed="false">
      <c r="A109" s="307"/>
      <c r="B109" s="307"/>
      <c r="C109" s="307"/>
      <c r="D109" s="307"/>
      <c r="E109" s="307"/>
      <c r="F109" s="307"/>
      <c r="G109" s="426"/>
      <c r="H109" s="323" t="n">
        <f aca="false">Swap!A95</f>
        <v>39722</v>
      </c>
      <c r="I109" s="428" t="n">
        <f aca="false">INDEX(IRTable,MATCH(H109,IRMonth,0),3)+K109</f>
        <v>0.22</v>
      </c>
      <c r="J109" s="429" t="e">
        <f aca="false">xEURO(Swap!E95,Swap!E95,Opt!G95,Opt!G95,I109,Opt!J95,1,0)*2*100</f>
        <v>#NAME?</v>
      </c>
      <c r="K109" s="428"/>
      <c r="L109" s="430"/>
      <c r="M109" s="307"/>
      <c r="N109" s="92" t="n">
        <v>39508</v>
      </c>
      <c r="O109" s="92" t="n">
        <v>39504</v>
      </c>
      <c r="P109" s="307"/>
      <c r="Q109" s="74"/>
      <c r="R109" s="277" t="n">
        <f aca="false">H113</f>
        <v>39845</v>
      </c>
      <c r="S109" s="379" t="n">
        <v>0.15</v>
      </c>
      <c r="T109" s="380"/>
      <c r="U109" s="307"/>
      <c r="V109" s="307"/>
      <c r="W109" s="307"/>
      <c r="X109" s="307"/>
      <c r="Y109" s="307"/>
      <c r="Z109" s="307"/>
      <c r="AA109" s="307"/>
      <c r="AB109" s="307"/>
      <c r="AC109" s="307"/>
      <c r="AD109" s="307"/>
      <c r="AE109" s="307"/>
      <c r="AF109" s="307"/>
      <c r="AG109" s="307"/>
      <c r="AH109" s="307"/>
      <c r="AI109" s="307"/>
      <c r="AJ109" s="307"/>
      <c r="AK109" s="307"/>
      <c r="AL109" s="307"/>
    </row>
    <row r="110" customFormat="false" ht="12.75" hidden="false" customHeight="false" outlineLevel="0" collapsed="false">
      <c r="A110" s="307"/>
      <c r="B110" s="307"/>
      <c r="C110" s="307"/>
      <c r="D110" s="307"/>
      <c r="E110" s="307"/>
      <c r="F110" s="307"/>
      <c r="G110" s="435"/>
      <c r="H110" s="323" t="n">
        <f aca="false">Swap!A96</f>
        <v>39753</v>
      </c>
      <c r="I110" s="428" t="n">
        <f aca="false">INDEX(IRTable,MATCH(H110,IRMonth,0),3)+K110</f>
        <v>0.22</v>
      </c>
      <c r="J110" s="436" t="e">
        <f aca="false">xEURO(Swap!E96,Swap!E96,Opt!G96,Opt!G96,I110,Opt!J96,1,0)*2*100</f>
        <v>#NAME?</v>
      </c>
      <c r="K110" s="428"/>
      <c r="L110" s="430"/>
      <c r="M110" s="307"/>
      <c r="N110" s="92" t="n">
        <v>39539</v>
      </c>
      <c r="O110" s="92" t="n">
        <v>39533</v>
      </c>
      <c r="P110" s="307"/>
      <c r="Q110" s="74"/>
      <c r="R110" s="277" t="n">
        <f aca="false">H114</f>
        <v>39873</v>
      </c>
      <c r="S110" s="379" t="n">
        <v>0.15</v>
      </c>
      <c r="T110" s="380"/>
      <c r="U110" s="307"/>
      <c r="V110" s="307"/>
      <c r="W110" s="307"/>
      <c r="X110" s="307"/>
      <c r="Y110" s="307"/>
      <c r="Z110" s="307"/>
      <c r="AA110" s="307"/>
      <c r="AB110" s="307"/>
      <c r="AC110" s="307"/>
      <c r="AD110" s="307"/>
      <c r="AE110" s="307"/>
      <c r="AF110" s="307"/>
      <c r="AG110" s="307"/>
      <c r="AH110" s="307"/>
      <c r="AI110" s="307"/>
      <c r="AJ110" s="307"/>
      <c r="AK110" s="307"/>
      <c r="AL110" s="307"/>
    </row>
    <row r="111" customFormat="false" ht="12.75" hidden="false" customHeight="false" outlineLevel="0" collapsed="false">
      <c r="A111" s="307"/>
      <c r="B111" s="307"/>
      <c r="C111" s="307"/>
      <c r="D111" s="307"/>
      <c r="E111" s="307"/>
      <c r="F111" s="307"/>
      <c r="G111" s="435"/>
      <c r="H111" s="323" t="n">
        <f aca="false">Swap!A97</f>
        <v>39783</v>
      </c>
      <c r="I111" s="428" t="n">
        <f aca="false">INDEX(IRTable,MATCH(H111,IRMonth,0),3)+K111</f>
        <v>0.2225</v>
      </c>
      <c r="J111" s="436" t="e">
        <f aca="false">xEURO(Swap!E97,Swap!E97,Opt!G97,Opt!G97,I111,Opt!J97,1,0)*2*100</f>
        <v>#NAME?</v>
      </c>
      <c r="K111" s="428"/>
      <c r="L111" s="430"/>
      <c r="M111" s="307"/>
      <c r="N111" s="92" t="n">
        <v>39569</v>
      </c>
      <c r="O111" s="92" t="n">
        <v>39563</v>
      </c>
      <c r="P111" s="307"/>
      <c r="Q111" s="74"/>
      <c r="R111" s="277" t="n">
        <f aca="false">H115</f>
        <v>39904</v>
      </c>
      <c r="S111" s="379" t="n">
        <v>0.15</v>
      </c>
      <c r="T111" s="380"/>
      <c r="U111" s="307"/>
      <c r="V111" s="307"/>
      <c r="W111" s="307"/>
      <c r="X111" s="307"/>
      <c r="Y111" s="307"/>
      <c r="Z111" s="307"/>
      <c r="AA111" s="307"/>
      <c r="AB111" s="307"/>
      <c r="AC111" s="307"/>
      <c r="AD111" s="307"/>
      <c r="AE111" s="307"/>
      <c r="AF111" s="307"/>
      <c r="AG111" s="307"/>
      <c r="AH111" s="307"/>
      <c r="AI111" s="307"/>
      <c r="AJ111" s="307"/>
      <c r="AK111" s="307"/>
      <c r="AL111" s="307"/>
    </row>
    <row r="112" customFormat="false" ht="12.75" hidden="false" customHeight="false" outlineLevel="0" collapsed="false">
      <c r="A112" s="307"/>
      <c r="B112" s="307"/>
      <c r="C112" s="307"/>
      <c r="D112" s="307"/>
      <c r="E112" s="307"/>
      <c r="F112" s="307"/>
      <c r="G112" s="435"/>
      <c r="H112" s="323" t="n">
        <f aca="false">Swap!A98</f>
        <v>39814</v>
      </c>
      <c r="I112" s="428" t="n">
        <f aca="false">INDEX(IRTable,MATCH(H112,IRMonth,0),3)+K112</f>
        <v>0.225</v>
      </c>
      <c r="J112" s="436" t="e">
        <f aca="false">xEURO(Swap!E98,Swap!E98,Opt!G98,Opt!G98,I112,Opt!J98,1,0)*2*100</f>
        <v>#NAME?</v>
      </c>
      <c r="K112" s="428"/>
      <c r="L112" s="430"/>
      <c r="M112" s="307"/>
      <c r="N112" s="92" t="n">
        <v>39600</v>
      </c>
      <c r="O112" s="92" t="n">
        <v>39595</v>
      </c>
      <c r="P112" s="307"/>
      <c r="Q112" s="74"/>
      <c r="R112" s="277" t="n">
        <f aca="false">H116</f>
        <v>39934</v>
      </c>
      <c r="S112" s="379" t="n">
        <v>0.15</v>
      </c>
      <c r="T112" s="380"/>
      <c r="U112" s="307"/>
      <c r="V112" s="307"/>
      <c r="W112" s="307"/>
      <c r="X112" s="307"/>
      <c r="Y112" s="307"/>
      <c r="Z112" s="307"/>
      <c r="AA112" s="307"/>
      <c r="AB112" s="307"/>
      <c r="AC112" s="307"/>
      <c r="AD112" s="307"/>
      <c r="AE112" s="307"/>
      <c r="AF112" s="307"/>
      <c r="AG112" s="307"/>
      <c r="AH112" s="307"/>
      <c r="AI112" s="307"/>
      <c r="AJ112" s="307"/>
      <c r="AK112" s="307"/>
      <c r="AL112" s="307"/>
    </row>
    <row r="113" customFormat="false" ht="12.75" hidden="false" customHeight="false" outlineLevel="0" collapsed="false">
      <c r="A113" s="307"/>
      <c r="B113" s="307"/>
      <c r="C113" s="307"/>
      <c r="D113" s="307"/>
      <c r="E113" s="307"/>
      <c r="F113" s="307"/>
      <c r="G113" s="435"/>
      <c r="H113" s="323" t="n">
        <f aca="false">Swap!A99</f>
        <v>39845</v>
      </c>
      <c r="I113" s="428" t="n">
        <f aca="false">INDEX(IRTable,MATCH(H113,IRMonth,0),3)+K113</f>
        <v>0.22</v>
      </c>
      <c r="J113" s="436" t="e">
        <f aca="false">xEURO(Swap!E99,Swap!E99,Opt!G99,Opt!G99,I113,Opt!J99,1,0)*2*100</f>
        <v>#NAME?</v>
      </c>
      <c r="K113" s="428"/>
      <c r="L113" s="430"/>
      <c r="M113" s="307"/>
      <c r="N113" s="92" t="n">
        <v>39630</v>
      </c>
      <c r="O113" s="92" t="n">
        <v>39624</v>
      </c>
      <c r="P113" s="307"/>
      <c r="Q113" s="74"/>
      <c r="R113" s="277" t="n">
        <f aca="false">H117</f>
        <v>39965</v>
      </c>
      <c r="S113" s="379" t="n">
        <v>0.15</v>
      </c>
      <c r="T113" s="380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7"/>
      <c r="AF113" s="307"/>
      <c r="AG113" s="307"/>
      <c r="AH113" s="307"/>
      <c r="AI113" s="307"/>
      <c r="AJ113" s="307"/>
      <c r="AK113" s="307"/>
      <c r="AL113" s="307"/>
    </row>
    <row r="114" customFormat="false" ht="12.75" hidden="false" customHeight="false" outlineLevel="0" collapsed="false">
      <c r="A114" s="307"/>
      <c r="B114" s="307"/>
      <c r="C114" s="307"/>
      <c r="D114" s="307"/>
      <c r="E114" s="307"/>
      <c r="F114" s="307"/>
      <c r="G114" s="435"/>
      <c r="H114" s="323" t="n">
        <f aca="false">Swap!A100</f>
        <v>39873</v>
      </c>
      <c r="I114" s="428" t="n">
        <f aca="false">INDEX(IRTable,MATCH(H114,IRMonth,0),3)+K114</f>
        <v>0.205</v>
      </c>
      <c r="J114" s="436" t="e">
        <f aca="false">xEURO(Swap!E100,Swap!E100,Opt!G100,Opt!G100,I114,Opt!J100,1,0)*2*100</f>
        <v>#NAME?</v>
      </c>
      <c r="K114" s="428"/>
      <c r="L114" s="430"/>
      <c r="M114" s="307"/>
      <c r="N114" s="92" t="n">
        <v>39661</v>
      </c>
      <c r="O114" s="92" t="n">
        <v>39657</v>
      </c>
      <c r="P114" s="307"/>
      <c r="Q114" s="74"/>
      <c r="R114" s="277" t="n">
        <f aca="false">H118</f>
        <v>39995</v>
      </c>
      <c r="S114" s="379" t="n">
        <v>0.15</v>
      </c>
      <c r="T114" s="380"/>
      <c r="U114" s="307"/>
      <c r="V114" s="307"/>
      <c r="W114" s="307"/>
      <c r="X114" s="307"/>
      <c r="Y114" s="307"/>
      <c r="Z114" s="307"/>
      <c r="AA114" s="307"/>
      <c r="AB114" s="307"/>
      <c r="AC114" s="307"/>
      <c r="AD114" s="307"/>
      <c r="AE114" s="307"/>
      <c r="AF114" s="307"/>
      <c r="AG114" s="307"/>
      <c r="AH114" s="307"/>
      <c r="AI114" s="307"/>
      <c r="AJ114" s="307"/>
      <c r="AK114" s="307"/>
      <c r="AL114" s="307"/>
    </row>
    <row r="115" customFormat="false" ht="12.75" hidden="false" customHeight="false" outlineLevel="0" collapsed="false">
      <c r="A115" s="307"/>
      <c r="B115" s="307"/>
      <c r="C115" s="307"/>
      <c r="D115" s="307"/>
      <c r="E115" s="307"/>
      <c r="F115" s="307"/>
      <c r="G115" s="435"/>
      <c r="H115" s="323" t="n">
        <f aca="false">Swap!A101</f>
        <v>39904</v>
      </c>
      <c r="I115" s="428" t="n">
        <f aca="false">INDEX(IRTable,MATCH(H115,IRMonth,0),3)+K115</f>
        <v>0.195</v>
      </c>
      <c r="J115" s="436" t="e">
        <f aca="false">xEURO(Swap!E101,Swap!E101,Opt!G101,Opt!G101,I115,Opt!J101,1,0)*2*100</f>
        <v>#NAME?</v>
      </c>
      <c r="K115" s="428"/>
      <c r="L115" s="430"/>
      <c r="M115" s="307"/>
      <c r="N115" s="92" t="n">
        <v>39692</v>
      </c>
      <c r="O115" s="92" t="n">
        <v>39686</v>
      </c>
      <c r="P115" s="307"/>
      <c r="Q115" s="74"/>
      <c r="R115" s="14"/>
      <c r="S115" s="379" t="n">
        <v>0.15</v>
      </c>
      <c r="T115" s="380"/>
      <c r="U115" s="307"/>
      <c r="V115" s="307"/>
      <c r="W115" s="307"/>
      <c r="X115" s="307"/>
      <c r="Y115" s="307"/>
      <c r="Z115" s="307"/>
      <c r="AA115" s="307"/>
      <c r="AB115" s="307"/>
      <c r="AC115" s="307"/>
      <c r="AD115" s="307"/>
      <c r="AE115" s="307"/>
      <c r="AF115" s="307"/>
      <c r="AG115" s="307"/>
      <c r="AH115" s="307"/>
      <c r="AI115" s="307"/>
      <c r="AJ115" s="307"/>
      <c r="AK115" s="307"/>
      <c r="AL115" s="307"/>
    </row>
    <row r="116" customFormat="false" ht="12.75" hidden="false" customHeight="false" outlineLevel="0" collapsed="false">
      <c r="A116" s="307"/>
      <c r="B116" s="307"/>
      <c r="C116" s="307"/>
      <c r="D116" s="307"/>
      <c r="E116" s="307"/>
      <c r="F116" s="307"/>
      <c r="G116" s="426"/>
      <c r="H116" s="323" t="n">
        <f aca="false">Swap!A102</f>
        <v>39934</v>
      </c>
      <c r="I116" s="428" t="n">
        <f aca="false">INDEX(IRTable,MATCH(H116,IRMonth,0),3)+K116</f>
        <v>0.195</v>
      </c>
      <c r="J116" s="429" t="e">
        <f aca="false">xEURO(Swap!E102,Swap!E102,Opt!G102,Opt!G102,I116,Opt!J102,1,0)*2*100</f>
        <v>#NAME?</v>
      </c>
      <c r="K116" s="428"/>
      <c r="L116" s="430"/>
      <c r="M116" s="307"/>
      <c r="N116" s="92" t="n">
        <v>39722</v>
      </c>
      <c r="O116" s="92" t="n">
        <v>39716</v>
      </c>
      <c r="P116" s="307"/>
      <c r="Q116" s="74"/>
      <c r="R116" s="14"/>
      <c r="S116" s="379" t="n">
        <v>0.15</v>
      </c>
      <c r="T116" s="380"/>
      <c r="U116" s="307"/>
      <c r="V116" s="307"/>
      <c r="W116" s="307"/>
      <c r="X116" s="307"/>
      <c r="Y116" s="307"/>
      <c r="Z116" s="307"/>
      <c r="AA116" s="307"/>
      <c r="AB116" s="307"/>
      <c r="AC116" s="307"/>
      <c r="AD116" s="307"/>
      <c r="AE116" s="307"/>
      <c r="AF116" s="307"/>
      <c r="AG116" s="307"/>
      <c r="AH116" s="307"/>
      <c r="AI116" s="307"/>
      <c r="AJ116" s="307"/>
      <c r="AK116" s="307"/>
      <c r="AL116" s="307"/>
    </row>
    <row r="117" customFormat="false" ht="12.75" hidden="false" customHeight="false" outlineLevel="0" collapsed="false">
      <c r="A117" s="307"/>
      <c r="B117" s="307"/>
      <c r="C117" s="307"/>
      <c r="D117" s="307"/>
      <c r="E117" s="307"/>
      <c r="F117" s="307"/>
      <c r="G117" s="435"/>
      <c r="H117" s="323" t="n">
        <f aca="false">Swap!A103</f>
        <v>39965</v>
      </c>
      <c r="I117" s="428" t="n">
        <f aca="false">INDEX(IRTable,MATCH(H117,IRMonth,0),3)+K117</f>
        <v>0.195</v>
      </c>
      <c r="J117" s="436" t="e">
        <f aca="false">xEURO(Swap!E103,Swap!E103,Opt!G103,Opt!G103,I117,Opt!J103,1,0)*2*100</f>
        <v>#NAME?</v>
      </c>
      <c r="K117" s="428"/>
      <c r="L117" s="430"/>
      <c r="M117" s="307"/>
      <c r="N117" s="92" t="n">
        <v>39753</v>
      </c>
      <c r="O117" s="92" t="n">
        <v>39749</v>
      </c>
      <c r="P117" s="307"/>
      <c r="Q117" s="74"/>
      <c r="R117" s="14"/>
      <c r="S117" s="379" t="n">
        <v>0.15</v>
      </c>
      <c r="T117" s="380"/>
      <c r="U117" s="307"/>
      <c r="V117" s="307"/>
      <c r="W117" s="307"/>
      <c r="X117" s="307"/>
      <c r="Y117" s="307"/>
      <c r="Z117" s="307"/>
      <c r="AA117" s="307"/>
      <c r="AB117" s="307"/>
      <c r="AC117" s="307"/>
      <c r="AD117" s="307"/>
      <c r="AE117" s="307"/>
      <c r="AF117" s="307"/>
      <c r="AG117" s="307"/>
      <c r="AH117" s="307"/>
      <c r="AI117" s="307"/>
      <c r="AJ117" s="307"/>
      <c r="AK117" s="307"/>
      <c r="AL117" s="307"/>
    </row>
    <row r="118" customFormat="false" ht="12.75" hidden="false" customHeight="false" outlineLevel="0" collapsed="false">
      <c r="A118" s="307"/>
      <c r="B118" s="307"/>
      <c r="C118" s="307"/>
      <c r="D118" s="307"/>
      <c r="E118" s="307"/>
      <c r="F118" s="307"/>
      <c r="G118" s="435"/>
      <c r="H118" s="323" t="n">
        <f aca="false">Swap!A104</f>
        <v>39995</v>
      </c>
      <c r="I118" s="428" t="n">
        <f aca="false">INDEX(IRTable,MATCH(H118,IRMonth,0),3)+K118</f>
        <v>0.195</v>
      </c>
      <c r="J118" s="436" t="e">
        <f aca="false">xEURO(Swap!E104,Swap!E104,Opt!G104,Opt!G104,I118,Opt!J104,1,0)*2*100</f>
        <v>#NAME?</v>
      </c>
      <c r="K118" s="428"/>
      <c r="L118" s="430"/>
      <c r="M118" s="307"/>
      <c r="N118" s="92" t="n">
        <v>39783</v>
      </c>
      <c r="O118" s="92" t="n">
        <v>39776</v>
      </c>
      <c r="P118" s="307"/>
      <c r="Q118" s="74"/>
      <c r="R118" s="14"/>
      <c r="S118" s="379" t="n">
        <v>0.15</v>
      </c>
      <c r="T118" s="380"/>
      <c r="U118" s="307"/>
      <c r="V118" s="307"/>
      <c r="W118" s="307"/>
      <c r="X118" s="307"/>
      <c r="Y118" s="307"/>
      <c r="Z118" s="307"/>
      <c r="AA118" s="307"/>
      <c r="AB118" s="307"/>
      <c r="AC118" s="307"/>
      <c r="AD118" s="307"/>
      <c r="AE118" s="307"/>
      <c r="AF118" s="307"/>
      <c r="AG118" s="307"/>
      <c r="AH118" s="307"/>
      <c r="AI118" s="307"/>
      <c r="AJ118" s="307"/>
      <c r="AK118" s="307"/>
      <c r="AL118" s="307"/>
    </row>
    <row r="119" customFormat="false" ht="12.75" hidden="false" customHeight="false" outlineLevel="0" collapsed="false">
      <c r="A119" s="307"/>
      <c r="B119" s="307"/>
      <c r="C119" s="307"/>
      <c r="D119" s="307"/>
      <c r="E119" s="307"/>
      <c r="F119" s="307"/>
      <c r="G119" s="435"/>
      <c r="H119" s="323" t="n">
        <f aca="false">Swap!A105</f>
        <v>40026</v>
      </c>
      <c r="I119" s="428" t="n">
        <f aca="false">INDEX(IRTable,MATCH(H119,IRMonth,0),3)+K119</f>
        <v>0.195</v>
      </c>
      <c r="J119" s="436" t="e">
        <f aca="false">xEURO(Swap!E105,Swap!E105,Opt!G105,Opt!G105,I119,Opt!J105,1,0)*2*100</f>
        <v>#NAME?</v>
      </c>
      <c r="K119" s="428"/>
      <c r="L119" s="430"/>
      <c r="M119" s="307"/>
      <c r="N119" s="92" t="n">
        <v>39814</v>
      </c>
      <c r="O119" s="92" t="n">
        <v>39808</v>
      </c>
      <c r="P119" s="307"/>
      <c r="Q119" s="74"/>
      <c r="R119" s="14"/>
      <c r="S119" s="379" t="n">
        <v>0.15</v>
      </c>
      <c r="T119" s="380"/>
      <c r="U119" s="307"/>
      <c r="V119" s="307"/>
      <c r="W119" s="307"/>
      <c r="X119" s="307"/>
      <c r="Y119" s="307"/>
      <c r="Z119" s="307"/>
      <c r="AA119" s="307"/>
      <c r="AB119" s="307"/>
      <c r="AC119" s="307"/>
      <c r="AD119" s="307"/>
      <c r="AE119" s="307"/>
      <c r="AF119" s="307"/>
      <c r="AG119" s="307"/>
      <c r="AH119" s="307"/>
      <c r="AI119" s="307"/>
      <c r="AJ119" s="307"/>
      <c r="AK119" s="307"/>
      <c r="AL119" s="307"/>
    </row>
    <row r="120" customFormat="false" ht="12.75" hidden="false" customHeight="false" outlineLevel="0" collapsed="false">
      <c r="A120" s="307"/>
      <c r="B120" s="307"/>
      <c r="C120" s="307"/>
      <c r="D120" s="307"/>
      <c r="E120" s="307"/>
      <c r="F120" s="307"/>
      <c r="G120" s="435"/>
      <c r="H120" s="323" t="n">
        <f aca="false">Swap!A106</f>
        <v>40057</v>
      </c>
      <c r="I120" s="428" t="n">
        <f aca="false">INDEX(IRTable,MATCH(H120,IRMonth,0),3)+K120</f>
        <v>0.195</v>
      </c>
      <c r="J120" s="436" t="e">
        <f aca="false">xEURO(Swap!E106,Swap!E106,Opt!G106,Opt!G106,I120,Opt!J106,1,0)*2*100</f>
        <v>#NAME?</v>
      </c>
      <c r="K120" s="428"/>
      <c r="L120" s="430"/>
      <c r="M120" s="307"/>
      <c r="N120" s="92" t="n">
        <v>39845</v>
      </c>
      <c r="O120" s="92" t="n">
        <v>39840</v>
      </c>
      <c r="P120" s="307"/>
      <c r="Q120" s="74"/>
      <c r="R120" s="14"/>
      <c r="S120" s="379" t="n">
        <v>0.15</v>
      </c>
      <c r="T120" s="380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  <c r="AK120" s="307"/>
      <c r="AL120" s="307"/>
    </row>
    <row r="121" customFormat="false" ht="12.75" hidden="false" customHeight="false" outlineLevel="0" collapsed="false">
      <c r="A121" s="307"/>
      <c r="B121" s="307"/>
      <c r="C121" s="307"/>
      <c r="D121" s="307"/>
      <c r="E121" s="307"/>
      <c r="F121" s="307"/>
      <c r="G121" s="426"/>
      <c r="H121" s="323" t="n">
        <f aca="false">Swap!A107</f>
        <v>40087</v>
      </c>
      <c r="I121" s="428" t="n">
        <f aca="false">INDEX(IRTable,MATCH(H121,IRMonth,0),3)+K121</f>
        <v>0.195</v>
      </c>
      <c r="J121" s="429" t="e">
        <f aca="false">xEURO(Swap!E107,Swap!E107,Opt!G107,Opt!G107,I121,Opt!J107,1,0)*2*100</f>
        <v>#NAME?</v>
      </c>
      <c r="K121" s="428"/>
      <c r="L121" s="430"/>
      <c r="M121" s="307"/>
      <c r="N121" s="92" t="n">
        <v>39873</v>
      </c>
      <c r="O121" s="92" t="n">
        <v>39868</v>
      </c>
      <c r="P121" s="307"/>
      <c r="Q121" s="74"/>
      <c r="R121" s="14"/>
      <c r="S121" s="379" t="n">
        <v>0.15</v>
      </c>
      <c r="T121" s="380"/>
      <c r="U121" s="307"/>
      <c r="V121" s="307"/>
      <c r="W121" s="307"/>
      <c r="X121" s="307"/>
      <c r="Y121" s="307"/>
      <c r="Z121" s="307"/>
      <c r="AA121" s="307"/>
      <c r="AB121" s="307"/>
      <c r="AC121" s="307"/>
      <c r="AD121" s="307"/>
      <c r="AE121" s="307"/>
      <c r="AF121" s="307"/>
      <c r="AG121" s="307"/>
      <c r="AH121" s="307"/>
      <c r="AI121" s="307"/>
      <c r="AJ121" s="307"/>
      <c r="AK121" s="307"/>
      <c r="AL121" s="307"/>
    </row>
    <row r="122" customFormat="false" ht="12.75" hidden="false" customHeight="false" outlineLevel="0" collapsed="false">
      <c r="A122" s="307"/>
      <c r="B122" s="307"/>
      <c r="C122" s="307"/>
      <c r="D122" s="307"/>
      <c r="E122" s="307"/>
      <c r="F122" s="307"/>
      <c r="G122" s="435"/>
      <c r="H122" s="323" t="n">
        <f aca="false">Swap!A108</f>
        <v>40118</v>
      </c>
      <c r="I122" s="428" t="n">
        <f aca="false">INDEX(IRTable,MATCH(H122,IRMonth,0),3)+K122</f>
        <v>0.195</v>
      </c>
      <c r="J122" s="436" t="e">
        <f aca="false">xEURO(Swap!E108,Swap!E108,Opt!G108,Opt!G108,I122,Opt!J108,1,0)*2*100</f>
        <v>#NAME?</v>
      </c>
      <c r="K122" s="428"/>
      <c r="L122" s="430"/>
      <c r="M122" s="307"/>
      <c r="N122" s="92" t="n">
        <v>39904</v>
      </c>
      <c r="O122" s="92" t="n">
        <v>39898</v>
      </c>
      <c r="P122" s="307"/>
      <c r="Q122" s="74"/>
      <c r="R122" s="14"/>
      <c r="S122" s="379" t="n">
        <v>0.15</v>
      </c>
      <c r="T122" s="380"/>
      <c r="U122" s="307"/>
      <c r="V122" s="307"/>
      <c r="W122" s="307"/>
      <c r="X122" s="307"/>
      <c r="Y122" s="307"/>
      <c r="Z122" s="307"/>
      <c r="AA122" s="307"/>
      <c r="AB122" s="307"/>
      <c r="AC122" s="307"/>
      <c r="AD122" s="307"/>
      <c r="AE122" s="307"/>
      <c r="AF122" s="307"/>
      <c r="AG122" s="307"/>
      <c r="AH122" s="307"/>
      <c r="AI122" s="307"/>
      <c r="AJ122" s="307"/>
      <c r="AK122" s="307"/>
      <c r="AL122" s="307"/>
    </row>
    <row r="123" customFormat="false" ht="12.75" hidden="false" customHeight="false" outlineLevel="0" collapsed="false">
      <c r="A123" s="307"/>
      <c r="B123" s="307"/>
      <c r="C123" s="307"/>
      <c r="D123" s="307"/>
      <c r="E123" s="307"/>
      <c r="F123" s="307"/>
      <c r="G123" s="435"/>
      <c r="H123" s="323" t="n">
        <f aca="false">Swap!A109</f>
        <v>40148</v>
      </c>
      <c r="I123" s="428" t="n">
        <f aca="false">INDEX(IRTable,MATCH(H123,IRMonth,0),3)+K123</f>
        <v>0.195</v>
      </c>
      <c r="J123" s="436" t="e">
        <f aca="false">xEURO(Swap!E109,Swap!E109,Opt!G109,Opt!G109,I123,Opt!J109,1,0)*2*100</f>
        <v>#NAME?</v>
      </c>
      <c r="K123" s="428"/>
      <c r="L123" s="430"/>
      <c r="M123" s="307"/>
      <c r="N123" s="92" t="n">
        <v>39934</v>
      </c>
      <c r="O123" s="92" t="n">
        <v>39930</v>
      </c>
      <c r="P123" s="307"/>
      <c r="Q123" s="74"/>
      <c r="R123" s="14"/>
      <c r="S123" s="379" t="n">
        <v>0.15</v>
      </c>
      <c r="T123" s="380"/>
      <c r="U123" s="307"/>
      <c r="V123" s="307"/>
      <c r="W123" s="307"/>
      <c r="X123" s="307"/>
      <c r="Y123" s="307"/>
      <c r="Z123" s="307"/>
      <c r="AA123" s="307"/>
      <c r="AB123" s="307"/>
      <c r="AC123" s="307"/>
      <c r="AD123" s="307"/>
      <c r="AE123" s="307"/>
      <c r="AF123" s="307"/>
      <c r="AG123" s="307"/>
      <c r="AH123" s="307"/>
      <c r="AI123" s="307"/>
      <c r="AJ123" s="307"/>
      <c r="AK123" s="307"/>
      <c r="AL123" s="307"/>
    </row>
    <row r="124" customFormat="false" ht="12.75" hidden="false" customHeight="false" outlineLevel="0" collapsed="false">
      <c r="A124" s="307"/>
      <c r="B124" s="307"/>
      <c r="C124" s="307"/>
      <c r="D124" s="307"/>
      <c r="E124" s="307"/>
      <c r="F124" s="307"/>
      <c r="G124" s="435"/>
      <c r="H124" s="323" t="n">
        <f aca="false">Swap!A110</f>
        <v>40179</v>
      </c>
      <c r="I124" s="428" t="n">
        <f aca="false">INDEX(IRTable,MATCH(H124,IRMonth,0),3)+K124</f>
        <v>0.195</v>
      </c>
      <c r="J124" s="436" t="e">
        <f aca="false">xEURO(Swap!E110,Swap!E110,Opt!G110,Opt!G110,I124,Opt!J110,1,0)*2*100</f>
        <v>#NAME?</v>
      </c>
      <c r="K124" s="428"/>
      <c r="L124" s="430"/>
      <c r="M124" s="307"/>
      <c r="N124" s="92" t="n">
        <v>39965</v>
      </c>
      <c r="O124" s="92" t="n">
        <v>39959</v>
      </c>
      <c r="P124" s="307"/>
      <c r="Q124" s="74"/>
      <c r="R124" s="14"/>
      <c r="S124" s="379" t="n">
        <v>0.15</v>
      </c>
      <c r="T124" s="380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  <c r="AI124" s="307"/>
      <c r="AJ124" s="307"/>
      <c r="AK124" s="307"/>
      <c r="AL124" s="307"/>
    </row>
    <row r="125" customFormat="false" ht="12.75" hidden="false" customHeight="false" outlineLevel="0" collapsed="false">
      <c r="A125" s="307"/>
      <c r="B125" s="307"/>
      <c r="C125" s="307"/>
      <c r="D125" s="307"/>
      <c r="E125" s="307"/>
      <c r="F125" s="307"/>
      <c r="G125" s="435"/>
      <c r="H125" s="323" t="n">
        <f aca="false">Swap!A111</f>
        <v>40210</v>
      </c>
      <c r="I125" s="428" t="n">
        <f aca="false">INDEX(IRTable,MATCH(H125,IRMonth,0),3)+K125</f>
        <v>0.19</v>
      </c>
      <c r="J125" s="436" t="e">
        <f aca="false">xEURO(Swap!E111,Swap!E111,Opt!G111,Opt!G111,I125,Opt!J111,1,0)*2*100</f>
        <v>#NAME?</v>
      </c>
      <c r="K125" s="428"/>
      <c r="L125" s="430"/>
      <c r="M125" s="307"/>
      <c r="N125" s="92" t="n">
        <v>39995</v>
      </c>
      <c r="O125" s="92" t="n">
        <v>39989</v>
      </c>
      <c r="P125" s="307"/>
      <c r="Q125" s="74"/>
      <c r="R125" s="14"/>
      <c r="S125" s="379" t="n">
        <v>0.15</v>
      </c>
      <c r="T125" s="380"/>
      <c r="U125" s="307"/>
      <c r="V125" s="307"/>
      <c r="W125" s="307"/>
      <c r="X125" s="307"/>
      <c r="Y125" s="307"/>
      <c r="Z125" s="307"/>
      <c r="AA125" s="307"/>
      <c r="AB125" s="307"/>
      <c r="AC125" s="307"/>
      <c r="AD125" s="307"/>
      <c r="AE125" s="307"/>
      <c r="AF125" s="307"/>
      <c r="AG125" s="307"/>
      <c r="AH125" s="307"/>
      <c r="AI125" s="307"/>
      <c r="AJ125" s="307"/>
      <c r="AK125" s="307"/>
      <c r="AL125" s="307"/>
    </row>
    <row r="126" customFormat="false" ht="12.75" hidden="false" customHeight="false" outlineLevel="0" collapsed="false">
      <c r="A126" s="307"/>
      <c r="B126" s="307"/>
      <c r="C126" s="307"/>
      <c r="D126" s="307"/>
      <c r="E126" s="307"/>
      <c r="F126" s="307"/>
      <c r="G126" s="435"/>
      <c r="H126" s="323" t="n">
        <f aca="false">Swap!A112</f>
        <v>40238</v>
      </c>
      <c r="I126" s="428" t="n">
        <f aca="false">INDEX(IRTable,MATCH(H126,IRMonth,0),3)+K126</f>
        <v>0.1875</v>
      </c>
      <c r="J126" s="436" t="e">
        <f aca="false">xEURO(Swap!E112,Swap!E112,Opt!G112,Opt!G112,I126,Opt!J112,1,0)*2*100</f>
        <v>#NAME?</v>
      </c>
      <c r="K126" s="428"/>
      <c r="L126" s="430"/>
      <c r="M126" s="307"/>
      <c r="N126" s="92" t="n">
        <v>40026</v>
      </c>
      <c r="O126" s="92" t="n">
        <v>40022</v>
      </c>
      <c r="P126" s="307"/>
      <c r="Q126" s="74"/>
      <c r="R126" s="14"/>
      <c r="S126" s="379" t="n">
        <v>0.15</v>
      </c>
      <c r="T126" s="380"/>
      <c r="U126" s="307"/>
      <c r="V126" s="307"/>
      <c r="W126" s="307"/>
      <c r="X126" s="307"/>
      <c r="Y126" s="307"/>
      <c r="Z126" s="307"/>
      <c r="AA126" s="307"/>
      <c r="AB126" s="307"/>
      <c r="AC126" s="307"/>
      <c r="AD126" s="307"/>
      <c r="AE126" s="307"/>
      <c r="AF126" s="307"/>
      <c r="AG126" s="307"/>
      <c r="AH126" s="307"/>
      <c r="AI126" s="307"/>
      <c r="AJ126" s="307"/>
      <c r="AK126" s="307"/>
      <c r="AL126" s="307"/>
    </row>
    <row r="127" customFormat="false" ht="12.75" hidden="false" customHeight="false" outlineLevel="0" collapsed="false">
      <c r="A127" s="307"/>
      <c r="B127" s="307"/>
      <c r="C127" s="307"/>
      <c r="D127" s="307"/>
      <c r="E127" s="307"/>
      <c r="F127" s="307"/>
      <c r="G127" s="435"/>
      <c r="H127" s="323" t="n">
        <f aca="false">Swap!A113</f>
        <v>40269</v>
      </c>
      <c r="I127" s="428" t="n">
        <f aca="false">INDEX(IRTable,MATCH(H127,IRMonth,0),3)+K127</f>
        <v>0.185</v>
      </c>
      <c r="J127" s="436" t="e">
        <f aca="false">xEURO(Swap!E113,Swap!E113,Opt!G113,Opt!G113,I127,Opt!J113,1,0)*2*100</f>
        <v>#NAME?</v>
      </c>
      <c r="K127" s="428"/>
      <c r="L127" s="430"/>
      <c r="M127" s="307"/>
      <c r="N127" s="92" t="n">
        <v>40057</v>
      </c>
      <c r="O127" s="92" t="n">
        <v>40051</v>
      </c>
      <c r="P127" s="307"/>
      <c r="Q127" s="74"/>
      <c r="R127" s="14"/>
      <c r="S127" s="379" t="n">
        <v>0.15</v>
      </c>
      <c r="T127" s="380"/>
      <c r="U127" s="307"/>
      <c r="V127" s="307"/>
      <c r="W127" s="307"/>
      <c r="X127" s="307"/>
      <c r="Y127" s="307"/>
      <c r="Z127" s="307"/>
      <c r="AA127" s="307"/>
      <c r="AB127" s="307"/>
      <c r="AC127" s="307"/>
      <c r="AD127" s="307"/>
      <c r="AE127" s="307"/>
      <c r="AF127" s="307"/>
      <c r="AG127" s="307"/>
      <c r="AH127" s="307"/>
      <c r="AI127" s="307"/>
      <c r="AJ127" s="307"/>
      <c r="AK127" s="307"/>
      <c r="AL127" s="307"/>
    </row>
    <row r="128" customFormat="false" ht="12.75" hidden="false" customHeight="false" outlineLevel="0" collapsed="false">
      <c r="A128" s="307"/>
      <c r="B128" s="307"/>
      <c r="C128" s="307"/>
      <c r="D128" s="307"/>
      <c r="E128" s="307"/>
      <c r="F128" s="307"/>
      <c r="G128" s="426"/>
      <c r="H128" s="323" t="n">
        <f aca="false">Swap!A114</f>
        <v>40299</v>
      </c>
      <c r="I128" s="428" t="n">
        <f aca="false">INDEX(IRTable,MATCH(H128,IRMonth,0),3)+K128</f>
        <v>0.185</v>
      </c>
      <c r="J128" s="429" t="e">
        <f aca="false">xEURO(Swap!E114,Swap!E114,Opt!G114,Opt!G114,I128,Opt!J114,1,0)*2*100</f>
        <v>#NAME?</v>
      </c>
      <c r="K128" s="428"/>
      <c r="L128" s="430"/>
      <c r="M128" s="307"/>
      <c r="N128" s="92" t="n">
        <v>40087</v>
      </c>
      <c r="O128" s="92" t="n">
        <v>40081</v>
      </c>
      <c r="P128" s="307"/>
      <c r="Q128" s="74"/>
      <c r="R128" s="14"/>
      <c r="S128" s="379" t="n">
        <v>0.15</v>
      </c>
      <c r="T128" s="380"/>
      <c r="U128" s="307"/>
      <c r="V128" s="307"/>
      <c r="W128" s="307"/>
      <c r="X128" s="307"/>
      <c r="Y128" s="307"/>
      <c r="Z128" s="307"/>
      <c r="AA128" s="307"/>
      <c r="AB128" s="307"/>
      <c r="AC128" s="307"/>
      <c r="AD128" s="307"/>
      <c r="AE128" s="307"/>
      <c r="AF128" s="307"/>
      <c r="AG128" s="307"/>
      <c r="AH128" s="307"/>
      <c r="AI128" s="307"/>
      <c r="AJ128" s="307"/>
      <c r="AK128" s="307"/>
      <c r="AL128" s="307"/>
    </row>
    <row r="129" customFormat="false" ht="12.75" hidden="false" customHeight="false" outlineLevel="0" collapsed="false">
      <c r="A129" s="307"/>
      <c r="B129" s="307"/>
      <c r="C129" s="307"/>
      <c r="D129" s="307"/>
      <c r="E129" s="307"/>
      <c r="F129" s="307"/>
      <c r="G129" s="435"/>
      <c r="H129" s="323" t="n">
        <f aca="false">Swap!A115</f>
        <v>40330</v>
      </c>
      <c r="I129" s="428" t="n">
        <f aca="false">INDEX(IRTable,MATCH(H129,IRMonth,0),3)+K129</f>
        <v>0.185</v>
      </c>
      <c r="J129" s="436" t="e">
        <f aca="false">xEURO(Swap!E115,Swap!E115,Opt!G115,Opt!G115,I129,Opt!J115,1,0)*2*100</f>
        <v>#NAME?</v>
      </c>
      <c r="K129" s="428"/>
      <c r="L129" s="430"/>
      <c r="M129" s="307"/>
      <c r="N129" s="92" t="n">
        <v>40118</v>
      </c>
      <c r="O129" s="92" t="n">
        <v>40113</v>
      </c>
      <c r="P129" s="307"/>
      <c r="Q129" s="74"/>
      <c r="R129" s="14"/>
      <c r="S129" s="379" t="n">
        <v>0.15</v>
      </c>
      <c r="T129" s="380"/>
      <c r="U129" s="307"/>
      <c r="V129" s="307"/>
      <c r="W129" s="307"/>
      <c r="X129" s="307"/>
      <c r="Y129" s="307"/>
      <c r="Z129" s="307"/>
      <c r="AA129" s="307"/>
      <c r="AB129" s="307"/>
      <c r="AC129" s="307"/>
      <c r="AD129" s="307"/>
      <c r="AE129" s="307"/>
      <c r="AF129" s="307"/>
      <c r="AG129" s="307"/>
      <c r="AH129" s="307"/>
      <c r="AI129" s="307"/>
      <c r="AJ129" s="307"/>
      <c r="AK129" s="307"/>
      <c r="AL129" s="307"/>
    </row>
    <row r="130" customFormat="false" ht="12.75" hidden="false" customHeight="false" outlineLevel="0" collapsed="false">
      <c r="A130" s="307"/>
      <c r="B130" s="307"/>
      <c r="C130" s="307"/>
      <c r="D130" s="307"/>
      <c r="E130" s="307"/>
      <c r="F130" s="307"/>
      <c r="G130" s="435"/>
      <c r="H130" s="323" t="n">
        <f aca="false">Swap!A116</f>
        <v>40360</v>
      </c>
      <c r="I130" s="428" t="n">
        <f aca="false">INDEX(IRTable,MATCH(H130,IRMonth,0),3)+K130</f>
        <v>0.185</v>
      </c>
      <c r="J130" s="436" t="e">
        <f aca="false">xEURO(Swap!E116,Swap!E116,Opt!G116,Opt!G116,I130,Opt!J116,1,0)*2*100</f>
        <v>#NAME?</v>
      </c>
      <c r="K130" s="428"/>
      <c r="L130" s="430"/>
      <c r="M130" s="307"/>
      <c r="N130" s="92" t="n">
        <v>40148</v>
      </c>
      <c r="O130" s="92" t="n">
        <v>40141</v>
      </c>
      <c r="P130" s="307"/>
      <c r="Q130" s="74"/>
      <c r="R130" s="14"/>
      <c r="S130" s="379" t="n">
        <v>0.15</v>
      </c>
      <c r="T130" s="380"/>
      <c r="U130" s="307"/>
      <c r="V130" s="307"/>
      <c r="W130" s="307"/>
      <c r="X130" s="307"/>
      <c r="Y130" s="307"/>
      <c r="Z130" s="307"/>
      <c r="AA130" s="307"/>
      <c r="AB130" s="307"/>
      <c r="AC130" s="307"/>
      <c r="AD130" s="307"/>
      <c r="AE130" s="307"/>
      <c r="AF130" s="307"/>
      <c r="AG130" s="307"/>
      <c r="AH130" s="307"/>
      <c r="AI130" s="307"/>
      <c r="AJ130" s="307"/>
      <c r="AK130" s="307"/>
      <c r="AL130" s="307"/>
    </row>
    <row r="131" customFormat="false" ht="12.75" hidden="false" customHeight="false" outlineLevel="0" collapsed="false">
      <c r="A131" s="307"/>
      <c r="B131" s="307"/>
      <c r="C131" s="307"/>
      <c r="D131" s="307"/>
      <c r="E131" s="307"/>
      <c r="F131" s="307"/>
      <c r="G131" s="435"/>
      <c r="H131" s="323" t="n">
        <f aca="false">Swap!A117</f>
        <v>40391</v>
      </c>
      <c r="I131" s="428" t="n">
        <f aca="false">INDEX(IRTable,MATCH(H131,IRMonth,0),3)+K131</f>
        <v>0.185</v>
      </c>
      <c r="J131" s="436"/>
      <c r="K131" s="428"/>
      <c r="L131" s="430"/>
      <c r="M131" s="307"/>
      <c r="N131" s="92" t="n">
        <v>40179</v>
      </c>
      <c r="O131" s="92" t="n">
        <v>40175</v>
      </c>
      <c r="P131" s="307"/>
      <c r="Q131" s="74"/>
      <c r="R131" s="14"/>
      <c r="S131" s="379" t="n">
        <v>0.15</v>
      </c>
      <c r="T131" s="380"/>
      <c r="U131" s="307"/>
      <c r="V131" s="307"/>
      <c r="W131" s="307"/>
      <c r="X131" s="307"/>
      <c r="Y131" s="307"/>
      <c r="Z131" s="307"/>
      <c r="AA131" s="307"/>
      <c r="AB131" s="307"/>
      <c r="AC131" s="307"/>
      <c r="AD131" s="307"/>
      <c r="AE131" s="307"/>
      <c r="AF131" s="307"/>
      <c r="AG131" s="307"/>
      <c r="AH131" s="307"/>
      <c r="AI131" s="307"/>
      <c r="AJ131" s="307"/>
      <c r="AK131" s="307"/>
      <c r="AL131" s="307"/>
    </row>
    <row r="132" customFormat="false" ht="12.75" hidden="false" customHeight="false" outlineLevel="0" collapsed="false">
      <c r="A132" s="307"/>
      <c r="B132" s="307"/>
      <c r="C132" s="307"/>
      <c r="D132" s="307"/>
      <c r="E132" s="307"/>
      <c r="F132" s="307"/>
      <c r="G132" s="435"/>
      <c r="H132" s="323" t="n">
        <f aca="false">Swap!A118</f>
        <v>40422</v>
      </c>
      <c r="I132" s="428" t="n">
        <f aca="false">INDEX(IRTable,MATCH(H132,IRMonth,0),3)+K132</f>
        <v>0.185</v>
      </c>
      <c r="J132" s="436"/>
      <c r="K132" s="428"/>
      <c r="L132" s="430"/>
      <c r="M132" s="307"/>
      <c r="N132" s="92" t="n">
        <v>40210</v>
      </c>
      <c r="O132" s="92" t="n">
        <v>40204</v>
      </c>
      <c r="P132" s="307"/>
      <c r="Q132" s="74"/>
      <c r="R132" s="14"/>
      <c r="S132" s="379" t="n">
        <v>0.15</v>
      </c>
      <c r="T132" s="380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7"/>
      <c r="AG132" s="307"/>
      <c r="AH132" s="307"/>
      <c r="AI132" s="307"/>
      <c r="AJ132" s="307"/>
      <c r="AK132" s="307"/>
      <c r="AL132" s="307"/>
    </row>
    <row r="133" customFormat="false" ht="12.75" hidden="false" customHeight="false" outlineLevel="0" collapsed="false">
      <c r="A133" s="307"/>
      <c r="B133" s="307"/>
      <c r="C133" s="307"/>
      <c r="D133" s="307"/>
      <c r="E133" s="307"/>
      <c r="F133" s="307"/>
      <c r="G133" s="426"/>
      <c r="H133" s="323" t="n">
        <f aca="false">Swap!A119</f>
        <v>40452</v>
      </c>
      <c r="I133" s="428" t="n">
        <f aca="false">INDEX(IRTable,MATCH(H133,IRMonth,0),3)+K133</f>
        <v>0.185</v>
      </c>
      <c r="J133" s="429"/>
      <c r="K133" s="428"/>
      <c r="L133" s="430"/>
      <c r="M133" s="307"/>
      <c r="N133" s="92" t="n">
        <v>40238</v>
      </c>
      <c r="O133" s="92" t="n">
        <v>40232</v>
      </c>
      <c r="P133" s="307"/>
      <c r="Q133" s="74"/>
      <c r="R133" s="14"/>
      <c r="S133" s="379" t="n">
        <v>0.15</v>
      </c>
      <c r="T133" s="380"/>
      <c r="U133" s="307"/>
      <c r="V133" s="307"/>
      <c r="W133" s="307"/>
      <c r="X133" s="307"/>
      <c r="Y133" s="307"/>
      <c r="Z133" s="307"/>
      <c r="AA133" s="307"/>
      <c r="AB133" s="307"/>
      <c r="AC133" s="307"/>
      <c r="AD133" s="307"/>
      <c r="AE133" s="307"/>
      <c r="AF133" s="307"/>
      <c r="AG133" s="307"/>
      <c r="AH133" s="307"/>
      <c r="AI133" s="307"/>
      <c r="AJ133" s="307"/>
      <c r="AK133" s="307"/>
      <c r="AL133" s="307"/>
    </row>
    <row r="134" customFormat="false" ht="12.75" hidden="false" customHeight="false" outlineLevel="0" collapsed="false">
      <c r="A134" s="307"/>
      <c r="B134" s="307"/>
      <c r="C134" s="307"/>
      <c r="D134" s="307"/>
      <c r="E134" s="307"/>
      <c r="F134" s="307"/>
      <c r="G134" s="435"/>
      <c r="H134" s="323" t="n">
        <f aca="false">Swap!A120</f>
        <v>40483</v>
      </c>
      <c r="I134" s="428" t="n">
        <f aca="false">INDEX(IRTable,MATCH(H134,IRMonth,0),3)+K134</f>
        <v>0.185</v>
      </c>
      <c r="J134" s="436"/>
      <c r="K134" s="428"/>
      <c r="L134" s="430"/>
      <c r="M134" s="307"/>
      <c r="N134" s="92" t="n">
        <v>40269</v>
      </c>
      <c r="O134" s="92" t="n">
        <v>40263</v>
      </c>
      <c r="P134" s="307"/>
      <c r="Q134" s="74"/>
      <c r="R134" s="14"/>
      <c r="S134" s="379" t="n">
        <v>0.15</v>
      </c>
      <c r="T134" s="380"/>
      <c r="U134" s="307"/>
      <c r="V134" s="307"/>
      <c r="W134" s="307"/>
      <c r="X134" s="307"/>
      <c r="Y134" s="307"/>
      <c r="Z134" s="307"/>
      <c r="AA134" s="307"/>
      <c r="AB134" s="307"/>
      <c r="AC134" s="307"/>
      <c r="AD134" s="307"/>
      <c r="AE134" s="307"/>
      <c r="AF134" s="307"/>
      <c r="AG134" s="307"/>
      <c r="AH134" s="307"/>
      <c r="AI134" s="307"/>
      <c r="AJ134" s="307"/>
      <c r="AK134" s="307"/>
      <c r="AL134" s="307"/>
    </row>
    <row r="135" customFormat="false" ht="12.75" hidden="false" customHeight="false" outlineLevel="0" collapsed="false">
      <c r="A135" s="307"/>
      <c r="B135" s="307"/>
      <c r="C135" s="307"/>
      <c r="D135" s="307"/>
      <c r="E135" s="307"/>
      <c r="F135" s="307"/>
      <c r="G135" s="435"/>
      <c r="H135" s="323" t="n">
        <f aca="false">Swap!A121</f>
        <v>40513</v>
      </c>
      <c r="I135" s="428" t="n">
        <f aca="false">INDEX(IRTable,MATCH(H135,IRMonth,0),3)+K135</f>
        <v>0.185</v>
      </c>
      <c r="J135" s="436"/>
      <c r="K135" s="428"/>
      <c r="L135" s="430"/>
      <c r="M135" s="307"/>
      <c r="N135" s="92" t="n">
        <v>40299</v>
      </c>
      <c r="O135" s="92" t="n">
        <v>40295</v>
      </c>
      <c r="P135" s="307"/>
      <c r="Q135" s="74"/>
      <c r="R135" s="14"/>
      <c r="S135" s="379" t="n">
        <v>0.15</v>
      </c>
      <c r="T135" s="380"/>
      <c r="U135" s="307"/>
      <c r="V135" s="307"/>
      <c r="W135" s="307"/>
      <c r="X135" s="307"/>
      <c r="Y135" s="307"/>
      <c r="Z135" s="307"/>
      <c r="AA135" s="307"/>
      <c r="AB135" s="307"/>
      <c r="AC135" s="307"/>
      <c r="AD135" s="307"/>
      <c r="AE135" s="307"/>
      <c r="AF135" s="307"/>
      <c r="AG135" s="307"/>
      <c r="AH135" s="307"/>
      <c r="AI135" s="307"/>
      <c r="AJ135" s="307"/>
      <c r="AK135" s="307"/>
      <c r="AL135" s="307"/>
    </row>
    <row r="136" customFormat="false" ht="12.75" hidden="false" customHeight="false" outlineLevel="0" collapsed="false">
      <c r="A136" s="307"/>
      <c r="B136" s="307"/>
      <c r="C136" s="307"/>
      <c r="D136" s="307"/>
      <c r="E136" s="307"/>
      <c r="F136" s="307"/>
      <c r="G136" s="435"/>
      <c r="H136" s="323" t="n">
        <f aca="false">Swap!A122</f>
        <v>40544</v>
      </c>
      <c r="I136" s="428" t="n">
        <f aca="false">INDEX(IRTable,MATCH(H136,IRMonth,0),3)+K136</f>
        <v>0.185</v>
      </c>
      <c r="J136" s="436"/>
      <c r="K136" s="428"/>
      <c r="L136" s="430"/>
      <c r="M136" s="307"/>
      <c r="N136" s="92" t="n">
        <v>40330</v>
      </c>
      <c r="O136" s="92" t="n">
        <v>40323</v>
      </c>
      <c r="P136" s="307"/>
      <c r="Q136" s="74"/>
      <c r="R136" s="14"/>
      <c r="S136" s="379" t="n">
        <v>0.157</v>
      </c>
      <c r="T136" s="380"/>
      <c r="U136" s="307"/>
      <c r="V136" s="307"/>
      <c r="W136" s="307"/>
      <c r="X136" s="307"/>
      <c r="Y136" s="307"/>
      <c r="Z136" s="307"/>
      <c r="AA136" s="307"/>
      <c r="AB136" s="307"/>
      <c r="AC136" s="307"/>
      <c r="AD136" s="307"/>
      <c r="AE136" s="307"/>
      <c r="AF136" s="307"/>
      <c r="AG136" s="307"/>
      <c r="AH136" s="307"/>
      <c r="AI136" s="307"/>
      <c r="AJ136" s="307"/>
      <c r="AK136" s="307"/>
      <c r="AL136" s="307"/>
    </row>
    <row r="137" customFormat="false" ht="12.75" hidden="false" customHeight="false" outlineLevel="0" collapsed="false">
      <c r="A137" s="307"/>
      <c r="B137" s="307"/>
      <c r="C137" s="307"/>
      <c r="D137" s="307"/>
      <c r="E137" s="307"/>
      <c r="F137" s="307"/>
      <c r="G137" s="435"/>
      <c r="H137" s="323" t="n">
        <f aca="false">Swap!A123</f>
        <v>40575</v>
      </c>
      <c r="I137" s="428" t="n">
        <f aca="false">INDEX(IRTable,MATCH(H137,IRMonth,0),3)+K137</f>
        <v>0.185</v>
      </c>
      <c r="J137" s="436"/>
      <c r="K137" s="428"/>
      <c r="L137" s="430"/>
      <c r="M137" s="307"/>
      <c r="N137" s="92" t="n">
        <v>40360</v>
      </c>
      <c r="O137" s="92" t="n">
        <v>40354</v>
      </c>
      <c r="P137" s="307"/>
      <c r="Q137" s="74"/>
      <c r="R137" s="14"/>
      <c r="S137" s="379" t="n">
        <v>0.157</v>
      </c>
      <c r="T137" s="380"/>
      <c r="U137" s="307"/>
      <c r="V137" s="307"/>
      <c r="W137" s="307"/>
      <c r="X137" s="307"/>
      <c r="Y137" s="307"/>
      <c r="Z137" s="307"/>
      <c r="AA137" s="307"/>
      <c r="AB137" s="307"/>
      <c r="AC137" s="307"/>
      <c r="AD137" s="307"/>
      <c r="AE137" s="307"/>
      <c r="AF137" s="307"/>
      <c r="AG137" s="307"/>
      <c r="AH137" s="307"/>
      <c r="AI137" s="307"/>
      <c r="AJ137" s="307"/>
      <c r="AK137" s="307"/>
      <c r="AL137" s="307"/>
    </row>
    <row r="138" customFormat="false" ht="12.75" hidden="false" customHeight="false" outlineLevel="0" collapsed="false">
      <c r="A138" s="307"/>
      <c r="B138" s="307"/>
      <c r="C138" s="307"/>
      <c r="D138" s="307"/>
      <c r="E138" s="307"/>
      <c r="F138" s="307"/>
      <c r="G138" s="435"/>
      <c r="H138" s="323" t="n">
        <f aca="false">Swap!A124</f>
        <v>40603</v>
      </c>
      <c r="I138" s="428" t="n">
        <f aca="false">INDEX(IRTable,MATCH(H138,IRMonth,0),3)+K138</f>
        <v>0.18</v>
      </c>
      <c r="J138" s="436"/>
      <c r="K138" s="428"/>
      <c r="L138" s="430"/>
      <c r="M138" s="307"/>
      <c r="N138" s="92" t="n">
        <v>40391</v>
      </c>
      <c r="O138" s="92" t="n">
        <v>40386</v>
      </c>
      <c r="P138" s="307"/>
      <c r="Q138" s="74"/>
      <c r="R138" s="14"/>
      <c r="S138" s="379" t="n">
        <v>0.157</v>
      </c>
      <c r="T138" s="380"/>
      <c r="U138" s="307"/>
      <c r="V138" s="307"/>
      <c r="W138" s="307"/>
      <c r="X138" s="307"/>
      <c r="Y138" s="307"/>
      <c r="Z138" s="307"/>
      <c r="AA138" s="307"/>
      <c r="AB138" s="307"/>
      <c r="AC138" s="307"/>
      <c r="AD138" s="307"/>
      <c r="AE138" s="307"/>
      <c r="AF138" s="307"/>
      <c r="AG138" s="307"/>
      <c r="AH138" s="307"/>
      <c r="AI138" s="307"/>
      <c r="AJ138" s="307"/>
      <c r="AK138" s="307"/>
      <c r="AL138" s="307"/>
    </row>
    <row r="139" customFormat="false" ht="12.75" hidden="false" customHeight="false" outlineLevel="0" collapsed="false">
      <c r="A139" s="307"/>
      <c r="B139" s="307"/>
      <c r="C139" s="307"/>
      <c r="D139" s="307"/>
      <c r="E139" s="307"/>
      <c r="F139" s="307"/>
      <c r="G139" s="435"/>
      <c r="H139" s="323" t="n">
        <f aca="false">Swap!A125</f>
        <v>40634</v>
      </c>
      <c r="I139" s="428" t="n">
        <f aca="false">INDEX(IRTable,MATCH(H139,IRMonth,0),3)+K139</f>
        <v>0.18</v>
      </c>
      <c r="J139" s="436"/>
      <c r="K139" s="428"/>
      <c r="L139" s="430"/>
      <c r="M139" s="307"/>
      <c r="N139" s="92" t="n">
        <v>40422</v>
      </c>
      <c r="O139" s="92" t="n">
        <v>40416</v>
      </c>
      <c r="P139" s="307"/>
      <c r="Q139" s="74"/>
      <c r="R139" s="14"/>
      <c r="S139" s="379" t="n">
        <v>0.157</v>
      </c>
      <c r="T139" s="380"/>
      <c r="U139" s="307"/>
      <c r="V139" s="307"/>
      <c r="W139" s="307"/>
      <c r="X139" s="307"/>
      <c r="Y139" s="307"/>
      <c r="Z139" s="307"/>
      <c r="AA139" s="307"/>
      <c r="AB139" s="307"/>
      <c r="AC139" s="307"/>
      <c r="AD139" s="307"/>
      <c r="AE139" s="307"/>
      <c r="AF139" s="307"/>
      <c r="AG139" s="307"/>
      <c r="AH139" s="307"/>
      <c r="AI139" s="307"/>
      <c r="AJ139" s="307"/>
      <c r="AK139" s="307"/>
      <c r="AL139" s="307"/>
    </row>
    <row r="140" customFormat="false" ht="12.75" hidden="false" customHeight="false" outlineLevel="0" collapsed="false">
      <c r="A140" s="307"/>
      <c r="B140" s="307"/>
      <c r="C140" s="307"/>
      <c r="D140" s="307"/>
      <c r="E140" s="307"/>
      <c r="F140" s="307"/>
      <c r="G140" s="426"/>
      <c r="H140" s="323" t="n">
        <f aca="false">Swap!A126</f>
        <v>40664</v>
      </c>
      <c r="I140" s="428" t="n">
        <f aca="false">INDEX(IRTable,MATCH(H140,IRMonth,0),3)+K140</f>
        <v>0.18</v>
      </c>
      <c r="J140" s="429"/>
      <c r="K140" s="428"/>
      <c r="L140" s="430"/>
      <c r="M140" s="307"/>
      <c r="N140" s="92" t="n">
        <v>40452</v>
      </c>
      <c r="O140" s="92" t="n">
        <v>40448</v>
      </c>
      <c r="P140" s="307"/>
      <c r="Q140" s="74"/>
      <c r="R140" s="14"/>
      <c r="S140" s="379" t="n">
        <v>0.157</v>
      </c>
      <c r="T140" s="380"/>
      <c r="U140" s="307"/>
      <c r="V140" s="307"/>
      <c r="W140" s="307"/>
      <c r="X140" s="307"/>
      <c r="Y140" s="307"/>
      <c r="Z140" s="307"/>
      <c r="AA140" s="307"/>
      <c r="AB140" s="307"/>
      <c r="AC140" s="307"/>
      <c r="AD140" s="307"/>
      <c r="AE140" s="307"/>
      <c r="AF140" s="307"/>
      <c r="AG140" s="307"/>
      <c r="AH140" s="307"/>
      <c r="AI140" s="307"/>
      <c r="AJ140" s="307"/>
      <c r="AK140" s="307"/>
      <c r="AL140" s="307"/>
    </row>
    <row r="141" customFormat="false" ht="12.75" hidden="false" customHeight="false" outlineLevel="0" collapsed="false">
      <c r="A141" s="307"/>
      <c r="B141" s="307"/>
      <c r="C141" s="307"/>
      <c r="D141" s="307"/>
      <c r="E141" s="307"/>
      <c r="F141" s="307"/>
      <c r="G141" s="435"/>
      <c r="H141" s="323" t="n">
        <f aca="false">Swap!A127</f>
        <v>40695</v>
      </c>
      <c r="I141" s="428" t="n">
        <f aca="false">INDEX(IRTable,MATCH(H141,IRMonth,0),3)+K141</f>
        <v>0.18</v>
      </c>
      <c r="J141" s="436"/>
      <c r="K141" s="428"/>
      <c r="L141" s="430"/>
      <c r="M141" s="307"/>
      <c r="N141" s="92" t="n">
        <v>40483</v>
      </c>
      <c r="O141" s="92" t="n">
        <v>40477</v>
      </c>
      <c r="P141" s="307"/>
      <c r="Q141" s="74"/>
      <c r="R141" s="14"/>
      <c r="S141" s="379" t="n">
        <v>0.157</v>
      </c>
      <c r="T141" s="380"/>
      <c r="U141" s="307"/>
      <c r="V141" s="307"/>
      <c r="W141" s="307"/>
      <c r="X141" s="307"/>
      <c r="Y141" s="307"/>
      <c r="Z141" s="307"/>
      <c r="AA141" s="307"/>
      <c r="AB141" s="307"/>
      <c r="AC141" s="307"/>
      <c r="AD141" s="307"/>
      <c r="AE141" s="307"/>
      <c r="AF141" s="307"/>
      <c r="AG141" s="307"/>
      <c r="AH141" s="307"/>
      <c r="AI141" s="307"/>
      <c r="AJ141" s="307"/>
      <c r="AK141" s="307"/>
      <c r="AL141" s="307"/>
    </row>
    <row r="142" customFormat="false" ht="12.75" hidden="false" customHeight="false" outlineLevel="0" collapsed="false">
      <c r="A142" s="307"/>
      <c r="B142" s="307"/>
      <c r="C142" s="307"/>
      <c r="D142" s="307"/>
      <c r="E142" s="307"/>
      <c r="F142" s="307"/>
      <c r="G142" s="435"/>
      <c r="H142" s="323" t="n">
        <f aca="false">Swap!A128</f>
        <v>40725</v>
      </c>
      <c r="I142" s="428" t="n">
        <f aca="false">INDEX(IRTable,MATCH(H142,IRMonth,0),3)+K142</f>
        <v>0.18</v>
      </c>
      <c r="J142" s="436"/>
      <c r="K142" s="428"/>
      <c r="L142" s="430"/>
      <c r="M142" s="307"/>
      <c r="N142" s="92" t="n">
        <v>40513</v>
      </c>
      <c r="O142" s="92" t="n">
        <v>40506</v>
      </c>
      <c r="P142" s="307"/>
      <c r="Q142" s="74"/>
      <c r="R142" s="14"/>
      <c r="S142" s="379" t="n">
        <v>0.157</v>
      </c>
      <c r="T142" s="380"/>
      <c r="U142" s="307"/>
      <c r="V142" s="307"/>
      <c r="W142" s="307"/>
      <c r="X142" s="307"/>
      <c r="Y142" s="307"/>
      <c r="Z142" s="307"/>
      <c r="AA142" s="307"/>
      <c r="AB142" s="307"/>
      <c r="AC142" s="307"/>
      <c r="AD142" s="307"/>
      <c r="AE142" s="307"/>
      <c r="AF142" s="307"/>
      <c r="AG142" s="307"/>
      <c r="AH142" s="307"/>
      <c r="AI142" s="307"/>
      <c r="AJ142" s="307"/>
      <c r="AK142" s="307"/>
      <c r="AL142" s="307"/>
    </row>
    <row r="143" customFormat="false" ht="12.75" hidden="false" customHeight="false" outlineLevel="0" collapsed="false">
      <c r="A143" s="307"/>
      <c r="B143" s="307"/>
      <c r="C143" s="307"/>
      <c r="D143" s="307"/>
      <c r="E143" s="307"/>
      <c r="F143" s="307"/>
      <c r="G143" s="435"/>
      <c r="H143" s="323" t="n">
        <f aca="false">Swap!A129</f>
        <v>40756</v>
      </c>
      <c r="I143" s="428" t="n">
        <f aca="false">INDEX(IRTable,MATCH(H143,IRMonth,0),3)+K143</f>
        <v>0.18</v>
      </c>
      <c r="J143" s="436"/>
      <c r="K143" s="428"/>
      <c r="L143" s="430"/>
      <c r="M143" s="307"/>
      <c r="N143" s="92" t="n">
        <v>40544</v>
      </c>
      <c r="O143" s="92" t="n">
        <v>40539</v>
      </c>
      <c r="P143" s="307"/>
      <c r="Q143" s="74"/>
      <c r="R143" s="14"/>
      <c r="S143" s="379" t="n">
        <v>0.157</v>
      </c>
      <c r="T143" s="380"/>
      <c r="U143" s="307"/>
      <c r="V143" s="307"/>
      <c r="W143" s="307"/>
      <c r="X143" s="307"/>
      <c r="Y143" s="307"/>
      <c r="Z143" s="307"/>
      <c r="AA143" s="307"/>
      <c r="AB143" s="307"/>
      <c r="AC143" s="307"/>
      <c r="AD143" s="307"/>
      <c r="AE143" s="307"/>
      <c r="AF143" s="307"/>
      <c r="AG143" s="307"/>
      <c r="AH143" s="307"/>
      <c r="AI143" s="307"/>
      <c r="AJ143" s="307"/>
      <c r="AK143" s="307"/>
      <c r="AL143" s="307"/>
    </row>
    <row r="144" customFormat="false" ht="12.75" hidden="false" customHeight="false" outlineLevel="0" collapsed="false">
      <c r="A144" s="307"/>
      <c r="B144" s="307"/>
      <c r="C144" s="307"/>
      <c r="D144" s="307"/>
      <c r="E144" s="307"/>
      <c r="F144" s="307"/>
      <c r="G144" s="435"/>
      <c r="H144" s="323" t="n">
        <f aca="false">Swap!A130</f>
        <v>40787</v>
      </c>
      <c r="I144" s="428" t="n">
        <f aca="false">INDEX(IRTable,MATCH(H144,IRMonth,0),3)+K144</f>
        <v>0.18</v>
      </c>
      <c r="J144" s="436"/>
      <c r="K144" s="428"/>
      <c r="L144" s="430"/>
      <c r="M144" s="307"/>
      <c r="N144" s="92" t="n">
        <v>40575</v>
      </c>
      <c r="O144" s="92" t="n">
        <v>40569</v>
      </c>
      <c r="P144" s="307"/>
      <c r="Q144" s="74"/>
      <c r="R144" s="14"/>
      <c r="S144" s="379" t="n">
        <v>0.157</v>
      </c>
      <c r="T144" s="380"/>
      <c r="U144" s="307"/>
      <c r="V144" s="307"/>
      <c r="W144" s="307"/>
      <c r="X144" s="307"/>
      <c r="Y144" s="307"/>
      <c r="Z144" s="307"/>
      <c r="AA144" s="307"/>
      <c r="AB144" s="307"/>
      <c r="AC144" s="307"/>
      <c r="AD144" s="307"/>
      <c r="AE144" s="307"/>
      <c r="AF144" s="307"/>
      <c r="AG144" s="307"/>
      <c r="AH144" s="307"/>
      <c r="AI144" s="307"/>
      <c r="AJ144" s="307"/>
      <c r="AK144" s="307"/>
      <c r="AL144" s="307"/>
    </row>
    <row r="145" customFormat="false" ht="12.75" hidden="false" customHeight="false" outlineLevel="0" collapsed="false">
      <c r="A145" s="307"/>
      <c r="B145" s="307"/>
      <c r="C145" s="307"/>
      <c r="D145" s="307"/>
      <c r="E145" s="307"/>
      <c r="F145" s="307"/>
      <c r="G145" s="426"/>
      <c r="H145" s="323" t="n">
        <f aca="false">Swap!A131</f>
        <v>40817</v>
      </c>
      <c r="I145" s="428" t="n">
        <f aca="false">INDEX(IRTable,MATCH(H145,IRMonth,0),3)+K145</f>
        <v>0.18</v>
      </c>
      <c r="J145" s="429"/>
      <c r="K145" s="428"/>
      <c r="L145" s="430"/>
      <c r="M145" s="307"/>
      <c r="N145" s="92" t="n">
        <v>40603</v>
      </c>
      <c r="O145" s="92" t="n">
        <v>40597</v>
      </c>
      <c r="P145" s="307"/>
      <c r="Q145" s="74"/>
      <c r="R145" s="14"/>
      <c r="S145" s="379" t="n">
        <v>0.157</v>
      </c>
      <c r="T145" s="380"/>
      <c r="U145" s="307"/>
      <c r="V145" s="307"/>
      <c r="W145" s="307"/>
      <c r="X145" s="307"/>
      <c r="Y145" s="307"/>
      <c r="Z145" s="307"/>
      <c r="AA145" s="307"/>
      <c r="AB145" s="307"/>
      <c r="AC145" s="307"/>
      <c r="AD145" s="307"/>
      <c r="AE145" s="307"/>
      <c r="AF145" s="307"/>
      <c r="AG145" s="307"/>
      <c r="AH145" s="307"/>
      <c r="AI145" s="307"/>
      <c r="AJ145" s="307"/>
      <c r="AK145" s="307"/>
      <c r="AL145" s="307"/>
    </row>
    <row r="146" customFormat="false" ht="12.75" hidden="false" customHeight="false" outlineLevel="0" collapsed="false">
      <c r="A146" s="307"/>
      <c r="B146" s="307"/>
      <c r="C146" s="307"/>
      <c r="D146" s="307"/>
      <c r="E146" s="307"/>
      <c r="F146" s="307"/>
      <c r="G146" s="435"/>
      <c r="H146" s="323" t="n">
        <f aca="false">Swap!A132</f>
        <v>40848</v>
      </c>
      <c r="I146" s="428" t="n">
        <f aca="false">INDEX(IRTable,MATCH(H146,IRMonth,0),3)+K146</f>
        <v>0.18</v>
      </c>
      <c r="J146" s="436"/>
      <c r="K146" s="428"/>
      <c r="L146" s="430"/>
      <c r="M146" s="307"/>
      <c r="N146" s="92" t="n">
        <v>40634</v>
      </c>
      <c r="O146" s="92" t="n">
        <v>40630</v>
      </c>
      <c r="P146" s="307"/>
      <c r="Q146" s="74"/>
      <c r="R146" s="14"/>
      <c r="S146" s="379" t="n">
        <v>0.157</v>
      </c>
      <c r="T146" s="380"/>
      <c r="U146" s="307"/>
      <c r="V146" s="307"/>
      <c r="W146" s="307"/>
      <c r="X146" s="307"/>
      <c r="Y146" s="307"/>
      <c r="Z146" s="307"/>
      <c r="AA146" s="307"/>
      <c r="AB146" s="307"/>
      <c r="AC146" s="307"/>
      <c r="AD146" s="307"/>
      <c r="AE146" s="307"/>
      <c r="AF146" s="307"/>
      <c r="AG146" s="307"/>
      <c r="AH146" s="307"/>
      <c r="AI146" s="307"/>
      <c r="AJ146" s="307"/>
      <c r="AK146" s="307"/>
      <c r="AL146" s="307"/>
    </row>
    <row r="147" customFormat="false" ht="12.75" hidden="false" customHeight="false" outlineLevel="0" collapsed="false">
      <c r="A147" s="307"/>
      <c r="B147" s="307"/>
      <c r="C147" s="307"/>
      <c r="D147" s="307"/>
      <c r="E147" s="307"/>
      <c r="F147" s="307"/>
      <c r="G147" s="435"/>
      <c r="H147" s="323" t="n">
        <f aca="false">Swap!A133</f>
        <v>40878</v>
      </c>
      <c r="I147" s="428" t="n">
        <f aca="false">INDEX(IRTable,MATCH(H147,IRMonth,0),3)+K147</f>
        <v>0.18</v>
      </c>
      <c r="J147" s="436"/>
      <c r="K147" s="428"/>
      <c r="L147" s="430"/>
      <c r="M147" s="307"/>
      <c r="N147" s="92" t="n">
        <v>40664</v>
      </c>
      <c r="O147" s="92" t="n">
        <v>40659</v>
      </c>
      <c r="P147" s="307"/>
      <c r="Q147" s="74"/>
      <c r="R147" s="14"/>
      <c r="S147" s="379" t="n">
        <v>0.157</v>
      </c>
      <c r="T147" s="380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7"/>
      <c r="AF147" s="307"/>
      <c r="AG147" s="307"/>
      <c r="AH147" s="307"/>
      <c r="AI147" s="307"/>
      <c r="AJ147" s="307"/>
      <c r="AK147" s="307"/>
      <c r="AL147" s="307"/>
    </row>
    <row r="148" customFormat="false" ht="12.75" hidden="false" customHeight="false" outlineLevel="0" collapsed="false">
      <c r="A148" s="307"/>
      <c r="B148" s="307"/>
      <c r="C148" s="307"/>
      <c r="D148" s="307"/>
      <c r="E148" s="307"/>
      <c r="F148" s="307"/>
      <c r="G148" s="435"/>
      <c r="H148" s="323" t="n">
        <f aca="false">Swap!A134</f>
        <v>40909</v>
      </c>
      <c r="I148" s="428" t="n">
        <f aca="false">INDEX(IRTable,MATCH(H148,IRMonth,0),3)+K148</f>
        <v>0.18</v>
      </c>
      <c r="J148" s="436"/>
      <c r="K148" s="428"/>
      <c r="L148" s="430"/>
      <c r="M148" s="307"/>
      <c r="N148" s="92" t="n">
        <v>40695</v>
      </c>
      <c r="O148" s="92" t="n">
        <v>40688</v>
      </c>
      <c r="P148" s="307"/>
      <c r="Q148" s="74"/>
      <c r="R148" s="14"/>
      <c r="S148" s="379" t="n">
        <v>0.156</v>
      </c>
      <c r="T148" s="380"/>
      <c r="U148" s="307"/>
      <c r="V148" s="307"/>
      <c r="W148" s="307"/>
      <c r="X148" s="307"/>
      <c r="Y148" s="307"/>
      <c r="Z148" s="307"/>
      <c r="AA148" s="307"/>
      <c r="AB148" s="307"/>
      <c r="AC148" s="307"/>
      <c r="AD148" s="307"/>
      <c r="AE148" s="307"/>
      <c r="AF148" s="307"/>
      <c r="AG148" s="307"/>
      <c r="AH148" s="307"/>
      <c r="AI148" s="307"/>
      <c r="AJ148" s="307"/>
      <c r="AK148" s="307"/>
      <c r="AL148" s="307"/>
    </row>
    <row r="149" customFormat="false" ht="12.75" hidden="false" customHeight="false" outlineLevel="0" collapsed="false">
      <c r="A149" s="307"/>
      <c r="B149" s="307"/>
      <c r="C149" s="307"/>
      <c r="D149" s="307"/>
      <c r="E149" s="307"/>
      <c r="F149" s="307"/>
      <c r="G149" s="435"/>
      <c r="H149" s="323" t="n">
        <f aca="false">Swap!A135</f>
        <v>40940</v>
      </c>
      <c r="I149" s="428" t="n">
        <f aca="false">INDEX(IRTable,MATCH(H149,IRMonth,0),3)+K149</f>
        <v>0.175</v>
      </c>
      <c r="J149" s="436"/>
      <c r="K149" s="428"/>
      <c r="L149" s="430"/>
      <c r="M149" s="307"/>
      <c r="N149" s="92" t="n">
        <v>40725</v>
      </c>
      <c r="O149" s="92" t="n">
        <v>40721</v>
      </c>
      <c r="P149" s="307"/>
      <c r="Q149" s="74"/>
      <c r="R149" s="14"/>
      <c r="S149" s="379" t="n">
        <v>0.156</v>
      </c>
      <c r="T149" s="380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7"/>
      <c r="AF149" s="307"/>
      <c r="AG149" s="307"/>
      <c r="AH149" s="307"/>
      <c r="AI149" s="307"/>
      <c r="AJ149" s="307"/>
      <c r="AK149" s="307"/>
      <c r="AL149" s="307"/>
    </row>
    <row r="150" customFormat="false" ht="12.75" hidden="false" customHeight="false" outlineLevel="0" collapsed="false">
      <c r="A150" s="307"/>
      <c r="B150" s="307"/>
      <c r="C150" s="307"/>
      <c r="D150" s="307"/>
      <c r="E150" s="307"/>
      <c r="F150" s="307"/>
      <c r="G150" s="435"/>
      <c r="H150" s="323" t="n">
        <f aca="false">Swap!A136</f>
        <v>40969</v>
      </c>
      <c r="I150" s="428" t="n">
        <f aca="false">INDEX(IRTable,MATCH(H150,IRMonth,0),3)+K150</f>
        <v>0.17</v>
      </c>
      <c r="J150" s="436"/>
      <c r="K150" s="428"/>
      <c r="L150" s="430"/>
      <c r="M150" s="307"/>
      <c r="N150" s="92" t="n">
        <v>40756</v>
      </c>
      <c r="O150" s="92" t="n">
        <v>40750</v>
      </c>
      <c r="P150" s="307"/>
      <c r="Q150" s="74"/>
      <c r="R150" s="14"/>
      <c r="S150" s="379" t="n">
        <v>0.156</v>
      </c>
      <c r="T150" s="380"/>
      <c r="U150" s="307"/>
      <c r="V150" s="307"/>
      <c r="W150" s="307"/>
      <c r="X150" s="307"/>
      <c r="Y150" s="307"/>
      <c r="Z150" s="307"/>
      <c r="AA150" s="307"/>
      <c r="AB150" s="307"/>
      <c r="AC150" s="307"/>
      <c r="AD150" s="307"/>
      <c r="AE150" s="307"/>
      <c r="AF150" s="307"/>
      <c r="AG150" s="307"/>
      <c r="AH150" s="307"/>
      <c r="AI150" s="307"/>
      <c r="AJ150" s="307"/>
      <c r="AK150" s="307"/>
      <c r="AL150" s="307"/>
    </row>
    <row r="151" customFormat="false" ht="12.75" hidden="false" customHeight="false" outlineLevel="0" collapsed="false">
      <c r="A151" s="307"/>
      <c r="B151" s="307"/>
      <c r="C151" s="307"/>
      <c r="D151" s="307"/>
      <c r="E151" s="307"/>
      <c r="F151" s="307"/>
      <c r="G151" s="435"/>
      <c r="H151" s="323" t="n">
        <f aca="false">Swap!A137</f>
        <v>41000</v>
      </c>
      <c r="I151" s="428" t="n">
        <f aca="false">INDEX(IRTable,MATCH(H151,IRMonth,0),3)+K151</f>
        <v>0.17</v>
      </c>
      <c r="J151" s="436"/>
      <c r="K151" s="428"/>
      <c r="L151" s="430"/>
      <c r="M151" s="307"/>
      <c r="N151" s="92" t="n">
        <v>40787</v>
      </c>
      <c r="O151" s="92" t="n">
        <v>40781</v>
      </c>
      <c r="P151" s="307"/>
      <c r="Q151" s="74"/>
      <c r="R151" s="14"/>
      <c r="S151" s="379" t="n">
        <v>0.156</v>
      </c>
      <c r="T151" s="380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7"/>
      <c r="AF151" s="307"/>
      <c r="AG151" s="307"/>
      <c r="AH151" s="307"/>
      <c r="AI151" s="307"/>
      <c r="AJ151" s="307"/>
      <c r="AK151" s="307"/>
      <c r="AL151" s="307"/>
    </row>
    <row r="152" customFormat="false" ht="12.75" hidden="false" customHeight="false" outlineLevel="0" collapsed="false">
      <c r="A152" s="307"/>
      <c r="B152" s="307"/>
      <c r="C152" s="307"/>
      <c r="D152" s="307"/>
      <c r="E152" s="307"/>
      <c r="F152" s="307"/>
      <c r="G152" s="426"/>
      <c r="H152" s="323" t="n">
        <f aca="false">Swap!A138</f>
        <v>41030</v>
      </c>
      <c r="I152" s="428" t="n">
        <f aca="false">INDEX(IRTable,MATCH(H152,IRMonth,0),3)+K152</f>
        <v>0.17</v>
      </c>
      <c r="J152" s="429"/>
      <c r="K152" s="428"/>
      <c r="L152" s="430"/>
      <c r="M152" s="307"/>
      <c r="N152" s="92" t="n">
        <v>40817</v>
      </c>
      <c r="O152" s="92" t="n">
        <v>40813</v>
      </c>
      <c r="P152" s="307"/>
      <c r="Q152" s="74"/>
      <c r="R152" s="14"/>
      <c r="S152" s="379" t="n">
        <v>0.156</v>
      </c>
      <c r="T152" s="380"/>
      <c r="U152" s="307"/>
      <c r="V152" s="307"/>
      <c r="W152" s="307"/>
      <c r="X152" s="307"/>
      <c r="Y152" s="307"/>
      <c r="Z152" s="307"/>
      <c r="AA152" s="307"/>
      <c r="AB152" s="307"/>
      <c r="AC152" s="307"/>
      <c r="AD152" s="307"/>
      <c r="AE152" s="307"/>
      <c r="AF152" s="307"/>
      <c r="AG152" s="307"/>
      <c r="AH152" s="307"/>
      <c r="AI152" s="307"/>
      <c r="AJ152" s="307"/>
      <c r="AK152" s="307"/>
      <c r="AL152" s="307"/>
    </row>
    <row r="153" customFormat="false" ht="12.75" hidden="false" customHeight="false" outlineLevel="0" collapsed="false">
      <c r="A153" s="307"/>
      <c r="B153" s="307"/>
      <c r="C153" s="307"/>
      <c r="D153" s="307"/>
      <c r="E153" s="307"/>
      <c r="F153" s="307"/>
      <c r="G153" s="435"/>
      <c r="H153" s="323" t="n">
        <f aca="false">Swap!A139</f>
        <v>41061</v>
      </c>
      <c r="I153" s="428" t="n">
        <f aca="false">INDEX(IRTable,MATCH(H153,IRMonth,0),3)+K153</f>
        <v>0.17</v>
      </c>
      <c r="J153" s="436"/>
      <c r="K153" s="428"/>
      <c r="L153" s="430"/>
      <c r="M153" s="307"/>
      <c r="N153" s="92" t="n">
        <v>40848</v>
      </c>
      <c r="O153" s="92" t="n">
        <v>40842</v>
      </c>
      <c r="P153" s="307"/>
      <c r="Q153" s="74"/>
      <c r="R153" s="14"/>
      <c r="S153" s="379" t="n">
        <v>0.156</v>
      </c>
      <c r="T153" s="380"/>
      <c r="U153" s="307"/>
      <c r="V153" s="307"/>
      <c r="W153" s="307"/>
      <c r="X153" s="307"/>
      <c r="Y153" s="307"/>
      <c r="Z153" s="307"/>
      <c r="AA153" s="307"/>
      <c r="AB153" s="307"/>
      <c r="AC153" s="307"/>
      <c r="AD153" s="307"/>
      <c r="AE153" s="307"/>
      <c r="AF153" s="307"/>
      <c r="AG153" s="307"/>
      <c r="AH153" s="307"/>
      <c r="AI153" s="307"/>
      <c r="AJ153" s="307"/>
      <c r="AK153" s="307"/>
      <c r="AL153" s="307"/>
    </row>
    <row r="154" customFormat="false" ht="12.75" hidden="false" customHeight="false" outlineLevel="0" collapsed="false">
      <c r="A154" s="307"/>
      <c r="B154" s="307"/>
      <c r="C154" s="307"/>
      <c r="D154" s="307"/>
      <c r="E154" s="307"/>
      <c r="F154" s="307"/>
      <c r="G154" s="435"/>
      <c r="H154" s="323" t="n">
        <f aca="false">Swap!A140</f>
        <v>41091</v>
      </c>
      <c r="I154" s="428" t="n">
        <f aca="false">INDEX(IRTable,MATCH(H154,IRMonth,0),3)+K154</f>
        <v>0.17</v>
      </c>
      <c r="J154" s="436"/>
      <c r="K154" s="428"/>
      <c r="L154" s="430"/>
      <c r="M154" s="307"/>
      <c r="N154" s="92" t="n">
        <v>40878</v>
      </c>
      <c r="O154" s="92" t="n">
        <v>40872</v>
      </c>
      <c r="P154" s="307"/>
      <c r="Q154" s="74"/>
      <c r="R154" s="14"/>
      <c r="S154" s="379" t="n">
        <v>0.156</v>
      </c>
      <c r="T154" s="380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7"/>
      <c r="AF154" s="307"/>
      <c r="AG154" s="307"/>
      <c r="AH154" s="307"/>
      <c r="AI154" s="307"/>
      <c r="AJ154" s="307"/>
      <c r="AK154" s="307"/>
      <c r="AL154" s="307"/>
    </row>
    <row r="155" customFormat="false" ht="12.75" hidden="false" customHeight="false" outlineLevel="0" collapsed="false">
      <c r="A155" s="307"/>
      <c r="B155" s="307"/>
      <c r="C155" s="307"/>
      <c r="D155" s="307"/>
      <c r="E155" s="307"/>
      <c r="F155" s="307"/>
      <c r="G155" s="435"/>
      <c r="H155" s="323" t="n">
        <f aca="false">Swap!A141</f>
        <v>41122</v>
      </c>
      <c r="I155" s="428" t="n">
        <f aca="false">INDEX(IRTable,MATCH(H155,IRMonth,0),3)+K155</f>
        <v>0.17</v>
      </c>
      <c r="J155" s="436"/>
      <c r="K155" s="428"/>
      <c r="L155" s="430"/>
      <c r="M155" s="307"/>
      <c r="N155" s="92" t="n">
        <v>40909</v>
      </c>
      <c r="O155" s="92" t="n">
        <v>40904</v>
      </c>
      <c r="P155" s="307"/>
      <c r="Q155" s="74"/>
      <c r="R155" s="14"/>
      <c r="S155" s="379" t="n">
        <v>0.156</v>
      </c>
      <c r="T155" s="380"/>
      <c r="U155" s="307"/>
      <c r="V155" s="307"/>
      <c r="W155" s="307"/>
      <c r="X155" s="307"/>
      <c r="Y155" s="307"/>
      <c r="Z155" s="307"/>
      <c r="AA155" s="307"/>
      <c r="AB155" s="307"/>
      <c r="AC155" s="307"/>
      <c r="AD155" s="307"/>
      <c r="AE155" s="307"/>
      <c r="AF155" s="307"/>
      <c r="AG155" s="307"/>
      <c r="AH155" s="307"/>
      <c r="AI155" s="307"/>
      <c r="AJ155" s="307"/>
      <c r="AK155" s="307"/>
      <c r="AL155" s="307"/>
    </row>
    <row r="156" customFormat="false" ht="12.75" hidden="false" customHeight="false" outlineLevel="0" collapsed="false">
      <c r="A156" s="307"/>
      <c r="B156" s="307"/>
      <c r="C156" s="307"/>
      <c r="D156" s="307"/>
      <c r="E156" s="307"/>
      <c r="F156" s="307"/>
      <c r="G156" s="435"/>
      <c r="H156" s="323" t="n">
        <f aca="false">Swap!A142</f>
        <v>41153</v>
      </c>
      <c r="I156" s="428" t="n">
        <f aca="false">INDEX(IRTable,MATCH(H156,IRMonth,0),3)+K156</f>
        <v>0.17</v>
      </c>
      <c r="J156" s="436"/>
      <c r="K156" s="428"/>
      <c r="L156" s="430"/>
      <c r="M156" s="307"/>
      <c r="N156" s="92" t="n">
        <v>40940</v>
      </c>
      <c r="O156" s="92" t="n">
        <v>40934</v>
      </c>
      <c r="P156" s="307"/>
      <c r="Q156" s="74"/>
      <c r="R156" s="14"/>
      <c r="S156" s="379" t="n">
        <v>0.156</v>
      </c>
      <c r="T156" s="380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7"/>
      <c r="AF156" s="307"/>
      <c r="AG156" s="307"/>
      <c r="AH156" s="307"/>
      <c r="AI156" s="307"/>
      <c r="AJ156" s="307"/>
      <c r="AK156" s="307"/>
      <c r="AL156" s="307"/>
    </row>
    <row r="157" customFormat="false" ht="12.75" hidden="false" customHeight="false" outlineLevel="0" collapsed="false">
      <c r="A157" s="307"/>
      <c r="B157" s="307"/>
      <c r="C157" s="307"/>
      <c r="D157" s="307"/>
      <c r="E157" s="307"/>
      <c r="F157" s="307"/>
      <c r="G157" s="426"/>
      <c r="H157" s="323" t="n">
        <f aca="false">Swap!A143</f>
        <v>41183</v>
      </c>
      <c r="I157" s="428" t="n">
        <f aca="false">INDEX(IRTable,MATCH(H157,IRMonth,0),3)+K157</f>
        <v>0.17</v>
      </c>
      <c r="J157" s="429"/>
      <c r="K157" s="428"/>
      <c r="L157" s="430"/>
      <c r="M157" s="307"/>
      <c r="N157" s="92" t="n">
        <v>40969</v>
      </c>
      <c r="O157" s="92" t="n">
        <v>40963</v>
      </c>
      <c r="P157" s="307"/>
      <c r="Q157" s="74"/>
      <c r="R157" s="14"/>
      <c r="S157" s="379" t="n">
        <v>0.156</v>
      </c>
      <c r="T157" s="380"/>
      <c r="U157" s="307"/>
      <c r="V157" s="307"/>
      <c r="W157" s="307"/>
      <c r="X157" s="307"/>
      <c r="Y157" s="307"/>
      <c r="Z157" s="307"/>
      <c r="AA157" s="307"/>
      <c r="AB157" s="307"/>
      <c r="AC157" s="307"/>
      <c r="AD157" s="307"/>
      <c r="AE157" s="307"/>
      <c r="AF157" s="307"/>
      <c r="AG157" s="307"/>
      <c r="AH157" s="307"/>
      <c r="AI157" s="307"/>
      <c r="AJ157" s="307"/>
      <c r="AK157" s="307"/>
      <c r="AL157" s="307"/>
    </row>
    <row r="158" customFormat="false" ht="12.75" hidden="false" customHeight="false" outlineLevel="0" collapsed="false">
      <c r="A158" s="307"/>
      <c r="B158" s="307"/>
      <c r="C158" s="307"/>
      <c r="D158" s="307"/>
      <c r="E158" s="307"/>
      <c r="F158" s="307"/>
      <c r="G158" s="477"/>
      <c r="H158" s="323" t="n">
        <f aca="false">Swap!A144</f>
        <v>41214</v>
      </c>
      <c r="I158" s="428" t="n">
        <f aca="false">INDEX(IRTable,MATCH(H158,IRMonth,0),3)+K158</f>
        <v>0.17</v>
      </c>
      <c r="J158" s="295"/>
      <c r="K158" s="428"/>
      <c r="L158" s="430"/>
      <c r="M158" s="307"/>
      <c r="N158" s="92" t="n">
        <v>41000</v>
      </c>
      <c r="O158" s="92" t="n">
        <v>40995</v>
      </c>
      <c r="P158" s="307"/>
      <c r="Q158" s="74"/>
      <c r="R158" s="14"/>
      <c r="S158" s="379" t="n">
        <v>0.156</v>
      </c>
      <c r="T158" s="380"/>
      <c r="U158" s="307"/>
      <c r="V158" s="307"/>
      <c r="W158" s="307"/>
      <c r="X158" s="307"/>
      <c r="Y158" s="307"/>
      <c r="Z158" s="307"/>
      <c r="AA158" s="307"/>
      <c r="AB158" s="307"/>
      <c r="AC158" s="307"/>
      <c r="AD158" s="307"/>
      <c r="AE158" s="307"/>
      <c r="AF158" s="307"/>
      <c r="AG158" s="307"/>
      <c r="AH158" s="307"/>
      <c r="AI158" s="307"/>
      <c r="AJ158" s="307"/>
      <c r="AK158" s="307"/>
      <c r="AL158" s="307"/>
    </row>
    <row r="159" customFormat="false" ht="12.75" hidden="false" customHeight="false" outlineLevel="0" collapsed="false">
      <c r="A159" s="307"/>
      <c r="B159" s="307"/>
      <c r="C159" s="307"/>
      <c r="D159" s="307"/>
      <c r="E159" s="307"/>
      <c r="F159" s="307"/>
      <c r="G159" s="477"/>
      <c r="H159" s="323" t="n">
        <f aca="false">Swap!A145</f>
        <v>41244</v>
      </c>
      <c r="I159" s="428" t="n">
        <f aca="false">INDEX(IRTable,MATCH(H159,IRMonth,0),3)+K159</f>
        <v>0.17</v>
      </c>
      <c r="J159" s="295"/>
      <c r="K159" s="428"/>
      <c r="L159" s="430"/>
      <c r="M159" s="307"/>
      <c r="N159" s="92" t="n">
        <v>41030</v>
      </c>
      <c r="O159" s="92" t="n">
        <v>41024</v>
      </c>
      <c r="P159" s="307"/>
      <c r="Q159" s="74"/>
      <c r="R159" s="14"/>
      <c r="S159" s="379" t="n">
        <v>0.156</v>
      </c>
      <c r="T159" s="380"/>
      <c r="U159" s="307"/>
      <c r="V159" s="307"/>
      <c r="W159" s="307"/>
      <c r="X159" s="307"/>
      <c r="Y159" s="307"/>
      <c r="Z159" s="307"/>
      <c r="AA159" s="307"/>
      <c r="AB159" s="307"/>
      <c r="AC159" s="307"/>
      <c r="AD159" s="307"/>
      <c r="AE159" s="307"/>
      <c r="AF159" s="307"/>
      <c r="AG159" s="307"/>
      <c r="AH159" s="307"/>
      <c r="AI159" s="307"/>
      <c r="AJ159" s="307"/>
      <c r="AK159" s="307"/>
      <c r="AL159" s="307"/>
    </row>
    <row r="160" customFormat="false" ht="12.75" hidden="false" customHeight="false" outlineLevel="0" collapsed="false">
      <c r="A160" s="307"/>
      <c r="B160" s="307"/>
      <c r="C160" s="307"/>
      <c r="D160" s="307"/>
      <c r="E160" s="307"/>
      <c r="F160" s="307"/>
      <c r="G160" s="477"/>
      <c r="H160" s="323" t="n">
        <f aca="false">Swap!A146</f>
        <v>41275</v>
      </c>
      <c r="I160" s="428" t="n">
        <f aca="false">INDEX(IRTable,MATCH(H160,IRMonth,0),3)+K160</f>
        <v>0.17</v>
      </c>
      <c r="J160" s="295"/>
      <c r="K160" s="428"/>
      <c r="L160" s="430"/>
      <c r="M160" s="307"/>
      <c r="N160" s="92" t="n">
        <v>41061</v>
      </c>
      <c r="O160" s="92" t="n">
        <v>41054</v>
      </c>
      <c r="P160" s="307"/>
      <c r="Q160" s="74"/>
      <c r="R160" s="14"/>
      <c r="S160" s="379" t="n">
        <v>0.155</v>
      </c>
      <c r="T160" s="380"/>
      <c r="U160" s="307"/>
      <c r="V160" s="307"/>
      <c r="W160" s="307"/>
      <c r="X160" s="307"/>
      <c r="Y160" s="307"/>
      <c r="Z160" s="307"/>
      <c r="AA160" s="307"/>
      <c r="AB160" s="307"/>
      <c r="AC160" s="307"/>
      <c r="AD160" s="307"/>
      <c r="AE160" s="307"/>
      <c r="AF160" s="307"/>
      <c r="AG160" s="307"/>
      <c r="AH160" s="307"/>
      <c r="AI160" s="307"/>
      <c r="AJ160" s="307"/>
      <c r="AK160" s="307"/>
      <c r="AL160" s="307"/>
    </row>
    <row r="161" customFormat="false" ht="12.75" hidden="false" customHeight="false" outlineLevel="0" collapsed="false">
      <c r="A161" s="307"/>
      <c r="B161" s="307"/>
      <c r="C161" s="307"/>
      <c r="D161" s="307"/>
      <c r="E161" s="307"/>
      <c r="F161" s="307"/>
      <c r="G161" s="477"/>
      <c r="H161" s="323" t="n">
        <f aca="false">Swap!A147</f>
        <v>41306</v>
      </c>
      <c r="I161" s="428" t="n">
        <f aca="false">INDEX(IRTable,MATCH(H161,IRMonth,0),3)+K161</f>
        <v>0.17</v>
      </c>
      <c r="J161" s="295"/>
      <c r="K161" s="428"/>
      <c r="L161" s="430"/>
      <c r="M161" s="307"/>
      <c r="N161" s="92" t="n">
        <v>41091</v>
      </c>
      <c r="O161" s="92" t="n">
        <v>41086</v>
      </c>
      <c r="P161" s="307"/>
      <c r="Q161" s="74"/>
      <c r="R161" s="14"/>
      <c r="S161" s="379" t="n">
        <v>0.155</v>
      </c>
      <c r="T161" s="380"/>
      <c r="U161" s="307"/>
      <c r="V161" s="307"/>
      <c r="W161" s="307"/>
      <c r="X161" s="307"/>
      <c r="Y161" s="307"/>
      <c r="Z161" s="307"/>
      <c r="AA161" s="307"/>
      <c r="AB161" s="307"/>
      <c r="AC161" s="307"/>
      <c r="AD161" s="307"/>
      <c r="AE161" s="307"/>
      <c r="AF161" s="307"/>
      <c r="AG161" s="307"/>
      <c r="AH161" s="307"/>
      <c r="AI161" s="307"/>
      <c r="AJ161" s="307"/>
      <c r="AK161" s="307"/>
      <c r="AL161" s="307"/>
    </row>
    <row r="162" customFormat="false" ht="12.75" hidden="false" customHeight="false" outlineLevel="0" collapsed="false">
      <c r="A162" s="307"/>
      <c r="B162" s="307"/>
      <c r="C162" s="307"/>
      <c r="D162" s="307"/>
      <c r="E162" s="307"/>
      <c r="F162" s="307"/>
      <c r="G162" s="477"/>
      <c r="H162" s="323" t="n">
        <f aca="false">Swap!A148</f>
        <v>41334</v>
      </c>
      <c r="I162" s="428" t="n">
        <f aca="false">INDEX(IRTable,MATCH(H162,IRMonth,0),3)+K162</f>
        <v>0.17</v>
      </c>
      <c r="J162" s="295"/>
      <c r="K162" s="428"/>
      <c r="L162" s="430"/>
      <c r="M162" s="307"/>
      <c r="N162" s="92" t="n">
        <v>41122</v>
      </c>
      <c r="O162" s="92" t="n">
        <v>41116</v>
      </c>
      <c r="P162" s="307"/>
      <c r="Q162" s="74"/>
      <c r="R162" s="14"/>
      <c r="S162" s="379" t="n">
        <v>0.155</v>
      </c>
      <c r="T162" s="380"/>
      <c r="U162" s="307"/>
      <c r="V162" s="307"/>
      <c r="W162" s="307"/>
      <c r="X162" s="307"/>
      <c r="Y162" s="307"/>
      <c r="Z162" s="307"/>
      <c r="AA162" s="307"/>
      <c r="AB162" s="307"/>
      <c r="AC162" s="307"/>
      <c r="AD162" s="307"/>
      <c r="AE162" s="307"/>
      <c r="AF162" s="307"/>
      <c r="AG162" s="307"/>
      <c r="AH162" s="307"/>
      <c r="AI162" s="307"/>
      <c r="AJ162" s="307"/>
      <c r="AK162" s="307"/>
      <c r="AL162" s="307"/>
    </row>
    <row r="163" customFormat="false" ht="12.75" hidden="false" customHeight="false" outlineLevel="0" collapsed="false">
      <c r="A163" s="307"/>
      <c r="B163" s="307"/>
      <c r="C163" s="307"/>
      <c r="D163" s="307"/>
      <c r="E163" s="307"/>
      <c r="F163" s="307"/>
      <c r="G163" s="477"/>
      <c r="H163" s="323" t="n">
        <f aca="false">Swap!A149</f>
        <v>41365</v>
      </c>
      <c r="I163" s="428" t="n">
        <f aca="false">INDEX(IRTable,MATCH(H163,IRMonth,0),3)+K163</f>
        <v>0.17</v>
      </c>
      <c r="J163" s="295"/>
      <c r="K163" s="428"/>
      <c r="L163" s="430"/>
      <c r="M163" s="307"/>
      <c r="N163" s="92" t="n">
        <v>41153</v>
      </c>
      <c r="O163" s="92" t="n">
        <v>41149</v>
      </c>
      <c r="P163" s="307"/>
      <c r="Q163" s="74"/>
      <c r="R163" s="14"/>
      <c r="S163" s="379" t="n">
        <v>0.155</v>
      </c>
      <c r="T163" s="380"/>
      <c r="U163" s="307"/>
      <c r="V163" s="307"/>
      <c r="W163" s="307"/>
      <c r="X163" s="307"/>
      <c r="Y163" s="307"/>
      <c r="Z163" s="307"/>
      <c r="AA163" s="307"/>
      <c r="AB163" s="307"/>
      <c r="AC163" s="307"/>
      <c r="AD163" s="307"/>
      <c r="AE163" s="307"/>
      <c r="AF163" s="307"/>
      <c r="AG163" s="307"/>
      <c r="AH163" s="307"/>
      <c r="AI163" s="307"/>
      <c r="AJ163" s="307"/>
      <c r="AK163" s="307"/>
      <c r="AL163" s="307"/>
    </row>
    <row r="164" customFormat="false" ht="12.75" hidden="false" customHeight="false" outlineLevel="0" collapsed="false">
      <c r="A164" s="307"/>
      <c r="B164" s="307"/>
      <c r="C164" s="307"/>
      <c r="D164" s="307"/>
      <c r="E164" s="307"/>
      <c r="F164" s="307"/>
      <c r="G164" s="477"/>
      <c r="H164" s="323" t="n">
        <f aca="false">Swap!A150</f>
        <v>41395</v>
      </c>
      <c r="I164" s="428" t="n">
        <f aca="false">INDEX(IRTable,MATCH(H164,IRMonth,0),3)+K164</f>
        <v>0.17</v>
      </c>
      <c r="J164" s="295"/>
      <c r="K164" s="428"/>
      <c r="L164" s="430"/>
      <c r="M164" s="307"/>
      <c r="N164" s="92" t="n">
        <v>41183</v>
      </c>
      <c r="O164" s="92" t="n">
        <v>41177</v>
      </c>
      <c r="P164" s="307"/>
      <c r="Q164" s="74"/>
      <c r="R164" s="14"/>
      <c r="S164" s="379" t="n">
        <v>0.155</v>
      </c>
      <c r="T164" s="380"/>
      <c r="U164" s="307"/>
      <c r="V164" s="307"/>
      <c r="W164" s="307"/>
      <c r="X164" s="307"/>
      <c r="Y164" s="307"/>
      <c r="Z164" s="307"/>
      <c r="AA164" s="307"/>
      <c r="AB164" s="307"/>
      <c r="AC164" s="307"/>
      <c r="AD164" s="307"/>
      <c r="AE164" s="307"/>
      <c r="AF164" s="307"/>
      <c r="AG164" s="307"/>
      <c r="AH164" s="307"/>
      <c r="AI164" s="307"/>
      <c r="AJ164" s="307"/>
      <c r="AK164" s="307"/>
      <c r="AL164" s="307"/>
    </row>
    <row r="165" customFormat="false" ht="12.75" hidden="false" customHeight="false" outlineLevel="0" collapsed="false">
      <c r="A165" s="307"/>
      <c r="B165" s="307"/>
      <c r="C165" s="307"/>
      <c r="D165" s="307"/>
      <c r="E165" s="307"/>
      <c r="F165" s="307"/>
      <c r="G165" s="477"/>
      <c r="H165" s="323" t="n">
        <f aca="false">Swap!A151</f>
        <v>41426</v>
      </c>
      <c r="I165" s="428" t="n">
        <f aca="false">INDEX(IRTable,MATCH(H165,IRMonth,0),3)+K165</f>
        <v>0.17</v>
      </c>
      <c r="J165" s="295"/>
      <c r="K165" s="428"/>
      <c r="L165" s="430"/>
      <c r="M165" s="307"/>
      <c r="N165" s="92" t="n">
        <v>41214</v>
      </c>
      <c r="O165" s="92" t="n">
        <v>41208</v>
      </c>
      <c r="P165" s="307"/>
      <c r="Q165" s="74"/>
      <c r="R165" s="14"/>
      <c r="S165" s="379" t="n">
        <v>0.155</v>
      </c>
      <c r="T165" s="380"/>
      <c r="U165" s="307"/>
      <c r="V165" s="307"/>
      <c r="W165" s="307"/>
      <c r="X165" s="307"/>
      <c r="Y165" s="307"/>
      <c r="Z165" s="307"/>
      <c r="AA165" s="307"/>
      <c r="AB165" s="307"/>
      <c r="AC165" s="307"/>
      <c r="AD165" s="307"/>
      <c r="AE165" s="307"/>
      <c r="AF165" s="307"/>
      <c r="AG165" s="307"/>
      <c r="AH165" s="307"/>
      <c r="AI165" s="307"/>
      <c r="AJ165" s="307"/>
      <c r="AK165" s="307"/>
      <c r="AL165" s="307"/>
    </row>
    <row r="166" customFormat="false" ht="12.75" hidden="false" customHeight="false" outlineLevel="0" collapsed="false">
      <c r="A166" s="307"/>
      <c r="B166" s="307"/>
      <c r="C166" s="307"/>
      <c r="D166" s="307"/>
      <c r="E166" s="307"/>
      <c r="F166" s="307"/>
      <c r="G166" s="477"/>
      <c r="H166" s="323" t="n">
        <f aca="false">Swap!A152</f>
        <v>41456</v>
      </c>
      <c r="I166" s="428" t="n">
        <f aca="false">INDEX(IRTable,MATCH(H166,IRMonth,0),3)+K166</f>
        <v>0.17</v>
      </c>
      <c r="J166" s="295"/>
      <c r="K166" s="428"/>
      <c r="L166" s="430"/>
      <c r="M166" s="307"/>
      <c r="N166" s="92" t="n">
        <v>41244</v>
      </c>
      <c r="O166" s="92" t="n">
        <v>41240</v>
      </c>
      <c r="P166" s="307"/>
      <c r="Q166" s="74"/>
      <c r="R166" s="14"/>
      <c r="S166" s="379" t="n">
        <v>0.155</v>
      </c>
      <c r="T166" s="380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  <c r="AI166" s="307"/>
      <c r="AJ166" s="307"/>
      <c r="AK166" s="307"/>
      <c r="AL166" s="307"/>
    </row>
    <row r="167" customFormat="false" ht="12.75" hidden="false" customHeight="false" outlineLevel="0" collapsed="false">
      <c r="A167" s="307"/>
      <c r="B167" s="307"/>
      <c r="C167" s="307"/>
      <c r="D167" s="307"/>
      <c r="E167" s="307"/>
      <c r="F167" s="307"/>
      <c r="G167" s="477"/>
      <c r="H167" s="323" t="n">
        <f aca="false">Swap!A153</f>
        <v>41487</v>
      </c>
      <c r="I167" s="428" t="n">
        <f aca="false">INDEX(IRTable,MATCH(H167,IRMonth,0),3)+K167</f>
        <v>0.17</v>
      </c>
      <c r="J167" s="295"/>
      <c r="K167" s="428"/>
      <c r="L167" s="430"/>
      <c r="M167" s="307"/>
      <c r="N167" s="92" t="n">
        <v>41275</v>
      </c>
      <c r="O167" s="92" t="n">
        <v>41269</v>
      </c>
      <c r="P167" s="307"/>
      <c r="Q167" s="74"/>
      <c r="R167" s="14"/>
      <c r="S167" s="379" t="n">
        <v>0.155</v>
      </c>
      <c r="T167" s="380"/>
      <c r="U167" s="307"/>
      <c r="V167" s="307"/>
      <c r="W167" s="307"/>
      <c r="X167" s="307"/>
      <c r="Y167" s="307"/>
      <c r="Z167" s="307"/>
      <c r="AA167" s="307"/>
      <c r="AB167" s="307"/>
      <c r="AC167" s="307"/>
      <c r="AD167" s="307"/>
      <c r="AE167" s="307"/>
      <c r="AF167" s="307"/>
      <c r="AG167" s="307"/>
      <c r="AH167" s="307"/>
      <c r="AI167" s="307"/>
      <c r="AJ167" s="307"/>
      <c r="AK167" s="307"/>
      <c r="AL167" s="307"/>
    </row>
    <row r="168" customFormat="false" ht="12.75" hidden="false" customHeight="false" outlineLevel="0" collapsed="false">
      <c r="A168" s="307"/>
      <c r="B168" s="307"/>
      <c r="C168" s="307"/>
      <c r="D168" s="307"/>
      <c r="E168" s="307"/>
      <c r="F168" s="307"/>
      <c r="G168" s="477"/>
      <c r="H168" s="323" t="n">
        <f aca="false">Swap!A154</f>
        <v>41518</v>
      </c>
      <c r="I168" s="428" t="n">
        <f aca="false">INDEX(IRTable,MATCH(H168,IRMonth,0),3)+K168</f>
        <v>0.17</v>
      </c>
      <c r="J168" s="295"/>
      <c r="K168" s="428"/>
      <c r="L168" s="430"/>
      <c r="M168" s="307"/>
      <c r="N168" s="92" t="n">
        <v>41306</v>
      </c>
      <c r="O168" s="92" t="n">
        <v>41302</v>
      </c>
      <c r="P168" s="307"/>
      <c r="Q168" s="74"/>
      <c r="R168" s="14"/>
      <c r="S168" s="379" t="n">
        <v>0.155</v>
      </c>
      <c r="T168" s="380"/>
      <c r="U168" s="307"/>
      <c r="V168" s="307"/>
      <c r="W168" s="307"/>
      <c r="X168" s="307"/>
      <c r="Y168" s="307"/>
      <c r="Z168" s="307"/>
      <c r="AA168" s="307"/>
      <c r="AB168" s="307"/>
      <c r="AC168" s="307"/>
      <c r="AD168" s="307"/>
      <c r="AE168" s="307"/>
      <c r="AF168" s="307"/>
      <c r="AG168" s="307"/>
      <c r="AH168" s="307"/>
      <c r="AI168" s="307"/>
      <c r="AJ168" s="307"/>
      <c r="AK168" s="307"/>
      <c r="AL168" s="307"/>
    </row>
    <row r="169" customFormat="false" ht="12.75" hidden="false" customHeight="false" outlineLevel="0" collapsed="false">
      <c r="A169" s="307"/>
      <c r="B169" s="307"/>
      <c r="C169" s="307"/>
      <c r="D169" s="307"/>
      <c r="E169" s="307"/>
      <c r="F169" s="307"/>
      <c r="G169" s="477"/>
      <c r="H169" s="323" t="n">
        <f aca="false">Swap!A155</f>
        <v>41548</v>
      </c>
      <c r="I169" s="428" t="n">
        <f aca="false">INDEX(IRTable,MATCH(H169,IRMonth,0),3)+K169</f>
        <v>0.17</v>
      </c>
      <c r="J169" s="295"/>
      <c r="K169" s="428"/>
      <c r="L169" s="430"/>
      <c r="M169" s="307"/>
      <c r="N169" s="92" t="n">
        <v>41334</v>
      </c>
      <c r="O169" s="92" t="n">
        <v>41330</v>
      </c>
      <c r="P169" s="307"/>
      <c r="Q169" s="74"/>
      <c r="R169" s="14"/>
      <c r="S169" s="379" t="n">
        <v>0.155</v>
      </c>
      <c r="T169" s="380"/>
      <c r="U169" s="307"/>
      <c r="V169" s="307"/>
      <c r="W169" s="307"/>
      <c r="X169" s="307"/>
      <c r="Y169" s="307"/>
      <c r="Z169" s="307"/>
      <c r="AA169" s="307"/>
      <c r="AB169" s="307"/>
      <c r="AC169" s="307"/>
      <c r="AD169" s="307"/>
      <c r="AE169" s="307"/>
      <c r="AF169" s="307"/>
      <c r="AG169" s="307"/>
      <c r="AH169" s="307"/>
      <c r="AI169" s="307"/>
      <c r="AJ169" s="307"/>
      <c r="AK169" s="307"/>
      <c r="AL169" s="307"/>
    </row>
    <row r="170" customFormat="false" ht="12.75" hidden="false" customHeight="false" outlineLevel="0" collapsed="false">
      <c r="A170" s="307"/>
      <c r="B170" s="307"/>
      <c r="C170" s="307"/>
      <c r="D170" s="307"/>
      <c r="E170" s="307"/>
      <c r="F170" s="307"/>
      <c r="G170" s="477"/>
      <c r="H170" s="323" t="n">
        <f aca="false">Swap!A156</f>
        <v>41579</v>
      </c>
      <c r="I170" s="428" t="n">
        <f aca="false">INDEX(IRTable,MATCH(H170,IRMonth,0),3)+K170</f>
        <v>0.17</v>
      </c>
      <c r="J170" s="295"/>
      <c r="K170" s="428"/>
      <c r="L170" s="430"/>
      <c r="M170" s="307"/>
      <c r="N170" s="92" t="n">
        <v>41365</v>
      </c>
      <c r="O170" s="92" t="n">
        <v>41358</v>
      </c>
      <c r="P170" s="307"/>
      <c r="Q170" s="74"/>
      <c r="R170" s="14"/>
      <c r="S170" s="379" t="n">
        <v>0.155</v>
      </c>
      <c r="T170" s="380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7"/>
      <c r="AF170" s="307"/>
      <c r="AG170" s="307"/>
      <c r="AH170" s="307"/>
      <c r="AI170" s="307"/>
      <c r="AJ170" s="307"/>
      <c r="AK170" s="307"/>
      <c r="AL170" s="307"/>
    </row>
    <row r="171" customFormat="false" ht="12.75" hidden="false" customHeight="false" outlineLevel="0" collapsed="false">
      <c r="A171" s="307"/>
      <c r="B171" s="307"/>
      <c r="C171" s="307"/>
      <c r="D171" s="307"/>
      <c r="E171" s="307"/>
      <c r="F171" s="307"/>
      <c r="G171" s="477"/>
      <c r="H171" s="323" t="n">
        <f aca="false">Swap!A157</f>
        <v>41609</v>
      </c>
      <c r="I171" s="428" t="n">
        <f aca="false">INDEX(IRTable,MATCH(H171,IRMonth,0),3)+K171</f>
        <v>0.17</v>
      </c>
      <c r="J171" s="295"/>
      <c r="K171" s="428"/>
      <c r="L171" s="430"/>
      <c r="M171" s="307"/>
      <c r="N171" s="92" t="n">
        <v>41395</v>
      </c>
      <c r="O171" s="92" t="n">
        <v>41389</v>
      </c>
      <c r="P171" s="307"/>
      <c r="Q171" s="74"/>
      <c r="R171" s="14"/>
      <c r="S171" s="379" t="n">
        <v>0.155</v>
      </c>
      <c r="T171" s="380"/>
      <c r="U171" s="307"/>
      <c r="V171" s="307"/>
      <c r="W171" s="307"/>
      <c r="X171" s="307"/>
      <c r="Y171" s="307"/>
      <c r="Z171" s="307"/>
      <c r="AA171" s="307"/>
      <c r="AB171" s="307"/>
      <c r="AC171" s="307"/>
      <c r="AD171" s="307"/>
      <c r="AE171" s="307"/>
      <c r="AF171" s="307"/>
      <c r="AG171" s="307"/>
      <c r="AH171" s="307"/>
      <c r="AI171" s="307"/>
      <c r="AJ171" s="307"/>
      <c r="AK171" s="307"/>
      <c r="AL171" s="307"/>
    </row>
    <row r="172" customFormat="false" ht="12.75" hidden="false" customHeight="false" outlineLevel="0" collapsed="false">
      <c r="A172" s="307"/>
      <c r="B172" s="307"/>
      <c r="C172" s="307"/>
      <c r="D172" s="307"/>
      <c r="E172" s="307"/>
      <c r="F172" s="307"/>
      <c r="G172" s="477"/>
      <c r="H172" s="323" t="n">
        <f aca="false">Swap!A158</f>
        <v>41640</v>
      </c>
      <c r="I172" s="428" t="n">
        <f aca="false">INDEX(IRTable,MATCH(H172,IRMonth,0),3)+K172</f>
        <v>0.17</v>
      </c>
      <c r="J172" s="295"/>
      <c r="K172" s="428"/>
      <c r="L172" s="430"/>
      <c r="M172" s="307"/>
      <c r="N172" s="92" t="n">
        <v>41426</v>
      </c>
      <c r="O172" s="92" t="n">
        <v>41422</v>
      </c>
      <c r="P172" s="307"/>
      <c r="Q172" s="74"/>
      <c r="R172" s="14"/>
      <c r="S172" s="379" t="n">
        <v>0.154</v>
      </c>
      <c r="T172" s="380"/>
      <c r="U172" s="307"/>
      <c r="V172" s="307"/>
      <c r="W172" s="307"/>
      <c r="X172" s="307"/>
      <c r="Y172" s="307"/>
      <c r="Z172" s="307"/>
      <c r="AA172" s="307"/>
      <c r="AB172" s="307"/>
      <c r="AC172" s="307"/>
      <c r="AD172" s="307"/>
      <c r="AE172" s="307"/>
      <c r="AF172" s="307"/>
      <c r="AG172" s="307"/>
      <c r="AH172" s="307"/>
      <c r="AI172" s="307"/>
      <c r="AJ172" s="307"/>
      <c r="AK172" s="307"/>
      <c r="AL172" s="307"/>
    </row>
    <row r="173" customFormat="false" ht="12.75" hidden="false" customHeight="false" outlineLevel="0" collapsed="false">
      <c r="A173" s="307"/>
      <c r="B173" s="307"/>
      <c r="C173" s="307"/>
      <c r="D173" s="307"/>
      <c r="E173" s="307"/>
      <c r="F173" s="307"/>
      <c r="G173" s="477"/>
      <c r="H173" s="323" t="n">
        <f aca="false">Swap!A159</f>
        <v>41671</v>
      </c>
      <c r="I173" s="428" t="n">
        <f aca="false">INDEX(IRTable,MATCH(H173,IRMonth,0),3)+K173</f>
        <v>0.17</v>
      </c>
      <c r="J173" s="295"/>
      <c r="K173" s="428"/>
      <c r="L173" s="430"/>
      <c r="M173" s="307"/>
      <c r="N173" s="92" t="n">
        <v>41456</v>
      </c>
      <c r="O173" s="92" t="n">
        <v>41450</v>
      </c>
      <c r="P173" s="307"/>
      <c r="Q173" s="74"/>
      <c r="R173" s="14"/>
      <c r="S173" s="379" t="n">
        <v>0.154</v>
      </c>
      <c r="T173" s="380"/>
      <c r="U173" s="307"/>
      <c r="V173" s="307"/>
      <c r="W173" s="307"/>
      <c r="X173" s="307"/>
      <c r="Y173" s="307"/>
      <c r="Z173" s="307"/>
      <c r="AA173" s="307"/>
      <c r="AB173" s="307"/>
      <c r="AC173" s="307"/>
      <c r="AD173" s="307"/>
      <c r="AE173" s="307"/>
      <c r="AF173" s="307"/>
      <c r="AG173" s="307"/>
      <c r="AH173" s="307"/>
      <c r="AI173" s="307"/>
      <c r="AJ173" s="307"/>
      <c r="AK173" s="307"/>
      <c r="AL173" s="307"/>
    </row>
    <row r="174" customFormat="false" ht="12.75" hidden="false" customHeight="false" outlineLevel="0" collapsed="false">
      <c r="A174" s="307"/>
      <c r="B174" s="307"/>
      <c r="C174" s="307"/>
      <c r="D174" s="307"/>
      <c r="E174" s="307"/>
      <c r="F174" s="307"/>
      <c r="G174" s="477"/>
      <c r="H174" s="323" t="n">
        <f aca="false">Swap!A160</f>
        <v>41699</v>
      </c>
      <c r="I174" s="428" t="n">
        <f aca="false">INDEX(IRTable,MATCH(H174,IRMonth,0),3)+K174</f>
        <v>0.17</v>
      </c>
      <c r="J174" s="295"/>
      <c r="K174" s="428"/>
      <c r="L174" s="430"/>
      <c r="M174" s="307"/>
      <c r="N174" s="92" t="n">
        <v>41487</v>
      </c>
      <c r="O174" s="92" t="n">
        <v>41481</v>
      </c>
      <c r="P174" s="307"/>
      <c r="Q174" s="74"/>
      <c r="R174" s="14"/>
      <c r="S174" s="379" t="n">
        <v>0.154</v>
      </c>
      <c r="T174" s="380"/>
      <c r="U174" s="307"/>
      <c r="V174" s="307"/>
      <c r="W174" s="307"/>
      <c r="X174" s="307"/>
      <c r="Y174" s="307"/>
      <c r="Z174" s="307"/>
      <c r="AA174" s="307"/>
      <c r="AB174" s="307"/>
      <c r="AC174" s="307"/>
      <c r="AD174" s="307"/>
      <c r="AE174" s="307"/>
      <c r="AF174" s="307"/>
      <c r="AG174" s="307"/>
      <c r="AH174" s="307"/>
      <c r="AI174" s="307"/>
      <c r="AJ174" s="307"/>
      <c r="AK174" s="307"/>
      <c r="AL174" s="307"/>
    </row>
    <row r="175" customFormat="false" ht="12.75" hidden="false" customHeight="false" outlineLevel="0" collapsed="false">
      <c r="A175" s="307"/>
      <c r="B175" s="307"/>
      <c r="C175" s="307"/>
      <c r="D175" s="307"/>
      <c r="E175" s="307"/>
      <c r="F175" s="307"/>
      <c r="G175" s="477"/>
      <c r="H175" s="323" t="n">
        <f aca="false">Swap!A161</f>
        <v>41730</v>
      </c>
      <c r="I175" s="428" t="n">
        <f aca="false">INDEX(IRTable,MATCH(H175,IRMonth,0),3)+K175</f>
        <v>0.17</v>
      </c>
      <c r="J175" s="295"/>
      <c r="K175" s="428"/>
      <c r="L175" s="430"/>
      <c r="M175" s="307"/>
      <c r="N175" s="92" t="n">
        <v>41518</v>
      </c>
      <c r="O175" s="92" t="n">
        <v>41513</v>
      </c>
      <c r="P175" s="307"/>
      <c r="Q175" s="74"/>
      <c r="R175" s="14"/>
      <c r="S175" s="379" t="n">
        <v>0.154</v>
      </c>
      <c r="T175" s="380"/>
      <c r="U175" s="307"/>
      <c r="V175" s="307"/>
      <c r="W175" s="307"/>
      <c r="X175" s="307"/>
      <c r="Y175" s="307"/>
      <c r="Z175" s="307"/>
      <c r="AA175" s="307"/>
      <c r="AB175" s="307"/>
      <c r="AC175" s="307"/>
      <c r="AD175" s="307"/>
      <c r="AE175" s="307"/>
      <c r="AF175" s="307"/>
      <c r="AG175" s="307"/>
      <c r="AH175" s="307"/>
      <c r="AI175" s="307"/>
      <c r="AJ175" s="307"/>
      <c r="AK175" s="307"/>
      <c r="AL175" s="307"/>
    </row>
    <row r="176" customFormat="false" ht="12.75" hidden="false" customHeight="false" outlineLevel="0" collapsed="false">
      <c r="A176" s="307"/>
      <c r="B176" s="307"/>
      <c r="C176" s="307"/>
      <c r="D176" s="307"/>
      <c r="E176" s="307"/>
      <c r="F176" s="307"/>
      <c r="G176" s="477"/>
      <c r="H176" s="323" t="n">
        <f aca="false">Swap!A162</f>
        <v>41760</v>
      </c>
      <c r="I176" s="428" t="n">
        <f aca="false">INDEX(IRTable,MATCH(H176,IRMonth,0),3)+K176</f>
        <v>0.17</v>
      </c>
      <c r="J176" s="295"/>
      <c r="K176" s="428"/>
      <c r="L176" s="430"/>
      <c r="M176" s="307"/>
      <c r="N176" s="92" t="n">
        <v>41548</v>
      </c>
      <c r="O176" s="92" t="n">
        <v>41542</v>
      </c>
      <c r="P176" s="307"/>
      <c r="Q176" s="74"/>
      <c r="R176" s="14"/>
      <c r="S176" s="379" t="n">
        <v>0.154</v>
      </c>
      <c r="T176" s="380"/>
      <c r="U176" s="307"/>
      <c r="V176" s="307"/>
      <c r="W176" s="307"/>
      <c r="X176" s="307"/>
      <c r="Y176" s="307"/>
      <c r="Z176" s="307"/>
      <c r="AA176" s="307"/>
      <c r="AB176" s="307"/>
      <c r="AC176" s="307"/>
      <c r="AD176" s="307"/>
      <c r="AE176" s="307"/>
      <c r="AF176" s="307"/>
      <c r="AG176" s="307"/>
      <c r="AH176" s="307"/>
      <c r="AI176" s="307"/>
      <c r="AJ176" s="307"/>
      <c r="AK176" s="307"/>
      <c r="AL176" s="307"/>
    </row>
    <row r="177" customFormat="false" ht="12.75" hidden="false" customHeight="false" outlineLevel="0" collapsed="false">
      <c r="A177" s="307"/>
      <c r="B177" s="307"/>
      <c r="C177" s="307"/>
      <c r="D177" s="307"/>
      <c r="E177" s="307"/>
      <c r="F177" s="307"/>
      <c r="G177" s="477"/>
      <c r="H177" s="323" t="n">
        <f aca="false">Swap!A163</f>
        <v>41791</v>
      </c>
      <c r="I177" s="428" t="n">
        <f aca="false">INDEX(IRTable,MATCH(H177,IRMonth,0),3)+K177</f>
        <v>0.17</v>
      </c>
      <c r="J177" s="295"/>
      <c r="K177" s="428"/>
      <c r="L177" s="430"/>
      <c r="M177" s="307"/>
      <c r="N177" s="92" t="n">
        <v>41579</v>
      </c>
      <c r="O177" s="92" t="n">
        <v>41575</v>
      </c>
      <c r="P177" s="307"/>
      <c r="Q177" s="74"/>
      <c r="R177" s="14"/>
      <c r="S177" s="379" t="n">
        <v>0.154</v>
      </c>
      <c r="T177" s="380"/>
      <c r="U177" s="307"/>
      <c r="V177" s="307"/>
      <c r="W177" s="307"/>
      <c r="X177" s="307"/>
      <c r="Y177" s="307"/>
      <c r="Z177" s="307"/>
      <c r="AA177" s="307"/>
      <c r="AB177" s="307"/>
      <c r="AC177" s="307"/>
      <c r="AD177" s="307"/>
      <c r="AE177" s="307"/>
      <c r="AF177" s="307"/>
      <c r="AG177" s="307"/>
      <c r="AH177" s="307"/>
      <c r="AI177" s="307"/>
      <c r="AJ177" s="307"/>
      <c r="AK177" s="307"/>
      <c r="AL177" s="307"/>
    </row>
    <row r="178" customFormat="false" ht="12.75" hidden="false" customHeight="false" outlineLevel="0" collapsed="false">
      <c r="A178" s="307"/>
      <c r="B178" s="307"/>
      <c r="C178" s="307"/>
      <c r="D178" s="307"/>
      <c r="E178" s="307"/>
      <c r="F178" s="307"/>
      <c r="G178" s="477"/>
      <c r="H178" s="323" t="n">
        <f aca="false">Swap!A164</f>
        <v>41821</v>
      </c>
      <c r="I178" s="428" t="n">
        <f aca="false">INDEX(IRTable,MATCH(H178,IRMonth,0),3)+K178</f>
        <v>0.17</v>
      </c>
      <c r="J178" s="295"/>
      <c r="K178" s="428"/>
      <c r="L178" s="430"/>
      <c r="M178" s="307"/>
      <c r="N178" s="92" t="n">
        <v>41609</v>
      </c>
      <c r="O178" s="92" t="n">
        <v>41603</v>
      </c>
      <c r="P178" s="307"/>
      <c r="Q178" s="74"/>
      <c r="R178" s="14"/>
      <c r="S178" s="379" t="n">
        <v>0.154</v>
      </c>
      <c r="T178" s="380"/>
      <c r="U178" s="307"/>
      <c r="V178" s="307"/>
      <c r="W178" s="307"/>
      <c r="X178" s="307"/>
      <c r="Y178" s="307"/>
      <c r="Z178" s="307"/>
      <c r="AA178" s="307"/>
      <c r="AB178" s="307"/>
      <c r="AC178" s="307"/>
      <c r="AD178" s="307"/>
      <c r="AE178" s="307"/>
      <c r="AF178" s="307"/>
      <c r="AG178" s="307"/>
      <c r="AH178" s="307"/>
      <c r="AI178" s="307"/>
      <c r="AJ178" s="307"/>
      <c r="AK178" s="307"/>
      <c r="AL178" s="307"/>
    </row>
    <row r="179" customFormat="false" ht="12.75" hidden="false" customHeight="false" outlineLevel="0" collapsed="false">
      <c r="A179" s="307"/>
      <c r="B179" s="307"/>
      <c r="C179" s="307"/>
      <c r="D179" s="307"/>
      <c r="E179" s="307"/>
      <c r="F179" s="307"/>
      <c r="G179" s="477"/>
      <c r="H179" s="323" t="n">
        <f aca="false">Swap!A165</f>
        <v>41852</v>
      </c>
      <c r="I179" s="428" t="n">
        <f aca="false">INDEX(IRTable,MATCH(H179,IRMonth,0),3)+K179</f>
        <v>0.17</v>
      </c>
      <c r="J179" s="295"/>
      <c r="K179" s="428"/>
      <c r="L179" s="430"/>
      <c r="M179" s="307"/>
      <c r="N179" s="92" t="n">
        <v>41640</v>
      </c>
      <c r="O179" s="92" t="n">
        <v>41634</v>
      </c>
      <c r="P179" s="307"/>
      <c r="Q179" s="74"/>
      <c r="R179" s="14"/>
      <c r="S179" s="379" t="n">
        <v>0.154</v>
      </c>
      <c r="T179" s="380"/>
      <c r="U179" s="307"/>
      <c r="V179" s="307"/>
      <c r="W179" s="307"/>
      <c r="X179" s="307"/>
      <c r="Y179" s="307"/>
      <c r="Z179" s="307"/>
      <c r="AA179" s="307"/>
      <c r="AB179" s="307"/>
      <c r="AC179" s="307"/>
      <c r="AD179" s="307"/>
      <c r="AE179" s="307"/>
      <c r="AF179" s="307"/>
      <c r="AG179" s="307"/>
      <c r="AH179" s="307"/>
      <c r="AI179" s="307"/>
      <c r="AJ179" s="307"/>
      <c r="AK179" s="307"/>
      <c r="AL179" s="307"/>
    </row>
    <row r="180" customFormat="false" ht="12.75" hidden="false" customHeight="false" outlineLevel="0" collapsed="false">
      <c r="A180" s="307"/>
      <c r="B180" s="307"/>
      <c r="C180" s="307"/>
      <c r="D180" s="307"/>
      <c r="E180" s="307"/>
      <c r="F180" s="307"/>
      <c r="G180" s="477"/>
      <c r="H180" s="323" t="n">
        <f aca="false">Swap!A166</f>
        <v>41883</v>
      </c>
      <c r="I180" s="428" t="n">
        <f aca="false">INDEX(IRTable,MATCH(H180,IRMonth,0),3)+K180</f>
        <v>0.17</v>
      </c>
      <c r="J180" s="295"/>
      <c r="K180" s="428"/>
      <c r="L180" s="430"/>
      <c r="M180" s="307"/>
      <c r="N180" s="92" t="n">
        <v>41671</v>
      </c>
      <c r="O180" s="92" t="n">
        <v>41667</v>
      </c>
      <c r="P180" s="307"/>
      <c r="Q180" s="74"/>
      <c r="R180" s="14"/>
      <c r="S180" s="379" t="n">
        <v>0.154</v>
      </c>
      <c r="T180" s="380"/>
      <c r="U180" s="307"/>
      <c r="V180" s="307"/>
      <c r="W180" s="307"/>
      <c r="X180" s="307"/>
      <c r="Y180" s="307"/>
      <c r="Z180" s="307"/>
      <c r="AA180" s="307"/>
      <c r="AB180" s="307"/>
      <c r="AC180" s="307"/>
      <c r="AD180" s="307"/>
      <c r="AE180" s="307"/>
      <c r="AF180" s="307"/>
      <c r="AG180" s="307"/>
      <c r="AH180" s="307"/>
      <c r="AI180" s="307"/>
      <c r="AJ180" s="307"/>
      <c r="AK180" s="307"/>
      <c r="AL180" s="307"/>
    </row>
    <row r="181" customFormat="false" ht="12.75" hidden="false" customHeight="false" outlineLevel="0" collapsed="false">
      <c r="A181" s="307"/>
      <c r="B181" s="307"/>
      <c r="C181" s="307"/>
      <c r="D181" s="307"/>
      <c r="E181" s="307"/>
      <c r="F181" s="307"/>
      <c r="G181" s="477"/>
      <c r="H181" s="323" t="n">
        <f aca="false">Swap!A167</f>
        <v>41913</v>
      </c>
      <c r="I181" s="428" t="n">
        <f aca="false">INDEX(IRTable,MATCH(H181,IRMonth,0),3)+K181</f>
        <v>0.17</v>
      </c>
      <c r="J181" s="295"/>
      <c r="K181" s="428"/>
      <c r="L181" s="430"/>
      <c r="M181" s="307"/>
      <c r="N181" s="92" t="n">
        <v>41699</v>
      </c>
      <c r="O181" s="92" t="n">
        <v>41695</v>
      </c>
      <c r="P181" s="307"/>
      <c r="Q181" s="74"/>
      <c r="R181" s="14"/>
      <c r="S181" s="379" t="n">
        <v>0.154</v>
      </c>
      <c r="T181" s="380"/>
      <c r="U181" s="307"/>
      <c r="V181" s="307"/>
      <c r="W181" s="307"/>
      <c r="X181" s="307"/>
      <c r="Y181" s="307"/>
      <c r="Z181" s="307"/>
      <c r="AA181" s="307"/>
      <c r="AB181" s="307"/>
      <c r="AC181" s="307"/>
      <c r="AD181" s="307"/>
      <c r="AE181" s="307"/>
      <c r="AF181" s="307"/>
      <c r="AG181" s="307"/>
      <c r="AH181" s="307"/>
      <c r="AI181" s="307"/>
      <c r="AJ181" s="307"/>
      <c r="AK181" s="307"/>
      <c r="AL181" s="307"/>
    </row>
    <row r="182" customFormat="false" ht="12.75" hidden="false" customHeight="false" outlineLevel="0" collapsed="false">
      <c r="A182" s="307"/>
      <c r="B182" s="307"/>
      <c r="C182" s="307"/>
      <c r="D182" s="307"/>
      <c r="E182" s="307"/>
      <c r="F182" s="307"/>
      <c r="G182" s="477"/>
      <c r="H182" s="323" t="n">
        <f aca="false">Swap!A168</f>
        <v>41944</v>
      </c>
      <c r="I182" s="428" t="n">
        <f aca="false">INDEX(IRTable,MATCH(H182,IRMonth,0),3)+K182</f>
        <v>0.17</v>
      </c>
      <c r="J182" s="295"/>
      <c r="K182" s="428"/>
      <c r="L182" s="430"/>
      <c r="M182" s="307"/>
      <c r="N182" s="92" t="n">
        <v>41730</v>
      </c>
      <c r="O182" s="92" t="n">
        <v>41724</v>
      </c>
      <c r="P182" s="307"/>
      <c r="Q182" s="74"/>
      <c r="R182" s="14"/>
      <c r="S182" s="379" t="n">
        <v>0.154</v>
      </c>
      <c r="T182" s="380"/>
      <c r="U182" s="307"/>
      <c r="V182" s="307"/>
      <c r="W182" s="307"/>
      <c r="X182" s="307"/>
      <c r="Y182" s="307"/>
      <c r="Z182" s="307"/>
      <c r="AA182" s="307"/>
      <c r="AB182" s="307"/>
      <c r="AC182" s="307"/>
      <c r="AD182" s="307"/>
      <c r="AE182" s="307"/>
      <c r="AF182" s="307"/>
      <c r="AG182" s="307"/>
      <c r="AH182" s="307"/>
      <c r="AI182" s="307"/>
      <c r="AJ182" s="307"/>
      <c r="AK182" s="307"/>
      <c r="AL182" s="307"/>
    </row>
    <row r="183" customFormat="false" ht="12.75" hidden="false" customHeight="false" outlineLevel="0" collapsed="false">
      <c r="A183" s="307"/>
      <c r="B183" s="307"/>
      <c r="C183" s="307"/>
      <c r="D183" s="307"/>
      <c r="E183" s="307"/>
      <c r="F183" s="307"/>
      <c r="G183" s="477"/>
      <c r="H183" s="323" t="n">
        <f aca="false">Swap!A169</f>
        <v>41974</v>
      </c>
      <c r="I183" s="428" t="n">
        <f aca="false">INDEX(IRTable,MATCH(H183,IRMonth,0),3)+K183</f>
        <v>0.17</v>
      </c>
      <c r="J183" s="295"/>
      <c r="K183" s="428"/>
      <c r="L183" s="430"/>
      <c r="M183" s="307"/>
      <c r="N183" s="92" t="n">
        <v>41760</v>
      </c>
      <c r="O183" s="92" t="n">
        <v>41754</v>
      </c>
      <c r="P183" s="307"/>
      <c r="Q183" s="74"/>
      <c r="R183" s="14"/>
      <c r="S183" s="379" t="n">
        <v>0.154</v>
      </c>
      <c r="T183" s="380"/>
      <c r="U183" s="307"/>
      <c r="V183" s="307"/>
      <c r="W183" s="307"/>
      <c r="X183" s="307"/>
      <c r="Y183" s="307"/>
      <c r="Z183" s="307"/>
      <c r="AA183" s="307"/>
      <c r="AB183" s="307"/>
      <c r="AC183" s="307"/>
      <c r="AD183" s="307"/>
      <c r="AE183" s="307"/>
      <c r="AF183" s="307"/>
      <c r="AG183" s="307"/>
      <c r="AH183" s="307"/>
      <c r="AI183" s="307"/>
      <c r="AJ183" s="307"/>
      <c r="AK183" s="307"/>
      <c r="AL183" s="307"/>
    </row>
    <row r="184" customFormat="false" ht="12.75" hidden="false" customHeight="false" outlineLevel="0" collapsed="false">
      <c r="A184" s="307"/>
      <c r="B184" s="307"/>
      <c r="C184" s="307"/>
      <c r="D184" s="307"/>
      <c r="E184" s="307"/>
      <c r="F184" s="307"/>
      <c r="G184" s="477"/>
      <c r="H184" s="323" t="n">
        <f aca="false">Swap!A170</f>
        <v>42005</v>
      </c>
      <c r="I184" s="428" t="n">
        <f aca="false">INDEX(IRTable,MATCH(H184,IRMonth,0),3)+K184</f>
        <v>0.17</v>
      </c>
      <c r="J184" s="295"/>
      <c r="K184" s="428"/>
      <c r="L184" s="430"/>
      <c r="M184" s="307"/>
      <c r="N184" s="92" t="n">
        <v>41791</v>
      </c>
      <c r="O184" s="92" t="n">
        <v>41786</v>
      </c>
      <c r="P184" s="307"/>
      <c r="Q184" s="74"/>
      <c r="R184" s="14"/>
      <c r="S184" s="379" t="n">
        <v>0.153</v>
      </c>
      <c r="T184" s="380"/>
      <c r="U184" s="307"/>
      <c r="V184" s="307"/>
      <c r="W184" s="307"/>
      <c r="X184" s="307"/>
      <c r="Y184" s="307"/>
      <c r="Z184" s="307"/>
      <c r="AA184" s="307"/>
      <c r="AB184" s="307"/>
      <c r="AC184" s="307"/>
      <c r="AD184" s="307"/>
      <c r="AE184" s="307"/>
      <c r="AF184" s="307"/>
      <c r="AG184" s="307"/>
      <c r="AH184" s="307"/>
      <c r="AI184" s="307"/>
      <c r="AJ184" s="307"/>
      <c r="AK184" s="307"/>
      <c r="AL184" s="307"/>
    </row>
    <row r="185" customFormat="false" ht="12.75" hidden="false" customHeight="false" outlineLevel="0" collapsed="false">
      <c r="A185" s="307"/>
      <c r="B185" s="307"/>
      <c r="C185" s="307"/>
      <c r="D185" s="307"/>
      <c r="E185" s="307"/>
      <c r="F185" s="307"/>
      <c r="G185" s="477"/>
      <c r="H185" s="323" t="n">
        <f aca="false">Swap!A171</f>
        <v>42036</v>
      </c>
      <c r="I185" s="428" t="n">
        <f aca="false">INDEX(IRTable,MATCH(H185,IRMonth,0),3)+K185</f>
        <v>0.17</v>
      </c>
      <c r="J185" s="295"/>
      <c r="K185" s="428"/>
      <c r="L185" s="430"/>
      <c r="M185" s="307"/>
      <c r="N185" s="92" t="n">
        <v>41821</v>
      </c>
      <c r="O185" s="92" t="n">
        <v>41815</v>
      </c>
      <c r="P185" s="307"/>
      <c r="Q185" s="74"/>
      <c r="R185" s="14"/>
      <c r="S185" s="379" t="n">
        <v>0.153</v>
      </c>
      <c r="T185" s="380"/>
      <c r="U185" s="307"/>
      <c r="V185" s="307"/>
      <c r="W185" s="307"/>
      <c r="X185" s="307"/>
      <c r="Y185" s="307"/>
      <c r="Z185" s="307"/>
      <c r="AA185" s="307"/>
      <c r="AB185" s="307"/>
      <c r="AC185" s="307"/>
      <c r="AD185" s="307"/>
      <c r="AE185" s="307"/>
      <c r="AF185" s="307"/>
      <c r="AG185" s="307"/>
      <c r="AH185" s="307"/>
      <c r="AI185" s="307"/>
      <c r="AJ185" s="307"/>
      <c r="AK185" s="307"/>
      <c r="AL185" s="307"/>
    </row>
    <row r="186" customFormat="false" ht="12.75" hidden="false" customHeight="false" outlineLevel="0" collapsed="false">
      <c r="A186" s="307"/>
      <c r="B186" s="307"/>
      <c r="C186" s="307"/>
      <c r="D186" s="307"/>
      <c r="E186" s="307"/>
      <c r="F186" s="307"/>
      <c r="G186" s="477"/>
      <c r="H186" s="323" t="n">
        <f aca="false">Swap!A172</f>
        <v>42064</v>
      </c>
      <c r="I186" s="428" t="n">
        <f aca="false">INDEX(IRTable,MATCH(H186,IRMonth,0),3)+K186</f>
        <v>0.17</v>
      </c>
      <c r="J186" s="295"/>
      <c r="K186" s="428"/>
      <c r="L186" s="430"/>
      <c r="M186" s="307"/>
      <c r="N186" s="92" t="n">
        <v>41852</v>
      </c>
      <c r="O186" s="92" t="n">
        <v>41848</v>
      </c>
      <c r="P186" s="307"/>
      <c r="Q186" s="74"/>
      <c r="R186" s="14"/>
      <c r="S186" s="379" t="n">
        <v>0.153</v>
      </c>
      <c r="T186" s="380"/>
      <c r="U186" s="307"/>
      <c r="V186" s="307"/>
      <c r="W186" s="307"/>
      <c r="X186" s="307"/>
      <c r="Y186" s="307"/>
      <c r="Z186" s="307"/>
      <c r="AA186" s="307"/>
      <c r="AB186" s="307"/>
      <c r="AC186" s="307"/>
      <c r="AD186" s="307"/>
      <c r="AE186" s="307"/>
      <c r="AF186" s="307"/>
      <c r="AG186" s="307"/>
      <c r="AH186" s="307"/>
      <c r="AI186" s="307"/>
      <c r="AJ186" s="307"/>
      <c r="AK186" s="307"/>
      <c r="AL186" s="307"/>
    </row>
    <row r="187" customFormat="false" ht="12.75" hidden="false" customHeight="false" outlineLevel="0" collapsed="false">
      <c r="A187" s="307"/>
      <c r="B187" s="307"/>
      <c r="C187" s="307"/>
      <c r="D187" s="307"/>
      <c r="E187" s="307"/>
      <c r="F187" s="307"/>
      <c r="G187" s="477"/>
      <c r="H187" s="323" t="n">
        <f aca="false">Swap!A173</f>
        <v>42095</v>
      </c>
      <c r="I187" s="428" t="n">
        <f aca="false">INDEX(IRTable,MATCH(H187,IRMonth,0),3)+K187</f>
        <v>0.17</v>
      </c>
      <c r="J187" s="295"/>
      <c r="K187" s="428"/>
      <c r="L187" s="430"/>
      <c r="M187" s="307"/>
      <c r="N187" s="92" t="n">
        <v>41883</v>
      </c>
      <c r="O187" s="92" t="n">
        <v>41877</v>
      </c>
      <c r="P187" s="307"/>
      <c r="Q187" s="74"/>
      <c r="R187" s="14"/>
      <c r="S187" s="379" t="n">
        <v>0.153</v>
      </c>
      <c r="T187" s="380"/>
      <c r="U187" s="307"/>
      <c r="V187" s="307"/>
      <c r="W187" s="307"/>
      <c r="X187" s="307"/>
      <c r="Y187" s="307"/>
      <c r="Z187" s="307"/>
      <c r="AA187" s="307"/>
      <c r="AB187" s="307"/>
      <c r="AC187" s="307"/>
      <c r="AD187" s="307"/>
      <c r="AE187" s="307"/>
      <c r="AF187" s="307"/>
      <c r="AG187" s="307"/>
      <c r="AH187" s="307"/>
      <c r="AI187" s="307"/>
      <c r="AJ187" s="307"/>
      <c r="AK187" s="307"/>
      <c r="AL187" s="307"/>
    </row>
    <row r="188" customFormat="false" ht="12.75" hidden="false" customHeight="false" outlineLevel="0" collapsed="false">
      <c r="A188" s="307"/>
      <c r="B188" s="307"/>
      <c r="C188" s="307"/>
      <c r="D188" s="307"/>
      <c r="E188" s="307"/>
      <c r="F188" s="307"/>
      <c r="G188" s="477"/>
      <c r="H188" s="323" t="n">
        <f aca="false">Swap!A174</f>
        <v>42125</v>
      </c>
      <c r="I188" s="428" t="n">
        <f aca="false">INDEX(IRTable,MATCH(H188,IRMonth,0),3)+K188</f>
        <v>0.17</v>
      </c>
      <c r="J188" s="295"/>
      <c r="K188" s="428"/>
      <c r="L188" s="430"/>
      <c r="M188" s="307"/>
      <c r="N188" s="92" t="n">
        <v>41913</v>
      </c>
      <c r="O188" s="92" t="n">
        <v>41907</v>
      </c>
      <c r="P188" s="307"/>
      <c r="Q188" s="74"/>
      <c r="R188" s="14"/>
      <c r="S188" s="379" t="n">
        <v>0.153</v>
      </c>
      <c r="T188" s="380"/>
      <c r="U188" s="307"/>
      <c r="V188" s="307"/>
      <c r="W188" s="307"/>
      <c r="X188" s="307"/>
      <c r="Y188" s="307"/>
      <c r="Z188" s="307"/>
      <c r="AA188" s="307"/>
      <c r="AB188" s="307"/>
      <c r="AC188" s="307"/>
      <c r="AD188" s="307"/>
      <c r="AE188" s="307"/>
      <c r="AF188" s="307"/>
      <c r="AG188" s="307"/>
      <c r="AH188" s="307"/>
      <c r="AI188" s="307"/>
      <c r="AJ188" s="307"/>
      <c r="AK188" s="307"/>
      <c r="AL188" s="307"/>
    </row>
    <row r="189" customFormat="false" ht="12.75" hidden="false" customHeight="false" outlineLevel="0" collapsed="false">
      <c r="A189" s="307"/>
      <c r="B189" s="307"/>
      <c r="C189" s="307"/>
      <c r="D189" s="307"/>
      <c r="E189" s="307"/>
      <c r="F189" s="307"/>
      <c r="G189" s="477"/>
      <c r="H189" s="323" t="n">
        <f aca="false">Swap!A175</f>
        <v>42156</v>
      </c>
      <c r="I189" s="428" t="n">
        <f aca="false">INDEX(IRTable,MATCH(H189,IRMonth,0),3)+K189</f>
        <v>0.17</v>
      </c>
      <c r="J189" s="295"/>
      <c r="K189" s="428"/>
      <c r="L189" s="430"/>
      <c r="M189" s="307"/>
      <c r="N189" s="92" t="n">
        <v>41944</v>
      </c>
      <c r="O189" s="92" t="n">
        <v>41940</v>
      </c>
      <c r="P189" s="307"/>
      <c r="Q189" s="74"/>
      <c r="R189" s="14"/>
      <c r="S189" s="379" t="n">
        <v>0.153</v>
      </c>
      <c r="T189" s="380"/>
      <c r="U189" s="307"/>
      <c r="V189" s="307"/>
      <c r="W189" s="307"/>
      <c r="X189" s="307"/>
      <c r="Y189" s="307"/>
      <c r="Z189" s="307"/>
      <c r="AA189" s="307"/>
      <c r="AB189" s="307"/>
      <c r="AC189" s="307"/>
      <c r="AD189" s="307"/>
      <c r="AE189" s="307"/>
      <c r="AF189" s="307"/>
      <c r="AG189" s="307"/>
      <c r="AH189" s="307"/>
      <c r="AI189" s="307"/>
      <c r="AJ189" s="307"/>
      <c r="AK189" s="307"/>
      <c r="AL189" s="307"/>
    </row>
    <row r="190" customFormat="false" ht="12.75" hidden="false" customHeight="false" outlineLevel="0" collapsed="false">
      <c r="A190" s="307"/>
      <c r="B190" s="307"/>
      <c r="C190" s="307"/>
      <c r="D190" s="307"/>
      <c r="E190" s="307"/>
      <c r="F190" s="307"/>
      <c r="G190" s="477"/>
      <c r="H190" s="323" t="n">
        <f aca="false">Swap!A176</f>
        <v>42186</v>
      </c>
      <c r="I190" s="428" t="n">
        <f aca="false">INDEX(IRTable,MATCH(H190,IRMonth,0),3)+K190</f>
        <v>0.17</v>
      </c>
      <c r="J190" s="295"/>
      <c r="K190" s="428"/>
      <c r="L190" s="430"/>
      <c r="M190" s="307"/>
      <c r="N190" s="92" t="n">
        <v>41974</v>
      </c>
      <c r="O190" s="92" t="n">
        <v>41967</v>
      </c>
      <c r="P190" s="307"/>
      <c r="Q190" s="74"/>
      <c r="R190" s="14"/>
      <c r="S190" s="379" t="n">
        <v>0.153</v>
      </c>
      <c r="T190" s="380"/>
      <c r="U190" s="307"/>
      <c r="V190" s="307"/>
      <c r="W190" s="307"/>
      <c r="X190" s="307"/>
      <c r="Y190" s="307"/>
      <c r="Z190" s="307"/>
      <c r="AA190" s="307"/>
      <c r="AB190" s="307"/>
      <c r="AC190" s="307"/>
      <c r="AD190" s="307"/>
      <c r="AE190" s="307"/>
      <c r="AF190" s="307"/>
      <c r="AG190" s="307"/>
      <c r="AH190" s="307"/>
      <c r="AI190" s="307"/>
      <c r="AJ190" s="307"/>
      <c r="AK190" s="307"/>
      <c r="AL190" s="307"/>
    </row>
    <row r="191" customFormat="false" ht="12.75" hidden="false" customHeight="false" outlineLevel="0" collapsed="false">
      <c r="A191" s="307"/>
      <c r="B191" s="307"/>
      <c r="C191" s="307"/>
      <c r="D191" s="307"/>
      <c r="E191" s="307"/>
      <c r="F191" s="307"/>
      <c r="G191" s="477"/>
      <c r="H191" s="323" t="n">
        <f aca="false">Swap!A177</f>
        <v>42217</v>
      </c>
      <c r="I191" s="428" t="n">
        <f aca="false">INDEX(IRTable,MATCH(H191,IRMonth,0),3)+K191</f>
        <v>0.17</v>
      </c>
      <c r="J191" s="295"/>
      <c r="K191" s="428"/>
      <c r="L191" s="430"/>
      <c r="M191" s="307"/>
      <c r="N191" s="92" t="n">
        <v>42005</v>
      </c>
      <c r="O191" s="92" t="n">
        <v>41999</v>
      </c>
      <c r="P191" s="307"/>
      <c r="Q191" s="74"/>
      <c r="R191" s="14"/>
      <c r="S191" s="379" t="n">
        <v>0.153</v>
      </c>
      <c r="T191" s="380"/>
      <c r="U191" s="307"/>
      <c r="V191" s="307"/>
      <c r="W191" s="307"/>
      <c r="X191" s="307"/>
      <c r="Y191" s="307"/>
      <c r="Z191" s="307"/>
      <c r="AA191" s="307"/>
      <c r="AB191" s="307"/>
      <c r="AC191" s="307"/>
      <c r="AD191" s="307"/>
      <c r="AE191" s="307"/>
      <c r="AF191" s="307"/>
      <c r="AG191" s="307"/>
      <c r="AH191" s="307"/>
      <c r="AI191" s="307"/>
      <c r="AJ191" s="307"/>
      <c r="AK191" s="307"/>
      <c r="AL191" s="307"/>
    </row>
    <row r="192" customFormat="false" ht="12.75" hidden="false" customHeight="false" outlineLevel="0" collapsed="false">
      <c r="A192" s="307"/>
      <c r="B192" s="307"/>
      <c r="C192" s="307"/>
      <c r="D192" s="307"/>
      <c r="E192" s="307"/>
      <c r="F192" s="307"/>
      <c r="G192" s="477"/>
      <c r="H192" s="323" t="n">
        <f aca="false">Swap!A178</f>
        <v>42248</v>
      </c>
      <c r="I192" s="428" t="n">
        <f aca="false">INDEX(IRTable,MATCH(H192,IRMonth,0),3)+K192</f>
        <v>0.17</v>
      </c>
      <c r="J192" s="295"/>
      <c r="K192" s="428"/>
      <c r="L192" s="430"/>
      <c r="M192" s="307"/>
      <c r="N192" s="92" t="n">
        <v>42036</v>
      </c>
      <c r="O192" s="92" t="n">
        <v>42031</v>
      </c>
      <c r="P192" s="307"/>
      <c r="Q192" s="74"/>
      <c r="R192" s="14"/>
      <c r="S192" s="379" t="n">
        <v>0.153</v>
      </c>
      <c r="T192" s="380"/>
      <c r="U192" s="307"/>
      <c r="V192" s="307"/>
      <c r="W192" s="307"/>
      <c r="X192" s="307"/>
      <c r="Y192" s="307"/>
      <c r="Z192" s="307"/>
      <c r="AA192" s="307"/>
      <c r="AB192" s="307"/>
      <c r="AC192" s="307"/>
      <c r="AD192" s="307"/>
      <c r="AE192" s="307"/>
      <c r="AF192" s="307"/>
      <c r="AG192" s="307"/>
      <c r="AH192" s="307"/>
      <c r="AI192" s="307"/>
      <c r="AJ192" s="307"/>
      <c r="AK192" s="307"/>
      <c r="AL192" s="307"/>
    </row>
    <row r="193" customFormat="false" ht="12.75" hidden="false" customHeight="false" outlineLevel="0" collapsed="false">
      <c r="A193" s="307"/>
      <c r="B193" s="307"/>
      <c r="C193" s="307"/>
      <c r="D193" s="307"/>
      <c r="E193" s="307"/>
      <c r="F193" s="307"/>
      <c r="G193" s="477"/>
      <c r="H193" s="323" t="n">
        <f aca="false">Swap!A179</f>
        <v>42278</v>
      </c>
      <c r="I193" s="428" t="n">
        <f aca="false">INDEX(IRTable,MATCH(H193,IRMonth,0),3)+K193</f>
        <v>0.17</v>
      </c>
      <c r="J193" s="295"/>
      <c r="K193" s="428"/>
      <c r="L193" s="430"/>
      <c r="M193" s="307"/>
      <c r="N193" s="92" t="n">
        <v>42064</v>
      </c>
      <c r="O193" s="92" t="n">
        <v>42059</v>
      </c>
      <c r="P193" s="307"/>
      <c r="Q193" s="74"/>
      <c r="R193" s="14"/>
      <c r="S193" s="379" t="n">
        <v>0.153</v>
      </c>
      <c r="T193" s="380"/>
      <c r="U193" s="307"/>
      <c r="V193" s="307"/>
      <c r="W193" s="307"/>
      <c r="X193" s="307"/>
      <c r="Y193" s="307"/>
      <c r="Z193" s="307"/>
      <c r="AA193" s="307"/>
      <c r="AB193" s="307"/>
      <c r="AC193" s="307"/>
      <c r="AD193" s="307"/>
      <c r="AE193" s="307"/>
      <c r="AF193" s="307"/>
      <c r="AG193" s="307"/>
      <c r="AH193" s="307"/>
      <c r="AI193" s="307"/>
      <c r="AJ193" s="307"/>
      <c r="AK193" s="307"/>
      <c r="AL193" s="307"/>
    </row>
    <row r="194" customFormat="false" ht="12.75" hidden="false" customHeight="false" outlineLevel="0" collapsed="false">
      <c r="A194" s="307"/>
      <c r="B194" s="307"/>
      <c r="C194" s="307"/>
      <c r="D194" s="307"/>
      <c r="E194" s="307"/>
      <c r="F194" s="307"/>
      <c r="G194" s="477"/>
      <c r="H194" s="323" t="n">
        <f aca="false">Swap!A180</f>
        <v>42309</v>
      </c>
      <c r="I194" s="428" t="n">
        <f aca="false">INDEX(IRTable,MATCH(H194,IRMonth,0),3)+K194</f>
        <v>0.17</v>
      </c>
      <c r="J194" s="295"/>
      <c r="K194" s="428"/>
      <c r="L194" s="430"/>
      <c r="M194" s="307"/>
      <c r="N194" s="92" t="n">
        <v>42095</v>
      </c>
      <c r="O194" s="92" t="n">
        <v>42089</v>
      </c>
      <c r="P194" s="307"/>
      <c r="Q194" s="74"/>
      <c r="R194" s="14"/>
      <c r="S194" s="379" t="n">
        <v>0.153</v>
      </c>
      <c r="T194" s="380"/>
      <c r="U194" s="307"/>
      <c r="V194" s="307"/>
      <c r="W194" s="307"/>
      <c r="X194" s="307"/>
      <c r="Y194" s="307"/>
      <c r="Z194" s="307"/>
      <c r="AA194" s="307"/>
      <c r="AB194" s="307"/>
      <c r="AC194" s="307"/>
      <c r="AD194" s="307"/>
      <c r="AE194" s="307"/>
      <c r="AF194" s="307"/>
      <c r="AG194" s="307"/>
      <c r="AH194" s="307"/>
      <c r="AI194" s="307"/>
      <c r="AJ194" s="307"/>
      <c r="AK194" s="307"/>
      <c r="AL194" s="307"/>
    </row>
    <row r="195" customFormat="false" ht="12.75" hidden="false" customHeight="false" outlineLevel="0" collapsed="false">
      <c r="A195" s="307"/>
      <c r="B195" s="307"/>
      <c r="C195" s="307"/>
      <c r="D195" s="307"/>
      <c r="E195" s="307"/>
      <c r="F195" s="307"/>
      <c r="G195" s="477"/>
      <c r="H195" s="323" t="n">
        <f aca="false">Swap!A181</f>
        <v>42339</v>
      </c>
      <c r="I195" s="428" t="n">
        <f aca="false">INDEX(IRTable,MATCH(H195,IRMonth,0),3)+K195</f>
        <v>0.17</v>
      </c>
      <c r="J195" s="295"/>
      <c r="K195" s="428"/>
      <c r="L195" s="430"/>
      <c r="M195" s="307"/>
      <c r="N195" s="92" t="n">
        <v>42125</v>
      </c>
      <c r="O195" s="92" t="n">
        <v>42121</v>
      </c>
      <c r="P195" s="307"/>
      <c r="Q195" s="74"/>
      <c r="R195" s="14"/>
      <c r="S195" s="379" t="n">
        <v>0.153</v>
      </c>
      <c r="T195" s="380"/>
      <c r="U195" s="307"/>
      <c r="V195" s="307"/>
      <c r="W195" s="307"/>
      <c r="X195" s="307"/>
      <c r="Y195" s="307"/>
      <c r="Z195" s="307"/>
      <c r="AA195" s="307"/>
      <c r="AB195" s="307"/>
      <c r="AC195" s="307"/>
      <c r="AD195" s="307"/>
      <c r="AE195" s="307"/>
      <c r="AF195" s="307"/>
      <c r="AG195" s="307"/>
      <c r="AH195" s="307"/>
      <c r="AI195" s="307"/>
      <c r="AJ195" s="307"/>
      <c r="AK195" s="307"/>
      <c r="AL195" s="307"/>
    </row>
    <row r="196" customFormat="false" ht="12.75" hidden="false" customHeight="false" outlineLevel="0" collapsed="false">
      <c r="A196" s="307"/>
      <c r="B196" s="307"/>
      <c r="C196" s="307"/>
      <c r="D196" s="307"/>
      <c r="E196" s="307"/>
      <c r="F196" s="307"/>
      <c r="G196" s="477"/>
      <c r="H196" s="323" t="n">
        <f aca="false">Swap!A182</f>
        <v>42370</v>
      </c>
      <c r="I196" s="428" t="n">
        <f aca="false">INDEX(IRTable,MATCH(H196,IRMonth,0),3)+K196</f>
        <v>0.17</v>
      </c>
      <c r="J196" s="295"/>
      <c r="K196" s="428"/>
      <c r="L196" s="430"/>
      <c r="M196" s="307"/>
      <c r="N196" s="92" t="n">
        <v>42156</v>
      </c>
      <c r="O196" s="92" t="n">
        <v>42150</v>
      </c>
      <c r="P196" s="307"/>
      <c r="Q196" s="74"/>
      <c r="R196" s="14"/>
      <c r="S196" s="379" t="n">
        <v>0.152</v>
      </c>
      <c r="T196" s="380"/>
      <c r="U196" s="307"/>
      <c r="V196" s="307"/>
      <c r="W196" s="307"/>
      <c r="X196" s="307"/>
      <c r="Y196" s="307"/>
      <c r="Z196" s="307"/>
      <c r="AA196" s="307"/>
      <c r="AB196" s="307"/>
      <c r="AC196" s="307"/>
      <c r="AD196" s="307"/>
      <c r="AE196" s="307"/>
      <c r="AF196" s="307"/>
      <c r="AG196" s="307"/>
      <c r="AH196" s="307"/>
      <c r="AI196" s="307"/>
      <c r="AJ196" s="307"/>
      <c r="AK196" s="307"/>
      <c r="AL196" s="307"/>
    </row>
    <row r="197" customFormat="false" ht="12.75" hidden="false" customHeight="false" outlineLevel="0" collapsed="false">
      <c r="A197" s="307"/>
      <c r="B197" s="307"/>
      <c r="C197" s="307"/>
      <c r="D197" s="307"/>
      <c r="E197" s="307"/>
      <c r="F197" s="307"/>
      <c r="G197" s="477"/>
      <c r="H197" s="323" t="n">
        <f aca="false">Swap!A183</f>
        <v>42401</v>
      </c>
      <c r="I197" s="428" t="n">
        <f aca="false">INDEX(IRTable,MATCH(H197,IRMonth,0),3)+K197</f>
        <v>0.17</v>
      </c>
      <c r="J197" s="295"/>
      <c r="K197" s="428"/>
      <c r="L197" s="430"/>
      <c r="M197" s="307"/>
      <c r="N197" s="92" t="n">
        <v>42186</v>
      </c>
      <c r="O197" s="92" t="n">
        <v>42180</v>
      </c>
      <c r="P197" s="307"/>
      <c r="Q197" s="74"/>
      <c r="R197" s="14"/>
      <c r="S197" s="379" t="n">
        <v>0.152</v>
      </c>
      <c r="T197" s="380"/>
      <c r="U197" s="307"/>
      <c r="V197" s="307"/>
      <c r="W197" s="307"/>
      <c r="X197" s="307"/>
      <c r="Y197" s="307"/>
      <c r="Z197" s="307"/>
      <c r="AA197" s="307"/>
      <c r="AB197" s="307"/>
      <c r="AC197" s="307"/>
      <c r="AD197" s="307"/>
      <c r="AE197" s="307"/>
      <c r="AF197" s="307"/>
      <c r="AG197" s="307"/>
      <c r="AH197" s="307"/>
      <c r="AI197" s="307"/>
      <c r="AJ197" s="307"/>
      <c r="AK197" s="307"/>
      <c r="AL197" s="307"/>
    </row>
    <row r="198" customFormat="false" ht="12.75" hidden="false" customHeight="false" outlineLevel="0" collapsed="false">
      <c r="A198" s="307"/>
      <c r="B198" s="307"/>
      <c r="C198" s="307"/>
      <c r="D198" s="307"/>
      <c r="E198" s="307"/>
      <c r="F198" s="307"/>
      <c r="G198" s="477"/>
      <c r="H198" s="323" t="n">
        <f aca="false">Swap!A184</f>
        <v>42430</v>
      </c>
      <c r="I198" s="428" t="n">
        <f aca="false">INDEX(IRTable,MATCH(H198,IRMonth,0),3)+K198</f>
        <v>0.17</v>
      </c>
      <c r="J198" s="295"/>
      <c r="K198" s="428"/>
      <c r="L198" s="430"/>
      <c r="M198" s="307"/>
      <c r="N198" s="92" t="n">
        <v>42217</v>
      </c>
      <c r="O198" s="92" t="n">
        <v>42213</v>
      </c>
      <c r="P198" s="307"/>
      <c r="Q198" s="74"/>
      <c r="R198" s="14"/>
      <c r="S198" s="379" t="n">
        <v>0.152</v>
      </c>
      <c r="T198" s="380"/>
      <c r="U198" s="307"/>
      <c r="V198" s="307"/>
      <c r="W198" s="307"/>
      <c r="X198" s="307"/>
      <c r="Y198" s="307"/>
      <c r="Z198" s="307"/>
      <c r="AA198" s="307"/>
      <c r="AB198" s="307"/>
      <c r="AC198" s="307"/>
      <c r="AD198" s="307"/>
      <c r="AE198" s="307"/>
      <c r="AF198" s="307"/>
      <c r="AG198" s="307"/>
      <c r="AH198" s="307"/>
      <c r="AI198" s="307"/>
      <c r="AJ198" s="307"/>
      <c r="AK198" s="307"/>
      <c r="AL198" s="307"/>
    </row>
    <row r="199" customFormat="false" ht="12.75" hidden="false" customHeight="false" outlineLevel="0" collapsed="false">
      <c r="A199" s="307"/>
      <c r="B199" s="307"/>
      <c r="C199" s="307"/>
      <c r="D199" s="307"/>
      <c r="E199" s="307"/>
      <c r="F199" s="307"/>
      <c r="G199" s="477"/>
      <c r="H199" s="323" t="n">
        <f aca="false">Swap!A185</f>
        <v>42461</v>
      </c>
      <c r="I199" s="428" t="n">
        <f aca="false">INDEX(IRTable,MATCH(H199,IRMonth,0),3)+K199</f>
        <v>0.17</v>
      </c>
      <c r="J199" s="295"/>
      <c r="K199" s="428"/>
      <c r="L199" s="430"/>
      <c r="M199" s="307"/>
      <c r="N199" s="92" t="n">
        <v>42248</v>
      </c>
      <c r="O199" s="92" t="n">
        <v>42242</v>
      </c>
      <c r="P199" s="307"/>
      <c r="Q199" s="74"/>
      <c r="R199" s="14"/>
      <c r="S199" s="379" t="n">
        <v>0.152</v>
      </c>
      <c r="T199" s="380"/>
      <c r="U199" s="307"/>
      <c r="V199" s="307"/>
      <c r="W199" s="307"/>
      <c r="X199" s="307"/>
      <c r="Y199" s="307"/>
      <c r="Z199" s="307"/>
      <c r="AA199" s="307"/>
      <c r="AB199" s="307"/>
      <c r="AC199" s="307"/>
      <c r="AD199" s="307"/>
      <c r="AE199" s="307"/>
      <c r="AF199" s="307"/>
      <c r="AG199" s="307"/>
      <c r="AH199" s="307"/>
      <c r="AI199" s="307"/>
      <c r="AJ199" s="307"/>
      <c r="AK199" s="307"/>
      <c r="AL199" s="307"/>
    </row>
    <row r="200" customFormat="false" ht="12.75" hidden="false" customHeight="false" outlineLevel="0" collapsed="false">
      <c r="A200" s="307"/>
      <c r="B200" s="307"/>
      <c r="C200" s="307"/>
      <c r="D200" s="307"/>
      <c r="E200" s="307"/>
      <c r="F200" s="307"/>
      <c r="G200" s="477"/>
      <c r="H200" s="323" t="n">
        <f aca="false">Swap!A186</f>
        <v>42491</v>
      </c>
      <c r="I200" s="428" t="n">
        <f aca="false">INDEX(IRTable,MATCH(H200,IRMonth,0),3)+K200</f>
        <v>0.17</v>
      </c>
      <c r="J200" s="295"/>
      <c r="K200" s="428"/>
      <c r="L200" s="430"/>
      <c r="M200" s="307"/>
      <c r="N200" s="92" t="n">
        <v>42278</v>
      </c>
      <c r="O200" s="92" t="n">
        <v>42272</v>
      </c>
      <c r="P200" s="307"/>
      <c r="Q200" s="74"/>
      <c r="R200" s="14"/>
      <c r="S200" s="379" t="n">
        <v>0.152</v>
      </c>
      <c r="T200" s="380"/>
      <c r="U200" s="307"/>
      <c r="V200" s="307"/>
      <c r="W200" s="307"/>
      <c r="X200" s="307"/>
      <c r="Y200" s="307"/>
      <c r="Z200" s="307"/>
      <c r="AA200" s="307"/>
      <c r="AB200" s="307"/>
      <c r="AC200" s="307"/>
      <c r="AD200" s="307"/>
      <c r="AE200" s="307"/>
      <c r="AF200" s="307"/>
      <c r="AG200" s="307"/>
      <c r="AH200" s="307"/>
      <c r="AI200" s="307"/>
      <c r="AJ200" s="307"/>
      <c r="AK200" s="307"/>
      <c r="AL200" s="307"/>
    </row>
    <row r="201" customFormat="false" ht="12.75" hidden="false" customHeight="false" outlineLevel="0" collapsed="false">
      <c r="A201" s="307"/>
      <c r="B201" s="307"/>
      <c r="C201" s="307"/>
      <c r="D201" s="307"/>
      <c r="E201" s="307"/>
      <c r="F201" s="307"/>
      <c r="G201" s="477"/>
      <c r="H201" s="323" t="n">
        <f aca="false">Swap!A187</f>
        <v>42522</v>
      </c>
      <c r="I201" s="428" t="n">
        <f aca="false">INDEX(IRTable,MATCH(H201,IRMonth,0),3)+K201</f>
        <v>0.17</v>
      </c>
      <c r="J201" s="295"/>
      <c r="K201" s="428"/>
      <c r="L201" s="430"/>
      <c r="M201" s="307"/>
      <c r="N201" s="92" t="n">
        <v>42309</v>
      </c>
      <c r="O201" s="92" t="n">
        <v>42304</v>
      </c>
      <c r="P201" s="307"/>
      <c r="Q201" s="74"/>
      <c r="R201" s="14"/>
      <c r="S201" s="379" t="n">
        <v>0.152</v>
      </c>
      <c r="T201" s="380"/>
      <c r="U201" s="307"/>
      <c r="V201" s="307"/>
      <c r="W201" s="307"/>
      <c r="X201" s="307"/>
      <c r="Y201" s="307"/>
      <c r="Z201" s="307"/>
      <c r="AA201" s="307"/>
      <c r="AB201" s="307"/>
      <c r="AC201" s="307"/>
      <c r="AD201" s="307"/>
      <c r="AE201" s="307"/>
      <c r="AF201" s="307"/>
      <c r="AG201" s="307"/>
      <c r="AH201" s="307"/>
      <c r="AI201" s="307"/>
      <c r="AJ201" s="307"/>
      <c r="AK201" s="307"/>
      <c r="AL201" s="307"/>
    </row>
    <row r="202" customFormat="false" ht="12.75" hidden="false" customHeight="false" outlineLevel="0" collapsed="false">
      <c r="A202" s="307"/>
      <c r="B202" s="307"/>
      <c r="C202" s="307"/>
      <c r="D202" s="307"/>
      <c r="E202" s="307"/>
      <c r="F202" s="307"/>
      <c r="G202" s="477"/>
      <c r="H202" s="323" t="n">
        <f aca="false">Swap!A188</f>
        <v>42552</v>
      </c>
      <c r="I202" s="428" t="n">
        <f aca="false">INDEX(IRTable,MATCH(H202,IRMonth,0),3)+K202</f>
        <v>0.17</v>
      </c>
      <c r="J202" s="295"/>
      <c r="K202" s="428"/>
      <c r="L202" s="430"/>
      <c r="M202" s="307"/>
      <c r="N202" s="92" t="n">
        <v>42339</v>
      </c>
      <c r="O202" s="92" t="n">
        <v>42332</v>
      </c>
      <c r="P202" s="307"/>
      <c r="Q202" s="74"/>
      <c r="R202" s="14"/>
      <c r="S202" s="379" t="n">
        <v>0.152</v>
      </c>
      <c r="T202" s="380"/>
      <c r="U202" s="307"/>
      <c r="V202" s="307"/>
      <c r="W202" s="307"/>
      <c r="X202" s="307"/>
      <c r="Y202" s="307"/>
      <c r="Z202" s="307"/>
      <c r="AA202" s="307"/>
      <c r="AB202" s="307"/>
      <c r="AC202" s="307"/>
      <c r="AD202" s="307"/>
      <c r="AE202" s="307"/>
      <c r="AF202" s="307"/>
      <c r="AG202" s="307"/>
      <c r="AH202" s="307"/>
      <c r="AI202" s="307"/>
      <c r="AJ202" s="307"/>
      <c r="AK202" s="307"/>
      <c r="AL202" s="307"/>
    </row>
    <row r="203" customFormat="false" ht="12.75" hidden="false" customHeight="false" outlineLevel="0" collapsed="false">
      <c r="A203" s="307"/>
      <c r="B203" s="307"/>
      <c r="C203" s="307"/>
      <c r="D203" s="307"/>
      <c r="E203" s="307"/>
      <c r="F203" s="307"/>
      <c r="G203" s="477"/>
      <c r="H203" s="323" t="n">
        <f aca="false">Swap!A189</f>
        <v>42583</v>
      </c>
      <c r="I203" s="428" t="n">
        <f aca="false">INDEX(IRTable,MATCH(H203,IRMonth,0),3)+K203</f>
        <v>0.17</v>
      </c>
      <c r="J203" s="295"/>
      <c r="K203" s="428"/>
      <c r="L203" s="430"/>
      <c r="M203" s="307"/>
      <c r="N203" s="92" t="n">
        <v>42370</v>
      </c>
      <c r="O203" s="92" t="n">
        <v>42366</v>
      </c>
      <c r="P203" s="307"/>
      <c r="Q203" s="74"/>
      <c r="R203" s="14"/>
      <c r="S203" s="379" t="n">
        <v>0.152</v>
      </c>
      <c r="T203" s="380"/>
      <c r="U203" s="307"/>
      <c r="V203" s="307"/>
      <c r="W203" s="307"/>
      <c r="X203" s="307"/>
      <c r="Y203" s="307"/>
      <c r="Z203" s="307"/>
      <c r="AA203" s="307"/>
      <c r="AB203" s="307"/>
      <c r="AC203" s="307"/>
      <c r="AD203" s="307"/>
      <c r="AE203" s="307"/>
      <c r="AF203" s="307"/>
      <c r="AG203" s="307"/>
      <c r="AH203" s="307"/>
      <c r="AI203" s="307"/>
      <c r="AJ203" s="307"/>
      <c r="AK203" s="307"/>
      <c r="AL203" s="307"/>
    </row>
    <row r="204" customFormat="false" ht="12.75" hidden="false" customHeight="false" outlineLevel="0" collapsed="false">
      <c r="A204" s="307"/>
      <c r="B204" s="307"/>
      <c r="C204" s="307"/>
      <c r="D204" s="307"/>
      <c r="E204" s="307"/>
      <c r="F204" s="307"/>
      <c r="G204" s="477"/>
      <c r="H204" s="323" t="n">
        <f aca="false">Swap!A190</f>
        <v>42614</v>
      </c>
      <c r="I204" s="428" t="n">
        <f aca="false">INDEX(IRTable,MATCH(H204,IRMonth,0),3)+K204</f>
        <v>0.17</v>
      </c>
      <c r="J204" s="295"/>
      <c r="K204" s="428"/>
      <c r="L204" s="430"/>
      <c r="M204" s="307"/>
      <c r="N204" s="92" t="n">
        <v>42401</v>
      </c>
      <c r="O204" s="92" t="n">
        <v>42395</v>
      </c>
      <c r="P204" s="307"/>
      <c r="Q204" s="74"/>
      <c r="R204" s="14"/>
      <c r="S204" s="379" t="n">
        <v>0.152</v>
      </c>
      <c r="T204" s="380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7"/>
      <c r="AF204" s="307"/>
      <c r="AG204" s="307"/>
      <c r="AH204" s="307"/>
      <c r="AI204" s="307"/>
      <c r="AJ204" s="307"/>
      <c r="AK204" s="307"/>
      <c r="AL204" s="307"/>
    </row>
    <row r="205" customFormat="false" ht="12.75" hidden="false" customHeight="false" outlineLevel="0" collapsed="false">
      <c r="A205" s="307"/>
      <c r="B205" s="307"/>
      <c r="C205" s="307"/>
      <c r="D205" s="307"/>
      <c r="E205" s="307"/>
      <c r="F205" s="307"/>
      <c r="G205" s="477"/>
      <c r="H205" s="323" t="n">
        <f aca="false">Swap!A191</f>
        <v>42644</v>
      </c>
      <c r="I205" s="428" t="n">
        <f aca="false">INDEX(IRTable,MATCH(H205,IRMonth,0),3)+K205</f>
        <v>0.17</v>
      </c>
      <c r="J205" s="295"/>
      <c r="K205" s="428"/>
      <c r="L205" s="430"/>
      <c r="M205" s="307"/>
      <c r="N205" s="92" t="n">
        <v>42430</v>
      </c>
      <c r="O205" s="92" t="n">
        <v>42424</v>
      </c>
      <c r="P205" s="307"/>
      <c r="Q205" s="74"/>
      <c r="R205" s="14"/>
      <c r="S205" s="379" t="n">
        <v>0.152</v>
      </c>
      <c r="T205" s="380"/>
      <c r="U205" s="307"/>
      <c r="V205" s="307"/>
      <c r="W205" s="307"/>
      <c r="X205" s="307"/>
      <c r="Y205" s="307"/>
      <c r="Z205" s="307"/>
      <c r="AA205" s="307"/>
      <c r="AB205" s="307"/>
      <c r="AC205" s="307"/>
      <c r="AD205" s="307"/>
      <c r="AE205" s="307"/>
      <c r="AF205" s="307"/>
      <c r="AG205" s="307"/>
      <c r="AH205" s="307"/>
      <c r="AI205" s="307"/>
      <c r="AJ205" s="307"/>
      <c r="AK205" s="307"/>
      <c r="AL205" s="307"/>
    </row>
    <row r="206" customFormat="false" ht="12.75" hidden="false" customHeight="false" outlineLevel="0" collapsed="false">
      <c r="A206" s="307"/>
      <c r="B206" s="307"/>
      <c r="C206" s="307"/>
      <c r="D206" s="307"/>
      <c r="E206" s="307"/>
      <c r="F206" s="307"/>
      <c r="G206" s="477"/>
      <c r="H206" s="323" t="n">
        <f aca="false">Swap!A192</f>
        <v>42675</v>
      </c>
      <c r="I206" s="428" t="n">
        <f aca="false">INDEX(IRTable,MATCH(H206,IRMonth,0),3)+K206</f>
        <v>0.17</v>
      </c>
      <c r="J206" s="295"/>
      <c r="K206" s="428"/>
      <c r="L206" s="430"/>
      <c r="M206" s="307"/>
      <c r="N206" s="92" t="n">
        <v>42461</v>
      </c>
      <c r="O206" s="92" t="n">
        <v>42457</v>
      </c>
      <c r="P206" s="307"/>
      <c r="Q206" s="74"/>
      <c r="R206" s="14"/>
      <c r="S206" s="379" t="n">
        <v>0.152</v>
      </c>
      <c r="T206" s="380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7"/>
      <c r="AF206" s="307"/>
      <c r="AG206" s="307"/>
      <c r="AH206" s="307"/>
      <c r="AI206" s="307"/>
      <c r="AJ206" s="307"/>
      <c r="AK206" s="307"/>
      <c r="AL206" s="307"/>
    </row>
    <row r="207" customFormat="false" ht="12.75" hidden="false" customHeight="false" outlineLevel="0" collapsed="false">
      <c r="A207" s="307"/>
      <c r="B207" s="307"/>
      <c r="C207" s="307"/>
      <c r="D207" s="307"/>
      <c r="E207" s="307"/>
      <c r="F207" s="307"/>
      <c r="G207" s="477"/>
      <c r="H207" s="323" t="n">
        <f aca="false">Swap!A193</f>
        <v>42705</v>
      </c>
      <c r="I207" s="428" t="n">
        <f aca="false">INDEX(IRTable,MATCH(H207,IRMonth,0),3)+K207</f>
        <v>0.17</v>
      </c>
      <c r="J207" s="295"/>
      <c r="K207" s="428"/>
      <c r="L207" s="430"/>
      <c r="M207" s="307"/>
      <c r="N207" s="92" t="n">
        <v>42491</v>
      </c>
      <c r="O207" s="92" t="n">
        <v>42486</v>
      </c>
      <c r="P207" s="307"/>
      <c r="Q207" s="74"/>
      <c r="R207" s="14"/>
      <c r="S207" s="379" t="n">
        <v>0.152</v>
      </c>
      <c r="T207" s="380"/>
      <c r="U207" s="307"/>
      <c r="V207" s="307"/>
      <c r="W207" s="307"/>
      <c r="X207" s="307"/>
      <c r="Y207" s="307"/>
      <c r="Z207" s="307"/>
      <c r="AA207" s="307"/>
      <c r="AB207" s="307"/>
      <c r="AC207" s="307"/>
      <c r="AD207" s="307"/>
      <c r="AE207" s="307"/>
      <c r="AF207" s="307"/>
      <c r="AG207" s="307"/>
      <c r="AH207" s="307"/>
      <c r="AI207" s="307"/>
      <c r="AJ207" s="307"/>
      <c r="AK207" s="307"/>
      <c r="AL207" s="307"/>
    </row>
    <row r="208" customFormat="false" ht="12.75" hidden="false" customHeight="false" outlineLevel="0" collapsed="false">
      <c r="A208" s="307"/>
      <c r="B208" s="307"/>
      <c r="C208" s="307"/>
      <c r="D208" s="307"/>
      <c r="E208" s="307"/>
      <c r="F208" s="307"/>
      <c r="G208" s="477"/>
      <c r="H208" s="323" t="n">
        <f aca="false">Swap!A194</f>
        <v>42736</v>
      </c>
      <c r="I208" s="428" t="n">
        <f aca="false">INDEX(IRTable,MATCH(H208,IRMonth,0),3)+K208</f>
        <v>0.17</v>
      </c>
      <c r="J208" s="295"/>
      <c r="K208" s="428"/>
      <c r="L208" s="430"/>
      <c r="M208" s="307"/>
      <c r="N208" s="92" t="n">
        <v>42522</v>
      </c>
      <c r="O208" s="92" t="n">
        <v>42515</v>
      </c>
      <c r="P208" s="307"/>
      <c r="Q208" s="74"/>
      <c r="R208" s="14"/>
      <c r="S208" s="379" t="n">
        <v>0.151</v>
      </c>
      <c r="T208" s="380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7"/>
      <c r="AF208" s="307"/>
      <c r="AG208" s="307"/>
      <c r="AH208" s="307"/>
      <c r="AI208" s="307"/>
      <c r="AJ208" s="307"/>
      <c r="AK208" s="307"/>
      <c r="AL208" s="307"/>
    </row>
    <row r="209" customFormat="false" ht="12.75" hidden="false" customHeight="false" outlineLevel="0" collapsed="false">
      <c r="A209" s="307"/>
      <c r="B209" s="307"/>
      <c r="C209" s="307"/>
      <c r="D209" s="307"/>
      <c r="E209" s="307"/>
      <c r="F209" s="307"/>
      <c r="G209" s="477"/>
      <c r="H209" s="323" t="n">
        <f aca="false">Swap!A195</f>
        <v>42767</v>
      </c>
      <c r="I209" s="428" t="n">
        <f aca="false">INDEX(IRTable,MATCH(H209,IRMonth,0),3)+K209</f>
        <v>0.17</v>
      </c>
      <c r="J209" s="295"/>
      <c r="K209" s="428"/>
      <c r="L209" s="430"/>
      <c r="M209" s="307"/>
      <c r="N209" s="92" t="n">
        <v>42552</v>
      </c>
      <c r="O209" s="92" t="n">
        <v>42548</v>
      </c>
      <c r="P209" s="307"/>
      <c r="Q209" s="74"/>
      <c r="R209" s="14"/>
      <c r="S209" s="379" t="n">
        <v>0.151</v>
      </c>
      <c r="T209" s="380"/>
      <c r="U209" s="307"/>
      <c r="V209" s="307"/>
      <c r="W209" s="307"/>
      <c r="X209" s="307"/>
      <c r="Y209" s="307"/>
      <c r="Z209" s="307"/>
      <c r="AA209" s="307"/>
      <c r="AB209" s="307"/>
      <c r="AC209" s="307"/>
      <c r="AD209" s="307"/>
      <c r="AE209" s="307"/>
      <c r="AF209" s="307"/>
      <c r="AG209" s="307"/>
      <c r="AH209" s="307"/>
      <c r="AI209" s="307"/>
      <c r="AJ209" s="307"/>
      <c r="AK209" s="307"/>
      <c r="AL209" s="307"/>
    </row>
    <row r="210" customFormat="false" ht="12.75" hidden="false" customHeight="false" outlineLevel="0" collapsed="false">
      <c r="A210" s="307"/>
      <c r="B210" s="307"/>
      <c r="C210" s="307"/>
      <c r="D210" s="307"/>
      <c r="E210" s="307"/>
      <c r="F210" s="307"/>
      <c r="G210" s="477"/>
      <c r="H210" s="323" t="n">
        <f aca="false">Swap!A196</f>
        <v>42795</v>
      </c>
      <c r="I210" s="428" t="n">
        <f aca="false">INDEX(IRTable,MATCH(H210,IRMonth,0),3)+K210</f>
        <v>0.17</v>
      </c>
      <c r="J210" s="295"/>
      <c r="K210" s="428"/>
      <c r="L210" s="430"/>
      <c r="M210" s="307"/>
      <c r="N210" s="92" t="n">
        <v>42583</v>
      </c>
      <c r="O210" s="92" t="n">
        <v>42577</v>
      </c>
      <c r="P210" s="307"/>
      <c r="Q210" s="74"/>
      <c r="R210" s="14"/>
      <c r="S210" s="379" t="n">
        <v>0.151</v>
      </c>
      <c r="T210" s="380"/>
      <c r="U210" s="307"/>
      <c r="V210" s="307"/>
      <c r="W210" s="307"/>
      <c r="X210" s="307"/>
      <c r="Y210" s="307"/>
      <c r="Z210" s="307"/>
      <c r="AA210" s="307"/>
      <c r="AB210" s="307"/>
      <c r="AC210" s="307"/>
      <c r="AD210" s="307"/>
      <c r="AE210" s="307"/>
      <c r="AF210" s="307"/>
      <c r="AG210" s="307"/>
      <c r="AH210" s="307"/>
      <c r="AI210" s="307"/>
      <c r="AJ210" s="307"/>
      <c r="AK210" s="307"/>
      <c r="AL210" s="307"/>
    </row>
    <row r="211" customFormat="false" ht="12.75" hidden="false" customHeight="false" outlineLevel="0" collapsed="false">
      <c r="A211" s="307"/>
      <c r="B211" s="307"/>
      <c r="C211" s="307"/>
      <c r="D211" s="307"/>
      <c r="E211" s="307"/>
      <c r="F211" s="307"/>
      <c r="G211" s="477"/>
      <c r="H211" s="323" t="n">
        <f aca="false">Swap!A197</f>
        <v>42826</v>
      </c>
      <c r="I211" s="428" t="n">
        <f aca="false">INDEX(IRTable,MATCH(H211,IRMonth,0),3)+K211</f>
        <v>0.17</v>
      </c>
      <c r="J211" s="295"/>
      <c r="K211" s="428"/>
      <c r="L211" s="430"/>
      <c r="M211" s="307"/>
      <c r="N211" s="92" t="n">
        <v>42614</v>
      </c>
      <c r="O211" s="92" t="n">
        <v>42608</v>
      </c>
      <c r="P211" s="307"/>
      <c r="Q211" s="74"/>
      <c r="R211" s="14"/>
      <c r="S211" s="379" t="n">
        <v>0.151</v>
      </c>
      <c r="T211" s="380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7"/>
      <c r="AF211" s="307"/>
      <c r="AG211" s="307"/>
      <c r="AH211" s="307"/>
      <c r="AI211" s="307"/>
      <c r="AJ211" s="307"/>
      <c r="AK211" s="307"/>
      <c r="AL211" s="307"/>
    </row>
    <row r="212" customFormat="false" ht="12.75" hidden="false" customHeight="false" outlineLevel="0" collapsed="false">
      <c r="A212" s="307"/>
      <c r="B212" s="307"/>
      <c r="C212" s="307"/>
      <c r="D212" s="307"/>
      <c r="E212" s="307"/>
      <c r="F212" s="307"/>
      <c r="G212" s="477"/>
      <c r="H212" s="323" t="n">
        <f aca="false">Swap!A198</f>
        <v>42856</v>
      </c>
      <c r="I212" s="428" t="n">
        <f aca="false">INDEX(IRTable,MATCH(H212,IRMonth,0),3)+K212</f>
        <v>0.17</v>
      </c>
      <c r="J212" s="295"/>
      <c r="K212" s="428"/>
      <c r="L212" s="430"/>
      <c r="M212" s="307"/>
      <c r="N212" s="92" t="n">
        <v>42644</v>
      </c>
      <c r="O212" s="92" t="n">
        <v>42640</v>
      </c>
      <c r="P212" s="307"/>
      <c r="Q212" s="74"/>
      <c r="R212" s="14"/>
      <c r="S212" s="379" t="n">
        <v>0.151</v>
      </c>
      <c r="T212" s="380"/>
      <c r="U212" s="307"/>
      <c r="V212" s="307"/>
      <c r="W212" s="307"/>
      <c r="X212" s="307"/>
      <c r="Y212" s="307"/>
      <c r="Z212" s="307"/>
      <c r="AA212" s="307"/>
      <c r="AB212" s="307"/>
      <c r="AC212" s="307"/>
      <c r="AD212" s="307"/>
      <c r="AE212" s="307"/>
      <c r="AF212" s="307"/>
      <c r="AG212" s="307"/>
      <c r="AH212" s="307"/>
      <c r="AI212" s="307"/>
      <c r="AJ212" s="307"/>
      <c r="AK212" s="307"/>
      <c r="AL212" s="307"/>
    </row>
    <row r="213" customFormat="false" ht="12.75" hidden="false" customHeight="false" outlineLevel="0" collapsed="false">
      <c r="A213" s="307"/>
      <c r="B213" s="307"/>
      <c r="C213" s="307"/>
      <c r="D213" s="307"/>
      <c r="E213" s="307"/>
      <c r="F213" s="307"/>
      <c r="G213" s="477"/>
      <c r="H213" s="323" t="n">
        <f aca="false">Swap!A199</f>
        <v>42887</v>
      </c>
      <c r="I213" s="428" t="n">
        <f aca="false">INDEX(IRTable,MATCH(H213,IRMonth,0),3)+K213</f>
        <v>0.17</v>
      </c>
      <c r="J213" s="295"/>
      <c r="K213" s="428"/>
      <c r="L213" s="430"/>
      <c r="M213" s="307"/>
      <c r="N213" s="92" t="n">
        <v>42675</v>
      </c>
      <c r="O213" s="92" t="n">
        <v>42669</v>
      </c>
      <c r="P213" s="307"/>
      <c r="Q213" s="74"/>
      <c r="R213" s="14"/>
      <c r="S213" s="379" t="n">
        <v>0.151</v>
      </c>
      <c r="T213" s="380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7"/>
      <c r="AF213" s="307"/>
      <c r="AG213" s="307"/>
      <c r="AH213" s="307"/>
      <c r="AI213" s="307"/>
      <c r="AJ213" s="307"/>
      <c r="AK213" s="307"/>
      <c r="AL213" s="307"/>
    </row>
    <row r="214" customFormat="false" ht="12.75" hidden="false" customHeight="false" outlineLevel="0" collapsed="false">
      <c r="A214" s="307"/>
      <c r="B214" s="307"/>
      <c r="C214" s="307"/>
      <c r="D214" s="307"/>
      <c r="E214" s="307"/>
      <c r="F214" s="307"/>
      <c r="G214" s="477"/>
      <c r="H214" s="323" t="n">
        <f aca="false">Swap!A200</f>
        <v>42917</v>
      </c>
      <c r="I214" s="428" t="n">
        <f aca="false">INDEX(IRTable,MATCH(H214,IRMonth,0),3)+K214</f>
        <v>0.17</v>
      </c>
      <c r="J214" s="295"/>
      <c r="K214" s="428"/>
      <c r="L214" s="430"/>
      <c r="M214" s="307"/>
      <c r="N214" s="92" t="n">
        <v>42705</v>
      </c>
      <c r="O214" s="92" t="n">
        <v>42699</v>
      </c>
      <c r="P214" s="307"/>
      <c r="Q214" s="74"/>
      <c r="R214" s="14"/>
      <c r="S214" s="379" t="n">
        <v>0.151</v>
      </c>
      <c r="T214" s="380"/>
      <c r="U214" s="307"/>
      <c r="V214" s="307"/>
      <c r="W214" s="307"/>
      <c r="X214" s="307"/>
      <c r="Y214" s="307"/>
      <c r="Z214" s="307"/>
      <c r="AA214" s="307"/>
      <c r="AB214" s="307"/>
      <c r="AC214" s="307"/>
      <c r="AD214" s="307"/>
      <c r="AE214" s="307"/>
      <c r="AF214" s="307"/>
      <c r="AG214" s="307"/>
      <c r="AH214" s="307"/>
      <c r="AI214" s="307"/>
      <c r="AJ214" s="307"/>
      <c r="AK214" s="307"/>
      <c r="AL214" s="307"/>
    </row>
    <row r="215" customFormat="false" ht="12.75" hidden="false" customHeight="false" outlineLevel="0" collapsed="false">
      <c r="A215" s="307"/>
      <c r="B215" s="307"/>
      <c r="C215" s="307"/>
      <c r="D215" s="307"/>
      <c r="E215" s="307"/>
      <c r="F215" s="307"/>
      <c r="G215" s="477"/>
      <c r="H215" s="323" t="n">
        <f aca="false">Swap!A201</f>
        <v>42948</v>
      </c>
      <c r="I215" s="428" t="n">
        <f aca="false">INDEX(IRTable,MATCH(H215,IRMonth,0),3)+K215</f>
        <v>0.17</v>
      </c>
      <c r="J215" s="295"/>
      <c r="K215" s="428"/>
      <c r="L215" s="430"/>
      <c r="M215" s="307"/>
      <c r="N215" s="92" t="n">
        <v>42736</v>
      </c>
      <c r="O215" s="92" t="n">
        <v>42731</v>
      </c>
      <c r="P215" s="307"/>
      <c r="Q215" s="74"/>
      <c r="R215" s="14"/>
      <c r="S215" s="379" t="n">
        <v>0.151</v>
      </c>
      <c r="T215" s="380"/>
      <c r="U215" s="307"/>
      <c r="V215" s="307"/>
      <c r="W215" s="307"/>
      <c r="X215" s="307"/>
      <c r="Y215" s="307"/>
      <c r="Z215" s="307"/>
      <c r="AA215" s="307"/>
      <c r="AB215" s="307"/>
      <c r="AC215" s="307"/>
      <c r="AD215" s="307"/>
      <c r="AE215" s="307"/>
      <c r="AF215" s="307"/>
      <c r="AG215" s="307"/>
      <c r="AH215" s="307"/>
      <c r="AI215" s="307"/>
      <c r="AJ215" s="307"/>
      <c r="AK215" s="307"/>
      <c r="AL215" s="307"/>
    </row>
    <row r="216" customFormat="false" ht="12.75" hidden="false" customHeight="false" outlineLevel="0" collapsed="false">
      <c r="A216" s="307"/>
      <c r="B216" s="307"/>
      <c r="C216" s="307"/>
      <c r="D216" s="307"/>
      <c r="E216" s="307"/>
      <c r="F216" s="307"/>
      <c r="G216" s="477"/>
      <c r="H216" s="323" t="n">
        <f aca="false">Swap!A202</f>
        <v>42979</v>
      </c>
      <c r="I216" s="428" t="n">
        <f aca="false">INDEX(IRTable,MATCH(H216,IRMonth,0),3)+K216</f>
        <v>0.17</v>
      </c>
      <c r="J216" s="295"/>
      <c r="K216" s="428"/>
      <c r="L216" s="430"/>
      <c r="M216" s="307"/>
      <c r="N216" s="92" t="n">
        <v>42767</v>
      </c>
      <c r="O216" s="92" t="n">
        <v>42761</v>
      </c>
      <c r="P216" s="307"/>
      <c r="Q216" s="74"/>
      <c r="R216" s="14"/>
      <c r="S216" s="379" t="n">
        <v>0.151</v>
      </c>
      <c r="T216" s="380"/>
      <c r="U216" s="307"/>
      <c r="V216" s="307"/>
      <c r="W216" s="307"/>
      <c r="X216" s="307"/>
      <c r="Y216" s="307"/>
      <c r="Z216" s="307"/>
      <c r="AA216" s="307"/>
      <c r="AB216" s="307"/>
      <c r="AC216" s="307"/>
      <c r="AD216" s="307"/>
      <c r="AE216" s="307"/>
      <c r="AF216" s="307"/>
      <c r="AG216" s="307"/>
      <c r="AH216" s="307"/>
      <c r="AI216" s="307"/>
      <c r="AJ216" s="307"/>
      <c r="AK216" s="307"/>
      <c r="AL216" s="307"/>
    </row>
    <row r="217" customFormat="false" ht="12.75" hidden="false" customHeight="false" outlineLevel="0" collapsed="false">
      <c r="A217" s="307"/>
      <c r="B217" s="307"/>
      <c r="C217" s="307"/>
      <c r="D217" s="307"/>
      <c r="E217" s="307"/>
      <c r="F217" s="307"/>
      <c r="G217" s="477"/>
      <c r="H217" s="323" t="n">
        <f aca="false">Swap!A203</f>
        <v>43009</v>
      </c>
      <c r="I217" s="428" t="n">
        <f aca="false">INDEX(IRTable,MATCH(H217,IRMonth,0),3)+K217</f>
        <v>0.17</v>
      </c>
      <c r="J217" s="295"/>
      <c r="K217" s="428"/>
      <c r="L217" s="430"/>
      <c r="M217" s="307"/>
      <c r="N217" s="92" t="n">
        <v>42795</v>
      </c>
      <c r="O217" s="92" t="n">
        <v>42789</v>
      </c>
      <c r="P217" s="307"/>
      <c r="Q217" s="74"/>
      <c r="R217" s="14"/>
      <c r="S217" s="379" t="n">
        <v>0.151</v>
      </c>
      <c r="T217" s="380"/>
      <c r="U217" s="307"/>
      <c r="V217" s="307"/>
      <c r="W217" s="307"/>
      <c r="X217" s="307"/>
      <c r="Y217" s="307"/>
      <c r="Z217" s="307"/>
      <c r="AA217" s="307"/>
      <c r="AB217" s="307"/>
      <c r="AC217" s="307"/>
      <c r="AD217" s="307"/>
      <c r="AE217" s="307"/>
      <c r="AF217" s="307"/>
      <c r="AG217" s="307"/>
      <c r="AH217" s="307"/>
      <c r="AI217" s="307"/>
      <c r="AJ217" s="307"/>
      <c r="AK217" s="307"/>
      <c r="AL217" s="307"/>
    </row>
    <row r="218" customFormat="false" ht="12.75" hidden="false" customHeight="false" outlineLevel="0" collapsed="false">
      <c r="A218" s="307"/>
      <c r="B218" s="307"/>
      <c r="C218" s="307"/>
      <c r="D218" s="307"/>
      <c r="E218" s="307"/>
      <c r="F218" s="307"/>
      <c r="G218" s="477"/>
      <c r="H218" s="323" t="n">
        <f aca="false">Swap!A204</f>
        <v>43040</v>
      </c>
      <c r="I218" s="428" t="n">
        <f aca="false">INDEX(IRTable,MATCH(H218,IRMonth,0),3)+K218</f>
        <v>0.17</v>
      </c>
      <c r="J218" s="295"/>
      <c r="K218" s="428"/>
      <c r="L218" s="430"/>
      <c r="M218" s="307"/>
      <c r="N218" s="92" t="n">
        <v>42826</v>
      </c>
      <c r="O218" s="92" t="n">
        <v>42822</v>
      </c>
      <c r="P218" s="307"/>
      <c r="Q218" s="74"/>
      <c r="R218" s="14"/>
      <c r="S218" s="379" t="n">
        <v>0.151</v>
      </c>
      <c r="T218" s="380"/>
      <c r="U218" s="307"/>
      <c r="V218" s="307"/>
      <c r="W218" s="307"/>
      <c r="X218" s="307"/>
      <c r="Y218" s="307"/>
      <c r="Z218" s="307"/>
      <c r="AA218" s="307"/>
      <c r="AB218" s="307"/>
      <c r="AC218" s="307"/>
      <c r="AD218" s="307"/>
      <c r="AE218" s="307"/>
      <c r="AF218" s="307"/>
      <c r="AG218" s="307"/>
      <c r="AH218" s="307"/>
      <c r="AI218" s="307"/>
      <c r="AJ218" s="307"/>
      <c r="AK218" s="307"/>
      <c r="AL218" s="307"/>
    </row>
    <row r="219" customFormat="false" ht="12.75" hidden="false" customHeight="false" outlineLevel="0" collapsed="false">
      <c r="A219" s="307"/>
      <c r="B219" s="307"/>
      <c r="C219" s="307"/>
      <c r="D219" s="307"/>
      <c r="E219" s="307"/>
      <c r="F219" s="307"/>
      <c r="G219" s="477"/>
      <c r="H219" s="323" t="n">
        <f aca="false">Swap!A205</f>
        <v>43070</v>
      </c>
      <c r="I219" s="428" t="n">
        <f aca="false">INDEX(IRTable,MATCH(H219,IRMonth,0),3)+K219</f>
        <v>0.17</v>
      </c>
      <c r="J219" s="295"/>
      <c r="K219" s="428"/>
      <c r="L219" s="430"/>
      <c r="M219" s="307"/>
      <c r="N219" s="92" t="n">
        <v>42856</v>
      </c>
      <c r="O219" s="92" t="n">
        <v>42850</v>
      </c>
      <c r="P219" s="307"/>
      <c r="Q219" s="74"/>
      <c r="R219" s="14"/>
      <c r="S219" s="379" t="n">
        <v>0.151</v>
      </c>
      <c r="T219" s="380"/>
      <c r="U219" s="307"/>
      <c r="V219" s="307"/>
      <c r="W219" s="307"/>
      <c r="X219" s="307"/>
      <c r="Y219" s="307"/>
      <c r="Z219" s="307"/>
      <c r="AA219" s="307"/>
      <c r="AB219" s="307"/>
      <c r="AC219" s="307"/>
      <c r="AD219" s="307"/>
      <c r="AE219" s="307"/>
      <c r="AF219" s="307"/>
      <c r="AG219" s="307"/>
      <c r="AH219" s="307"/>
      <c r="AI219" s="307"/>
      <c r="AJ219" s="307"/>
      <c r="AK219" s="307"/>
      <c r="AL219" s="307"/>
    </row>
    <row r="220" customFormat="false" ht="12.75" hidden="false" customHeight="false" outlineLevel="0" collapsed="false">
      <c r="A220" s="307"/>
      <c r="B220" s="307"/>
      <c r="C220" s="307"/>
      <c r="D220" s="307"/>
      <c r="E220" s="307"/>
      <c r="F220" s="307"/>
      <c r="G220" s="477"/>
      <c r="H220" s="323" t="n">
        <f aca="false">Swap!A206</f>
        <v>43101</v>
      </c>
      <c r="I220" s="428" t="n">
        <f aca="false">INDEX(IRTable,MATCH(H220,IRMonth,0),3)+K220</f>
        <v>0.17</v>
      </c>
      <c r="J220" s="295"/>
      <c r="K220" s="428"/>
      <c r="L220" s="430"/>
      <c r="M220" s="307"/>
      <c r="N220" s="92" t="n">
        <v>42887</v>
      </c>
      <c r="O220" s="92" t="n">
        <v>42880</v>
      </c>
      <c r="P220" s="307"/>
      <c r="Q220" s="74"/>
      <c r="R220" s="14"/>
      <c r="S220" s="379" t="n">
        <v>0.151</v>
      </c>
      <c r="T220" s="380"/>
      <c r="U220" s="307"/>
      <c r="V220" s="307"/>
      <c r="W220" s="307"/>
      <c r="X220" s="307"/>
      <c r="Y220" s="307"/>
      <c r="Z220" s="307"/>
      <c r="AA220" s="307"/>
      <c r="AB220" s="307"/>
      <c r="AC220" s="307"/>
      <c r="AD220" s="307"/>
      <c r="AE220" s="307"/>
      <c r="AF220" s="307"/>
      <c r="AG220" s="307"/>
      <c r="AH220" s="307"/>
      <c r="AI220" s="307"/>
      <c r="AJ220" s="307"/>
      <c r="AK220" s="307"/>
      <c r="AL220" s="307"/>
    </row>
    <row r="221" customFormat="false" ht="12.75" hidden="false" customHeight="false" outlineLevel="0" collapsed="false">
      <c r="A221" s="307"/>
      <c r="B221" s="307"/>
      <c r="C221" s="307"/>
      <c r="D221" s="307"/>
      <c r="E221" s="307"/>
      <c r="F221" s="307"/>
      <c r="G221" s="477"/>
      <c r="H221" s="323" t="n">
        <f aca="false">Swap!A207</f>
        <v>43132</v>
      </c>
      <c r="I221" s="428" t="n">
        <f aca="false">INDEX(IRTable,MATCH(H221,IRMonth,0),3)+K221</f>
        <v>0.17</v>
      </c>
      <c r="J221" s="295"/>
      <c r="K221" s="428"/>
      <c r="L221" s="430"/>
      <c r="M221" s="307"/>
      <c r="N221" s="92" t="n">
        <v>42917</v>
      </c>
      <c r="O221" s="92" t="n">
        <v>42913</v>
      </c>
      <c r="P221" s="307"/>
      <c r="Q221" s="74"/>
      <c r="R221" s="14"/>
      <c r="S221" s="379" t="n">
        <v>0.151</v>
      </c>
      <c r="T221" s="380"/>
      <c r="U221" s="307"/>
      <c r="V221" s="307"/>
      <c r="W221" s="307"/>
      <c r="X221" s="307"/>
      <c r="Y221" s="307"/>
      <c r="Z221" s="307"/>
      <c r="AA221" s="307"/>
      <c r="AB221" s="307"/>
      <c r="AC221" s="307"/>
      <c r="AD221" s="307"/>
      <c r="AE221" s="307"/>
      <c r="AF221" s="307"/>
      <c r="AG221" s="307"/>
      <c r="AH221" s="307"/>
      <c r="AI221" s="307"/>
      <c r="AJ221" s="307"/>
      <c r="AK221" s="307"/>
      <c r="AL221" s="307"/>
    </row>
    <row r="222" customFormat="false" ht="12.75" hidden="false" customHeight="false" outlineLevel="0" collapsed="false">
      <c r="A222" s="307"/>
      <c r="B222" s="307"/>
      <c r="C222" s="307"/>
      <c r="D222" s="307"/>
      <c r="E222" s="307"/>
      <c r="F222" s="307"/>
      <c r="G222" s="477"/>
      <c r="H222" s="323" t="n">
        <f aca="false">Swap!A208</f>
        <v>43160</v>
      </c>
      <c r="I222" s="428" t="n">
        <f aca="false">INDEX(IRTable,MATCH(H222,IRMonth,0),3)+K222</f>
        <v>0.17</v>
      </c>
      <c r="J222" s="295"/>
      <c r="K222" s="428"/>
      <c r="L222" s="430"/>
      <c r="M222" s="307"/>
      <c r="N222" s="92" t="n">
        <v>42948</v>
      </c>
      <c r="O222" s="92" t="n">
        <v>42942</v>
      </c>
      <c r="P222" s="307"/>
      <c r="Q222" s="74"/>
      <c r="R222" s="14"/>
      <c r="S222" s="379" t="n">
        <v>0.151</v>
      </c>
      <c r="T222" s="380"/>
      <c r="U222" s="307"/>
      <c r="V222" s="307"/>
      <c r="W222" s="307"/>
      <c r="X222" s="307"/>
      <c r="Y222" s="307"/>
      <c r="Z222" s="307"/>
      <c r="AA222" s="307"/>
      <c r="AB222" s="307"/>
      <c r="AC222" s="307"/>
      <c r="AD222" s="307"/>
      <c r="AE222" s="307"/>
      <c r="AF222" s="307"/>
      <c r="AG222" s="307"/>
      <c r="AH222" s="307"/>
      <c r="AI222" s="307"/>
      <c r="AJ222" s="307"/>
      <c r="AK222" s="307"/>
      <c r="AL222" s="307"/>
    </row>
    <row r="223" customFormat="false" ht="12.75" hidden="false" customHeight="false" outlineLevel="0" collapsed="false">
      <c r="A223" s="307"/>
      <c r="B223" s="307"/>
      <c r="C223" s="307"/>
      <c r="D223" s="307"/>
      <c r="E223" s="307"/>
      <c r="F223" s="307"/>
      <c r="G223" s="477"/>
      <c r="H223" s="323" t="n">
        <f aca="false">Swap!A209</f>
        <v>43191</v>
      </c>
      <c r="I223" s="428" t="n">
        <f aca="false">INDEX(IRTable,MATCH(H223,IRMonth,0),3)+K223</f>
        <v>0.17</v>
      </c>
      <c r="J223" s="295"/>
      <c r="K223" s="428"/>
      <c r="L223" s="430"/>
      <c r="M223" s="307"/>
      <c r="N223" s="92" t="n">
        <v>42979</v>
      </c>
      <c r="O223" s="92" t="n">
        <v>42975</v>
      </c>
      <c r="P223" s="307"/>
      <c r="Q223" s="74"/>
      <c r="R223" s="14"/>
      <c r="S223" s="379" t="n">
        <v>0.151</v>
      </c>
      <c r="T223" s="380"/>
      <c r="U223" s="307"/>
      <c r="V223" s="307"/>
      <c r="W223" s="307"/>
      <c r="X223" s="307"/>
      <c r="Y223" s="307"/>
      <c r="Z223" s="307"/>
      <c r="AA223" s="307"/>
      <c r="AB223" s="307"/>
      <c r="AC223" s="307"/>
      <c r="AD223" s="307"/>
      <c r="AE223" s="307"/>
      <c r="AF223" s="307"/>
      <c r="AG223" s="307"/>
      <c r="AH223" s="307"/>
      <c r="AI223" s="307"/>
      <c r="AJ223" s="307"/>
      <c r="AK223" s="307"/>
      <c r="AL223" s="307"/>
    </row>
    <row r="224" customFormat="false" ht="12.75" hidden="false" customHeight="false" outlineLevel="0" collapsed="false">
      <c r="A224" s="307"/>
      <c r="B224" s="307"/>
      <c r="C224" s="307"/>
      <c r="D224" s="307"/>
      <c r="E224" s="307"/>
      <c r="F224" s="307"/>
      <c r="G224" s="477"/>
      <c r="H224" s="323" t="n">
        <f aca="false">Swap!A210</f>
        <v>43221</v>
      </c>
      <c r="I224" s="428" t="n">
        <f aca="false">INDEX(IRTable,MATCH(H224,IRMonth,0),3)+K224</f>
        <v>0.17</v>
      </c>
      <c r="J224" s="295"/>
      <c r="K224" s="428"/>
      <c r="L224" s="430"/>
      <c r="M224" s="307"/>
      <c r="N224" s="92" t="n">
        <v>43009</v>
      </c>
      <c r="O224" s="92" t="n">
        <v>43004</v>
      </c>
      <c r="P224" s="307"/>
      <c r="Q224" s="74"/>
      <c r="R224" s="14"/>
      <c r="S224" s="379" t="n">
        <v>0.151</v>
      </c>
      <c r="T224" s="380"/>
      <c r="U224" s="307"/>
      <c r="V224" s="307"/>
      <c r="W224" s="307"/>
      <c r="X224" s="307"/>
      <c r="Y224" s="307"/>
      <c r="Z224" s="307"/>
      <c r="AA224" s="307"/>
      <c r="AB224" s="307"/>
      <c r="AC224" s="307"/>
      <c r="AD224" s="307"/>
      <c r="AE224" s="307"/>
      <c r="AF224" s="307"/>
      <c r="AG224" s="307"/>
      <c r="AH224" s="307"/>
      <c r="AI224" s="307"/>
      <c r="AJ224" s="307"/>
      <c r="AK224" s="307"/>
      <c r="AL224" s="307"/>
    </row>
    <row r="225" customFormat="false" ht="12.75" hidden="false" customHeight="false" outlineLevel="0" collapsed="false">
      <c r="A225" s="307"/>
      <c r="B225" s="307"/>
      <c r="C225" s="307"/>
      <c r="D225" s="307"/>
      <c r="E225" s="307"/>
      <c r="F225" s="307"/>
      <c r="G225" s="477"/>
      <c r="H225" s="323" t="n">
        <f aca="false">Swap!A211</f>
        <v>43252</v>
      </c>
      <c r="I225" s="428" t="n">
        <f aca="false">INDEX(IRTable,MATCH(H225,IRMonth,0),3)+K225</f>
        <v>0.17</v>
      </c>
      <c r="J225" s="295"/>
      <c r="K225" s="428"/>
      <c r="L225" s="430"/>
      <c r="M225" s="307"/>
      <c r="N225" s="92" t="n">
        <v>43040</v>
      </c>
      <c r="O225" s="92" t="n">
        <v>43034</v>
      </c>
      <c r="P225" s="307"/>
      <c r="Q225" s="74"/>
      <c r="R225" s="14"/>
      <c r="S225" s="379" t="n">
        <v>0.151</v>
      </c>
      <c r="T225" s="380"/>
      <c r="U225" s="307"/>
      <c r="V225" s="307"/>
      <c r="W225" s="307"/>
      <c r="X225" s="307"/>
      <c r="Y225" s="307"/>
      <c r="Z225" s="307"/>
      <c r="AA225" s="307"/>
      <c r="AB225" s="307"/>
      <c r="AC225" s="307"/>
      <c r="AD225" s="307"/>
      <c r="AE225" s="307"/>
      <c r="AF225" s="307"/>
      <c r="AG225" s="307"/>
      <c r="AH225" s="307"/>
      <c r="AI225" s="307"/>
      <c r="AJ225" s="307"/>
      <c r="AK225" s="307"/>
      <c r="AL225" s="307"/>
    </row>
    <row r="226" customFormat="false" ht="12.75" hidden="false" customHeight="false" outlineLevel="0" collapsed="false">
      <c r="A226" s="307"/>
      <c r="B226" s="307"/>
      <c r="C226" s="307"/>
      <c r="D226" s="307"/>
      <c r="E226" s="307"/>
      <c r="F226" s="307"/>
      <c r="G226" s="477"/>
      <c r="H226" s="323" t="n">
        <f aca="false">Swap!A212</f>
        <v>43282</v>
      </c>
      <c r="I226" s="428" t="n">
        <f aca="false">INDEX(IRTable,MATCH(H226,IRMonth,0),3)+K226</f>
        <v>0.17</v>
      </c>
      <c r="J226" s="295"/>
      <c r="K226" s="428"/>
      <c r="L226" s="430"/>
      <c r="M226" s="307"/>
      <c r="N226" s="92" t="n">
        <v>43070</v>
      </c>
      <c r="O226" s="92" t="n">
        <v>43066</v>
      </c>
      <c r="P226" s="307"/>
      <c r="Q226" s="74"/>
      <c r="R226" s="14"/>
      <c r="S226" s="379" t="n">
        <v>0.151</v>
      </c>
      <c r="T226" s="380"/>
      <c r="U226" s="307"/>
      <c r="V226" s="307"/>
      <c r="W226" s="307"/>
      <c r="X226" s="307"/>
      <c r="Y226" s="307"/>
      <c r="Z226" s="307"/>
      <c r="AA226" s="307"/>
      <c r="AB226" s="307"/>
      <c r="AC226" s="307"/>
      <c r="AD226" s="307"/>
      <c r="AE226" s="307"/>
      <c r="AF226" s="307"/>
      <c r="AG226" s="307"/>
      <c r="AH226" s="307"/>
      <c r="AI226" s="307"/>
      <c r="AJ226" s="307"/>
      <c r="AK226" s="307"/>
      <c r="AL226" s="307"/>
    </row>
    <row r="227" customFormat="false" ht="12.75" hidden="false" customHeight="false" outlineLevel="0" collapsed="false">
      <c r="A227" s="307"/>
      <c r="B227" s="307"/>
      <c r="C227" s="307"/>
      <c r="D227" s="307"/>
      <c r="E227" s="307"/>
      <c r="F227" s="307"/>
      <c r="G227" s="477"/>
      <c r="H227" s="323" t="n">
        <f aca="false">Swap!A213</f>
        <v>43313</v>
      </c>
      <c r="I227" s="428" t="n">
        <f aca="false">INDEX(IRTable,MATCH(H227,IRMonth,0),3)+K227</f>
        <v>0.17</v>
      </c>
      <c r="J227" s="295"/>
      <c r="K227" s="428"/>
      <c r="L227" s="430"/>
      <c r="M227" s="307"/>
      <c r="N227" s="92" t="n">
        <v>43101</v>
      </c>
      <c r="O227" s="92" t="n">
        <v>43095</v>
      </c>
      <c r="P227" s="307"/>
      <c r="Q227" s="74"/>
      <c r="R227" s="14"/>
      <c r="S227" s="379" t="n">
        <v>0.151</v>
      </c>
      <c r="T227" s="380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7"/>
      <c r="AF227" s="307"/>
      <c r="AG227" s="307"/>
      <c r="AH227" s="307"/>
      <c r="AI227" s="307"/>
      <c r="AJ227" s="307"/>
      <c r="AK227" s="307"/>
      <c r="AL227" s="307"/>
    </row>
    <row r="228" customFormat="false" ht="12.75" hidden="false" customHeight="false" outlineLevel="0" collapsed="false">
      <c r="A228" s="307"/>
      <c r="B228" s="307"/>
      <c r="C228" s="307"/>
      <c r="D228" s="307"/>
      <c r="E228" s="307"/>
      <c r="F228" s="307"/>
      <c r="G228" s="477"/>
      <c r="H228" s="323" t="n">
        <f aca="false">Swap!A214</f>
        <v>43344</v>
      </c>
      <c r="I228" s="428" t="n">
        <f aca="false">INDEX(IRTable,MATCH(H228,IRMonth,0),3)+K228</f>
        <v>0.17</v>
      </c>
      <c r="J228" s="295"/>
      <c r="K228" s="428"/>
      <c r="L228" s="430"/>
      <c r="M228" s="307"/>
      <c r="N228" s="92" t="n">
        <v>43132</v>
      </c>
      <c r="O228" s="92" t="n">
        <v>43126</v>
      </c>
      <c r="P228" s="307"/>
      <c r="Q228" s="74"/>
      <c r="R228" s="14"/>
      <c r="S228" s="379" t="n">
        <v>0.151</v>
      </c>
      <c r="T228" s="380"/>
      <c r="U228" s="307"/>
      <c r="V228" s="307"/>
      <c r="W228" s="307"/>
      <c r="X228" s="307"/>
      <c r="Y228" s="307"/>
      <c r="Z228" s="307"/>
      <c r="AA228" s="307"/>
      <c r="AB228" s="307"/>
      <c r="AC228" s="307"/>
      <c r="AD228" s="307"/>
      <c r="AE228" s="307"/>
      <c r="AF228" s="307"/>
      <c r="AG228" s="307"/>
      <c r="AH228" s="307"/>
      <c r="AI228" s="307"/>
      <c r="AJ228" s="307"/>
      <c r="AK228" s="307"/>
      <c r="AL228" s="307"/>
    </row>
    <row r="229" customFormat="false" ht="12.75" hidden="false" customHeight="false" outlineLevel="0" collapsed="false">
      <c r="A229" s="307"/>
      <c r="B229" s="307"/>
      <c r="C229" s="307"/>
      <c r="D229" s="307"/>
      <c r="E229" s="307"/>
      <c r="F229" s="307"/>
      <c r="G229" s="477"/>
      <c r="H229" s="323" t="n">
        <f aca="false">Swap!A215</f>
        <v>43374</v>
      </c>
      <c r="I229" s="428" t="n">
        <f aca="false">INDEX(IRTable,MATCH(H229,IRMonth,0),3)+K229</f>
        <v>0.17</v>
      </c>
      <c r="J229" s="295"/>
      <c r="K229" s="428"/>
      <c r="L229" s="430"/>
      <c r="M229" s="307"/>
      <c r="N229" s="92" t="n">
        <v>43160</v>
      </c>
      <c r="O229" s="92" t="n">
        <v>43154</v>
      </c>
      <c r="P229" s="307"/>
      <c r="Q229" s="74"/>
      <c r="R229" s="14"/>
      <c r="S229" s="379" t="n">
        <v>0.151</v>
      </c>
      <c r="T229" s="380"/>
      <c r="U229" s="307"/>
      <c r="V229" s="307"/>
      <c r="W229" s="307"/>
      <c r="X229" s="307"/>
      <c r="Y229" s="307"/>
      <c r="Z229" s="307"/>
      <c r="AA229" s="307"/>
      <c r="AB229" s="307"/>
      <c r="AC229" s="307"/>
      <c r="AD229" s="307"/>
      <c r="AE229" s="307"/>
      <c r="AF229" s="307"/>
      <c r="AG229" s="307"/>
      <c r="AH229" s="307"/>
      <c r="AI229" s="307"/>
      <c r="AJ229" s="307"/>
      <c r="AK229" s="307"/>
      <c r="AL229" s="307"/>
    </row>
    <row r="230" customFormat="false" ht="12.75" hidden="false" customHeight="false" outlineLevel="0" collapsed="false">
      <c r="A230" s="307"/>
      <c r="B230" s="307"/>
      <c r="C230" s="307"/>
      <c r="D230" s="307"/>
      <c r="E230" s="307"/>
      <c r="F230" s="307"/>
      <c r="G230" s="477"/>
      <c r="H230" s="323" t="n">
        <f aca="false">Swap!A216</f>
        <v>43405</v>
      </c>
      <c r="I230" s="428" t="n">
        <f aca="false">INDEX(IRTable,MATCH(H230,IRMonth,0),3)+K230</f>
        <v>0.17</v>
      </c>
      <c r="J230" s="295"/>
      <c r="K230" s="428"/>
      <c r="L230" s="430"/>
      <c r="M230" s="307"/>
      <c r="N230" s="92" t="n">
        <v>43191</v>
      </c>
      <c r="O230" s="92" t="n">
        <v>43185</v>
      </c>
      <c r="P230" s="307"/>
      <c r="Q230" s="74"/>
      <c r="R230" s="14"/>
      <c r="S230" s="379" t="n">
        <v>0.151</v>
      </c>
      <c r="T230" s="380"/>
      <c r="U230" s="307"/>
      <c r="V230" s="307"/>
      <c r="W230" s="307"/>
      <c r="X230" s="307"/>
      <c r="Y230" s="307"/>
      <c r="Z230" s="307"/>
      <c r="AA230" s="307"/>
      <c r="AB230" s="307"/>
      <c r="AC230" s="307"/>
      <c r="AD230" s="307"/>
      <c r="AE230" s="307"/>
      <c r="AF230" s="307"/>
      <c r="AG230" s="307"/>
      <c r="AH230" s="307"/>
      <c r="AI230" s="307"/>
      <c r="AJ230" s="307"/>
      <c r="AK230" s="307"/>
      <c r="AL230" s="307"/>
    </row>
    <row r="231" customFormat="false" ht="12.75" hidden="false" customHeight="false" outlineLevel="0" collapsed="false">
      <c r="A231" s="307"/>
      <c r="B231" s="307"/>
      <c r="C231" s="307"/>
      <c r="D231" s="307"/>
      <c r="E231" s="307"/>
      <c r="F231" s="307"/>
      <c r="G231" s="477"/>
      <c r="H231" s="323" t="n">
        <f aca="false">Swap!A217</f>
        <v>43435</v>
      </c>
      <c r="I231" s="428" t="n">
        <f aca="false">INDEX(IRTable,MATCH(H231,IRMonth,0),3)+K231</f>
        <v>0.17</v>
      </c>
      <c r="J231" s="295"/>
      <c r="K231" s="428"/>
      <c r="L231" s="430"/>
      <c r="M231" s="307"/>
      <c r="N231" s="92" t="n">
        <v>43221</v>
      </c>
      <c r="O231" s="92" t="n">
        <v>43215</v>
      </c>
      <c r="P231" s="307"/>
      <c r="Q231" s="74"/>
      <c r="R231" s="14"/>
      <c r="S231" s="379" t="n">
        <v>0.151</v>
      </c>
      <c r="T231" s="380"/>
      <c r="U231" s="307"/>
      <c r="V231" s="307"/>
      <c r="W231" s="307"/>
      <c r="X231" s="307"/>
      <c r="Y231" s="307"/>
      <c r="Z231" s="307"/>
      <c r="AA231" s="307"/>
      <c r="AB231" s="307"/>
      <c r="AC231" s="307"/>
      <c r="AD231" s="307"/>
      <c r="AE231" s="307"/>
      <c r="AF231" s="307"/>
      <c r="AG231" s="307"/>
      <c r="AH231" s="307"/>
      <c r="AI231" s="307"/>
      <c r="AJ231" s="307"/>
      <c r="AK231" s="307"/>
      <c r="AL231" s="307"/>
    </row>
    <row r="232" customFormat="false" ht="12.75" hidden="false" customHeight="false" outlineLevel="0" collapsed="false">
      <c r="A232" s="307"/>
      <c r="B232" s="307"/>
      <c r="C232" s="307"/>
      <c r="D232" s="307"/>
      <c r="E232" s="307"/>
      <c r="F232" s="307"/>
      <c r="G232" s="477"/>
      <c r="H232" s="323" t="n">
        <f aca="false">Swap!A218</f>
        <v>43466</v>
      </c>
      <c r="I232" s="428" t="n">
        <f aca="false">INDEX(IRTable,MATCH(H232,IRMonth,0),3)+K232</f>
        <v>0.17</v>
      </c>
      <c r="J232" s="295"/>
      <c r="K232" s="428"/>
      <c r="L232" s="430"/>
      <c r="M232" s="307"/>
      <c r="N232" s="92" t="n">
        <v>43252</v>
      </c>
      <c r="O232" s="92" t="n">
        <v>43245</v>
      </c>
      <c r="P232" s="307"/>
      <c r="Q232" s="74"/>
      <c r="R232" s="14"/>
      <c r="S232" s="14"/>
      <c r="T232" s="380"/>
      <c r="U232" s="307"/>
      <c r="V232" s="307"/>
      <c r="W232" s="307"/>
      <c r="X232" s="307"/>
      <c r="Y232" s="307"/>
      <c r="Z232" s="307"/>
      <c r="AA232" s="307"/>
      <c r="AB232" s="307"/>
      <c r="AC232" s="307"/>
      <c r="AD232" s="307"/>
      <c r="AE232" s="307"/>
      <c r="AF232" s="307"/>
      <c r="AG232" s="307"/>
      <c r="AH232" s="307"/>
      <c r="AI232" s="307"/>
      <c r="AJ232" s="307"/>
      <c r="AK232" s="307"/>
      <c r="AL232" s="307"/>
    </row>
    <row r="233" customFormat="false" ht="12.75" hidden="false" customHeight="false" outlineLevel="0" collapsed="false">
      <c r="A233" s="307"/>
      <c r="B233" s="307"/>
      <c r="C233" s="307"/>
      <c r="D233" s="307"/>
      <c r="E233" s="307"/>
      <c r="F233" s="307"/>
      <c r="G233" s="477"/>
      <c r="H233" s="323" t="n">
        <f aca="false">Swap!A219</f>
        <v>43497</v>
      </c>
      <c r="I233" s="428" t="n">
        <f aca="false">INDEX(IRTable,MATCH(H233,IRMonth,0),3)+K233</f>
        <v>0.17</v>
      </c>
      <c r="J233" s="295"/>
      <c r="K233" s="428"/>
      <c r="L233" s="430"/>
      <c r="M233" s="307"/>
      <c r="N233" s="92" t="n">
        <v>43282</v>
      </c>
      <c r="O233" s="92" t="n">
        <v>43277</v>
      </c>
      <c r="P233" s="307"/>
      <c r="Q233" s="74"/>
      <c r="R233" s="14"/>
      <c r="S233" s="14"/>
      <c r="T233" s="380"/>
      <c r="U233" s="307"/>
      <c r="V233" s="307"/>
      <c r="W233" s="307"/>
      <c r="X233" s="307"/>
      <c r="Y233" s="307"/>
      <c r="Z233" s="307"/>
      <c r="AA233" s="307"/>
      <c r="AB233" s="307"/>
      <c r="AC233" s="307"/>
      <c r="AD233" s="307"/>
      <c r="AE233" s="307"/>
      <c r="AF233" s="307"/>
      <c r="AG233" s="307"/>
      <c r="AH233" s="307"/>
      <c r="AI233" s="307"/>
      <c r="AJ233" s="307"/>
      <c r="AK233" s="307"/>
      <c r="AL233" s="307"/>
    </row>
    <row r="234" customFormat="false" ht="12.75" hidden="false" customHeight="false" outlineLevel="0" collapsed="false">
      <c r="A234" s="307"/>
      <c r="B234" s="307"/>
      <c r="C234" s="307"/>
      <c r="D234" s="307"/>
      <c r="E234" s="307"/>
      <c r="F234" s="307"/>
      <c r="G234" s="477"/>
      <c r="H234" s="323" t="n">
        <f aca="false">Swap!A220</f>
        <v>43525</v>
      </c>
      <c r="I234" s="428" t="n">
        <f aca="false">INDEX(IRTable,MATCH(H234,IRMonth,0),3)+K234</f>
        <v>0.17</v>
      </c>
      <c r="J234" s="295"/>
      <c r="K234" s="428"/>
      <c r="L234" s="430"/>
      <c r="M234" s="307"/>
      <c r="N234" s="92" t="n">
        <v>43313</v>
      </c>
      <c r="O234" s="92" t="n">
        <v>43307</v>
      </c>
      <c r="P234" s="307"/>
      <c r="Q234" s="74"/>
      <c r="R234" s="14"/>
      <c r="S234" s="14"/>
      <c r="T234" s="380"/>
      <c r="U234" s="307"/>
      <c r="V234" s="307"/>
      <c r="W234" s="307"/>
      <c r="X234" s="307"/>
      <c r="Y234" s="307"/>
      <c r="Z234" s="307"/>
      <c r="AA234" s="307"/>
      <c r="AB234" s="307"/>
      <c r="AC234" s="307"/>
      <c r="AD234" s="307"/>
      <c r="AE234" s="307"/>
      <c r="AF234" s="307"/>
      <c r="AG234" s="307"/>
      <c r="AH234" s="307"/>
      <c r="AI234" s="307"/>
      <c r="AJ234" s="307"/>
      <c r="AK234" s="307"/>
      <c r="AL234" s="307"/>
    </row>
    <row r="235" customFormat="false" ht="12.75" hidden="false" customHeight="false" outlineLevel="0" collapsed="false">
      <c r="A235" s="307"/>
      <c r="B235" s="307"/>
      <c r="C235" s="307"/>
      <c r="D235" s="307"/>
      <c r="E235" s="307"/>
      <c r="F235" s="307"/>
      <c r="G235" s="477"/>
      <c r="H235" s="323" t="n">
        <f aca="false">Swap!A221</f>
        <v>43556</v>
      </c>
      <c r="I235" s="428" t="n">
        <f aca="false">INDEX(IRTable,MATCH(H235,IRMonth,0),3)+K235</f>
        <v>0.17</v>
      </c>
      <c r="J235" s="295"/>
      <c r="K235" s="428"/>
      <c r="L235" s="430"/>
      <c r="M235" s="307"/>
      <c r="N235" s="92" t="n">
        <v>43344</v>
      </c>
      <c r="O235" s="92" t="n">
        <v>43340</v>
      </c>
      <c r="P235" s="307"/>
      <c r="Q235" s="74"/>
      <c r="R235" s="14"/>
      <c r="S235" s="14"/>
      <c r="T235" s="380"/>
      <c r="U235" s="307"/>
      <c r="V235" s="307"/>
      <c r="W235" s="307"/>
      <c r="X235" s="307"/>
      <c r="Y235" s="307"/>
      <c r="Z235" s="307"/>
      <c r="AA235" s="307"/>
      <c r="AB235" s="307"/>
      <c r="AC235" s="307"/>
      <c r="AD235" s="307"/>
      <c r="AE235" s="307"/>
      <c r="AF235" s="307"/>
      <c r="AG235" s="307"/>
      <c r="AH235" s="307"/>
      <c r="AI235" s="307"/>
      <c r="AJ235" s="307"/>
      <c r="AK235" s="307"/>
      <c r="AL235" s="307"/>
    </row>
    <row r="236" customFormat="false" ht="12.75" hidden="false" customHeight="false" outlineLevel="0" collapsed="false">
      <c r="A236" s="307"/>
      <c r="B236" s="307"/>
      <c r="C236" s="307"/>
      <c r="D236" s="307"/>
      <c r="E236" s="307"/>
      <c r="F236" s="307"/>
      <c r="G236" s="477"/>
      <c r="H236" s="323" t="n">
        <f aca="false">Swap!A222</f>
        <v>43586</v>
      </c>
      <c r="I236" s="428" t="n">
        <f aca="false">INDEX(IRTable,MATCH(H236,IRMonth,0),3)+K236</f>
        <v>0.17</v>
      </c>
      <c r="J236" s="295"/>
      <c r="K236" s="428"/>
      <c r="L236" s="430"/>
      <c r="M236" s="307"/>
      <c r="N236" s="92" t="n">
        <v>43374</v>
      </c>
      <c r="O236" s="92" t="n">
        <v>43368</v>
      </c>
      <c r="P236" s="307"/>
      <c r="Q236" s="74"/>
      <c r="R236" s="14"/>
      <c r="S236" s="14"/>
      <c r="T236" s="380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307"/>
      <c r="AK236" s="307"/>
      <c r="AL236" s="307"/>
    </row>
    <row r="237" customFormat="false" ht="12.75" hidden="false" customHeight="false" outlineLevel="0" collapsed="false">
      <c r="A237" s="307"/>
      <c r="B237" s="307"/>
      <c r="C237" s="307"/>
      <c r="D237" s="307"/>
      <c r="E237" s="307"/>
      <c r="F237" s="307"/>
      <c r="G237" s="477"/>
      <c r="H237" s="323" t="n">
        <f aca="false">Swap!A223</f>
        <v>43617</v>
      </c>
      <c r="I237" s="428" t="n">
        <f aca="false">INDEX(IRTable,MATCH(H237,IRMonth,0),3)+K237</f>
        <v>0.17</v>
      </c>
      <c r="J237" s="295"/>
      <c r="K237" s="428"/>
      <c r="L237" s="430"/>
      <c r="M237" s="307"/>
      <c r="N237" s="92" t="n">
        <v>43405</v>
      </c>
      <c r="O237" s="92" t="n">
        <v>43399</v>
      </c>
      <c r="P237" s="307"/>
      <c r="Q237" s="74"/>
      <c r="R237" s="14"/>
      <c r="S237" s="14"/>
      <c r="T237" s="380"/>
      <c r="U237" s="307"/>
      <c r="V237" s="307"/>
      <c r="W237" s="307"/>
      <c r="X237" s="307"/>
      <c r="Y237" s="307"/>
      <c r="Z237" s="307"/>
      <c r="AA237" s="307"/>
      <c r="AB237" s="307"/>
      <c r="AC237" s="307"/>
      <c r="AD237" s="307"/>
      <c r="AE237" s="307"/>
      <c r="AF237" s="307"/>
      <c r="AG237" s="307"/>
      <c r="AH237" s="307"/>
      <c r="AI237" s="307"/>
      <c r="AJ237" s="307"/>
      <c r="AK237" s="307"/>
      <c r="AL237" s="307"/>
    </row>
    <row r="238" customFormat="false" ht="12.75" hidden="false" customHeight="false" outlineLevel="0" collapsed="false">
      <c r="A238" s="307"/>
      <c r="B238" s="307"/>
      <c r="C238" s="307"/>
      <c r="D238" s="307"/>
      <c r="E238" s="307"/>
      <c r="F238" s="307"/>
      <c r="G238" s="477"/>
      <c r="H238" s="323" t="n">
        <f aca="false">Swap!A224</f>
        <v>43647</v>
      </c>
      <c r="I238" s="428" t="n">
        <f aca="false">INDEX(IRTable,MATCH(H238,IRMonth,0),3)+K238</f>
        <v>0.17</v>
      </c>
      <c r="J238" s="295"/>
      <c r="K238" s="428"/>
      <c r="L238" s="430"/>
      <c r="M238" s="307"/>
      <c r="N238" s="92" t="n">
        <v>43435</v>
      </c>
      <c r="O238" s="92" t="n">
        <v>43431</v>
      </c>
      <c r="P238" s="307"/>
      <c r="Q238" s="74"/>
      <c r="R238" s="14"/>
      <c r="S238" s="14"/>
      <c r="T238" s="380"/>
      <c r="U238" s="307"/>
      <c r="V238" s="307"/>
      <c r="W238" s="307"/>
      <c r="X238" s="307"/>
      <c r="Y238" s="307"/>
      <c r="Z238" s="307"/>
      <c r="AA238" s="307"/>
      <c r="AB238" s="307"/>
      <c r="AC238" s="307"/>
      <c r="AD238" s="307"/>
      <c r="AE238" s="307"/>
      <c r="AF238" s="307"/>
      <c r="AG238" s="307"/>
      <c r="AH238" s="307"/>
      <c r="AI238" s="307"/>
      <c r="AJ238" s="307"/>
      <c r="AK238" s="307"/>
      <c r="AL238" s="307"/>
    </row>
    <row r="239" customFormat="false" ht="12.75" hidden="false" customHeight="false" outlineLevel="0" collapsed="false">
      <c r="A239" s="307"/>
      <c r="B239" s="307"/>
      <c r="C239" s="307"/>
      <c r="D239" s="307"/>
      <c r="E239" s="307"/>
      <c r="F239" s="307"/>
      <c r="G239" s="477"/>
      <c r="H239" s="323" t="n">
        <f aca="false">Swap!A225</f>
        <v>43678</v>
      </c>
      <c r="I239" s="428" t="n">
        <f aca="false">INDEX(IRTable,MATCH(H239,IRMonth,0),3)+K239</f>
        <v>0.17</v>
      </c>
      <c r="J239" s="295"/>
      <c r="K239" s="428"/>
      <c r="L239" s="430"/>
      <c r="M239" s="307"/>
      <c r="N239" s="92" t="n">
        <v>43466</v>
      </c>
      <c r="O239" s="92" t="n">
        <v>43460</v>
      </c>
      <c r="P239" s="307"/>
      <c r="Q239" s="74"/>
      <c r="R239" s="14"/>
      <c r="S239" s="14"/>
      <c r="T239" s="380"/>
      <c r="U239" s="307"/>
      <c r="V239" s="307"/>
      <c r="W239" s="307"/>
      <c r="X239" s="307"/>
      <c r="Y239" s="307"/>
      <c r="Z239" s="307"/>
      <c r="AA239" s="307"/>
      <c r="AB239" s="307"/>
      <c r="AC239" s="307"/>
      <c r="AD239" s="307"/>
      <c r="AE239" s="307"/>
      <c r="AF239" s="307"/>
      <c r="AG239" s="307"/>
      <c r="AH239" s="307"/>
      <c r="AI239" s="307"/>
      <c r="AJ239" s="307"/>
      <c r="AK239" s="307"/>
      <c r="AL239" s="307"/>
    </row>
    <row r="240" customFormat="false" ht="12.75" hidden="false" customHeight="false" outlineLevel="0" collapsed="false">
      <c r="A240" s="307"/>
      <c r="B240" s="307"/>
      <c r="C240" s="307"/>
      <c r="D240" s="307"/>
      <c r="E240" s="307"/>
      <c r="F240" s="307"/>
      <c r="G240" s="477"/>
      <c r="H240" s="323" t="n">
        <f aca="false">Swap!A226</f>
        <v>43709</v>
      </c>
      <c r="I240" s="428" t="n">
        <f aca="false">INDEX(IRTable,MATCH(H240,IRMonth,0),3)+K240</f>
        <v>0.17</v>
      </c>
      <c r="J240" s="295"/>
      <c r="K240" s="428"/>
      <c r="L240" s="430"/>
      <c r="M240" s="307"/>
      <c r="N240" s="92" t="n">
        <v>43497</v>
      </c>
      <c r="O240" s="92" t="n">
        <v>43493</v>
      </c>
      <c r="P240" s="307"/>
      <c r="Q240" s="74"/>
      <c r="R240" s="14"/>
      <c r="S240" s="14"/>
      <c r="T240" s="380"/>
      <c r="U240" s="307"/>
      <c r="V240" s="307"/>
      <c r="W240" s="307"/>
      <c r="X240" s="307"/>
      <c r="Y240" s="307"/>
      <c r="Z240" s="307"/>
      <c r="AA240" s="307"/>
      <c r="AB240" s="307"/>
      <c r="AC240" s="307"/>
      <c r="AD240" s="307"/>
      <c r="AE240" s="307"/>
      <c r="AF240" s="307"/>
      <c r="AG240" s="307"/>
      <c r="AH240" s="307"/>
      <c r="AI240" s="307"/>
      <c r="AJ240" s="307"/>
      <c r="AK240" s="307"/>
      <c r="AL240" s="307"/>
    </row>
    <row r="241" customFormat="false" ht="12.75" hidden="false" customHeight="false" outlineLevel="0" collapsed="false">
      <c r="A241" s="307"/>
      <c r="B241" s="307"/>
      <c r="C241" s="307"/>
      <c r="D241" s="307"/>
      <c r="E241" s="307"/>
      <c r="F241" s="307"/>
      <c r="G241" s="477"/>
      <c r="H241" s="323" t="n">
        <f aca="false">Swap!A227</f>
        <v>43739</v>
      </c>
      <c r="I241" s="428" t="n">
        <f aca="false">INDEX(IRTable,MATCH(H241,IRMonth,0),3)+K241</f>
        <v>0.17</v>
      </c>
      <c r="J241" s="295"/>
      <c r="K241" s="428"/>
      <c r="L241" s="430"/>
      <c r="M241" s="307"/>
      <c r="N241" s="92" t="n">
        <v>43525</v>
      </c>
      <c r="O241" s="92" t="n">
        <v>43521</v>
      </c>
      <c r="P241" s="307"/>
      <c r="Q241" s="74"/>
      <c r="R241" s="14"/>
      <c r="S241" s="14"/>
      <c r="T241" s="380"/>
      <c r="U241" s="307"/>
      <c r="V241" s="307"/>
      <c r="W241" s="307"/>
      <c r="X241" s="307"/>
      <c r="Y241" s="307"/>
      <c r="Z241" s="307"/>
      <c r="AA241" s="307"/>
      <c r="AB241" s="307"/>
      <c r="AC241" s="307"/>
      <c r="AD241" s="307"/>
      <c r="AE241" s="307"/>
      <c r="AF241" s="307"/>
      <c r="AG241" s="307"/>
      <c r="AH241" s="307"/>
      <c r="AI241" s="307"/>
      <c r="AJ241" s="307"/>
      <c r="AK241" s="307"/>
      <c r="AL241" s="307"/>
    </row>
    <row r="242" customFormat="false" ht="12.75" hidden="false" customHeight="false" outlineLevel="0" collapsed="false">
      <c r="A242" s="307"/>
      <c r="B242" s="307"/>
      <c r="C242" s="307"/>
      <c r="D242" s="307"/>
      <c r="E242" s="307"/>
      <c r="F242" s="307"/>
      <c r="G242" s="477"/>
      <c r="H242" s="323" t="n">
        <f aca="false">Swap!A228</f>
        <v>43770</v>
      </c>
      <c r="I242" s="428" t="n">
        <f aca="false">INDEX(IRTable,MATCH(H242,IRMonth,0),3)+K242</f>
        <v>0.17</v>
      </c>
      <c r="J242" s="295"/>
      <c r="K242" s="428"/>
      <c r="L242" s="430"/>
      <c r="M242" s="307"/>
      <c r="N242" s="92" t="n">
        <v>43556</v>
      </c>
      <c r="O242" s="92" t="n">
        <v>43550</v>
      </c>
      <c r="P242" s="307"/>
      <c r="Q242" s="74"/>
      <c r="R242" s="14"/>
      <c r="S242" s="14"/>
      <c r="T242" s="380"/>
      <c r="U242" s="307"/>
      <c r="V242" s="307"/>
      <c r="W242" s="307"/>
      <c r="X242" s="307"/>
      <c r="Y242" s="307"/>
      <c r="Z242" s="307"/>
      <c r="AA242" s="307"/>
      <c r="AB242" s="307"/>
      <c r="AC242" s="307"/>
      <c r="AD242" s="307"/>
      <c r="AE242" s="307"/>
      <c r="AF242" s="307"/>
      <c r="AG242" s="307"/>
      <c r="AH242" s="307"/>
      <c r="AI242" s="307"/>
      <c r="AJ242" s="307"/>
      <c r="AK242" s="307"/>
      <c r="AL242" s="307"/>
    </row>
    <row r="243" customFormat="false" ht="12.75" hidden="false" customHeight="false" outlineLevel="0" collapsed="false">
      <c r="A243" s="307"/>
      <c r="B243" s="307"/>
      <c r="C243" s="307"/>
      <c r="D243" s="307"/>
      <c r="E243" s="307"/>
      <c r="F243" s="307"/>
      <c r="G243" s="477"/>
      <c r="H243" s="323" t="n">
        <f aca="false">Swap!A229</f>
        <v>43800</v>
      </c>
      <c r="I243" s="428" t="n">
        <f aca="false">INDEX(IRTable,MATCH(H243,IRMonth,0),3)+K243</f>
        <v>0.17</v>
      </c>
      <c r="J243" s="295"/>
      <c r="K243" s="428"/>
      <c r="L243" s="430"/>
      <c r="M243" s="307"/>
      <c r="N243" s="92" t="n">
        <v>43586</v>
      </c>
      <c r="O243" s="92" t="n">
        <v>43580</v>
      </c>
      <c r="P243" s="307"/>
      <c r="Q243" s="74"/>
      <c r="R243" s="14"/>
      <c r="S243" s="14"/>
      <c r="T243" s="380"/>
      <c r="U243" s="307"/>
      <c r="V243" s="307"/>
      <c r="W243" s="307"/>
      <c r="X243" s="307"/>
      <c r="Y243" s="307"/>
      <c r="Z243" s="307"/>
      <c r="AA243" s="307"/>
      <c r="AB243" s="307"/>
      <c r="AC243" s="307"/>
      <c r="AD243" s="307"/>
      <c r="AE243" s="307"/>
      <c r="AF243" s="307"/>
      <c r="AG243" s="307"/>
      <c r="AH243" s="307"/>
      <c r="AI243" s="307"/>
      <c r="AJ243" s="307"/>
      <c r="AK243" s="307"/>
      <c r="AL243" s="307"/>
    </row>
    <row r="244" customFormat="false" ht="12.75" hidden="false" customHeight="false" outlineLevel="0" collapsed="false">
      <c r="A244" s="307"/>
      <c r="B244" s="307"/>
      <c r="C244" s="307"/>
      <c r="D244" s="307"/>
      <c r="E244" s="307"/>
      <c r="F244" s="307"/>
      <c r="G244" s="477"/>
      <c r="H244" s="323" t="n">
        <f aca="false">Swap!A230</f>
        <v>43831</v>
      </c>
      <c r="I244" s="428" t="n">
        <f aca="false">INDEX(IRTable,MATCH(H244,IRMonth,0),3)+K244</f>
        <v>0.17</v>
      </c>
      <c r="J244" s="295"/>
      <c r="K244" s="428"/>
      <c r="L244" s="430"/>
      <c r="M244" s="307"/>
      <c r="N244" s="92" t="n">
        <v>43617</v>
      </c>
      <c r="O244" s="92" t="n">
        <v>43613</v>
      </c>
      <c r="P244" s="307"/>
      <c r="Q244" s="74"/>
      <c r="R244" s="14"/>
      <c r="S244" s="14"/>
      <c r="T244" s="380"/>
      <c r="U244" s="307"/>
      <c r="V244" s="307"/>
      <c r="W244" s="307"/>
      <c r="X244" s="307"/>
      <c r="Y244" s="307"/>
      <c r="Z244" s="307"/>
      <c r="AA244" s="307"/>
      <c r="AB244" s="307"/>
      <c r="AC244" s="307"/>
      <c r="AD244" s="307"/>
      <c r="AE244" s="307"/>
      <c r="AF244" s="307"/>
      <c r="AG244" s="307"/>
      <c r="AH244" s="307"/>
      <c r="AI244" s="307"/>
      <c r="AJ244" s="307"/>
      <c r="AK244" s="307"/>
      <c r="AL244" s="307"/>
    </row>
    <row r="245" customFormat="false" ht="12.75" hidden="false" customHeight="false" outlineLevel="0" collapsed="false">
      <c r="A245" s="307"/>
      <c r="B245" s="307"/>
      <c r="C245" s="307"/>
      <c r="D245" s="307"/>
      <c r="E245" s="307"/>
      <c r="F245" s="307"/>
      <c r="G245" s="477"/>
      <c r="H245" s="323" t="n">
        <f aca="false">Swap!A231</f>
        <v>43862</v>
      </c>
      <c r="I245" s="428" t="n">
        <f aca="false">INDEX(IRTable,MATCH(H245,IRMonth,0),3)+K245</f>
        <v>0.17</v>
      </c>
      <c r="J245" s="295"/>
      <c r="K245" s="428"/>
      <c r="L245" s="430"/>
      <c r="M245" s="307"/>
      <c r="N245" s="92" t="n">
        <v>43647</v>
      </c>
      <c r="O245" s="92" t="n">
        <v>43641</v>
      </c>
      <c r="P245" s="307"/>
      <c r="Q245" s="74"/>
      <c r="R245" s="14"/>
      <c r="S245" s="14"/>
      <c r="T245" s="380"/>
      <c r="U245" s="307"/>
      <c r="V245" s="307"/>
      <c r="W245" s="307"/>
      <c r="X245" s="307"/>
      <c r="Y245" s="307"/>
      <c r="Z245" s="307"/>
      <c r="AA245" s="307"/>
      <c r="AB245" s="307"/>
      <c r="AC245" s="307"/>
      <c r="AD245" s="307"/>
      <c r="AE245" s="307"/>
      <c r="AF245" s="307"/>
      <c r="AG245" s="307"/>
      <c r="AH245" s="307"/>
      <c r="AI245" s="307"/>
      <c r="AJ245" s="307"/>
      <c r="AK245" s="307"/>
      <c r="AL245" s="307"/>
    </row>
    <row r="246" customFormat="false" ht="12.75" hidden="false" customHeight="false" outlineLevel="0" collapsed="false">
      <c r="A246" s="307"/>
      <c r="B246" s="307"/>
      <c r="C246" s="307"/>
      <c r="D246" s="307"/>
      <c r="E246" s="307"/>
      <c r="F246" s="307"/>
      <c r="G246" s="477"/>
      <c r="H246" s="323" t="n">
        <f aca="false">Swap!A232</f>
        <v>43891</v>
      </c>
      <c r="I246" s="428" t="n">
        <f aca="false">INDEX(IRTable,MATCH(H246,IRMonth,0),3)+K246</f>
        <v>0.17</v>
      </c>
      <c r="J246" s="295"/>
      <c r="K246" s="428"/>
      <c r="L246" s="430"/>
      <c r="M246" s="307"/>
      <c r="N246" s="92" t="n">
        <v>43678</v>
      </c>
      <c r="O246" s="92" t="n">
        <v>43672</v>
      </c>
      <c r="P246" s="307"/>
      <c r="Q246" s="74"/>
      <c r="R246" s="14"/>
      <c r="S246" s="14"/>
      <c r="T246" s="380"/>
      <c r="U246" s="307"/>
      <c r="V246" s="307"/>
      <c r="W246" s="307"/>
      <c r="X246" s="307"/>
      <c r="Y246" s="307"/>
      <c r="Z246" s="307"/>
      <c r="AA246" s="307"/>
      <c r="AB246" s="307"/>
      <c r="AC246" s="307"/>
      <c r="AD246" s="307"/>
      <c r="AE246" s="307"/>
      <c r="AF246" s="307"/>
      <c r="AG246" s="307"/>
      <c r="AH246" s="307"/>
      <c r="AI246" s="307"/>
      <c r="AJ246" s="307"/>
      <c r="AK246" s="307"/>
      <c r="AL246" s="307"/>
    </row>
    <row r="247" customFormat="false" ht="12.75" hidden="false" customHeight="false" outlineLevel="0" collapsed="false">
      <c r="A247" s="307"/>
      <c r="B247" s="307"/>
      <c r="C247" s="307"/>
      <c r="D247" s="307"/>
      <c r="E247" s="307"/>
      <c r="F247" s="307"/>
      <c r="G247" s="477"/>
      <c r="H247" s="323" t="n">
        <f aca="false">Swap!A233</f>
        <v>43922</v>
      </c>
      <c r="I247" s="428" t="n">
        <f aca="false">INDEX(IRTable,MATCH(H247,IRMonth,0),3)+K247</f>
        <v>0.17</v>
      </c>
      <c r="J247" s="295"/>
      <c r="K247" s="428"/>
      <c r="L247" s="430"/>
      <c r="M247" s="307"/>
      <c r="N247" s="92" t="n">
        <v>43709</v>
      </c>
      <c r="O247" s="92" t="n">
        <v>43704</v>
      </c>
      <c r="P247" s="307"/>
      <c r="Q247" s="74"/>
      <c r="R247" s="14"/>
      <c r="S247" s="14"/>
      <c r="T247" s="380"/>
      <c r="U247" s="307"/>
      <c r="V247" s="307"/>
      <c r="W247" s="307"/>
      <c r="X247" s="307"/>
      <c r="Y247" s="307"/>
      <c r="Z247" s="307"/>
      <c r="AA247" s="307"/>
      <c r="AB247" s="307"/>
      <c r="AC247" s="307"/>
      <c r="AD247" s="307"/>
      <c r="AE247" s="307"/>
      <c r="AF247" s="307"/>
      <c r="AG247" s="307"/>
      <c r="AH247" s="307"/>
      <c r="AI247" s="307"/>
      <c r="AJ247" s="307"/>
      <c r="AK247" s="307"/>
      <c r="AL247" s="307"/>
    </row>
    <row r="248" customFormat="false" ht="12.75" hidden="false" customHeight="false" outlineLevel="0" collapsed="false">
      <c r="A248" s="307"/>
      <c r="B248" s="307"/>
      <c r="C248" s="307"/>
      <c r="D248" s="307"/>
      <c r="E248" s="307"/>
      <c r="F248" s="307"/>
      <c r="G248" s="477"/>
      <c r="H248" s="323" t="n">
        <f aca="false">Swap!A234</f>
        <v>43952</v>
      </c>
      <c r="I248" s="428" t="n">
        <f aca="false">INDEX(IRTable,MATCH(H248,IRMonth,0),3)+K248</f>
        <v>0.17</v>
      </c>
      <c r="J248" s="295"/>
      <c r="K248" s="428"/>
      <c r="L248" s="430"/>
      <c r="M248" s="307"/>
      <c r="N248" s="92" t="n">
        <v>43739</v>
      </c>
      <c r="O248" s="92" t="n">
        <v>43733</v>
      </c>
      <c r="P248" s="307"/>
      <c r="Q248" s="74"/>
      <c r="R248" s="14"/>
      <c r="S248" s="14"/>
      <c r="T248" s="380"/>
      <c r="U248" s="307"/>
      <c r="V248" s="307"/>
      <c r="W248" s="307"/>
      <c r="X248" s="307"/>
      <c r="Y248" s="307"/>
      <c r="Z248" s="307"/>
      <c r="AA248" s="307"/>
      <c r="AB248" s="307"/>
      <c r="AC248" s="307"/>
      <c r="AD248" s="307"/>
      <c r="AE248" s="307"/>
      <c r="AF248" s="307"/>
      <c r="AG248" s="307"/>
      <c r="AH248" s="307"/>
      <c r="AI248" s="307"/>
      <c r="AJ248" s="307"/>
      <c r="AK248" s="307"/>
      <c r="AL248" s="307"/>
    </row>
    <row r="249" customFormat="false" ht="12.75" hidden="false" customHeight="false" outlineLevel="0" collapsed="false">
      <c r="A249" s="307"/>
      <c r="B249" s="307"/>
      <c r="C249" s="307"/>
      <c r="D249" s="307"/>
      <c r="E249" s="307"/>
      <c r="F249" s="307"/>
      <c r="G249" s="477"/>
      <c r="H249" s="323" t="n">
        <f aca="false">Swap!A235</f>
        <v>43983</v>
      </c>
      <c r="I249" s="428" t="n">
        <f aca="false">INDEX(IRTable,MATCH(H249,IRMonth,0),3)+K249</f>
        <v>0.17</v>
      </c>
      <c r="J249" s="295"/>
      <c r="K249" s="428"/>
      <c r="L249" s="430"/>
      <c r="M249" s="307"/>
      <c r="N249" s="92" t="n">
        <v>43770</v>
      </c>
      <c r="O249" s="92" t="n">
        <v>43766</v>
      </c>
      <c r="P249" s="307"/>
      <c r="Q249" s="74"/>
      <c r="R249" s="14"/>
      <c r="S249" s="14"/>
      <c r="T249" s="380"/>
      <c r="U249" s="307"/>
      <c r="V249" s="307"/>
      <c r="W249" s="307"/>
      <c r="X249" s="307"/>
      <c r="Y249" s="307"/>
      <c r="Z249" s="307"/>
      <c r="AA249" s="307"/>
      <c r="AB249" s="307"/>
      <c r="AC249" s="307"/>
      <c r="AD249" s="307"/>
      <c r="AE249" s="307"/>
      <c r="AF249" s="307"/>
      <c r="AG249" s="307"/>
      <c r="AH249" s="307"/>
      <c r="AI249" s="307"/>
      <c r="AJ249" s="307"/>
      <c r="AK249" s="307"/>
      <c r="AL249" s="307"/>
    </row>
    <row r="250" customFormat="false" ht="12.75" hidden="false" customHeight="false" outlineLevel="0" collapsed="false">
      <c r="A250" s="307"/>
      <c r="B250" s="307"/>
      <c r="C250" s="307"/>
      <c r="D250" s="307"/>
      <c r="E250" s="307"/>
      <c r="F250" s="307"/>
      <c r="G250" s="477"/>
      <c r="H250" s="323" t="n">
        <f aca="false">Swap!A236</f>
        <v>44013</v>
      </c>
      <c r="I250" s="428" t="n">
        <f aca="false">INDEX(IRTable,MATCH(H250,IRMonth,0),3)+K250</f>
        <v>0.17</v>
      </c>
      <c r="J250" s="295"/>
      <c r="K250" s="428"/>
      <c r="L250" s="430"/>
      <c r="M250" s="307"/>
      <c r="N250" s="92" t="n">
        <v>43800</v>
      </c>
      <c r="O250" s="92" t="n">
        <v>43794</v>
      </c>
      <c r="P250" s="307"/>
      <c r="Q250" s="74"/>
      <c r="R250" s="14"/>
      <c r="S250" s="14"/>
      <c r="T250" s="334"/>
      <c r="U250" s="307"/>
      <c r="V250" s="307"/>
      <c r="W250" s="307"/>
      <c r="X250" s="307"/>
      <c r="Y250" s="307"/>
      <c r="Z250" s="307"/>
      <c r="AA250" s="307"/>
      <c r="AB250" s="307"/>
      <c r="AC250" s="307"/>
      <c r="AD250" s="307"/>
      <c r="AE250" s="307"/>
      <c r="AF250" s="307"/>
      <c r="AG250" s="307"/>
      <c r="AH250" s="307"/>
      <c r="AI250" s="307"/>
      <c r="AJ250" s="307"/>
      <c r="AK250" s="307"/>
      <c r="AL250" s="307"/>
    </row>
    <row r="251" customFormat="false" ht="12.75" hidden="false" customHeight="false" outlineLevel="0" collapsed="false">
      <c r="A251" s="307"/>
      <c r="B251" s="307"/>
      <c r="C251" s="307"/>
      <c r="D251" s="307"/>
      <c r="E251" s="307"/>
      <c r="F251" s="307"/>
      <c r="G251" s="477"/>
      <c r="H251" s="323" t="n">
        <f aca="false">Swap!A237</f>
        <v>44044</v>
      </c>
      <c r="I251" s="428" t="n">
        <f aca="false">INDEX(IRTable,MATCH(H251,IRMonth,0),3)+K251</f>
        <v>0.17</v>
      </c>
      <c r="J251" s="295"/>
      <c r="K251" s="428"/>
      <c r="L251" s="430"/>
      <c r="M251" s="307"/>
      <c r="N251" s="92" t="n">
        <v>43831</v>
      </c>
      <c r="O251" s="92" t="n">
        <v>43825</v>
      </c>
      <c r="P251" s="307"/>
      <c r="Q251" s="74"/>
      <c r="R251" s="14"/>
      <c r="S251" s="14"/>
      <c r="T251" s="334"/>
      <c r="U251" s="307"/>
      <c r="V251" s="307"/>
      <c r="W251" s="307"/>
      <c r="X251" s="307"/>
      <c r="Y251" s="307"/>
      <c r="Z251" s="307"/>
      <c r="AA251" s="307"/>
      <c r="AB251" s="307"/>
      <c r="AC251" s="307"/>
      <c r="AD251" s="307"/>
      <c r="AE251" s="307"/>
      <c r="AF251" s="307"/>
      <c r="AG251" s="307"/>
      <c r="AH251" s="307"/>
      <c r="AI251" s="307"/>
      <c r="AJ251" s="307"/>
      <c r="AK251" s="307"/>
      <c r="AL251" s="307"/>
    </row>
    <row r="252" customFormat="false" ht="12.75" hidden="false" customHeight="false" outlineLevel="0" collapsed="false">
      <c r="A252" s="307"/>
      <c r="B252" s="307"/>
      <c r="C252" s="307"/>
      <c r="D252" s="307"/>
      <c r="E252" s="307"/>
      <c r="F252" s="307"/>
      <c r="G252" s="477"/>
      <c r="H252" s="323" t="n">
        <f aca="false">Swap!A238</f>
        <v>44075</v>
      </c>
      <c r="I252" s="428" t="n">
        <f aca="false">INDEX(IRTable,MATCH(H252,IRMonth,0),3)+K252</f>
        <v>0.17</v>
      </c>
      <c r="J252" s="295"/>
      <c r="K252" s="428"/>
      <c r="L252" s="430"/>
      <c r="M252" s="307"/>
      <c r="N252" s="92" t="n">
        <v>43862</v>
      </c>
      <c r="O252" s="92" t="n">
        <v>43858</v>
      </c>
      <c r="P252" s="307"/>
      <c r="Q252" s="74"/>
      <c r="R252" s="14"/>
      <c r="S252" s="14"/>
      <c r="T252" s="334"/>
      <c r="U252" s="307"/>
      <c r="V252" s="307"/>
      <c r="W252" s="307"/>
      <c r="X252" s="307"/>
      <c r="Y252" s="307"/>
      <c r="Z252" s="307"/>
      <c r="AA252" s="307"/>
      <c r="AB252" s="307"/>
      <c r="AC252" s="307"/>
      <c r="AD252" s="307"/>
      <c r="AE252" s="307"/>
      <c r="AF252" s="307"/>
      <c r="AG252" s="307"/>
      <c r="AH252" s="307"/>
      <c r="AI252" s="307"/>
      <c r="AJ252" s="307"/>
      <c r="AK252" s="307"/>
      <c r="AL252" s="307"/>
    </row>
    <row r="253" customFormat="false" ht="12.75" hidden="false" customHeight="false" outlineLevel="0" collapsed="false">
      <c r="A253" s="307"/>
      <c r="B253" s="307"/>
      <c r="C253" s="307"/>
      <c r="D253" s="307"/>
      <c r="E253" s="307"/>
      <c r="F253" s="307"/>
      <c r="G253" s="477"/>
      <c r="H253" s="323" t="n">
        <f aca="false">Swap!A239</f>
        <v>44105</v>
      </c>
      <c r="I253" s="428" t="n">
        <f aca="false">INDEX(IRTable,MATCH(H253,IRMonth,0),3)+K253</f>
        <v>0.17</v>
      </c>
      <c r="J253" s="295"/>
      <c r="K253" s="428"/>
      <c r="L253" s="430"/>
      <c r="M253" s="307"/>
      <c r="N253" s="92" t="n">
        <v>43891</v>
      </c>
      <c r="O253" s="92" t="n">
        <v>43886</v>
      </c>
      <c r="P253" s="307"/>
      <c r="Q253" s="74"/>
      <c r="R253" s="14"/>
      <c r="S253" s="14"/>
      <c r="T253" s="334"/>
      <c r="U253" s="307"/>
      <c r="V253" s="307"/>
      <c r="W253" s="307"/>
      <c r="X253" s="307"/>
      <c r="Y253" s="307"/>
      <c r="Z253" s="307"/>
      <c r="AA253" s="307"/>
      <c r="AB253" s="307"/>
      <c r="AC253" s="307"/>
      <c r="AD253" s="307"/>
      <c r="AE253" s="307"/>
      <c r="AF253" s="307"/>
      <c r="AG253" s="307"/>
      <c r="AH253" s="307"/>
      <c r="AI253" s="307"/>
      <c r="AJ253" s="307"/>
      <c r="AK253" s="307"/>
      <c r="AL253" s="307"/>
    </row>
    <row r="254" customFormat="false" ht="12.75" hidden="false" customHeight="false" outlineLevel="0" collapsed="false">
      <c r="A254" s="307"/>
      <c r="B254" s="307"/>
      <c r="C254" s="307"/>
      <c r="D254" s="307"/>
      <c r="E254" s="307"/>
      <c r="F254" s="307"/>
      <c r="G254" s="477"/>
      <c r="H254" s="323" t="n">
        <f aca="false">Swap!A240</f>
        <v>44136</v>
      </c>
      <c r="I254" s="428" t="n">
        <f aca="false">INDEX(IRTable,MATCH(H254,IRMonth,0),3)+K254</f>
        <v>0.17</v>
      </c>
      <c r="J254" s="295"/>
      <c r="K254" s="428"/>
      <c r="L254" s="430"/>
      <c r="M254" s="307"/>
      <c r="N254" s="92" t="n">
        <v>43922</v>
      </c>
      <c r="O254" s="92" t="n">
        <v>43916</v>
      </c>
      <c r="P254" s="307"/>
      <c r="Q254" s="74"/>
      <c r="R254" s="14"/>
      <c r="S254" s="14"/>
      <c r="T254" s="334"/>
      <c r="U254" s="307"/>
      <c r="V254" s="307"/>
      <c r="W254" s="307"/>
      <c r="X254" s="307"/>
      <c r="Y254" s="307"/>
      <c r="Z254" s="307"/>
      <c r="AA254" s="307"/>
      <c r="AB254" s="307"/>
      <c r="AC254" s="307"/>
      <c r="AD254" s="307"/>
      <c r="AE254" s="307"/>
      <c r="AF254" s="307"/>
      <c r="AG254" s="307"/>
      <c r="AH254" s="307"/>
      <c r="AI254" s="307"/>
      <c r="AJ254" s="307"/>
      <c r="AK254" s="307"/>
      <c r="AL254" s="307"/>
    </row>
    <row r="255" customFormat="false" ht="12.75" hidden="false" customHeight="false" outlineLevel="0" collapsed="false">
      <c r="A255" s="307"/>
      <c r="B255" s="307"/>
      <c r="C255" s="307"/>
      <c r="D255" s="307"/>
      <c r="E255" s="307"/>
      <c r="F255" s="307"/>
      <c r="G255" s="477"/>
      <c r="H255" s="323" t="n">
        <f aca="false">Swap!A241</f>
        <v>44166</v>
      </c>
      <c r="I255" s="428" t="n">
        <f aca="false">INDEX(IRTable,MATCH(H255,IRMonth,0),3)+K255</f>
        <v>0.17</v>
      </c>
      <c r="J255" s="295"/>
      <c r="K255" s="428"/>
      <c r="L255" s="430"/>
      <c r="M255" s="307"/>
      <c r="N255" s="92" t="n">
        <v>43952</v>
      </c>
      <c r="O255" s="92" t="n">
        <v>43948</v>
      </c>
      <c r="P255" s="307"/>
      <c r="Q255" s="74"/>
      <c r="R255" s="14"/>
      <c r="S255" s="14"/>
      <c r="T255" s="334"/>
      <c r="U255" s="307"/>
      <c r="V255" s="307"/>
      <c r="W255" s="307"/>
      <c r="X255" s="307"/>
      <c r="Y255" s="307"/>
      <c r="Z255" s="307"/>
      <c r="AA255" s="307"/>
      <c r="AB255" s="307"/>
      <c r="AC255" s="307"/>
      <c r="AD255" s="307"/>
      <c r="AE255" s="307"/>
      <c r="AF255" s="307"/>
      <c r="AG255" s="307"/>
      <c r="AH255" s="307"/>
      <c r="AI255" s="307"/>
      <c r="AJ255" s="307"/>
      <c r="AK255" s="307"/>
      <c r="AL255" s="307"/>
    </row>
    <row r="256" customFormat="false" ht="12.75" hidden="false" customHeight="false" outlineLevel="0" collapsed="false">
      <c r="A256" s="307"/>
      <c r="B256" s="307"/>
      <c r="C256" s="307"/>
      <c r="D256" s="307"/>
      <c r="E256" s="307"/>
      <c r="F256" s="307"/>
      <c r="G256" s="477"/>
      <c r="H256" s="323" t="n">
        <f aca="false">Swap!A242</f>
        <v>44197</v>
      </c>
      <c r="I256" s="428" t="n">
        <f aca="false">INDEX(IRTable,MATCH(H256,IRMonth,0),3)+K256</f>
        <v>0.17</v>
      </c>
      <c r="J256" s="295"/>
      <c r="K256" s="428"/>
      <c r="L256" s="430"/>
      <c r="M256" s="307"/>
      <c r="N256" s="92" t="n">
        <v>43983</v>
      </c>
      <c r="O256" s="92" t="n">
        <v>43977</v>
      </c>
      <c r="P256" s="307"/>
      <c r="Q256" s="74"/>
      <c r="R256" s="14"/>
      <c r="S256" s="14"/>
      <c r="T256" s="334"/>
      <c r="U256" s="307"/>
      <c r="V256" s="307"/>
      <c r="W256" s="307"/>
      <c r="X256" s="307"/>
      <c r="Y256" s="307"/>
      <c r="Z256" s="307"/>
      <c r="AA256" s="307"/>
      <c r="AB256" s="307"/>
      <c r="AC256" s="307"/>
      <c r="AD256" s="307"/>
      <c r="AE256" s="307"/>
      <c r="AF256" s="307"/>
      <c r="AG256" s="307"/>
      <c r="AH256" s="307"/>
      <c r="AI256" s="307"/>
      <c r="AJ256" s="307"/>
      <c r="AK256" s="307"/>
      <c r="AL256" s="307"/>
    </row>
    <row r="257" customFormat="false" ht="12.75" hidden="false" customHeight="false" outlineLevel="0" collapsed="false">
      <c r="A257" s="307"/>
      <c r="B257" s="307"/>
      <c r="C257" s="307"/>
      <c r="D257" s="307"/>
      <c r="E257" s="307"/>
      <c r="F257" s="307"/>
      <c r="G257" s="477"/>
      <c r="H257" s="323" t="n">
        <f aca="false">Swap!A243</f>
        <v>44228</v>
      </c>
      <c r="I257" s="428" t="n">
        <f aca="false">INDEX(IRTable,MATCH(H257,IRMonth,0),3)+K257</f>
        <v>0.17</v>
      </c>
      <c r="J257" s="295"/>
      <c r="K257" s="428"/>
      <c r="L257" s="430"/>
      <c r="M257" s="307"/>
      <c r="N257" s="92" t="n">
        <v>44013</v>
      </c>
      <c r="O257" s="92" t="n">
        <v>44007</v>
      </c>
      <c r="P257" s="307"/>
      <c r="Q257" s="74"/>
      <c r="R257" s="14"/>
      <c r="S257" s="14"/>
      <c r="T257" s="334"/>
      <c r="U257" s="307"/>
      <c r="V257" s="307"/>
      <c r="W257" s="307"/>
      <c r="X257" s="307"/>
      <c r="Y257" s="307"/>
      <c r="Z257" s="307"/>
      <c r="AA257" s="307"/>
      <c r="AB257" s="307"/>
      <c r="AC257" s="307"/>
      <c r="AD257" s="307"/>
      <c r="AE257" s="307"/>
      <c r="AF257" s="307"/>
      <c r="AG257" s="307"/>
      <c r="AH257" s="307"/>
      <c r="AI257" s="307"/>
      <c r="AJ257" s="307"/>
      <c r="AK257" s="307"/>
      <c r="AL257" s="307"/>
    </row>
    <row r="258" customFormat="false" ht="12.75" hidden="false" customHeight="false" outlineLevel="0" collapsed="false">
      <c r="A258" s="307"/>
      <c r="B258" s="307"/>
      <c r="C258" s="307"/>
      <c r="D258" s="307"/>
      <c r="E258" s="307"/>
      <c r="F258" s="307"/>
      <c r="G258" s="477"/>
      <c r="H258" s="323" t="n">
        <f aca="false">Swap!A244</f>
        <v>44256</v>
      </c>
      <c r="I258" s="428" t="n">
        <f aca="false">INDEX(IRTable,MATCH(H258,IRMonth,0),3)+K258</f>
        <v>0.17</v>
      </c>
      <c r="J258" s="295"/>
      <c r="K258" s="428"/>
      <c r="L258" s="430"/>
      <c r="M258" s="307"/>
      <c r="N258" s="92" t="n">
        <v>44044</v>
      </c>
      <c r="O258" s="92" t="n">
        <v>44040</v>
      </c>
      <c r="P258" s="307"/>
      <c r="Q258" s="74"/>
      <c r="R258" s="14"/>
      <c r="S258" s="14"/>
      <c r="T258" s="334"/>
      <c r="U258" s="307"/>
      <c r="V258" s="307"/>
      <c r="W258" s="307"/>
      <c r="X258" s="307"/>
      <c r="Y258" s="307"/>
      <c r="Z258" s="307"/>
      <c r="AA258" s="307"/>
      <c r="AB258" s="307"/>
      <c r="AC258" s="307"/>
      <c r="AD258" s="307"/>
      <c r="AE258" s="307"/>
      <c r="AF258" s="307"/>
      <c r="AG258" s="307"/>
      <c r="AH258" s="307"/>
      <c r="AI258" s="307"/>
      <c r="AJ258" s="307"/>
      <c r="AK258" s="307"/>
      <c r="AL258" s="307"/>
    </row>
    <row r="259" customFormat="false" ht="12.75" hidden="false" customHeight="false" outlineLevel="0" collapsed="false">
      <c r="A259" s="307"/>
      <c r="B259" s="307"/>
      <c r="C259" s="307"/>
      <c r="D259" s="307"/>
      <c r="E259" s="307"/>
      <c r="F259" s="307"/>
      <c r="G259" s="477"/>
      <c r="H259" s="323" t="n">
        <f aca="false">Swap!A245</f>
        <v>44287</v>
      </c>
      <c r="I259" s="428" t="n">
        <f aca="false">INDEX(IRTable,MATCH(H259,IRMonth,0),3)+K259</f>
        <v>0.17</v>
      </c>
      <c r="J259" s="295"/>
      <c r="K259" s="428"/>
      <c r="L259" s="430"/>
      <c r="M259" s="307"/>
      <c r="N259" s="92" t="n">
        <v>44075</v>
      </c>
      <c r="O259" s="92" t="n">
        <v>44069</v>
      </c>
      <c r="P259" s="307"/>
      <c r="Q259" s="74"/>
      <c r="R259" s="14"/>
      <c r="S259" s="14"/>
      <c r="T259" s="334"/>
      <c r="U259" s="307"/>
      <c r="V259" s="307"/>
      <c r="W259" s="307"/>
      <c r="X259" s="307"/>
      <c r="Y259" s="307"/>
      <c r="Z259" s="307"/>
      <c r="AA259" s="307"/>
      <c r="AB259" s="307"/>
      <c r="AC259" s="307"/>
      <c r="AD259" s="307"/>
      <c r="AE259" s="307"/>
      <c r="AF259" s="307"/>
      <c r="AG259" s="307"/>
      <c r="AH259" s="307"/>
      <c r="AI259" s="307"/>
      <c r="AJ259" s="307"/>
      <c r="AK259" s="307"/>
      <c r="AL259" s="307"/>
    </row>
    <row r="260" customFormat="false" ht="12.75" hidden="false" customHeight="false" outlineLevel="0" collapsed="false">
      <c r="A260" s="307"/>
      <c r="B260" s="307"/>
      <c r="C260" s="307"/>
      <c r="D260" s="307"/>
      <c r="E260" s="307"/>
      <c r="F260" s="307"/>
      <c r="G260" s="477"/>
      <c r="H260" s="323" t="n">
        <f aca="false">Swap!A246</f>
        <v>44317</v>
      </c>
      <c r="I260" s="428" t="n">
        <f aca="false">INDEX(IRTable,MATCH(H260,IRMonth,0),3)+K260</f>
        <v>0.17</v>
      </c>
      <c r="J260" s="295"/>
      <c r="K260" s="428"/>
      <c r="L260" s="430"/>
      <c r="M260" s="307"/>
      <c r="N260" s="92" t="n">
        <v>44105</v>
      </c>
      <c r="O260" s="92" t="n">
        <v>44099</v>
      </c>
      <c r="P260" s="307"/>
      <c r="Q260" s="74"/>
      <c r="R260" s="14"/>
      <c r="S260" s="14"/>
      <c r="T260" s="334"/>
      <c r="U260" s="307"/>
      <c r="V260" s="307"/>
      <c r="W260" s="307"/>
      <c r="X260" s="307"/>
      <c r="Y260" s="307"/>
      <c r="Z260" s="307"/>
      <c r="AA260" s="307"/>
      <c r="AB260" s="307"/>
      <c r="AC260" s="307"/>
      <c r="AD260" s="307"/>
      <c r="AE260" s="307"/>
      <c r="AF260" s="307"/>
      <c r="AG260" s="307"/>
      <c r="AH260" s="307"/>
      <c r="AI260" s="307"/>
      <c r="AJ260" s="307"/>
      <c r="AK260" s="307"/>
      <c r="AL260" s="307"/>
    </row>
    <row r="261" customFormat="false" ht="12.75" hidden="false" customHeight="false" outlineLevel="0" collapsed="false">
      <c r="A261" s="307"/>
      <c r="B261" s="307"/>
      <c r="C261" s="307"/>
      <c r="D261" s="307"/>
      <c r="E261" s="307"/>
      <c r="F261" s="307"/>
      <c r="G261" s="477"/>
      <c r="H261" s="323" t="n">
        <f aca="false">Swap!A247</f>
        <v>44348</v>
      </c>
      <c r="I261" s="428" t="n">
        <f aca="false">INDEX(IRTable,MATCH(H261,IRMonth,0),3)+K261</f>
        <v>0.17</v>
      </c>
      <c r="J261" s="295"/>
      <c r="K261" s="428"/>
      <c r="L261" s="430"/>
      <c r="M261" s="307"/>
      <c r="N261" s="92" t="n">
        <v>44136</v>
      </c>
      <c r="O261" s="92" t="n">
        <v>44131</v>
      </c>
      <c r="P261" s="307"/>
      <c r="Q261" s="74"/>
      <c r="R261" s="14"/>
      <c r="S261" s="14"/>
      <c r="T261" s="334"/>
      <c r="U261" s="307"/>
      <c r="V261" s="307"/>
      <c r="W261" s="307"/>
      <c r="X261" s="307"/>
      <c r="Y261" s="307"/>
      <c r="Z261" s="307"/>
      <c r="AA261" s="307"/>
      <c r="AB261" s="307"/>
      <c r="AC261" s="307"/>
      <c r="AD261" s="307"/>
      <c r="AE261" s="307"/>
      <c r="AF261" s="307"/>
      <c r="AG261" s="307"/>
      <c r="AH261" s="307"/>
      <c r="AI261" s="307"/>
      <c r="AJ261" s="307"/>
      <c r="AK261" s="307"/>
      <c r="AL261" s="307"/>
    </row>
    <row r="262" customFormat="false" ht="13.5" hidden="false" customHeight="false" outlineLevel="0" collapsed="false">
      <c r="A262" s="307"/>
      <c r="B262" s="307"/>
      <c r="C262" s="307"/>
      <c r="D262" s="307"/>
      <c r="E262" s="307"/>
      <c r="F262" s="307"/>
      <c r="G262" s="477"/>
      <c r="H262" s="323" t="n">
        <f aca="false">Swap!A248</f>
        <v>44378</v>
      </c>
      <c r="I262" s="428" t="n">
        <f aca="false">INDEX(IRTable,MATCH(H262,IRMonth,0),3)+K262</f>
        <v>0.17</v>
      </c>
      <c r="J262" s="295"/>
      <c r="K262" s="428"/>
      <c r="L262" s="430"/>
      <c r="M262" s="307"/>
      <c r="N262" s="92" t="n">
        <v>44166</v>
      </c>
      <c r="O262" s="92" t="n">
        <v>44159</v>
      </c>
      <c r="P262" s="307"/>
      <c r="Q262" s="76"/>
      <c r="R262" s="392"/>
      <c r="S262" s="392"/>
      <c r="T262" s="393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7"/>
      <c r="AF262" s="307"/>
      <c r="AG262" s="307"/>
      <c r="AH262" s="307"/>
      <c r="AI262" s="307"/>
      <c r="AJ262" s="307"/>
      <c r="AK262" s="307"/>
      <c r="AL262" s="307"/>
    </row>
    <row r="263" customFormat="false" ht="12.75" hidden="false" customHeight="false" outlineLevel="0" collapsed="false">
      <c r="A263" s="307"/>
      <c r="B263" s="307"/>
      <c r="C263" s="307"/>
      <c r="D263" s="307"/>
      <c r="E263" s="307"/>
      <c r="F263" s="307"/>
      <c r="G263" s="477"/>
      <c r="H263" s="323" t="n">
        <f aca="false">Swap!A249</f>
        <v>44409</v>
      </c>
      <c r="I263" s="428" t="n">
        <f aca="false">INDEX(IRTable,MATCH(H263,IRMonth,0),3)+K263</f>
        <v>0.17</v>
      </c>
      <c r="J263" s="295"/>
      <c r="K263" s="428"/>
      <c r="L263" s="430"/>
      <c r="M263" s="307"/>
      <c r="N263" s="92" t="n">
        <v>44197</v>
      </c>
      <c r="O263" s="92" t="n">
        <v>44193</v>
      </c>
      <c r="P263" s="307"/>
      <c r="Q263" s="459"/>
      <c r="R263" s="459"/>
      <c r="S263" s="459"/>
      <c r="T263" s="459"/>
      <c r="U263" s="307"/>
      <c r="V263" s="307"/>
      <c r="W263" s="307"/>
      <c r="X263" s="307"/>
      <c r="Y263" s="307"/>
      <c r="Z263" s="307"/>
      <c r="AA263" s="307"/>
      <c r="AB263" s="307"/>
      <c r="AC263" s="307"/>
      <c r="AD263" s="307"/>
      <c r="AE263" s="307"/>
      <c r="AF263" s="307"/>
      <c r="AG263" s="307"/>
      <c r="AH263" s="307"/>
      <c r="AI263" s="307"/>
      <c r="AJ263" s="307"/>
      <c r="AK263" s="307"/>
      <c r="AL263" s="307"/>
    </row>
    <row r="264" customFormat="false" ht="12.75" hidden="false" customHeight="false" outlineLevel="0" collapsed="false">
      <c r="A264" s="307"/>
      <c r="B264" s="307"/>
      <c r="C264" s="307"/>
      <c r="D264" s="307"/>
      <c r="E264" s="307"/>
      <c r="F264" s="307"/>
      <c r="G264" s="477"/>
      <c r="H264" s="323" t="n">
        <f aca="false">Swap!A250</f>
        <v>44440</v>
      </c>
      <c r="I264" s="428" t="n">
        <f aca="false">INDEX(IRTable,MATCH(H264,IRMonth,0),3)+K264</f>
        <v>0.17</v>
      </c>
      <c r="J264" s="295"/>
      <c r="K264" s="428"/>
      <c r="L264" s="430"/>
      <c r="M264" s="307"/>
      <c r="N264" s="92" t="n">
        <v>44228</v>
      </c>
      <c r="O264" s="92" t="n">
        <v>44222</v>
      </c>
      <c r="P264" s="307"/>
      <c r="Q264" s="459"/>
      <c r="R264" s="459"/>
      <c r="S264" s="459"/>
      <c r="T264" s="459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7"/>
      <c r="AF264" s="307"/>
      <c r="AG264" s="307"/>
      <c r="AH264" s="307"/>
      <c r="AI264" s="307"/>
      <c r="AJ264" s="307"/>
      <c r="AK264" s="307"/>
      <c r="AL264" s="307"/>
    </row>
    <row r="265" customFormat="false" ht="12.75" hidden="false" customHeight="false" outlineLevel="0" collapsed="false">
      <c r="A265" s="307"/>
      <c r="B265" s="307"/>
      <c r="C265" s="307"/>
      <c r="D265" s="307"/>
      <c r="E265" s="307"/>
      <c r="F265" s="307"/>
      <c r="G265" s="477"/>
      <c r="H265" s="323" t="n">
        <f aca="false">Swap!A251</f>
        <v>44470</v>
      </c>
      <c r="I265" s="428" t="n">
        <f aca="false">INDEX(IRTable,MATCH(H265,IRMonth,0),3)+K265</f>
        <v>0.17</v>
      </c>
      <c r="J265" s="295"/>
      <c r="K265" s="428"/>
      <c r="L265" s="430"/>
      <c r="M265" s="307"/>
      <c r="N265" s="92" t="n">
        <v>44256</v>
      </c>
      <c r="O265" s="92" t="n">
        <v>44250</v>
      </c>
      <c r="P265" s="307"/>
      <c r="Q265" s="459"/>
      <c r="R265" s="459"/>
      <c r="S265" s="459"/>
      <c r="T265" s="459"/>
      <c r="U265" s="307"/>
      <c r="V265" s="307"/>
      <c r="W265" s="307"/>
      <c r="X265" s="307"/>
      <c r="Y265" s="307"/>
      <c r="Z265" s="307"/>
      <c r="AA265" s="307"/>
      <c r="AB265" s="307"/>
      <c r="AC265" s="307"/>
      <c r="AD265" s="307"/>
      <c r="AE265" s="307"/>
      <c r="AF265" s="307"/>
      <c r="AG265" s="307"/>
      <c r="AH265" s="307"/>
      <c r="AI265" s="307"/>
      <c r="AJ265" s="307"/>
      <c r="AK265" s="307"/>
      <c r="AL265" s="307"/>
    </row>
    <row r="266" customFormat="false" ht="12.75" hidden="false" customHeight="false" outlineLevel="0" collapsed="false">
      <c r="A266" s="307"/>
      <c r="B266" s="307"/>
      <c r="C266" s="307"/>
      <c r="D266" s="307"/>
      <c r="E266" s="307"/>
      <c r="F266" s="307"/>
      <c r="G266" s="477"/>
      <c r="H266" s="323" t="n">
        <f aca="false">Swap!A252</f>
        <v>44501</v>
      </c>
      <c r="I266" s="428" t="n">
        <f aca="false">INDEX(IRTable,MATCH(H266,IRMonth,0),3)+K266</f>
        <v>0.17</v>
      </c>
      <c r="J266" s="295"/>
      <c r="K266" s="428"/>
      <c r="L266" s="430"/>
      <c r="M266" s="307"/>
      <c r="N266" s="92" t="n">
        <v>44287</v>
      </c>
      <c r="O266" s="92" t="n">
        <v>44281</v>
      </c>
      <c r="P266" s="307"/>
      <c r="Q266" s="459"/>
      <c r="R266" s="459"/>
      <c r="S266" s="459"/>
      <c r="T266" s="459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7"/>
      <c r="AF266" s="307"/>
      <c r="AG266" s="307"/>
      <c r="AH266" s="307"/>
      <c r="AI266" s="307"/>
      <c r="AJ266" s="307"/>
      <c r="AK266" s="307"/>
      <c r="AL266" s="307"/>
    </row>
    <row r="267" customFormat="false" ht="12.75" hidden="false" customHeight="false" outlineLevel="0" collapsed="false">
      <c r="A267" s="307"/>
      <c r="B267" s="307"/>
      <c r="C267" s="307"/>
      <c r="D267" s="307"/>
      <c r="E267" s="307"/>
      <c r="F267" s="307"/>
      <c r="G267" s="477"/>
      <c r="H267" s="323" t="n">
        <f aca="false">Swap!A253</f>
        <v>44531</v>
      </c>
      <c r="I267" s="428" t="n">
        <f aca="false">INDEX(IRTable,MATCH(H267,IRMonth,0),3)+K267</f>
        <v>0.17</v>
      </c>
      <c r="J267" s="295"/>
      <c r="K267" s="428"/>
      <c r="L267" s="430"/>
      <c r="M267" s="307"/>
      <c r="N267" s="92" t="n">
        <v>44317</v>
      </c>
      <c r="O267" s="92" t="n">
        <v>44313</v>
      </c>
      <c r="P267" s="307"/>
      <c r="Q267" s="459"/>
      <c r="R267" s="459"/>
      <c r="S267" s="459"/>
      <c r="T267" s="459"/>
      <c r="U267" s="307"/>
      <c r="V267" s="307"/>
      <c r="W267" s="307"/>
      <c r="X267" s="307"/>
      <c r="Y267" s="307"/>
      <c r="Z267" s="307"/>
      <c r="AA267" s="307"/>
      <c r="AB267" s="307"/>
      <c r="AC267" s="307"/>
      <c r="AD267" s="307"/>
      <c r="AE267" s="307"/>
      <c r="AF267" s="307"/>
      <c r="AG267" s="307"/>
      <c r="AH267" s="307"/>
      <c r="AI267" s="307"/>
      <c r="AJ267" s="307"/>
      <c r="AK267" s="307"/>
      <c r="AL267" s="307"/>
    </row>
    <row r="268" customFormat="false" ht="12.75" hidden="false" customHeight="false" outlineLevel="0" collapsed="false">
      <c r="A268" s="307"/>
      <c r="B268" s="307"/>
      <c r="C268" s="307"/>
      <c r="D268" s="307"/>
      <c r="E268" s="307"/>
      <c r="F268" s="307"/>
      <c r="G268" s="477"/>
      <c r="H268" s="323" t="n">
        <f aca="false">Swap!A254</f>
        <v>44562</v>
      </c>
      <c r="I268" s="428" t="n">
        <f aca="false">INDEX(IRTable,MATCH(H268,IRMonth,0),3)+K268</f>
        <v>0.17</v>
      </c>
      <c r="J268" s="295"/>
      <c r="K268" s="428"/>
      <c r="L268" s="430"/>
      <c r="M268" s="307"/>
      <c r="N268" s="92" t="n">
        <v>44348</v>
      </c>
      <c r="O268" s="92" t="n">
        <v>44341</v>
      </c>
      <c r="P268" s="307"/>
      <c r="Q268" s="459"/>
      <c r="R268" s="459"/>
      <c r="S268" s="459"/>
      <c r="T268" s="459"/>
      <c r="U268" s="307"/>
      <c r="V268" s="307"/>
      <c r="W268" s="307"/>
      <c r="X268" s="307"/>
      <c r="Y268" s="307"/>
      <c r="Z268" s="307"/>
      <c r="AA268" s="307"/>
      <c r="AB268" s="307"/>
      <c r="AC268" s="307"/>
      <c r="AD268" s="307"/>
      <c r="AE268" s="307"/>
      <c r="AF268" s="307"/>
      <c r="AG268" s="307"/>
      <c r="AH268" s="307"/>
      <c r="AI268" s="307"/>
      <c r="AJ268" s="307"/>
      <c r="AK268" s="307"/>
      <c r="AL268" s="307"/>
    </row>
    <row r="269" customFormat="false" ht="12.75" hidden="false" customHeight="false" outlineLevel="0" collapsed="false">
      <c r="A269" s="307"/>
      <c r="B269" s="307"/>
      <c r="C269" s="307"/>
      <c r="D269" s="307"/>
      <c r="E269" s="307"/>
      <c r="F269" s="307"/>
      <c r="G269" s="477"/>
      <c r="H269" s="323" t="n">
        <f aca="false">Swap!A255</f>
        <v>44593</v>
      </c>
      <c r="I269" s="428" t="n">
        <f aca="false">INDEX(IRTable,MATCH(H269,IRMonth,0),3)+K269</f>
        <v>0.17</v>
      </c>
      <c r="J269" s="295"/>
      <c r="K269" s="428"/>
      <c r="L269" s="430"/>
      <c r="M269" s="307"/>
      <c r="N269" s="92" t="n">
        <v>44378</v>
      </c>
      <c r="O269" s="92" t="n">
        <v>44372</v>
      </c>
      <c r="P269" s="307"/>
      <c r="Q269" s="459"/>
      <c r="R269" s="459"/>
      <c r="S269" s="459"/>
      <c r="T269" s="459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7"/>
      <c r="AF269" s="307"/>
      <c r="AG269" s="307"/>
      <c r="AH269" s="307"/>
      <c r="AI269" s="307"/>
      <c r="AJ269" s="307"/>
      <c r="AK269" s="307"/>
      <c r="AL269" s="307"/>
    </row>
    <row r="270" customFormat="false" ht="12.75" hidden="false" customHeight="false" outlineLevel="0" collapsed="false">
      <c r="A270" s="307"/>
      <c r="B270" s="307"/>
      <c r="C270" s="307"/>
      <c r="D270" s="307"/>
      <c r="E270" s="307"/>
      <c r="F270" s="307"/>
      <c r="G270" s="477"/>
      <c r="H270" s="323" t="n">
        <f aca="false">Swap!A256</f>
        <v>44621</v>
      </c>
      <c r="I270" s="428" t="n">
        <f aca="false">INDEX(IRTable,MATCH(H270,IRMonth,0),3)+K270</f>
        <v>0.17</v>
      </c>
      <c r="J270" s="295"/>
      <c r="K270" s="428"/>
      <c r="L270" s="430"/>
      <c r="M270" s="307"/>
      <c r="N270" s="92" t="n">
        <v>44409</v>
      </c>
      <c r="O270" s="92" t="n">
        <v>44404</v>
      </c>
      <c r="P270" s="307"/>
      <c r="Q270" s="459"/>
      <c r="R270" s="459"/>
      <c r="S270" s="459"/>
      <c r="T270" s="459"/>
      <c r="U270" s="307"/>
      <c r="V270" s="307"/>
      <c r="W270" s="307"/>
      <c r="X270" s="307"/>
      <c r="Y270" s="307"/>
      <c r="Z270" s="307"/>
      <c r="AA270" s="307"/>
      <c r="AB270" s="307"/>
      <c r="AC270" s="307"/>
      <c r="AD270" s="307"/>
      <c r="AE270" s="307"/>
      <c r="AF270" s="307"/>
      <c r="AG270" s="307"/>
      <c r="AH270" s="307"/>
      <c r="AI270" s="307"/>
      <c r="AJ270" s="307"/>
      <c r="AK270" s="307"/>
      <c r="AL270" s="307"/>
    </row>
    <row r="271" customFormat="false" ht="12.75" hidden="false" customHeight="false" outlineLevel="0" collapsed="false">
      <c r="A271" s="307"/>
      <c r="B271" s="307"/>
      <c r="C271" s="307"/>
      <c r="D271" s="307"/>
      <c r="E271" s="307"/>
      <c r="F271" s="307"/>
      <c r="G271" s="477"/>
      <c r="H271" s="323" t="n">
        <f aca="false">Swap!A257</f>
        <v>44652</v>
      </c>
      <c r="I271" s="428" t="n">
        <f aca="false">INDEX(IRTable,MATCH(H271,IRMonth,0),3)+K271</f>
        <v>0.17</v>
      </c>
      <c r="J271" s="295"/>
      <c r="K271" s="428"/>
      <c r="L271" s="430"/>
      <c r="M271" s="307"/>
      <c r="N271" s="92" t="n">
        <v>44440</v>
      </c>
      <c r="O271" s="92" t="n">
        <v>44434</v>
      </c>
      <c r="P271" s="307"/>
      <c r="Q271" s="459"/>
      <c r="R271" s="459"/>
      <c r="S271" s="459"/>
      <c r="T271" s="459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7"/>
      <c r="AF271" s="307"/>
      <c r="AG271" s="307"/>
      <c r="AH271" s="307"/>
      <c r="AI271" s="307"/>
      <c r="AJ271" s="307"/>
      <c r="AK271" s="307"/>
      <c r="AL271" s="307"/>
    </row>
    <row r="272" customFormat="false" ht="12.75" hidden="false" customHeight="false" outlineLevel="0" collapsed="false">
      <c r="A272" s="307"/>
      <c r="B272" s="307"/>
      <c r="C272" s="307"/>
      <c r="D272" s="307"/>
      <c r="E272" s="307"/>
      <c r="F272" s="307"/>
      <c r="G272" s="477"/>
      <c r="H272" s="323" t="n">
        <f aca="false">Swap!A258</f>
        <v>44682</v>
      </c>
      <c r="I272" s="428" t="n">
        <f aca="false">INDEX(IRTable,MATCH(H272,IRMonth,0),3)+K272</f>
        <v>0.17</v>
      </c>
      <c r="J272" s="295"/>
      <c r="K272" s="428"/>
      <c r="L272" s="430"/>
      <c r="M272" s="307"/>
      <c r="N272" s="92" t="n">
        <v>44470</v>
      </c>
      <c r="O272" s="92" t="n">
        <v>44466</v>
      </c>
      <c r="P272" s="307"/>
      <c r="Q272" s="459"/>
      <c r="R272" s="459"/>
      <c r="S272" s="459"/>
      <c r="T272" s="459"/>
      <c r="U272" s="307"/>
      <c r="V272" s="307"/>
      <c r="W272" s="307"/>
      <c r="X272" s="307"/>
      <c r="Y272" s="307"/>
      <c r="Z272" s="307"/>
      <c r="AA272" s="307"/>
      <c r="AB272" s="307"/>
      <c r="AC272" s="307"/>
      <c r="AD272" s="307"/>
      <c r="AE272" s="307"/>
      <c r="AF272" s="307"/>
      <c r="AG272" s="307"/>
      <c r="AH272" s="307"/>
      <c r="AI272" s="307"/>
      <c r="AJ272" s="307"/>
      <c r="AK272" s="307"/>
      <c r="AL272" s="307"/>
    </row>
    <row r="273" customFormat="false" ht="12.75" hidden="false" customHeight="false" outlineLevel="0" collapsed="false">
      <c r="A273" s="307"/>
      <c r="B273" s="307"/>
      <c r="C273" s="307"/>
      <c r="D273" s="307"/>
      <c r="E273" s="307"/>
      <c r="F273" s="307"/>
      <c r="G273" s="477"/>
      <c r="H273" s="323" t="n">
        <f aca="false">Swap!A259</f>
        <v>44713</v>
      </c>
      <c r="I273" s="428" t="n">
        <f aca="false">INDEX(IRTable,MATCH(H273,IRMonth,0),3)+K273</f>
        <v>0.17</v>
      </c>
      <c r="J273" s="295"/>
      <c r="K273" s="428"/>
      <c r="L273" s="430"/>
      <c r="M273" s="307"/>
      <c r="N273" s="92" t="n">
        <v>44501</v>
      </c>
      <c r="O273" s="92" t="n">
        <v>44495</v>
      </c>
      <c r="P273" s="307"/>
      <c r="Q273" s="459"/>
      <c r="R273" s="459"/>
      <c r="S273" s="459"/>
      <c r="T273" s="459"/>
      <c r="U273" s="307"/>
      <c r="V273" s="307"/>
      <c r="W273" s="307"/>
      <c r="X273" s="307"/>
      <c r="Y273" s="307"/>
      <c r="Z273" s="307"/>
      <c r="AA273" s="307"/>
      <c r="AB273" s="307"/>
      <c r="AC273" s="307"/>
      <c r="AD273" s="307"/>
      <c r="AE273" s="307"/>
      <c r="AF273" s="307"/>
      <c r="AG273" s="307"/>
      <c r="AH273" s="307"/>
      <c r="AI273" s="307"/>
      <c r="AJ273" s="307"/>
      <c r="AK273" s="307"/>
      <c r="AL273" s="307"/>
    </row>
    <row r="274" customFormat="false" ht="12.75" hidden="false" customHeight="false" outlineLevel="0" collapsed="false">
      <c r="A274" s="307"/>
      <c r="B274" s="307"/>
      <c r="C274" s="307"/>
      <c r="D274" s="307"/>
      <c r="E274" s="307"/>
      <c r="F274" s="307"/>
      <c r="G274" s="477"/>
      <c r="H274" s="323" t="n">
        <f aca="false">Swap!A260</f>
        <v>44743</v>
      </c>
      <c r="I274" s="428" t="n">
        <f aca="false">INDEX(IRTable,MATCH(H274,IRMonth,0),3)+K274</f>
        <v>0.17</v>
      </c>
      <c r="J274" s="295"/>
      <c r="K274" s="428"/>
      <c r="L274" s="430"/>
      <c r="M274" s="307"/>
      <c r="N274" s="92" t="n">
        <v>44531</v>
      </c>
      <c r="O274" s="92" t="n">
        <v>44524</v>
      </c>
      <c r="P274" s="307"/>
      <c r="Q274" s="459"/>
      <c r="R274" s="459"/>
      <c r="S274" s="459"/>
      <c r="T274" s="459"/>
      <c r="U274" s="307"/>
      <c r="V274" s="307"/>
      <c r="W274" s="307"/>
      <c r="X274" s="307"/>
      <c r="Y274" s="307"/>
      <c r="Z274" s="307"/>
      <c r="AA274" s="307"/>
      <c r="AB274" s="307"/>
      <c r="AC274" s="307"/>
      <c r="AD274" s="307"/>
      <c r="AE274" s="307"/>
      <c r="AF274" s="307"/>
      <c r="AG274" s="307"/>
      <c r="AH274" s="307"/>
      <c r="AI274" s="307"/>
      <c r="AJ274" s="307"/>
      <c r="AK274" s="307"/>
      <c r="AL274" s="307"/>
    </row>
    <row r="275" customFormat="false" ht="12.75" hidden="false" customHeight="false" outlineLevel="0" collapsed="false">
      <c r="A275" s="307"/>
      <c r="B275" s="307"/>
      <c r="C275" s="307"/>
      <c r="D275" s="307"/>
      <c r="E275" s="307"/>
      <c r="F275" s="307"/>
      <c r="G275" s="477"/>
      <c r="H275" s="323" t="n">
        <f aca="false">Swap!A261</f>
        <v>44774</v>
      </c>
      <c r="I275" s="428" t="n">
        <f aca="false">INDEX(IRTable,MATCH(H275,IRMonth,0),3)+K275</f>
        <v>0.17</v>
      </c>
      <c r="J275" s="295"/>
      <c r="K275" s="428"/>
      <c r="L275" s="430"/>
      <c r="M275" s="307"/>
      <c r="N275" s="92" t="n">
        <v>44562</v>
      </c>
      <c r="O275" s="92" t="n">
        <v>44557</v>
      </c>
      <c r="P275" s="307"/>
      <c r="Q275" s="459"/>
      <c r="R275" s="459"/>
      <c r="S275" s="459"/>
      <c r="T275" s="459"/>
      <c r="U275" s="307"/>
      <c r="V275" s="307"/>
      <c r="W275" s="307"/>
      <c r="X275" s="307"/>
      <c r="Y275" s="307"/>
      <c r="Z275" s="307"/>
      <c r="AA275" s="307"/>
      <c r="AB275" s="307"/>
      <c r="AC275" s="307"/>
      <c r="AD275" s="307"/>
      <c r="AE275" s="307"/>
      <c r="AF275" s="307"/>
      <c r="AG275" s="307"/>
      <c r="AH275" s="307"/>
      <c r="AI275" s="307"/>
      <c r="AJ275" s="307"/>
      <c r="AK275" s="307"/>
      <c r="AL275" s="307"/>
    </row>
    <row r="276" customFormat="false" ht="12.75" hidden="false" customHeight="false" outlineLevel="0" collapsed="false">
      <c r="A276" s="307"/>
      <c r="B276" s="307"/>
      <c r="C276" s="307"/>
      <c r="D276" s="307"/>
      <c r="E276" s="307"/>
      <c r="F276" s="307"/>
      <c r="G276" s="477"/>
      <c r="H276" s="323" t="n">
        <f aca="false">Swap!A262</f>
        <v>44805</v>
      </c>
      <c r="I276" s="428" t="n">
        <f aca="false">INDEX(IRTable,MATCH(H276,IRMonth,0),3)+K276</f>
        <v>0.17</v>
      </c>
      <c r="J276" s="295"/>
      <c r="K276" s="428"/>
      <c r="L276" s="430"/>
      <c r="M276" s="307"/>
      <c r="N276" s="92" t="n">
        <v>44593</v>
      </c>
      <c r="O276" s="92" t="n">
        <v>44587</v>
      </c>
      <c r="P276" s="307"/>
      <c r="Q276" s="459"/>
      <c r="R276" s="459"/>
      <c r="S276" s="459"/>
      <c r="T276" s="459"/>
      <c r="U276" s="307"/>
      <c r="V276" s="307"/>
      <c r="W276" s="307"/>
      <c r="X276" s="307"/>
      <c r="Y276" s="307"/>
      <c r="Z276" s="307"/>
      <c r="AA276" s="307"/>
      <c r="AB276" s="307"/>
      <c r="AC276" s="307"/>
      <c r="AD276" s="307"/>
      <c r="AE276" s="307"/>
      <c r="AF276" s="307"/>
      <c r="AG276" s="307"/>
      <c r="AH276" s="307"/>
      <c r="AI276" s="307"/>
      <c r="AJ276" s="307"/>
      <c r="AK276" s="307"/>
      <c r="AL276" s="307"/>
    </row>
    <row r="277" customFormat="false" ht="12.75" hidden="false" customHeight="false" outlineLevel="0" collapsed="false">
      <c r="A277" s="307"/>
      <c r="B277" s="307"/>
      <c r="C277" s="307"/>
      <c r="D277" s="307"/>
      <c r="E277" s="307"/>
      <c r="F277" s="307"/>
      <c r="G277" s="477"/>
      <c r="H277" s="323" t="n">
        <f aca="false">Swap!A263</f>
        <v>44835</v>
      </c>
      <c r="I277" s="428" t="n">
        <f aca="false">INDEX(IRTable,MATCH(H277,IRMonth,0),3)+K277</f>
        <v>0.17</v>
      </c>
      <c r="J277" s="295"/>
      <c r="K277" s="428"/>
      <c r="L277" s="430"/>
      <c r="M277" s="307"/>
      <c r="N277" s="92" t="n">
        <v>44621</v>
      </c>
      <c r="O277" s="92" t="n">
        <v>44615</v>
      </c>
      <c r="P277" s="307"/>
      <c r="Q277" s="459"/>
      <c r="R277" s="459"/>
      <c r="S277" s="459"/>
      <c r="T277" s="459"/>
      <c r="U277" s="307"/>
      <c r="V277" s="307"/>
      <c r="W277" s="307"/>
      <c r="X277" s="307"/>
      <c r="Y277" s="307"/>
      <c r="Z277" s="307"/>
      <c r="AA277" s="307"/>
      <c r="AB277" s="307"/>
      <c r="AC277" s="307"/>
      <c r="AD277" s="307"/>
      <c r="AE277" s="307"/>
      <c r="AF277" s="307"/>
      <c r="AG277" s="307"/>
      <c r="AH277" s="307"/>
      <c r="AI277" s="307"/>
      <c r="AJ277" s="307"/>
      <c r="AK277" s="307"/>
      <c r="AL277" s="307"/>
    </row>
    <row r="278" customFormat="false" ht="12.75" hidden="false" customHeight="false" outlineLevel="0" collapsed="false">
      <c r="A278" s="307"/>
      <c r="B278" s="307"/>
      <c r="C278" s="307"/>
      <c r="D278" s="307"/>
      <c r="E278" s="307"/>
      <c r="F278" s="307"/>
      <c r="G278" s="477"/>
      <c r="H278" s="323" t="n">
        <f aca="false">Swap!A264</f>
        <v>44866</v>
      </c>
      <c r="I278" s="428" t="n">
        <f aca="false">INDEX(IRTable,MATCH(H278,IRMonth,0),3)+K278</f>
        <v>0.17</v>
      </c>
      <c r="J278" s="295"/>
      <c r="K278" s="428"/>
      <c r="L278" s="430"/>
      <c r="M278" s="307"/>
      <c r="N278" s="92" t="n">
        <v>44652</v>
      </c>
      <c r="O278" s="92" t="n">
        <v>44648</v>
      </c>
      <c r="P278" s="307"/>
      <c r="Q278" s="459"/>
      <c r="R278" s="459"/>
      <c r="S278" s="459"/>
      <c r="T278" s="459"/>
      <c r="U278" s="307"/>
      <c r="V278" s="307"/>
      <c r="W278" s="307"/>
      <c r="X278" s="307"/>
      <c r="Y278" s="307"/>
      <c r="Z278" s="307"/>
      <c r="AA278" s="307"/>
      <c r="AB278" s="307"/>
      <c r="AC278" s="307"/>
      <c r="AD278" s="307"/>
      <c r="AE278" s="307"/>
      <c r="AF278" s="307"/>
      <c r="AG278" s="307"/>
      <c r="AH278" s="307"/>
      <c r="AI278" s="307"/>
      <c r="AJ278" s="307"/>
      <c r="AK278" s="307"/>
      <c r="AL278" s="307"/>
    </row>
    <row r="279" customFormat="false" ht="12.75" hidden="false" customHeight="false" outlineLevel="0" collapsed="false">
      <c r="A279" s="307"/>
      <c r="B279" s="307"/>
      <c r="C279" s="307"/>
      <c r="D279" s="307"/>
      <c r="E279" s="307"/>
      <c r="F279" s="307"/>
      <c r="G279" s="477"/>
      <c r="H279" s="323" t="n">
        <f aca="false">Swap!A265</f>
        <v>44896</v>
      </c>
      <c r="I279" s="428" t="n">
        <f aca="false">INDEX(IRTable,MATCH(H279,IRMonth,0),3)+K279</f>
        <v>0.17</v>
      </c>
      <c r="J279" s="295"/>
      <c r="K279" s="428"/>
      <c r="L279" s="430"/>
      <c r="M279" s="307"/>
      <c r="N279" s="92" t="n">
        <v>44682</v>
      </c>
      <c r="O279" s="92" t="n">
        <v>44677</v>
      </c>
      <c r="P279" s="307"/>
      <c r="Q279" s="459"/>
      <c r="R279" s="459"/>
      <c r="S279" s="459"/>
      <c r="T279" s="459"/>
      <c r="U279" s="307"/>
      <c r="V279" s="307"/>
      <c r="W279" s="307"/>
      <c r="X279" s="307"/>
      <c r="Y279" s="307"/>
      <c r="Z279" s="307"/>
      <c r="AA279" s="307"/>
      <c r="AB279" s="307"/>
      <c r="AC279" s="307"/>
      <c r="AD279" s="307"/>
      <c r="AE279" s="307"/>
      <c r="AF279" s="307"/>
      <c r="AG279" s="307"/>
      <c r="AH279" s="307"/>
      <c r="AI279" s="307"/>
      <c r="AJ279" s="307"/>
      <c r="AK279" s="307"/>
      <c r="AL279" s="307"/>
    </row>
    <row r="280" customFormat="false" ht="12.75" hidden="false" customHeight="false" outlineLevel="0" collapsed="false">
      <c r="A280" s="307"/>
      <c r="B280" s="307"/>
      <c r="C280" s="307"/>
      <c r="D280" s="307"/>
      <c r="E280" s="307"/>
      <c r="F280" s="307"/>
      <c r="G280" s="477"/>
      <c r="H280" s="323" t="n">
        <f aca="false">Swap!A266</f>
        <v>44927</v>
      </c>
      <c r="I280" s="428" t="n">
        <f aca="false">INDEX(IRTable,MATCH(H280,IRMonth,0),3)+K280</f>
        <v>0.17</v>
      </c>
      <c r="J280" s="295"/>
      <c r="K280" s="428"/>
      <c r="L280" s="430"/>
      <c r="M280" s="307"/>
      <c r="N280" s="92" t="n">
        <v>44713</v>
      </c>
      <c r="O280" s="92" t="n">
        <v>44706</v>
      </c>
      <c r="P280" s="307"/>
      <c r="Q280" s="459"/>
      <c r="R280" s="459"/>
      <c r="S280" s="459"/>
      <c r="T280" s="459"/>
      <c r="U280" s="307"/>
      <c r="V280" s="307"/>
      <c r="W280" s="307"/>
      <c r="X280" s="307"/>
      <c r="Y280" s="307"/>
      <c r="Z280" s="307"/>
      <c r="AA280" s="307"/>
      <c r="AB280" s="307"/>
      <c r="AC280" s="307"/>
      <c r="AD280" s="307"/>
      <c r="AE280" s="307"/>
      <c r="AF280" s="307"/>
      <c r="AG280" s="307"/>
      <c r="AH280" s="307"/>
      <c r="AI280" s="307"/>
      <c r="AJ280" s="307"/>
      <c r="AK280" s="307"/>
      <c r="AL280" s="307"/>
    </row>
    <row r="281" customFormat="false" ht="12.75" hidden="false" customHeight="false" outlineLevel="0" collapsed="false">
      <c r="A281" s="307"/>
      <c r="B281" s="307"/>
      <c r="C281" s="307"/>
      <c r="D281" s="307"/>
      <c r="E281" s="307"/>
      <c r="F281" s="307"/>
      <c r="G281" s="477"/>
      <c r="H281" s="323" t="n">
        <f aca="false">Swap!A267</f>
        <v>44958</v>
      </c>
      <c r="I281" s="428" t="n">
        <f aca="false">INDEX(IRTable,MATCH(H281,IRMonth,0),3)+K281</f>
        <v>0.17</v>
      </c>
      <c r="J281" s="295"/>
      <c r="K281" s="428"/>
      <c r="L281" s="430"/>
      <c r="M281" s="307"/>
      <c r="N281" s="92" t="n">
        <v>44743</v>
      </c>
      <c r="O281" s="92" t="n">
        <v>44739</v>
      </c>
      <c r="P281" s="307"/>
      <c r="Q281" s="459"/>
      <c r="R281" s="459"/>
      <c r="S281" s="459"/>
      <c r="T281" s="459"/>
      <c r="U281" s="307"/>
      <c r="V281" s="307"/>
      <c r="W281" s="307"/>
      <c r="X281" s="307"/>
      <c r="Y281" s="307"/>
      <c r="Z281" s="307"/>
      <c r="AA281" s="307"/>
      <c r="AB281" s="307"/>
      <c r="AC281" s="307"/>
      <c r="AD281" s="307"/>
      <c r="AE281" s="307"/>
      <c r="AF281" s="307"/>
      <c r="AG281" s="307"/>
      <c r="AH281" s="307"/>
      <c r="AI281" s="307"/>
      <c r="AJ281" s="307"/>
      <c r="AK281" s="307"/>
      <c r="AL281" s="307"/>
    </row>
    <row r="282" customFormat="false" ht="12.75" hidden="false" customHeight="false" outlineLevel="0" collapsed="false">
      <c r="A282" s="307"/>
      <c r="B282" s="307"/>
      <c r="C282" s="307"/>
      <c r="D282" s="307"/>
      <c r="E282" s="307"/>
      <c r="F282" s="307"/>
      <c r="G282" s="477"/>
      <c r="H282" s="323" t="n">
        <f aca="false">Swap!A268</f>
        <v>44986</v>
      </c>
      <c r="I282" s="428" t="n">
        <f aca="false">INDEX(IRTable,MATCH(H282,IRMonth,0),3)+K282</f>
        <v>0.17</v>
      </c>
      <c r="J282" s="295"/>
      <c r="K282" s="428"/>
      <c r="L282" s="430"/>
      <c r="M282" s="307"/>
      <c r="N282" s="92" t="n">
        <v>44774</v>
      </c>
      <c r="O282" s="92" t="n">
        <v>44768</v>
      </c>
      <c r="P282" s="307"/>
      <c r="Q282" s="459"/>
      <c r="R282" s="459"/>
      <c r="S282" s="459"/>
      <c r="T282" s="459"/>
      <c r="U282" s="307"/>
      <c r="V282" s="307"/>
      <c r="W282" s="307"/>
      <c r="X282" s="307"/>
      <c r="Y282" s="307"/>
      <c r="Z282" s="307"/>
      <c r="AA282" s="307"/>
      <c r="AB282" s="307"/>
      <c r="AC282" s="307"/>
      <c r="AD282" s="307"/>
      <c r="AE282" s="307"/>
      <c r="AF282" s="307"/>
      <c r="AG282" s="307"/>
      <c r="AH282" s="307"/>
      <c r="AI282" s="307"/>
      <c r="AJ282" s="307"/>
      <c r="AK282" s="307"/>
      <c r="AL282" s="307"/>
    </row>
    <row r="283" customFormat="false" ht="12.75" hidden="false" customHeight="false" outlineLevel="0" collapsed="false">
      <c r="A283" s="307"/>
      <c r="B283" s="307"/>
      <c r="C283" s="307"/>
      <c r="D283" s="307"/>
      <c r="E283" s="307"/>
      <c r="F283" s="307"/>
      <c r="G283" s="477"/>
      <c r="H283" s="323" t="n">
        <f aca="false">Swap!A269</f>
        <v>45017</v>
      </c>
      <c r="I283" s="428" t="n">
        <f aca="false">INDEX(IRTable,MATCH(H283,IRMonth,0),3)+K283</f>
        <v>0.17</v>
      </c>
      <c r="J283" s="295"/>
      <c r="K283" s="428"/>
      <c r="L283" s="430"/>
      <c r="M283" s="307"/>
      <c r="N283" s="92" t="n">
        <v>44805</v>
      </c>
      <c r="O283" s="92" t="n">
        <v>44799</v>
      </c>
      <c r="P283" s="307"/>
      <c r="Q283" s="459"/>
      <c r="R283" s="459"/>
      <c r="S283" s="459"/>
      <c r="T283" s="459"/>
      <c r="U283" s="307"/>
      <c r="V283" s="307"/>
      <c r="W283" s="307"/>
      <c r="X283" s="307"/>
      <c r="Y283" s="307"/>
      <c r="Z283" s="307"/>
      <c r="AA283" s="307"/>
      <c r="AB283" s="307"/>
      <c r="AC283" s="307"/>
      <c r="AD283" s="307"/>
      <c r="AE283" s="307"/>
      <c r="AF283" s="307"/>
      <c r="AG283" s="307"/>
      <c r="AH283" s="307"/>
      <c r="AI283" s="307"/>
      <c r="AJ283" s="307"/>
      <c r="AK283" s="307"/>
      <c r="AL283" s="307"/>
    </row>
    <row r="284" customFormat="false" ht="12.75" hidden="false" customHeight="false" outlineLevel="0" collapsed="false">
      <c r="A284" s="307"/>
      <c r="B284" s="307"/>
      <c r="C284" s="307"/>
      <c r="D284" s="307"/>
      <c r="E284" s="307"/>
      <c r="F284" s="307"/>
      <c r="G284" s="477"/>
      <c r="H284" s="323" t="n">
        <f aca="false">Swap!A270</f>
        <v>45047</v>
      </c>
      <c r="I284" s="428" t="n">
        <f aca="false">INDEX(IRTable,MATCH(H284,IRMonth,0),3)+K284</f>
        <v>0.17</v>
      </c>
      <c r="J284" s="295"/>
      <c r="K284" s="428"/>
      <c r="L284" s="430"/>
      <c r="M284" s="307"/>
      <c r="N284" s="92" t="n">
        <v>44835</v>
      </c>
      <c r="O284" s="92" t="n">
        <v>44831</v>
      </c>
      <c r="P284" s="307"/>
      <c r="Q284" s="459"/>
      <c r="R284" s="459"/>
      <c r="S284" s="459"/>
      <c r="T284" s="459"/>
      <c r="U284" s="307"/>
      <c r="V284" s="307"/>
      <c r="W284" s="307"/>
      <c r="X284" s="307"/>
      <c r="Y284" s="307"/>
      <c r="Z284" s="307"/>
      <c r="AA284" s="307"/>
      <c r="AB284" s="307"/>
      <c r="AC284" s="307"/>
      <c r="AD284" s="307"/>
      <c r="AE284" s="307"/>
      <c r="AF284" s="307"/>
      <c r="AG284" s="307"/>
      <c r="AH284" s="307"/>
      <c r="AI284" s="307"/>
      <c r="AJ284" s="307"/>
      <c r="AK284" s="307"/>
      <c r="AL284" s="307"/>
    </row>
    <row r="285" customFormat="false" ht="12.75" hidden="false" customHeight="false" outlineLevel="0" collapsed="false">
      <c r="A285" s="307"/>
      <c r="B285" s="307"/>
      <c r="C285" s="307"/>
      <c r="D285" s="307"/>
      <c r="E285" s="307"/>
      <c r="F285" s="307"/>
      <c r="G285" s="477"/>
      <c r="H285" s="323" t="n">
        <f aca="false">Swap!A271</f>
        <v>45078</v>
      </c>
      <c r="I285" s="428" t="n">
        <f aca="false">INDEX(IRTable,MATCH(H285,IRMonth,0),3)+K285</f>
        <v>0.17</v>
      </c>
      <c r="J285" s="295"/>
      <c r="K285" s="428"/>
      <c r="L285" s="430"/>
      <c r="M285" s="307"/>
      <c r="N285" s="92" t="n">
        <v>44866</v>
      </c>
      <c r="O285" s="92" t="n">
        <v>44860</v>
      </c>
      <c r="P285" s="307"/>
      <c r="Q285" s="459"/>
      <c r="R285" s="459"/>
      <c r="S285" s="459"/>
      <c r="T285" s="459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7"/>
      <c r="AF285" s="307"/>
      <c r="AG285" s="307"/>
      <c r="AH285" s="307"/>
      <c r="AI285" s="307"/>
      <c r="AJ285" s="307"/>
      <c r="AK285" s="307"/>
      <c r="AL285" s="307"/>
    </row>
    <row r="286" customFormat="false" ht="12.75" hidden="false" customHeight="false" outlineLevel="0" collapsed="false">
      <c r="A286" s="307"/>
      <c r="B286" s="307"/>
      <c r="C286" s="307"/>
      <c r="D286" s="307"/>
      <c r="E286" s="307"/>
      <c r="F286" s="307"/>
      <c r="G286" s="477"/>
      <c r="H286" s="323" t="n">
        <f aca="false">Swap!A272</f>
        <v>45108</v>
      </c>
      <c r="I286" s="428" t="n">
        <f aca="false">INDEX(IRTable,MATCH(H286,IRMonth,0),3)+K286</f>
        <v>0.17</v>
      </c>
      <c r="J286" s="295"/>
      <c r="K286" s="428"/>
      <c r="L286" s="430"/>
      <c r="M286" s="307"/>
      <c r="N286" s="92" t="n">
        <v>44896</v>
      </c>
      <c r="O286" s="92" t="n">
        <v>44890</v>
      </c>
      <c r="P286" s="307"/>
      <c r="Q286" s="459"/>
      <c r="R286" s="459"/>
      <c r="S286" s="459"/>
      <c r="T286" s="459"/>
      <c r="U286" s="307"/>
      <c r="V286" s="307"/>
      <c r="W286" s="307"/>
      <c r="X286" s="307"/>
      <c r="Y286" s="307"/>
      <c r="Z286" s="307"/>
      <c r="AA286" s="307"/>
      <c r="AB286" s="307"/>
      <c r="AC286" s="307"/>
      <c r="AD286" s="307"/>
      <c r="AE286" s="307"/>
      <c r="AF286" s="307"/>
      <c r="AG286" s="307"/>
      <c r="AH286" s="307"/>
      <c r="AI286" s="307"/>
      <c r="AJ286" s="307"/>
      <c r="AK286" s="307"/>
      <c r="AL286" s="307"/>
    </row>
    <row r="287" customFormat="false" ht="12.75" hidden="false" customHeight="false" outlineLevel="0" collapsed="false">
      <c r="A287" s="307"/>
      <c r="B287" s="307"/>
      <c r="C287" s="307"/>
      <c r="D287" s="307"/>
      <c r="E287" s="307"/>
      <c r="F287" s="307"/>
      <c r="G287" s="477"/>
      <c r="H287" s="323" t="n">
        <f aca="false">Swap!A273</f>
        <v>45139</v>
      </c>
      <c r="I287" s="428" t="n">
        <f aca="false">INDEX(IRTable,MATCH(H287,IRMonth,0),3)+K287</f>
        <v>0.17</v>
      </c>
      <c r="J287" s="295"/>
      <c r="K287" s="428"/>
      <c r="L287" s="430"/>
      <c r="M287" s="307"/>
      <c r="N287" s="92" t="n">
        <v>44927</v>
      </c>
      <c r="O287" s="92" t="n">
        <v>44922</v>
      </c>
      <c r="P287" s="307"/>
      <c r="Q287" s="459"/>
      <c r="R287" s="459"/>
      <c r="S287" s="459"/>
      <c r="T287" s="459"/>
      <c r="U287" s="307"/>
      <c r="V287" s="307"/>
      <c r="W287" s="307"/>
      <c r="X287" s="307"/>
      <c r="Y287" s="307"/>
      <c r="Z287" s="307"/>
      <c r="AA287" s="307"/>
      <c r="AB287" s="307"/>
      <c r="AC287" s="307"/>
      <c r="AD287" s="307"/>
      <c r="AE287" s="307"/>
      <c r="AF287" s="307"/>
      <c r="AG287" s="307"/>
      <c r="AH287" s="307"/>
      <c r="AI287" s="307"/>
      <c r="AJ287" s="307"/>
      <c r="AK287" s="307"/>
      <c r="AL287" s="307"/>
    </row>
    <row r="288" customFormat="false" ht="12.75" hidden="false" customHeight="false" outlineLevel="0" collapsed="false">
      <c r="A288" s="307"/>
      <c r="B288" s="307"/>
      <c r="C288" s="307"/>
      <c r="D288" s="307"/>
      <c r="E288" s="307"/>
      <c r="F288" s="307"/>
      <c r="G288" s="477"/>
      <c r="H288" s="323" t="n">
        <f aca="false">Swap!A274</f>
        <v>45170</v>
      </c>
      <c r="I288" s="428" t="n">
        <f aca="false">INDEX(IRTable,MATCH(H288,IRMonth,0),3)+K288</f>
        <v>0.17</v>
      </c>
      <c r="J288" s="295"/>
      <c r="K288" s="428"/>
      <c r="L288" s="430"/>
      <c r="M288" s="307"/>
      <c r="N288" s="92" t="n">
        <v>44958</v>
      </c>
      <c r="O288" s="92" t="n">
        <v>44952</v>
      </c>
      <c r="P288" s="307"/>
      <c r="Q288" s="459"/>
      <c r="R288" s="459"/>
      <c r="S288" s="459"/>
      <c r="T288" s="459"/>
      <c r="U288" s="307"/>
      <c r="V288" s="307"/>
      <c r="W288" s="307"/>
      <c r="X288" s="307"/>
      <c r="Y288" s="307"/>
      <c r="Z288" s="307"/>
      <c r="AA288" s="307"/>
      <c r="AB288" s="307"/>
      <c r="AC288" s="307"/>
      <c r="AD288" s="307"/>
      <c r="AE288" s="307"/>
      <c r="AF288" s="307"/>
      <c r="AG288" s="307"/>
      <c r="AH288" s="307"/>
      <c r="AI288" s="307"/>
      <c r="AJ288" s="307"/>
      <c r="AK288" s="307"/>
      <c r="AL288" s="307"/>
    </row>
    <row r="289" customFormat="false" ht="12.75" hidden="false" customHeight="false" outlineLevel="0" collapsed="false">
      <c r="A289" s="307"/>
      <c r="B289" s="307"/>
      <c r="C289" s="307"/>
      <c r="D289" s="307"/>
      <c r="E289" s="307"/>
      <c r="F289" s="307"/>
      <c r="G289" s="477"/>
      <c r="H289" s="323" t="n">
        <f aca="false">Swap!A275</f>
        <v>45200</v>
      </c>
      <c r="I289" s="428" t="n">
        <f aca="false">INDEX(IRTable,MATCH(H289,IRMonth,0),3)+K289</f>
        <v>0.17</v>
      </c>
      <c r="J289" s="295"/>
      <c r="K289" s="428"/>
      <c r="L289" s="430"/>
      <c r="M289" s="307"/>
      <c r="N289" s="92" t="n">
        <v>44986</v>
      </c>
      <c r="O289" s="92" t="n">
        <v>44980</v>
      </c>
      <c r="P289" s="307"/>
      <c r="Q289" s="459"/>
      <c r="R289" s="459"/>
      <c r="S289" s="459"/>
      <c r="T289" s="459"/>
      <c r="U289" s="307"/>
      <c r="V289" s="307"/>
      <c r="W289" s="307"/>
      <c r="X289" s="307"/>
      <c r="Y289" s="307"/>
      <c r="Z289" s="307"/>
      <c r="AA289" s="307"/>
      <c r="AB289" s="307"/>
      <c r="AC289" s="307"/>
      <c r="AD289" s="307"/>
      <c r="AE289" s="307"/>
      <c r="AF289" s="307"/>
      <c r="AG289" s="307"/>
      <c r="AH289" s="307"/>
      <c r="AI289" s="307"/>
      <c r="AJ289" s="307"/>
      <c r="AK289" s="307"/>
      <c r="AL289" s="307"/>
    </row>
    <row r="290" customFormat="false" ht="12.75" hidden="false" customHeight="false" outlineLevel="0" collapsed="false">
      <c r="A290" s="307"/>
      <c r="B290" s="307"/>
      <c r="C290" s="307"/>
      <c r="D290" s="307"/>
      <c r="E290" s="307"/>
      <c r="F290" s="307"/>
      <c r="G290" s="477"/>
      <c r="H290" s="323" t="n">
        <f aca="false">Swap!A276</f>
        <v>45231</v>
      </c>
      <c r="I290" s="428" t="n">
        <f aca="false">INDEX(IRTable,MATCH(H290,IRMonth,0),3)+K290</f>
        <v>0.17</v>
      </c>
      <c r="J290" s="295"/>
      <c r="K290" s="428"/>
      <c r="L290" s="430"/>
      <c r="M290" s="307"/>
      <c r="N290" s="92" t="n">
        <v>45017</v>
      </c>
      <c r="O290" s="92" t="n">
        <v>45013</v>
      </c>
      <c r="P290" s="307"/>
      <c r="Q290" s="459"/>
      <c r="R290" s="459"/>
      <c r="S290" s="459"/>
      <c r="T290" s="459"/>
      <c r="U290" s="307"/>
      <c r="V290" s="307"/>
      <c r="W290" s="307"/>
      <c r="X290" s="307"/>
      <c r="Y290" s="307"/>
      <c r="Z290" s="307"/>
      <c r="AA290" s="307"/>
      <c r="AB290" s="307"/>
      <c r="AC290" s="307"/>
      <c r="AD290" s="307"/>
      <c r="AE290" s="307"/>
      <c r="AF290" s="307"/>
      <c r="AG290" s="307"/>
      <c r="AH290" s="307"/>
      <c r="AI290" s="307"/>
      <c r="AJ290" s="307"/>
      <c r="AK290" s="307"/>
      <c r="AL290" s="307"/>
    </row>
    <row r="291" customFormat="false" ht="12.75" hidden="false" customHeight="false" outlineLevel="0" collapsed="false">
      <c r="A291" s="307"/>
      <c r="B291" s="307"/>
      <c r="C291" s="307"/>
      <c r="D291" s="307"/>
      <c r="E291" s="307"/>
      <c r="F291" s="307"/>
      <c r="G291" s="477"/>
      <c r="H291" s="323" t="n">
        <f aca="false">Swap!A277</f>
        <v>45261</v>
      </c>
      <c r="I291" s="428" t="n">
        <f aca="false">INDEX(IRTable,MATCH(H291,IRMonth,0),3)+K291</f>
        <v>0.17</v>
      </c>
      <c r="J291" s="295"/>
      <c r="K291" s="428"/>
      <c r="L291" s="430"/>
      <c r="M291" s="307"/>
      <c r="N291" s="92" t="n">
        <v>45047</v>
      </c>
      <c r="O291" s="92" t="n">
        <v>45041</v>
      </c>
      <c r="P291" s="307"/>
      <c r="Q291" s="459"/>
      <c r="R291" s="459"/>
      <c r="S291" s="459"/>
      <c r="T291" s="459"/>
      <c r="U291" s="307"/>
      <c r="V291" s="307"/>
      <c r="W291" s="307"/>
      <c r="X291" s="307"/>
      <c r="Y291" s="307"/>
      <c r="Z291" s="307"/>
      <c r="AA291" s="307"/>
      <c r="AB291" s="307"/>
      <c r="AC291" s="307"/>
      <c r="AD291" s="307"/>
      <c r="AE291" s="307"/>
      <c r="AF291" s="307"/>
      <c r="AG291" s="307"/>
      <c r="AH291" s="307"/>
      <c r="AI291" s="307"/>
      <c r="AJ291" s="307"/>
      <c r="AK291" s="307"/>
      <c r="AL291" s="307"/>
    </row>
    <row r="292" customFormat="false" ht="12.75" hidden="false" customHeight="false" outlineLevel="0" collapsed="false">
      <c r="A292" s="307"/>
      <c r="B292" s="307"/>
      <c r="C292" s="307"/>
      <c r="D292" s="307"/>
      <c r="E292" s="307"/>
      <c r="F292" s="307"/>
      <c r="G292" s="477"/>
      <c r="H292" s="323" t="n">
        <f aca="false">Swap!A278</f>
        <v>45292</v>
      </c>
      <c r="I292" s="428" t="n">
        <f aca="false">INDEX(IRTable,MATCH(H292,IRMonth,0),3)+K292</f>
        <v>0.17</v>
      </c>
      <c r="J292" s="295"/>
      <c r="K292" s="428"/>
      <c r="L292" s="430"/>
      <c r="M292" s="307"/>
      <c r="N292" s="92" t="n">
        <v>45078</v>
      </c>
      <c r="O292" s="92" t="n">
        <v>45071</v>
      </c>
      <c r="P292" s="307"/>
      <c r="Q292" s="459"/>
      <c r="R292" s="459"/>
      <c r="S292" s="459"/>
      <c r="T292" s="459"/>
      <c r="U292" s="307"/>
      <c r="V292" s="307"/>
      <c r="W292" s="307"/>
      <c r="X292" s="307"/>
      <c r="Y292" s="307"/>
      <c r="Z292" s="307"/>
      <c r="AA292" s="307"/>
      <c r="AB292" s="307"/>
      <c r="AC292" s="307"/>
      <c r="AD292" s="307"/>
      <c r="AE292" s="307"/>
      <c r="AF292" s="307"/>
      <c r="AG292" s="307"/>
      <c r="AH292" s="307"/>
      <c r="AI292" s="307"/>
      <c r="AJ292" s="307"/>
      <c r="AK292" s="307"/>
      <c r="AL292" s="307"/>
    </row>
    <row r="293" customFormat="false" ht="12.75" hidden="false" customHeight="false" outlineLevel="0" collapsed="false">
      <c r="A293" s="307"/>
      <c r="B293" s="307"/>
      <c r="C293" s="307"/>
      <c r="D293" s="307"/>
      <c r="E293" s="307"/>
      <c r="F293" s="307"/>
      <c r="G293" s="477"/>
      <c r="H293" s="323" t="n">
        <f aca="false">Swap!A279</f>
        <v>45323</v>
      </c>
      <c r="I293" s="428" t="n">
        <f aca="false">INDEX(IRTable,MATCH(H293,IRMonth,0),3)+K293</f>
        <v>0.17</v>
      </c>
      <c r="J293" s="295"/>
      <c r="K293" s="428"/>
      <c r="L293" s="430"/>
      <c r="M293" s="307"/>
      <c r="N293" s="92" t="n">
        <v>45108</v>
      </c>
      <c r="O293" s="92" t="n">
        <v>45104</v>
      </c>
      <c r="P293" s="307"/>
      <c r="Q293" s="459"/>
      <c r="R293" s="459"/>
      <c r="S293" s="459"/>
      <c r="T293" s="459"/>
      <c r="U293" s="307"/>
      <c r="V293" s="307"/>
      <c r="W293" s="307"/>
      <c r="X293" s="307"/>
      <c r="Y293" s="307"/>
      <c r="Z293" s="307"/>
      <c r="AA293" s="307"/>
      <c r="AB293" s="307"/>
      <c r="AC293" s="307"/>
      <c r="AD293" s="307"/>
      <c r="AE293" s="307"/>
      <c r="AF293" s="307"/>
      <c r="AG293" s="307"/>
      <c r="AH293" s="307"/>
      <c r="AI293" s="307"/>
      <c r="AJ293" s="307"/>
      <c r="AK293" s="307"/>
      <c r="AL293" s="307"/>
    </row>
    <row r="294" customFormat="false" ht="12.75" hidden="false" customHeight="false" outlineLevel="0" collapsed="false">
      <c r="A294" s="307"/>
      <c r="B294" s="307"/>
      <c r="C294" s="307"/>
      <c r="D294" s="307"/>
      <c r="E294" s="307"/>
      <c r="F294" s="307"/>
      <c r="G294" s="477"/>
      <c r="H294" s="323" t="n">
        <f aca="false">Swap!A280</f>
        <v>45352</v>
      </c>
      <c r="I294" s="428" t="n">
        <f aca="false">INDEX(IRTable,MATCH(H294,IRMonth,0),3)+K294</f>
        <v>0.17</v>
      </c>
      <c r="J294" s="295"/>
      <c r="K294" s="428"/>
      <c r="L294" s="430"/>
      <c r="M294" s="307"/>
      <c r="N294" s="92" t="n">
        <v>45139</v>
      </c>
      <c r="O294" s="92" t="n">
        <v>45133</v>
      </c>
      <c r="P294" s="307"/>
      <c r="Q294" s="459"/>
      <c r="R294" s="459"/>
      <c r="S294" s="459"/>
      <c r="T294" s="459"/>
      <c r="U294" s="307"/>
      <c r="V294" s="307"/>
      <c r="W294" s="307"/>
      <c r="X294" s="307"/>
      <c r="Y294" s="307"/>
      <c r="Z294" s="307"/>
      <c r="AA294" s="307"/>
      <c r="AB294" s="307"/>
      <c r="AC294" s="307"/>
      <c r="AD294" s="307"/>
      <c r="AE294" s="307"/>
      <c r="AF294" s="307"/>
      <c r="AG294" s="307"/>
      <c r="AH294" s="307"/>
      <c r="AI294" s="307"/>
      <c r="AJ294" s="307"/>
      <c r="AK294" s="307"/>
      <c r="AL294" s="307"/>
    </row>
    <row r="295" customFormat="false" ht="12.75" hidden="false" customHeight="false" outlineLevel="0" collapsed="false">
      <c r="A295" s="307"/>
      <c r="B295" s="307"/>
      <c r="C295" s="307"/>
      <c r="D295" s="307"/>
      <c r="E295" s="307"/>
      <c r="F295" s="307"/>
      <c r="G295" s="477"/>
      <c r="H295" s="323" t="n">
        <f aca="false">Swap!A281</f>
        <v>45383</v>
      </c>
      <c r="I295" s="428" t="n">
        <f aca="false">INDEX(IRTable,MATCH(H295,IRMonth,0),3)+K295</f>
        <v>0.17</v>
      </c>
      <c r="J295" s="295"/>
      <c r="K295" s="428"/>
      <c r="L295" s="430"/>
      <c r="M295" s="307"/>
      <c r="N295" s="92" t="n">
        <v>45170</v>
      </c>
      <c r="O295" s="92" t="n">
        <v>45166</v>
      </c>
      <c r="P295" s="307"/>
      <c r="Q295" s="459"/>
      <c r="R295" s="459"/>
      <c r="S295" s="459"/>
      <c r="T295" s="459"/>
      <c r="U295" s="307"/>
      <c r="V295" s="307"/>
      <c r="W295" s="307"/>
      <c r="X295" s="307"/>
      <c r="Y295" s="307"/>
      <c r="Z295" s="307"/>
      <c r="AA295" s="307"/>
      <c r="AB295" s="307"/>
      <c r="AC295" s="307"/>
      <c r="AD295" s="307"/>
      <c r="AE295" s="307"/>
      <c r="AF295" s="307"/>
      <c r="AG295" s="307"/>
      <c r="AH295" s="307"/>
      <c r="AI295" s="307"/>
      <c r="AJ295" s="307"/>
      <c r="AK295" s="307"/>
      <c r="AL295" s="307"/>
    </row>
    <row r="296" customFormat="false" ht="12.75" hidden="false" customHeight="false" outlineLevel="0" collapsed="false">
      <c r="A296" s="307"/>
      <c r="B296" s="307"/>
      <c r="C296" s="307"/>
      <c r="D296" s="307"/>
      <c r="E296" s="307"/>
      <c r="F296" s="307"/>
      <c r="G296" s="477"/>
      <c r="H296" s="323" t="n">
        <f aca="false">Swap!A282</f>
        <v>45413</v>
      </c>
      <c r="I296" s="428" t="n">
        <f aca="false">INDEX(IRTable,MATCH(H296,IRMonth,0),3)+K296</f>
        <v>0.17</v>
      </c>
      <c r="J296" s="295"/>
      <c r="K296" s="428"/>
      <c r="L296" s="430"/>
      <c r="M296" s="307"/>
      <c r="N296" s="92" t="n">
        <v>45200</v>
      </c>
      <c r="O296" s="92" t="n">
        <v>45195</v>
      </c>
      <c r="P296" s="307"/>
      <c r="Q296" s="459"/>
      <c r="R296" s="459"/>
      <c r="S296" s="459"/>
      <c r="T296" s="459"/>
      <c r="U296" s="307"/>
      <c r="V296" s="307"/>
      <c r="W296" s="307"/>
      <c r="X296" s="307"/>
      <c r="Y296" s="307"/>
      <c r="Z296" s="307"/>
      <c r="AA296" s="307"/>
      <c r="AB296" s="307"/>
      <c r="AC296" s="307"/>
      <c r="AD296" s="307"/>
      <c r="AE296" s="307"/>
      <c r="AF296" s="307"/>
      <c r="AG296" s="307"/>
      <c r="AH296" s="307"/>
      <c r="AI296" s="307"/>
      <c r="AJ296" s="307"/>
      <c r="AK296" s="307"/>
      <c r="AL296" s="307"/>
    </row>
    <row r="297" customFormat="false" ht="12.75" hidden="false" customHeight="false" outlineLevel="0" collapsed="false">
      <c r="A297" s="307"/>
      <c r="B297" s="307"/>
      <c r="C297" s="307"/>
      <c r="D297" s="307"/>
      <c r="E297" s="307"/>
      <c r="F297" s="307"/>
      <c r="G297" s="477"/>
      <c r="H297" s="323" t="n">
        <f aca="false">Swap!A283</f>
        <v>45444</v>
      </c>
      <c r="I297" s="428" t="n">
        <f aca="false">INDEX(IRTable,MATCH(H297,IRMonth,0),3)+K297</f>
        <v>0.17</v>
      </c>
      <c r="J297" s="295"/>
      <c r="K297" s="428"/>
      <c r="L297" s="430"/>
      <c r="M297" s="307"/>
      <c r="N297" s="92" t="n">
        <v>45231</v>
      </c>
      <c r="O297" s="92" t="n">
        <v>45225</v>
      </c>
      <c r="P297" s="307"/>
      <c r="Q297" s="459"/>
      <c r="R297" s="459"/>
      <c r="S297" s="459"/>
      <c r="T297" s="459"/>
      <c r="U297" s="307"/>
      <c r="V297" s="307"/>
      <c r="W297" s="307"/>
      <c r="X297" s="307"/>
      <c r="Y297" s="307"/>
      <c r="Z297" s="307"/>
      <c r="AA297" s="307"/>
      <c r="AB297" s="307"/>
      <c r="AC297" s="307"/>
      <c r="AD297" s="307"/>
      <c r="AE297" s="307"/>
      <c r="AF297" s="307"/>
      <c r="AG297" s="307"/>
      <c r="AH297" s="307"/>
      <c r="AI297" s="307"/>
      <c r="AJ297" s="307"/>
      <c r="AK297" s="307"/>
      <c r="AL297" s="307"/>
    </row>
    <row r="298" customFormat="false" ht="12.75" hidden="false" customHeight="false" outlineLevel="0" collapsed="false">
      <c r="A298" s="307"/>
      <c r="B298" s="307"/>
      <c r="C298" s="307"/>
      <c r="D298" s="307"/>
      <c r="E298" s="307"/>
      <c r="F298" s="307"/>
      <c r="G298" s="477"/>
      <c r="H298" s="323" t="n">
        <f aca="false">Swap!A284</f>
        <v>45474</v>
      </c>
      <c r="I298" s="428" t="n">
        <f aca="false">INDEX(IRTable,MATCH(H298,IRMonth,0),3)+K298</f>
        <v>0.17</v>
      </c>
      <c r="J298" s="295"/>
      <c r="K298" s="428"/>
      <c r="L298" s="430"/>
      <c r="M298" s="307"/>
      <c r="N298" s="92" t="n">
        <v>45261</v>
      </c>
      <c r="O298" s="92" t="n">
        <v>45257</v>
      </c>
      <c r="P298" s="307"/>
      <c r="Q298" s="459"/>
      <c r="R298" s="459"/>
      <c r="S298" s="459"/>
      <c r="T298" s="459"/>
      <c r="U298" s="307"/>
      <c r="V298" s="307"/>
      <c r="W298" s="307"/>
      <c r="X298" s="307"/>
      <c r="Y298" s="307"/>
      <c r="Z298" s="307"/>
      <c r="AA298" s="307"/>
      <c r="AB298" s="307"/>
      <c r="AC298" s="307"/>
      <c r="AD298" s="307"/>
      <c r="AE298" s="307"/>
      <c r="AF298" s="307"/>
      <c r="AG298" s="307"/>
      <c r="AH298" s="307"/>
      <c r="AI298" s="307"/>
      <c r="AJ298" s="307"/>
      <c r="AK298" s="307"/>
      <c r="AL298" s="307"/>
    </row>
    <row r="299" customFormat="false" ht="12.75" hidden="false" customHeight="false" outlineLevel="0" collapsed="false">
      <c r="A299" s="307"/>
      <c r="B299" s="307"/>
      <c r="C299" s="307"/>
      <c r="D299" s="307"/>
      <c r="E299" s="307"/>
      <c r="F299" s="307"/>
      <c r="G299" s="477"/>
      <c r="H299" s="323" t="n">
        <f aca="false">Swap!A285</f>
        <v>45505</v>
      </c>
      <c r="I299" s="428" t="n">
        <f aca="false">INDEX(IRTable,MATCH(H299,IRMonth,0),3)+K299</f>
        <v>0.17</v>
      </c>
      <c r="J299" s="295"/>
      <c r="K299" s="428"/>
      <c r="L299" s="430"/>
      <c r="M299" s="307"/>
      <c r="N299" s="92" t="n">
        <v>45292</v>
      </c>
      <c r="O299" s="92" t="n">
        <v>45286</v>
      </c>
      <c r="P299" s="307"/>
      <c r="Q299" s="459"/>
      <c r="R299" s="459"/>
      <c r="S299" s="459"/>
      <c r="T299" s="459"/>
      <c r="U299" s="307"/>
      <c r="V299" s="307"/>
      <c r="W299" s="307"/>
      <c r="X299" s="307"/>
      <c r="Y299" s="307"/>
      <c r="Z299" s="307"/>
      <c r="AA299" s="307"/>
      <c r="AB299" s="307"/>
      <c r="AC299" s="307"/>
      <c r="AD299" s="307"/>
      <c r="AE299" s="307"/>
      <c r="AF299" s="307"/>
      <c r="AG299" s="307"/>
      <c r="AH299" s="307"/>
      <c r="AI299" s="307"/>
      <c r="AJ299" s="307"/>
      <c r="AK299" s="307"/>
      <c r="AL299" s="307"/>
    </row>
    <row r="300" customFormat="false" ht="12.75" hidden="false" customHeight="false" outlineLevel="0" collapsed="false">
      <c r="A300" s="307"/>
      <c r="B300" s="307"/>
      <c r="C300" s="307"/>
      <c r="D300" s="307"/>
      <c r="E300" s="307"/>
      <c r="F300" s="307"/>
      <c r="G300" s="477"/>
      <c r="H300" s="323" t="n">
        <f aca="false">Swap!A286</f>
        <v>45536</v>
      </c>
      <c r="I300" s="428" t="n">
        <f aca="false">INDEX(IRTable,MATCH(H300,IRMonth,0),3)+K300</f>
        <v>0.17</v>
      </c>
      <c r="J300" s="295"/>
      <c r="K300" s="428"/>
      <c r="L300" s="430"/>
      <c r="M300" s="307"/>
      <c r="N300" s="92" t="n">
        <v>45323</v>
      </c>
      <c r="O300" s="92" t="n">
        <v>45317</v>
      </c>
      <c r="P300" s="307"/>
      <c r="Q300" s="459"/>
      <c r="R300" s="459"/>
      <c r="S300" s="459"/>
      <c r="T300" s="459"/>
      <c r="U300" s="307"/>
      <c r="V300" s="307"/>
      <c r="W300" s="307"/>
      <c r="X300" s="307"/>
      <c r="Y300" s="307"/>
      <c r="Z300" s="307"/>
      <c r="AA300" s="307"/>
      <c r="AB300" s="307"/>
      <c r="AC300" s="307"/>
      <c r="AD300" s="307"/>
      <c r="AE300" s="307"/>
      <c r="AF300" s="307"/>
      <c r="AG300" s="307"/>
      <c r="AH300" s="307"/>
      <c r="AI300" s="307"/>
      <c r="AJ300" s="307"/>
      <c r="AK300" s="307"/>
      <c r="AL300" s="307"/>
    </row>
    <row r="301" customFormat="false" ht="12.75" hidden="false" customHeight="false" outlineLevel="0" collapsed="false">
      <c r="A301" s="307"/>
      <c r="B301" s="307"/>
      <c r="C301" s="307"/>
      <c r="D301" s="307"/>
      <c r="E301" s="307"/>
      <c r="F301" s="307"/>
      <c r="G301" s="477"/>
      <c r="H301" s="323" t="n">
        <f aca="false">Swap!A287</f>
        <v>45566</v>
      </c>
      <c r="I301" s="428" t="n">
        <f aca="false">INDEX(IRTable,MATCH(H301,IRMonth,0),3)+K301</f>
        <v>0.17</v>
      </c>
      <c r="J301" s="295"/>
      <c r="K301" s="428"/>
      <c r="L301" s="430"/>
      <c r="M301" s="307"/>
      <c r="N301" s="92" t="n">
        <v>45352</v>
      </c>
      <c r="O301" s="92" t="n">
        <v>45348</v>
      </c>
      <c r="P301" s="307"/>
      <c r="Q301" s="459"/>
      <c r="R301" s="459"/>
      <c r="S301" s="459"/>
      <c r="T301" s="459"/>
      <c r="U301" s="307"/>
      <c r="V301" s="307"/>
      <c r="W301" s="307"/>
      <c r="X301" s="307"/>
      <c r="Y301" s="307"/>
      <c r="Z301" s="307"/>
      <c r="AA301" s="307"/>
      <c r="AB301" s="307"/>
      <c r="AC301" s="307"/>
      <c r="AD301" s="307"/>
      <c r="AE301" s="307"/>
      <c r="AF301" s="307"/>
      <c r="AG301" s="307"/>
      <c r="AH301" s="307"/>
      <c r="AI301" s="307"/>
      <c r="AJ301" s="307"/>
      <c r="AK301" s="307"/>
      <c r="AL301" s="307"/>
    </row>
    <row r="302" customFormat="false" ht="12.75" hidden="false" customHeight="false" outlineLevel="0" collapsed="false">
      <c r="A302" s="307"/>
      <c r="B302" s="307"/>
      <c r="C302" s="307"/>
      <c r="D302" s="307"/>
      <c r="E302" s="307"/>
      <c r="F302" s="307"/>
      <c r="G302" s="477"/>
      <c r="H302" s="323" t="n">
        <f aca="false">Swap!A288</f>
        <v>45597</v>
      </c>
      <c r="I302" s="428" t="n">
        <f aca="false">INDEX(IRTable,MATCH(H302,IRMonth,0),3)+K302</f>
        <v>0.17</v>
      </c>
      <c r="J302" s="295"/>
      <c r="K302" s="428"/>
      <c r="L302" s="430"/>
      <c r="M302" s="307"/>
      <c r="N302" s="92" t="n">
        <v>45383</v>
      </c>
      <c r="O302" s="92" t="n">
        <v>45376</v>
      </c>
      <c r="P302" s="307"/>
      <c r="Q302" s="459"/>
      <c r="R302" s="459"/>
      <c r="S302" s="459"/>
      <c r="T302" s="459"/>
      <c r="U302" s="307"/>
      <c r="V302" s="307"/>
      <c r="W302" s="307"/>
      <c r="X302" s="307"/>
      <c r="Y302" s="307"/>
      <c r="Z302" s="307"/>
      <c r="AA302" s="307"/>
      <c r="AB302" s="307"/>
      <c r="AC302" s="307"/>
      <c r="AD302" s="307"/>
      <c r="AE302" s="307"/>
      <c r="AF302" s="307"/>
      <c r="AG302" s="307"/>
      <c r="AH302" s="307"/>
      <c r="AI302" s="307"/>
      <c r="AJ302" s="307"/>
      <c r="AK302" s="307"/>
      <c r="AL302" s="307"/>
    </row>
    <row r="303" customFormat="false" ht="12.75" hidden="false" customHeight="false" outlineLevel="0" collapsed="false">
      <c r="A303" s="307"/>
      <c r="B303" s="307"/>
      <c r="C303" s="307"/>
      <c r="D303" s="307"/>
      <c r="E303" s="307"/>
      <c r="F303" s="307"/>
      <c r="G303" s="477"/>
      <c r="H303" s="323" t="n">
        <f aca="false">Swap!A289</f>
        <v>45627</v>
      </c>
      <c r="I303" s="428" t="n">
        <f aca="false">INDEX(IRTable,MATCH(H303,IRMonth,0),3)+K303</f>
        <v>0.17</v>
      </c>
      <c r="J303" s="295"/>
      <c r="K303" s="428"/>
      <c r="L303" s="430"/>
      <c r="M303" s="307"/>
      <c r="N303" s="92" t="n">
        <v>45413</v>
      </c>
      <c r="O303" s="92" t="n">
        <v>45407</v>
      </c>
      <c r="P303" s="307"/>
      <c r="Q303" s="459"/>
      <c r="R303" s="459"/>
      <c r="S303" s="459"/>
      <c r="T303" s="459"/>
      <c r="U303" s="307"/>
      <c r="V303" s="307"/>
      <c r="W303" s="307"/>
      <c r="X303" s="307"/>
      <c r="Y303" s="307"/>
      <c r="Z303" s="307"/>
      <c r="AA303" s="307"/>
      <c r="AB303" s="307"/>
      <c r="AC303" s="307"/>
      <c r="AD303" s="307"/>
      <c r="AE303" s="307"/>
      <c r="AF303" s="307"/>
      <c r="AG303" s="307"/>
      <c r="AH303" s="307"/>
      <c r="AI303" s="307"/>
      <c r="AJ303" s="307"/>
      <c r="AK303" s="307"/>
      <c r="AL303" s="307"/>
    </row>
    <row r="304" customFormat="false" ht="12.75" hidden="false" customHeight="false" outlineLevel="0" collapsed="false">
      <c r="A304" s="307"/>
      <c r="B304" s="307"/>
      <c r="C304" s="307"/>
      <c r="D304" s="307"/>
      <c r="E304" s="307"/>
      <c r="F304" s="307"/>
      <c r="G304" s="477"/>
      <c r="H304" s="323" t="n">
        <f aca="false">Swap!A290</f>
        <v>45658</v>
      </c>
      <c r="I304" s="428" t="e">
        <f aca="false">INDEX(IRTable,MATCH(H304,IRMonth,0),3)+K304</f>
        <v>#N/A</v>
      </c>
      <c r="J304" s="295"/>
      <c r="K304" s="428"/>
      <c r="L304" s="430"/>
      <c r="M304" s="307"/>
      <c r="N304" s="92" t="n">
        <v>45444</v>
      </c>
      <c r="O304" s="92" t="n">
        <v>45440</v>
      </c>
      <c r="P304" s="307"/>
      <c r="Q304" s="459"/>
      <c r="R304" s="459"/>
      <c r="S304" s="459"/>
      <c r="T304" s="459"/>
      <c r="U304" s="307"/>
      <c r="V304" s="307"/>
      <c r="W304" s="307"/>
      <c r="X304" s="307"/>
      <c r="Y304" s="307"/>
      <c r="Z304" s="307"/>
      <c r="AA304" s="307"/>
      <c r="AB304" s="307"/>
      <c r="AC304" s="307"/>
      <c r="AD304" s="307"/>
      <c r="AE304" s="307"/>
      <c r="AF304" s="307"/>
      <c r="AG304" s="307"/>
      <c r="AH304" s="307"/>
      <c r="AI304" s="307"/>
      <c r="AJ304" s="307"/>
      <c r="AK304" s="307"/>
      <c r="AL304" s="307"/>
    </row>
    <row r="305" customFormat="false" ht="12.75" hidden="false" customHeight="false" outlineLevel="0" collapsed="false">
      <c r="A305" s="307"/>
      <c r="B305" s="307"/>
      <c r="C305" s="307"/>
      <c r="D305" s="307"/>
      <c r="E305" s="307"/>
      <c r="F305" s="307"/>
      <c r="G305" s="477"/>
      <c r="H305" s="323" t="n">
        <f aca="false">Swap!A291</f>
        <v>45689</v>
      </c>
      <c r="I305" s="428" t="e">
        <f aca="false">INDEX(IRTable,MATCH(H305,IRMonth,0),3)+K305</f>
        <v>#N/A</v>
      </c>
      <c r="J305" s="295"/>
      <c r="K305" s="428"/>
      <c r="L305" s="430"/>
      <c r="M305" s="307"/>
      <c r="N305" s="92" t="n">
        <v>45474</v>
      </c>
      <c r="O305" s="92" t="n">
        <v>45468</v>
      </c>
      <c r="P305" s="307"/>
      <c r="Q305" s="459"/>
      <c r="R305" s="459"/>
      <c r="S305" s="459"/>
      <c r="T305" s="459"/>
      <c r="U305" s="307"/>
      <c r="V305" s="307"/>
      <c r="W305" s="307"/>
      <c r="X305" s="307"/>
      <c r="Y305" s="307"/>
      <c r="Z305" s="307"/>
      <c r="AA305" s="307"/>
      <c r="AB305" s="307"/>
      <c r="AC305" s="307"/>
      <c r="AD305" s="307"/>
      <c r="AE305" s="307"/>
      <c r="AF305" s="307"/>
      <c r="AG305" s="307"/>
      <c r="AH305" s="307"/>
      <c r="AI305" s="307"/>
      <c r="AJ305" s="307"/>
      <c r="AK305" s="307"/>
      <c r="AL305" s="307"/>
    </row>
    <row r="306" customFormat="false" ht="12.75" hidden="false" customHeight="false" outlineLevel="0" collapsed="false">
      <c r="A306" s="307"/>
      <c r="B306" s="307"/>
      <c r="C306" s="307"/>
      <c r="D306" s="307"/>
      <c r="E306" s="307"/>
      <c r="F306" s="307"/>
      <c r="G306" s="477"/>
      <c r="H306" s="323"/>
      <c r="I306" s="428"/>
      <c r="J306" s="295"/>
      <c r="K306" s="428"/>
      <c r="L306" s="430"/>
      <c r="M306" s="307"/>
      <c r="N306" s="92" t="n">
        <v>45505</v>
      </c>
      <c r="O306" s="92" t="n">
        <v>45499</v>
      </c>
      <c r="P306" s="307"/>
      <c r="Q306" s="459"/>
      <c r="R306" s="459"/>
      <c r="S306" s="459"/>
      <c r="T306" s="459"/>
      <c r="U306" s="307"/>
      <c r="V306" s="307"/>
      <c r="W306" s="307"/>
      <c r="X306" s="307"/>
      <c r="Y306" s="307"/>
      <c r="Z306" s="307"/>
      <c r="AA306" s="307"/>
      <c r="AB306" s="307"/>
      <c r="AC306" s="307"/>
      <c r="AD306" s="307"/>
      <c r="AE306" s="307"/>
      <c r="AF306" s="307"/>
      <c r="AG306" s="307"/>
      <c r="AH306" s="307"/>
      <c r="AI306" s="307"/>
      <c r="AJ306" s="307"/>
      <c r="AK306" s="307"/>
      <c r="AL306" s="307"/>
    </row>
    <row r="307" customFormat="false" ht="12.75" hidden="false" customHeight="false" outlineLevel="0" collapsed="false">
      <c r="A307" s="307"/>
      <c r="B307" s="307"/>
      <c r="C307" s="307"/>
      <c r="D307" s="307"/>
      <c r="E307" s="307"/>
      <c r="F307" s="307"/>
      <c r="G307" s="477"/>
      <c r="H307" s="323"/>
      <c r="I307" s="428"/>
      <c r="J307" s="295"/>
      <c r="K307" s="428"/>
      <c r="L307" s="430"/>
      <c r="M307" s="307"/>
      <c r="N307" s="92" t="n">
        <v>45536</v>
      </c>
      <c r="O307" s="92" t="n">
        <v>45531</v>
      </c>
      <c r="P307" s="307"/>
      <c r="Q307" s="459"/>
      <c r="R307" s="459"/>
      <c r="S307" s="459"/>
      <c r="T307" s="459"/>
      <c r="U307" s="307"/>
      <c r="V307" s="307"/>
      <c r="W307" s="307"/>
      <c r="X307" s="307"/>
      <c r="Y307" s="307"/>
      <c r="Z307" s="307"/>
      <c r="AA307" s="307"/>
      <c r="AB307" s="307"/>
      <c r="AC307" s="307"/>
      <c r="AD307" s="307"/>
      <c r="AE307" s="307"/>
      <c r="AF307" s="307"/>
      <c r="AG307" s="307"/>
      <c r="AH307" s="307"/>
      <c r="AI307" s="307"/>
      <c r="AJ307" s="307"/>
      <c r="AK307" s="307"/>
      <c r="AL307" s="307"/>
    </row>
    <row r="308" customFormat="false" ht="12.75" hidden="false" customHeight="false" outlineLevel="0" collapsed="false">
      <c r="A308" s="307"/>
      <c r="B308" s="307"/>
      <c r="C308" s="307"/>
      <c r="D308" s="307"/>
      <c r="E308" s="307"/>
      <c r="F308" s="307"/>
      <c r="G308" s="477"/>
      <c r="H308" s="323"/>
      <c r="I308" s="428"/>
      <c r="J308" s="295"/>
      <c r="K308" s="428"/>
      <c r="L308" s="430"/>
      <c r="M308" s="307"/>
      <c r="N308" s="92" t="n">
        <v>45566</v>
      </c>
      <c r="O308" s="92" t="n">
        <v>45560</v>
      </c>
      <c r="P308" s="307"/>
      <c r="Q308" s="459"/>
      <c r="R308" s="459"/>
      <c r="S308" s="459"/>
      <c r="T308" s="459"/>
      <c r="U308" s="307"/>
      <c r="V308" s="307"/>
      <c r="W308" s="307"/>
      <c r="X308" s="307"/>
      <c r="Y308" s="307"/>
      <c r="Z308" s="307"/>
      <c r="AA308" s="307"/>
      <c r="AB308" s="307"/>
      <c r="AC308" s="307"/>
      <c r="AD308" s="307"/>
      <c r="AE308" s="307"/>
      <c r="AF308" s="307"/>
      <c r="AG308" s="307"/>
      <c r="AH308" s="307"/>
      <c r="AI308" s="307"/>
      <c r="AJ308" s="307"/>
      <c r="AK308" s="307"/>
      <c r="AL308" s="307"/>
    </row>
    <row r="309" customFormat="false" ht="12.75" hidden="false" customHeight="false" outlineLevel="0" collapsed="false">
      <c r="A309" s="307"/>
      <c r="B309" s="307"/>
      <c r="C309" s="307"/>
      <c r="D309" s="307"/>
      <c r="E309" s="307"/>
      <c r="F309" s="307"/>
      <c r="G309" s="477"/>
      <c r="H309" s="323"/>
      <c r="I309" s="428"/>
      <c r="J309" s="295"/>
      <c r="K309" s="428"/>
      <c r="L309" s="430"/>
      <c r="M309" s="307"/>
      <c r="N309" s="92" t="n">
        <v>45597</v>
      </c>
      <c r="O309" s="92" t="n">
        <v>45593</v>
      </c>
      <c r="P309" s="307"/>
      <c r="Q309" s="459"/>
      <c r="R309" s="459"/>
      <c r="S309" s="459"/>
      <c r="T309" s="459"/>
      <c r="U309" s="307"/>
      <c r="V309" s="307"/>
      <c r="W309" s="307"/>
      <c r="X309" s="307"/>
      <c r="Y309" s="307"/>
      <c r="Z309" s="307"/>
      <c r="AA309" s="307"/>
      <c r="AB309" s="307"/>
      <c r="AC309" s="307"/>
      <c r="AD309" s="307"/>
      <c r="AE309" s="307"/>
      <c r="AF309" s="307"/>
      <c r="AG309" s="307"/>
      <c r="AH309" s="307"/>
      <c r="AI309" s="307"/>
      <c r="AJ309" s="307"/>
      <c r="AK309" s="307"/>
      <c r="AL309" s="307"/>
    </row>
    <row r="310" customFormat="false" ht="12.75" hidden="false" customHeight="false" outlineLevel="0" collapsed="false">
      <c r="A310" s="307" t="s">
        <v>68</v>
      </c>
      <c r="B310" s="307"/>
      <c r="C310" s="307"/>
      <c r="D310" s="307"/>
      <c r="E310" s="307"/>
      <c r="F310" s="307"/>
      <c r="G310" s="477"/>
      <c r="H310" s="323"/>
      <c r="I310" s="428"/>
      <c r="J310" s="295"/>
      <c r="K310" s="428"/>
      <c r="L310" s="430"/>
      <c r="M310" s="307"/>
      <c r="N310" s="92" t="n">
        <v>45627</v>
      </c>
      <c r="O310" s="92" t="n">
        <v>45621</v>
      </c>
      <c r="P310" s="307"/>
      <c r="Q310" s="459"/>
      <c r="R310" s="459"/>
      <c r="S310" s="459"/>
      <c r="T310" s="459"/>
      <c r="U310" s="307"/>
      <c r="V310" s="307"/>
      <c r="W310" s="307"/>
      <c r="X310" s="307"/>
      <c r="Y310" s="307"/>
      <c r="Z310" s="307"/>
      <c r="AA310" s="307"/>
      <c r="AB310" s="307"/>
      <c r="AC310" s="307"/>
      <c r="AD310" s="307"/>
      <c r="AE310" s="307"/>
      <c r="AF310" s="307"/>
      <c r="AG310" s="307"/>
      <c r="AH310" s="307"/>
      <c r="AI310" s="307"/>
      <c r="AJ310" s="307"/>
      <c r="AK310" s="307"/>
      <c r="AL310" s="307"/>
    </row>
    <row r="311" customFormat="false" ht="12.75" hidden="false" customHeight="false" outlineLevel="0" collapsed="false">
      <c r="A311" s="307"/>
      <c r="B311" s="307"/>
      <c r="C311" s="307"/>
      <c r="D311" s="307"/>
      <c r="E311" s="307"/>
      <c r="F311" s="307"/>
      <c r="G311" s="477"/>
      <c r="H311" s="323"/>
      <c r="I311" s="428"/>
      <c r="J311" s="295"/>
      <c r="K311" s="428"/>
      <c r="L311" s="430" t="n">
        <v>0.17</v>
      </c>
      <c r="M311" s="307"/>
      <c r="N311" s="92" t="n">
        <v>45658</v>
      </c>
      <c r="O311" s="92" t="n">
        <v>45652</v>
      </c>
      <c r="P311" s="307"/>
      <c r="Q311" s="307"/>
      <c r="R311" s="307"/>
      <c r="S311" s="307"/>
      <c r="T311" s="307"/>
      <c r="U311" s="307"/>
      <c r="V311" s="307"/>
      <c r="W311" s="307"/>
      <c r="X311" s="307"/>
      <c r="Y311" s="307"/>
      <c r="Z311" s="307"/>
      <c r="AA311" s="307"/>
      <c r="AB311" s="307"/>
      <c r="AC311" s="307"/>
      <c r="AD311" s="307"/>
      <c r="AE311" s="307"/>
      <c r="AF311" s="307"/>
      <c r="AG311" s="307"/>
      <c r="AH311" s="307"/>
      <c r="AI311" s="307"/>
      <c r="AJ311" s="307"/>
      <c r="AK311" s="307"/>
      <c r="AL311" s="307"/>
    </row>
    <row r="312" customFormat="false" ht="12.75" hidden="false" customHeight="false" outlineLevel="0" collapsed="false">
      <c r="A312" s="307"/>
      <c r="B312" s="307"/>
      <c r="C312" s="307"/>
      <c r="D312" s="307"/>
      <c r="E312" s="307"/>
      <c r="F312" s="307"/>
      <c r="G312" s="477"/>
      <c r="H312" s="323"/>
      <c r="I312" s="428"/>
      <c r="J312" s="295"/>
      <c r="K312" s="428"/>
      <c r="L312" s="430" t="n">
        <v>0.17</v>
      </c>
      <c r="M312" s="307"/>
      <c r="N312" s="92" t="n">
        <v>45689</v>
      </c>
      <c r="O312" s="92" t="n">
        <v>45685</v>
      </c>
      <c r="P312" s="307"/>
      <c r="Q312" s="307"/>
      <c r="R312" s="307"/>
      <c r="S312" s="307"/>
      <c r="T312" s="307"/>
      <c r="U312" s="307"/>
      <c r="V312" s="307"/>
      <c r="W312" s="307"/>
      <c r="X312" s="307"/>
      <c r="Y312" s="307"/>
      <c r="Z312" s="307"/>
      <c r="AA312" s="307"/>
      <c r="AB312" s="307"/>
      <c r="AC312" s="307"/>
      <c r="AD312" s="307"/>
      <c r="AE312" s="307"/>
      <c r="AF312" s="307"/>
      <c r="AG312" s="307"/>
      <c r="AH312" s="307"/>
      <c r="AI312" s="307"/>
      <c r="AJ312" s="307"/>
      <c r="AK312" s="307"/>
      <c r="AL312" s="307"/>
    </row>
    <row r="313" customFormat="false" ht="12.75" hidden="false" customHeight="false" outlineLevel="0" collapsed="false">
      <c r="A313" s="307"/>
      <c r="B313" s="307"/>
      <c r="C313" s="307"/>
      <c r="D313" s="307"/>
      <c r="E313" s="307"/>
      <c r="F313" s="307"/>
      <c r="G313" s="477"/>
      <c r="H313" s="323"/>
      <c r="I313" s="428"/>
      <c r="J313" s="295"/>
      <c r="K313" s="428"/>
      <c r="L313" s="430" t="n">
        <v>0.17</v>
      </c>
      <c r="M313" s="307"/>
      <c r="N313" s="92" t="n">
        <v>45717</v>
      </c>
      <c r="O313" s="92" t="n">
        <v>45713</v>
      </c>
      <c r="P313" s="307"/>
      <c r="Q313" s="307"/>
      <c r="R313" s="307"/>
      <c r="S313" s="307"/>
      <c r="T313" s="307"/>
      <c r="U313" s="307"/>
      <c r="V313" s="307"/>
      <c r="W313" s="307"/>
      <c r="X313" s="307"/>
      <c r="Y313" s="307"/>
      <c r="Z313" s="307"/>
      <c r="AA313" s="307"/>
      <c r="AB313" s="307"/>
      <c r="AC313" s="307"/>
      <c r="AD313" s="307"/>
      <c r="AE313" s="307"/>
      <c r="AF313" s="307"/>
      <c r="AG313" s="307"/>
      <c r="AH313" s="307"/>
      <c r="AI313" s="307"/>
      <c r="AJ313" s="307"/>
      <c r="AK313" s="307"/>
      <c r="AL313" s="307"/>
    </row>
    <row r="314" customFormat="false" ht="12.75" hidden="false" customHeight="false" outlineLevel="0" collapsed="false">
      <c r="A314" s="307"/>
      <c r="B314" s="307"/>
      <c r="C314" s="307"/>
      <c r="D314" s="307"/>
      <c r="E314" s="307"/>
      <c r="F314" s="307"/>
      <c r="G314" s="477"/>
      <c r="H314" s="323"/>
      <c r="I314" s="428"/>
      <c r="J314" s="295"/>
      <c r="K314" s="428"/>
      <c r="L314" s="430" t="n">
        <v>0.17</v>
      </c>
      <c r="M314" s="307"/>
      <c r="N314" s="92" t="n">
        <v>45748</v>
      </c>
      <c r="O314" s="92" t="n">
        <v>45742</v>
      </c>
      <c r="P314" s="307"/>
      <c r="Q314" s="307"/>
      <c r="R314" s="307"/>
      <c r="S314" s="307"/>
      <c r="T314" s="307"/>
      <c r="U314" s="307"/>
      <c r="V314" s="307"/>
      <c r="W314" s="307"/>
      <c r="X314" s="307"/>
      <c r="Y314" s="307"/>
      <c r="Z314" s="307"/>
      <c r="AA314" s="307"/>
      <c r="AB314" s="307"/>
      <c r="AC314" s="307"/>
      <c r="AD314" s="307"/>
      <c r="AE314" s="307"/>
      <c r="AF314" s="307"/>
      <c r="AG314" s="307"/>
      <c r="AH314" s="307"/>
      <c r="AI314" s="307"/>
      <c r="AJ314" s="307"/>
      <c r="AK314" s="307"/>
      <c r="AL314" s="307"/>
    </row>
    <row r="315" customFormat="false" ht="12.75" hidden="false" customHeight="false" outlineLevel="0" collapsed="false">
      <c r="A315" s="307"/>
      <c r="B315" s="307"/>
      <c r="C315" s="307"/>
      <c r="D315" s="307"/>
      <c r="E315" s="307"/>
      <c r="F315" s="307"/>
      <c r="G315" s="477"/>
      <c r="H315" s="323"/>
      <c r="I315" s="428"/>
      <c r="J315" s="295"/>
      <c r="K315" s="428"/>
      <c r="L315" s="430" t="n">
        <v>0.17</v>
      </c>
      <c r="M315" s="307"/>
      <c r="N315" s="92" t="n">
        <v>45778</v>
      </c>
      <c r="O315" s="92" t="n">
        <v>45772</v>
      </c>
      <c r="P315" s="307"/>
      <c r="Q315" s="307"/>
      <c r="R315" s="307"/>
      <c r="S315" s="307"/>
      <c r="T315" s="307"/>
      <c r="U315" s="307"/>
      <c r="V315" s="307"/>
      <c r="W315" s="307"/>
      <c r="X315" s="307"/>
      <c r="Y315" s="307"/>
      <c r="Z315" s="307"/>
      <c r="AA315" s="307"/>
      <c r="AB315" s="307"/>
      <c r="AC315" s="307"/>
      <c r="AD315" s="307"/>
      <c r="AE315" s="307"/>
      <c r="AF315" s="307"/>
      <c r="AG315" s="307"/>
      <c r="AH315" s="307"/>
      <c r="AI315" s="307"/>
      <c r="AJ315" s="307"/>
      <c r="AK315" s="307"/>
      <c r="AL315" s="307"/>
    </row>
    <row r="316" customFormat="false" ht="13.5" hidden="false" customHeight="false" outlineLevel="0" collapsed="false">
      <c r="A316" s="307"/>
      <c r="B316" s="307"/>
      <c r="C316" s="307"/>
      <c r="D316" s="307"/>
      <c r="E316" s="307"/>
      <c r="F316" s="307"/>
      <c r="G316" s="478"/>
      <c r="H316" s="342"/>
      <c r="I316" s="479"/>
      <c r="J316" s="480"/>
      <c r="K316" s="479"/>
      <c r="L316" s="481" t="n">
        <v>0.17</v>
      </c>
      <c r="M316" s="307"/>
      <c r="N316" s="92" t="n">
        <v>45809</v>
      </c>
      <c r="O316" s="92" t="n">
        <v>45804</v>
      </c>
      <c r="P316" s="307"/>
      <c r="Q316" s="307"/>
      <c r="R316" s="307"/>
      <c r="S316" s="307"/>
      <c r="T316" s="307"/>
      <c r="U316" s="307"/>
      <c r="V316" s="307"/>
      <c r="W316" s="307"/>
      <c r="X316" s="307"/>
      <c r="Y316" s="307"/>
      <c r="Z316" s="307"/>
      <c r="AA316" s="307"/>
      <c r="AB316" s="307"/>
      <c r="AC316" s="307"/>
      <c r="AD316" s="307"/>
      <c r="AE316" s="307"/>
      <c r="AF316" s="307"/>
      <c r="AG316" s="307"/>
      <c r="AH316" s="307"/>
      <c r="AI316" s="307"/>
      <c r="AJ316" s="307"/>
      <c r="AK316" s="307"/>
      <c r="AL316" s="307"/>
    </row>
    <row r="317" customFormat="false" ht="12.75" hidden="false" customHeight="false" outlineLevel="0" collapsed="false">
      <c r="A317" s="307"/>
      <c r="B317" s="307"/>
      <c r="C317" s="307"/>
      <c r="D317" s="307"/>
      <c r="E317" s="307"/>
      <c r="F317" s="307"/>
      <c r="G317" s="307"/>
      <c r="H317" s="307"/>
      <c r="I317" s="307"/>
      <c r="J317" s="307"/>
      <c r="K317" s="307"/>
      <c r="L317" s="307"/>
      <c r="M317" s="307"/>
      <c r="N317" s="92" t="n">
        <v>45839</v>
      </c>
      <c r="O317" s="92" t="n">
        <v>45833</v>
      </c>
      <c r="P317" s="307"/>
      <c r="Q317" s="307"/>
      <c r="R317" s="307"/>
      <c r="S317" s="307"/>
      <c r="T317" s="307"/>
      <c r="U317" s="307"/>
      <c r="V317" s="307"/>
      <c r="W317" s="307"/>
      <c r="X317" s="307"/>
      <c r="Y317" s="307"/>
      <c r="Z317" s="307"/>
      <c r="AA317" s="307"/>
      <c r="AB317" s="307"/>
      <c r="AC317" s="307"/>
      <c r="AD317" s="307"/>
      <c r="AE317" s="307"/>
      <c r="AF317" s="307"/>
      <c r="AG317" s="307"/>
      <c r="AH317" s="307"/>
      <c r="AI317" s="307"/>
      <c r="AJ317" s="307"/>
      <c r="AK317" s="307"/>
      <c r="AL317" s="307"/>
    </row>
    <row r="318" customFormat="false" ht="12.75" hidden="false" customHeight="false" outlineLevel="0" collapsed="false">
      <c r="A318" s="307"/>
      <c r="B318" s="307"/>
      <c r="C318" s="307"/>
      <c r="D318" s="307"/>
      <c r="E318" s="307"/>
      <c r="F318" s="307"/>
      <c r="G318" s="307"/>
      <c r="H318" s="307"/>
      <c r="I318" s="307"/>
      <c r="J318" s="307"/>
      <c r="K318" s="307"/>
      <c r="L318" s="307"/>
      <c r="M318" s="307"/>
      <c r="N318" s="92" t="n">
        <v>45870</v>
      </c>
      <c r="O318" s="482" t="n">
        <v>45866</v>
      </c>
      <c r="P318" s="307"/>
      <c r="Q318" s="307"/>
      <c r="R318" s="307"/>
      <c r="S318" s="307"/>
      <c r="T318" s="307"/>
      <c r="U318" s="307"/>
      <c r="V318" s="307"/>
      <c r="W318" s="307"/>
      <c r="X318" s="307"/>
      <c r="Y318" s="307"/>
      <c r="Z318" s="307"/>
      <c r="AA318" s="307"/>
      <c r="AB318" s="307"/>
      <c r="AC318" s="307"/>
      <c r="AD318" s="307"/>
      <c r="AE318" s="307"/>
      <c r="AF318" s="307"/>
      <c r="AG318" s="307"/>
      <c r="AH318" s="307"/>
      <c r="AI318" s="307"/>
      <c r="AJ318" s="307"/>
      <c r="AK318" s="307"/>
      <c r="AL318" s="307"/>
    </row>
    <row r="319" customFormat="false" ht="12.75" hidden="false" customHeight="false" outlineLevel="0" collapsed="false">
      <c r="A319" s="307"/>
      <c r="B319" s="307"/>
      <c r="C319" s="307"/>
      <c r="D319" s="307"/>
      <c r="E319" s="307"/>
      <c r="F319" s="307"/>
      <c r="G319" s="307"/>
      <c r="H319" s="307"/>
      <c r="I319" s="307"/>
      <c r="J319" s="307"/>
      <c r="K319" s="307"/>
      <c r="L319" s="307"/>
      <c r="M319" s="307"/>
      <c r="N319" s="92" t="n">
        <v>45901</v>
      </c>
      <c r="O319" s="482" t="n">
        <v>45895</v>
      </c>
      <c r="P319" s="307"/>
      <c r="Q319" s="307"/>
      <c r="R319" s="307"/>
      <c r="S319" s="307"/>
      <c r="T319" s="307"/>
      <c r="U319" s="307"/>
      <c r="V319" s="307"/>
      <c r="W319" s="307"/>
      <c r="X319" s="307"/>
      <c r="Y319" s="307"/>
      <c r="Z319" s="307"/>
      <c r="AA319" s="307"/>
      <c r="AB319" s="307"/>
      <c r="AC319" s="307"/>
      <c r="AD319" s="307"/>
      <c r="AE319" s="307"/>
      <c r="AF319" s="307"/>
      <c r="AG319" s="307"/>
      <c r="AH319" s="307"/>
      <c r="AI319" s="307"/>
      <c r="AJ319" s="307"/>
      <c r="AK319" s="307"/>
      <c r="AL319" s="307"/>
    </row>
    <row r="320" customFormat="false" ht="12.75" hidden="false" customHeight="false" outlineLevel="0" collapsed="false">
      <c r="A320" s="307"/>
      <c r="B320" s="307"/>
      <c r="C320" s="307"/>
      <c r="D320" s="307"/>
      <c r="E320" s="307"/>
      <c r="F320" s="307"/>
      <c r="G320" s="307"/>
      <c r="H320" s="307"/>
      <c r="I320" s="307"/>
      <c r="J320" s="307"/>
      <c r="K320" s="307"/>
      <c r="L320" s="307"/>
      <c r="M320" s="307"/>
      <c r="N320" s="92" t="n">
        <v>45931</v>
      </c>
      <c r="O320" s="482" t="n">
        <v>45925</v>
      </c>
      <c r="P320" s="307"/>
      <c r="Q320" s="307"/>
      <c r="R320" s="307"/>
      <c r="S320" s="307"/>
      <c r="T320" s="307"/>
      <c r="U320" s="307"/>
      <c r="V320" s="307"/>
      <c r="W320" s="307"/>
      <c r="X320" s="307"/>
      <c r="Y320" s="307"/>
      <c r="Z320" s="307"/>
      <c r="AA320" s="307"/>
      <c r="AB320" s="307"/>
      <c r="AC320" s="307"/>
      <c r="AD320" s="307"/>
      <c r="AE320" s="307"/>
      <c r="AF320" s="307"/>
      <c r="AG320" s="307"/>
      <c r="AH320" s="307"/>
      <c r="AI320" s="307"/>
      <c r="AJ320" s="307"/>
      <c r="AK320" s="307"/>
      <c r="AL320" s="307"/>
    </row>
    <row r="321" customFormat="false" ht="12.75" hidden="false" customHeight="false" outlineLevel="0" collapsed="false">
      <c r="A321" s="307"/>
      <c r="B321" s="307"/>
      <c r="C321" s="307"/>
      <c r="D321" s="307"/>
      <c r="E321" s="307"/>
      <c r="F321" s="307"/>
      <c r="G321" s="307"/>
      <c r="H321" s="307"/>
      <c r="I321" s="307"/>
      <c r="J321" s="307"/>
      <c r="K321" s="307"/>
      <c r="L321" s="307"/>
      <c r="M321" s="307"/>
      <c r="N321" s="92" t="n">
        <v>45962</v>
      </c>
      <c r="O321" s="482" t="n">
        <v>45958</v>
      </c>
      <c r="P321" s="307"/>
      <c r="Q321" s="307"/>
      <c r="R321" s="307"/>
      <c r="S321" s="307"/>
      <c r="T321" s="307"/>
      <c r="U321" s="307"/>
      <c r="V321" s="307"/>
      <c r="W321" s="307"/>
      <c r="X321" s="307"/>
      <c r="Y321" s="307"/>
      <c r="Z321" s="307"/>
      <c r="AA321" s="307"/>
      <c r="AB321" s="307"/>
      <c r="AC321" s="307"/>
      <c r="AD321" s="307"/>
      <c r="AE321" s="307"/>
      <c r="AF321" s="307"/>
      <c r="AG321" s="307"/>
      <c r="AH321" s="307"/>
      <c r="AI321" s="307"/>
      <c r="AJ321" s="307"/>
      <c r="AK321" s="307"/>
      <c r="AL321" s="307"/>
    </row>
    <row r="322" customFormat="false" ht="12.75" hidden="false" customHeight="false" outlineLevel="0" collapsed="false">
      <c r="A322" s="307"/>
      <c r="B322" s="307"/>
      <c r="C322" s="307"/>
      <c r="D322" s="307"/>
      <c r="E322" s="307"/>
      <c r="F322" s="307"/>
      <c r="G322" s="307"/>
      <c r="H322" s="307"/>
      <c r="I322" s="307"/>
      <c r="J322" s="307"/>
      <c r="K322" s="307"/>
      <c r="L322" s="307"/>
      <c r="M322" s="307"/>
      <c r="N322" s="92" t="n">
        <v>45992</v>
      </c>
      <c r="O322" s="482" t="n">
        <v>45985</v>
      </c>
      <c r="P322" s="307"/>
      <c r="Q322" s="307"/>
      <c r="R322" s="307"/>
      <c r="S322" s="307"/>
      <c r="T322" s="307"/>
      <c r="U322" s="307"/>
      <c r="V322" s="307"/>
      <c r="W322" s="307"/>
      <c r="X322" s="307"/>
      <c r="Y322" s="307"/>
      <c r="Z322" s="307"/>
      <c r="AA322" s="307"/>
      <c r="AB322" s="307"/>
      <c r="AC322" s="307"/>
      <c r="AD322" s="307"/>
      <c r="AE322" s="307"/>
      <c r="AF322" s="307"/>
      <c r="AG322" s="307"/>
      <c r="AH322" s="307"/>
      <c r="AI322" s="307"/>
      <c r="AJ322" s="307"/>
      <c r="AK322" s="307"/>
      <c r="AL322" s="307"/>
    </row>
    <row r="323" customFormat="false" ht="12.75" hidden="false" customHeight="false" outlineLevel="0" collapsed="false">
      <c r="A323" s="307"/>
      <c r="B323" s="307"/>
      <c r="C323" s="307"/>
      <c r="D323" s="307"/>
      <c r="E323" s="307"/>
      <c r="F323" s="307"/>
      <c r="G323" s="307"/>
      <c r="H323" s="307"/>
      <c r="I323" s="307"/>
      <c r="J323" s="307"/>
      <c r="K323" s="307"/>
      <c r="L323" s="307"/>
      <c r="M323" s="307"/>
      <c r="N323" s="92" t="n">
        <v>46023</v>
      </c>
      <c r="O323" s="482" t="n">
        <v>46017</v>
      </c>
      <c r="P323" s="307"/>
      <c r="Q323" s="307"/>
      <c r="R323" s="307"/>
      <c r="S323" s="307"/>
      <c r="T323" s="307"/>
      <c r="U323" s="307"/>
      <c r="V323" s="307"/>
      <c r="W323" s="307"/>
      <c r="X323" s="307"/>
      <c r="Y323" s="307"/>
      <c r="Z323" s="307"/>
      <c r="AA323" s="307"/>
      <c r="AB323" s="307"/>
      <c r="AC323" s="307"/>
      <c r="AD323" s="307"/>
      <c r="AE323" s="307"/>
      <c r="AF323" s="307"/>
      <c r="AG323" s="307"/>
      <c r="AH323" s="307"/>
      <c r="AI323" s="307"/>
      <c r="AJ323" s="307"/>
      <c r="AK323" s="307"/>
      <c r="AL323" s="307"/>
    </row>
    <row r="324" customFormat="false" ht="12.75" hidden="false" customHeight="false" outlineLevel="0" collapsed="false">
      <c r="A324" s="307"/>
      <c r="B324" s="307"/>
      <c r="C324" s="307"/>
      <c r="D324" s="307"/>
      <c r="E324" s="307"/>
      <c r="F324" s="307"/>
      <c r="G324" s="307"/>
      <c r="H324" s="307"/>
      <c r="I324" s="307"/>
      <c r="J324" s="307"/>
      <c r="K324" s="307"/>
      <c r="L324" s="307"/>
      <c r="M324" s="307"/>
      <c r="N324" s="92" t="n">
        <v>46054</v>
      </c>
      <c r="O324" s="482" t="n">
        <v>46049</v>
      </c>
      <c r="P324" s="307"/>
      <c r="Q324" s="307"/>
      <c r="R324" s="307"/>
      <c r="S324" s="307"/>
      <c r="T324" s="307"/>
      <c r="U324" s="307"/>
      <c r="V324" s="307"/>
      <c r="W324" s="307"/>
      <c r="X324" s="307"/>
      <c r="Y324" s="307"/>
      <c r="Z324" s="307"/>
      <c r="AA324" s="307"/>
      <c r="AB324" s="307"/>
      <c r="AC324" s="307"/>
      <c r="AD324" s="307"/>
      <c r="AE324" s="307"/>
      <c r="AF324" s="307"/>
      <c r="AG324" s="307"/>
      <c r="AH324" s="307"/>
      <c r="AI324" s="307"/>
      <c r="AJ324" s="307"/>
      <c r="AK324" s="307"/>
      <c r="AL324" s="307"/>
    </row>
    <row r="325" customFormat="false" ht="12.75" hidden="false" customHeight="false" outlineLevel="0" collapsed="false">
      <c r="A325" s="307"/>
      <c r="B325" s="307"/>
      <c r="C325" s="307"/>
      <c r="D325" s="307"/>
      <c r="E325" s="307"/>
      <c r="F325" s="307"/>
      <c r="G325" s="307"/>
      <c r="H325" s="307"/>
      <c r="I325" s="307"/>
      <c r="J325" s="307"/>
      <c r="K325" s="307"/>
      <c r="L325" s="307"/>
      <c r="M325" s="307"/>
      <c r="N325" s="92" t="n">
        <v>46082</v>
      </c>
      <c r="O325" s="482" t="n">
        <v>46077</v>
      </c>
      <c r="P325" s="307"/>
      <c r="Q325" s="307"/>
      <c r="R325" s="307"/>
      <c r="S325" s="307"/>
      <c r="T325" s="307"/>
      <c r="U325" s="307"/>
      <c r="V325" s="307"/>
      <c r="W325" s="307"/>
      <c r="X325" s="307"/>
      <c r="Y325" s="307"/>
      <c r="Z325" s="307"/>
      <c r="AA325" s="307"/>
      <c r="AB325" s="307"/>
      <c r="AC325" s="307"/>
      <c r="AD325" s="307"/>
      <c r="AE325" s="307"/>
      <c r="AF325" s="307"/>
      <c r="AG325" s="307"/>
      <c r="AH325" s="307"/>
      <c r="AI325" s="307"/>
      <c r="AJ325" s="307"/>
      <c r="AK325" s="307"/>
      <c r="AL325" s="307"/>
    </row>
    <row r="326" customFormat="false" ht="12.75" hidden="false" customHeight="false" outlineLevel="0" collapsed="false">
      <c r="A326" s="307"/>
      <c r="B326" s="307"/>
      <c r="C326" s="307"/>
      <c r="D326" s="307"/>
      <c r="E326" s="307"/>
      <c r="F326" s="307"/>
      <c r="G326" s="307"/>
      <c r="H326" s="307"/>
      <c r="I326" s="307"/>
      <c r="J326" s="307"/>
      <c r="K326" s="307"/>
      <c r="L326" s="307"/>
      <c r="M326" s="307"/>
      <c r="N326" s="92" t="n">
        <v>46113</v>
      </c>
      <c r="O326" s="482" t="n">
        <v>46107</v>
      </c>
      <c r="P326" s="307"/>
      <c r="Q326" s="307"/>
      <c r="R326" s="307"/>
      <c r="S326" s="307"/>
      <c r="T326" s="307"/>
      <c r="U326" s="307"/>
      <c r="V326" s="307"/>
      <c r="W326" s="307"/>
      <c r="X326" s="307"/>
      <c r="Y326" s="307"/>
      <c r="Z326" s="307"/>
      <c r="AA326" s="307"/>
      <c r="AB326" s="307"/>
      <c r="AC326" s="307"/>
      <c r="AD326" s="307"/>
      <c r="AE326" s="307"/>
      <c r="AF326" s="307"/>
      <c r="AG326" s="307"/>
      <c r="AH326" s="307"/>
      <c r="AI326" s="307"/>
      <c r="AJ326" s="307"/>
      <c r="AK326" s="307"/>
      <c r="AL326" s="307"/>
    </row>
    <row r="327" customFormat="false" ht="12.75" hidden="false" customHeight="false" outlineLevel="0" collapsed="false">
      <c r="A327" s="307"/>
      <c r="B327" s="307"/>
      <c r="C327" s="307"/>
      <c r="D327" s="307"/>
      <c r="E327" s="307"/>
      <c r="F327" s="307"/>
      <c r="G327" s="307"/>
      <c r="H327" s="307"/>
      <c r="I327" s="307"/>
      <c r="J327" s="307"/>
      <c r="K327" s="307"/>
      <c r="L327" s="307"/>
      <c r="M327" s="307"/>
      <c r="N327" s="92" t="n">
        <v>46143</v>
      </c>
      <c r="O327" s="482" t="n">
        <v>46139</v>
      </c>
      <c r="P327" s="307"/>
      <c r="Q327" s="307"/>
      <c r="R327" s="307"/>
      <c r="S327" s="307"/>
      <c r="T327" s="307"/>
      <c r="U327" s="307"/>
      <c r="V327" s="307"/>
      <c r="W327" s="307"/>
      <c r="X327" s="307"/>
      <c r="Y327" s="307"/>
      <c r="Z327" s="307"/>
      <c r="AA327" s="307"/>
      <c r="AB327" s="307"/>
      <c r="AC327" s="307"/>
      <c r="AD327" s="307"/>
      <c r="AE327" s="307"/>
      <c r="AF327" s="307"/>
      <c r="AG327" s="307"/>
      <c r="AH327" s="307"/>
      <c r="AI327" s="307"/>
      <c r="AJ327" s="307"/>
      <c r="AK327" s="307"/>
      <c r="AL327" s="307"/>
    </row>
    <row r="328" customFormat="false" ht="12.75" hidden="false" customHeight="false" outlineLevel="0" collapsed="false">
      <c r="A328" s="307"/>
      <c r="B328" s="307"/>
      <c r="C328" s="307"/>
      <c r="D328" s="307"/>
      <c r="E328" s="307"/>
      <c r="F328" s="307"/>
      <c r="G328" s="307"/>
      <c r="H328" s="307"/>
      <c r="I328" s="307"/>
      <c r="J328" s="307"/>
      <c r="K328" s="307"/>
      <c r="L328" s="307"/>
      <c r="M328" s="307"/>
      <c r="N328" s="92" t="n">
        <v>46174</v>
      </c>
      <c r="O328" s="482" t="n">
        <v>46168</v>
      </c>
      <c r="P328" s="307"/>
      <c r="Q328" s="307"/>
      <c r="R328" s="307"/>
      <c r="S328" s="307"/>
      <c r="T328" s="307"/>
      <c r="U328" s="307"/>
      <c r="V328" s="307"/>
      <c r="W328" s="307"/>
      <c r="X328" s="307"/>
      <c r="Y328" s="307"/>
      <c r="Z328" s="307"/>
      <c r="AA328" s="307"/>
      <c r="AB328" s="307"/>
      <c r="AC328" s="307"/>
      <c r="AD328" s="307"/>
      <c r="AE328" s="307"/>
      <c r="AF328" s="307"/>
      <c r="AG328" s="307"/>
      <c r="AH328" s="307"/>
      <c r="AI328" s="307"/>
      <c r="AJ328" s="307"/>
      <c r="AK328" s="307"/>
      <c r="AL328" s="307"/>
    </row>
    <row r="329" customFormat="false" ht="12.75" hidden="false" customHeight="false" outlineLevel="0" collapsed="false">
      <c r="A329" s="307"/>
      <c r="B329" s="307"/>
      <c r="C329" s="307"/>
      <c r="D329" s="307"/>
      <c r="E329" s="307"/>
      <c r="F329" s="307"/>
      <c r="G329" s="307"/>
      <c r="H329" s="307"/>
      <c r="I329" s="307"/>
      <c r="J329" s="307"/>
      <c r="K329" s="307"/>
      <c r="L329" s="307"/>
      <c r="M329" s="307"/>
      <c r="N329" s="92" t="n">
        <v>46204</v>
      </c>
      <c r="O329" s="482" t="n">
        <v>46198</v>
      </c>
      <c r="P329" s="307"/>
      <c r="Q329" s="307"/>
      <c r="R329" s="307"/>
      <c r="S329" s="307"/>
      <c r="T329" s="307"/>
      <c r="U329" s="307"/>
      <c r="V329" s="307"/>
      <c r="W329" s="307"/>
      <c r="X329" s="307"/>
      <c r="Y329" s="307"/>
      <c r="Z329" s="307"/>
      <c r="AA329" s="307"/>
      <c r="AB329" s="307"/>
      <c r="AC329" s="307"/>
      <c r="AD329" s="307"/>
      <c r="AE329" s="307"/>
      <c r="AF329" s="307"/>
      <c r="AG329" s="307"/>
      <c r="AH329" s="307"/>
      <c r="AI329" s="307"/>
      <c r="AJ329" s="307"/>
      <c r="AK329" s="307"/>
      <c r="AL329" s="307"/>
    </row>
    <row r="330" customFormat="false" ht="12.75" hidden="false" customHeight="false" outlineLevel="0" collapsed="false">
      <c r="A330" s="307"/>
      <c r="B330" s="307"/>
      <c r="C330" s="307"/>
      <c r="D330" s="307"/>
      <c r="E330" s="307"/>
      <c r="F330" s="307"/>
      <c r="G330" s="307"/>
      <c r="H330" s="307"/>
      <c r="I330" s="307"/>
      <c r="J330" s="307"/>
      <c r="K330" s="307"/>
      <c r="L330" s="307"/>
      <c r="M330" s="307"/>
      <c r="N330" s="92" t="n">
        <v>46235</v>
      </c>
      <c r="O330" s="482" t="n">
        <v>46231</v>
      </c>
      <c r="P330" s="307"/>
      <c r="Q330" s="307"/>
      <c r="R330" s="307"/>
      <c r="S330" s="307"/>
      <c r="T330" s="307"/>
      <c r="U330" s="307"/>
      <c r="V330" s="307"/>
      <c r="W330" s="307"/>
      <c r="X330" s="307"/>
      <c r="Y330" s="307"/>
      <c r="Z330" s="307"/>
      <c r="AA330" s="307"/>
      <c r="AB330" s="307"/>
      <c r="AC330" s="307"/>
      <c r="AD330" s="307"/>
      <c r="AE330" s="307"/>
      <c r="AF330" s="307"/>
      <c r="AG330" s="307"/>
      <c r="AH330" s="307"/>
      <c r="AI330" s="307"/>
      <c r="AJ330" s="307"/>
      <c r="AK330" s="307"/>
      <c r="AL330" s="307"/>
    </row>
    <row r="331" customFormat="false" ht="12.75" hidden="false" customHeight="false" outlineLevel="0" collapsed="false">
      <c r="A331" s="307"/>
      <c r="B331" s="307"/>
      <c r="C331" s="307"/>
      <c r="D331" s="307"/>
      <c r="E331" s="307"/>
      <c r="F331" s="307"/>
      <c r="G331" s="307"/>
      <c r="H331" s="307"/>
      <c r="I331" s="307"/>
      <c r="J331" s="307"/>
      <c r="K331" s="307"/>
      <c r="L331" s="307"/>
      <c r="M331" s="307"/>
      <c r="N331" s="92" t="n">
        <v>46266</v>
      </c>
      <c r="O331" s="482" t="n">
        <v>46260</v>
      </c>
      <c r="P331" s="307"/>
      <c r="Q331" s="307"/>
      <c r="R331" s="307"/>
      <c r="S331" s="307"/>
      <c r="T331" s="307"/>
      <c r="U331" s="307"/>
      <c r="V331" s="307"/>
      <c r="W331" s="307"/>
      <c r="X331" s="307"/>
      <c r="Y331" s="307"/>
      <c r="Z331" s="307"/>
      <c r="AA331" s="307"/>
      <c r="AB331" s="307"/>
      <c r="AC331" s="307"/>
      <c r="AD331" s="307"/>
      <c r="AE331" s="307"/>
      <c r="AF331" s="307"/>
      <c r="AG331" s="307"/>
      <c r="AH331" s="307"/>
      <c r="AI331" s="307"/>
      <c r="AJ331" s="307"/>
      <c r="AK331" s="307"/>
      <c r="AL331" s="307"/>
    </row>
    <row r="332" customFormat="false" ht="12.75" hidden="false" customHeight="false" outlineLevel="0" collapsed="false">
      <c r="A332" s="307"/>
      <c r="B332" s="307"/>
      <c r="C332" s="307"/>
      <c r="D332" s="307"/>
      <c r="E332" s="307"/>
      <c r="F332" s="307"/>
      <c r="G332" s="307"/>
      <c r="H332" s="307"/>
      <c r="I332" s="307"/>
      <c r="J332" s="307"/>
      <c r="K332" s="307"/>
      <c r="L332" s="307"/>
      <c r="M332" s="307"/>
      <c r="N332" s="92" t="n">
        <v>46296</v>
      </c>
      <c r="O332" s="482" t="n">
        <v>46290</v>
      </c>
      <c r="P332" s="307"/>
      <c r="Q332" s="307"/>
      <c r="R332" s="307"/>
      <c r="S332" s="307"/>
      <c r="T332" s="307"/>
      <c r="U332" s="307"/>
      <c r="V332" s="307"/>
      <c r="W332" s="307"/>
      <c r="X332" s="307"/>
      <c r="Y332" s="307"/>
      <c r="Z332" s="307"/>
      <c r="AA332" s="307"/>
      <c r="AB332" s="307"/>
      <c r="AC332" s="307"/>
      <c r="AD332" s="307"/>
      <c r="AE332" s="307"/>
      <c r="AF332" s="307"/>
      <c r="AG332" s="307"/>
      <c r="AH332" s="307"/>
      <c r="AI332" s="307"/>
      <c r="AJ332" s="307"/>
      <c r="AK332" s="307"/>
      <c r="AL332" s="307"/>
    </row>
    <row r="333" customFormat="false" ht="12.75" hidden="false" customHeight="false" outlineLevel="0" collapsed="false">
      <c r="A333" s="307"/>
      <c r="B333" s="307"/>
      <c r="C333" s="307"/>
      <c r="D333" s="307"/>
      <c r="E333" s="307"/>
      <c r="F333" s="307"/>
      <c r="G333" s="307"/>
      <c r="H333" s="307"/>
      <c r="I333" s="307"/>
      <c r="J333" s="307"/>
      <c r="K333" s="307"/>
      <c r="L333" s="307"/>
      <c r="M333" s="307"/>
      <c r="N333" s="92" t="n">
        <v>46327</v>
      </c>
      <c r="O333" s="482" t="n">
        <v>46322</v>
      </c>
      <c r="P333" s="307"/>
      <c r="Q333" s="307"/>
      <c r="R333" s="307"/>
      <c r="S333" s="307"/>
      <c r="T333" s="307"/>
      <c r="U333" s="307"/>
      <c r="V333" s="307"/>
      <c r="W333" s="307"/>
      <c r="X333" s="307"/>
      <c r="Y333" s="307"/>
      <c r="Z333" s="307"/>
      <c r="AA333" s="307"/>
      <c r="AB333" s="307"/>
      <c r="AC333" s="307"/>
      <c r="AD333" s="307"/>
      <c r="AE333" s="307"/>
      <c r="AF333" s="307"/>
      <c r="AG333" s="307"/>
      <c r="AH333" s="307"/>
      <c r="AI333" s="307"/>
      <c r="AJ333" s="307"/>
      <c r="AK333" s="307"/>
      <c r="AL333" s="307"/>
    </row>
    <row r="334" customFormat="false" ht="12.75" hidden="false" customHeight="false" outlineLevel="0" collapsed="false">
      <c r="A334" s="307"/>
      <c r="B334" s="307"/>
      <c r="C334" s="307"/>
      <c r="D334" s="307"/>
      <c r="E334" s="307"/>
      <c r="F334" s="307"/>
      <c r="G334" s="307"/>
      <c r="H334" s="307"/>
      <c r="I334" s="307"/>
      <c r="J334" s="307"/>
      <c r="K334" s="307"/>
      <c r="L334" s="307"/>
      <c r="M334" s="307"/>
      <c r="N334" s="92" t="n">
        <v>46357</v>
      </c>
      <c r="O334" s="482" t="n">
        <v>46350</v>
      </c>
      <c r="P334" s="307"/>
      <c r="Q334" s="307"/>
      <c r="R334" s="307"/>
      <c r="S334" s="307"/>
      <c r="T334" s="307"/>
      <c r="U334" s="307"/>
      <c r="V334" s="307"/>
      <c r="W334" s="307"/>
      <c r="X334" s="307"/>
      <c r="Y334" s="307"/>
      <c r="Z334" s="307"/>
      <c r="AA334" s="307"/>
      <c r="AB334" s="307"/>
      <c r="AC334" s="307"/>
      <c r="AD334" s="307"/>
      <c r="AE334" s="307"/>
      <c r="AF334" s="307"/>
      <c r="AG334" s="307"/>
      <c r="AH334" s="307"/>
      <c r="AI334" s="307"/>
      <c r="AJ334" s="307"/>
      <c r="AK334" s="307"/>
      <c r="AL334" s="307"/>
    </row>
    <row r="335" customFormat="false" ht="12.75" hidden="false" customHeight="false" outlineLevel="0" collapsed="false">
      <c r="A335" s="307"/>
      <c r="B335" s="307"/>
      <c r="C335" s="307"/>
      <c r="D335" s="307"/>
      <c r="E335" s="307"/>
      <c r="F335" s="307"/>
      <c r="G335" s="307"/>
      <c r="H335" s="307"/>
      <c r="I335" s="307"/>
      <c r="J335" s="307"/>
      <c r="K335" s="307"/>
      <c r="L335" s="307"/>
      <c r="M335" s="307"/>
      <c r="N335" s="92" t="n">
        <v>46388</v>
      </c>
      <c r="O335" s="482" t="n">
        <v>46384</v>
      </c>
      <c r="P335" s="307"/>
      <c r="Q335" s="307"/>
      <c r="R335" s="307"/>
      <c r="S335" s="307"/>
      <c r="T335" s="307"/>
      <c r="U335" s="307"/>
      <c r="V335" s="307"/>
      <c r="W335" s="307"/>
      <c r="X335" s="307"/>
      <c r="Y335" s="307"/>
      <c r="Z335" s="307"/>
      <c r="AA335" s="307"/>
      <c r="AB335" s="307"/>
      <c r="AC335" s="307"/>
      <c r="AD335" s="307"/>
      <c r="AE335" s="307"/>
      <c r="AF335" s="307"/>
      <c r="AG335" s="307"/>
      <c r="AH335" s="307"/>
      <c r="AI335" s="307"/>
      <c r="AJ335" s="307"/>
      <c r="AK335" s="307"/>
      <c r="AL335" s="307"/>
    </row>
    <row r="336" customFormat="false" ht="12.75" hidden="false" customHeight="false" outlineLevel="0" collapsed="false">
      <c r="A336" s="307"/>
      <c r="B336" s="307"/>
      <c r="C336" s="307"/>
      <c r="D336" s="307"/>
      <c r="E336" s="307"/>
      <c r="F336" s="307"/>
      <c r="G336" s="307"/>
      <c r="H336" s="307"/>
      <c r="I336" s="307"/>
      <c r="J336" s="307"/>
      <c r="K336" s="307"/>
      <c r="L336" s="307"/>
      <c r="M336" s="307"/>
      <c r="N336" s="92" t="n">
        <v>46419</v>
      </c>
      <c r="O336" s="482" t="n">
        <v>46413</v>
      </c>
      <c r="P336" s="307"/>
      <c r="Q336" s="307"/>
      <c r="R336" s="307"/>
      <c r="S336" s="307"/>
      <c r="T336" s="307"/>
      <c r="U336" s="307"/>
      <c r="V336" s="307"/>
      <c r="W336" s="307"/>
      <c r="X336" s="307"/>
      <c r="Y336" s="307"/>
      <c r="Z336" s="307"/>
      <c r="AA336" s="307"/>
      <c r="AB336" s="307"/>
      <c r="AC336" s="307"/>
      <c r="AD336" s="307"/>
      <c r="AE336" s="307"/>
      <c r="AF336" s="307"/>
      <c r="AG336" s="307"/>
      <c r="AH336" s="307"/>
      <c r="AI336" s="307"/>
      <c r="AJ336" s="307"/>
      <c r="AK336" s="307"/>
      <c r="AL336" s="307"/>
    </row>
    <row r="337" customFormat="false" ht="12.75" hidden="false" customHeight="false" outlineLevel="0" collapsed="false">
      <c r="A337" s="307"/>
      <c r="B337" s="307"/>
      <c r="C337" s="307"/>
      <c r="D337" s="307"/>
      <c r="E337" s="307"/>
      <c r="F337" s="307"/>
      <c r="G337" s="307"/>
      <c r="H337" s="307"/>
      <c r="I337" s="307"/>
      <c r="J337" s="307"/>
      <c r="K337" s="307"/>
      <c r="L337" s="307"/>
      <c r="M337" s="307"/>
      <c r="N337" s="92" t="n">
        <v>46447</v>
      </c>
      <c r="O337" s="482" t="n">
        <v>46441</v>
      </c>
      <c r="P337" s="307"/>
      <c r="Q337" s="307"/>
      <c r="R337" s="307"/>
      <c r="S337" s="307"/>
      <c r="T337" s="307"/>
      <c r="U337" s="307"/>
      <c r="V337" s="307"/>
      <c r="W337" s="307"/>
      <c r="X337" s="307"/>
      <c r="Y337" s="307"/>
      <c r="Z337" s="307"/>
      <c r="AA337" s="307"/>
      <c r="AB337" s="307"/>
      <c r="AC337" s="307"/>
      <c r="AD337" s="307"/>
      <c r="AE337" s="307"/>
      <c r="AF337" s="307"/>
      <c r="AG337" s="307"/>
      <c r="AH337" s="307"/>
      <c r="AI337" s="307"/>
      <c r="AJ337" s="307"/>
      <c r="AK337" s="307"/>
      <c r="AL337" s="307"/>
    </row>
    <row r="338" customFormat="false" ht="12.75" hidden="false" customHeight="false" outlineLevel="0" collapsed="false">
      <c r="A338" s="307"/>
      <c r="B338" s="307"/>
      <c r="C338" s="307"/>
      <c r="D338" s="307"/>
      <c r="E338" s="307"/>
      <c r="F338" s="307"/>
      <c r="G338" s="307"/>
      <c r="H338" s="307"/>
      <c r="I338" s="307"/>
      <c r="J338" s="307"/>
      <c r="K338" s="307"/>
      <c r="L338" s="307"/>
      <c r="M338" s="307"/>
      <c r="N338" s="92" t="n">
        <v>46478</v>
      </c>
      <c r="O338" s="482" t="n">
        <v>46471</v>
      </c>
      <c r="P338" s="307"/>
      <c r="Q338" s="307"/>
      <c r="R338" s="307"/>
      <c r="S338" s="307"/>
      <c r="T338" s="307"/>
      <c r="U338" s="307"/>
      <c r="V338" s="307"/>
      <c r="W338" s="307"/>
      <c r="X338" s="307"/>
      <c r="Y338" s="307"/>
      <c r="Z338" s="307"/>
      <c r="AA338" s="307"/>
      <c r="AB338" s="307"/>
      <c r="AC338" s="307"/>
      <c r="AD338" s="307"/>
      <c r="AE338" s="307"/>
      <c r="AF338" s="307"/>
      <c r="AG338" s="307"/>
      <c r="AH338" s="307"/>
      <c r="AI338" s="307"/>
      <c r="AJ338" s="307"/>
      <c r="AK338" s="307"/>
      <c r="AL338" s="307"/>
    </row>
    <row r="339" customFormat="false" ht="12.75" hidden="false" customHeight="false" outlineLevel="0" collapsed="false">
      <c r="A339" s="307"/>
      <c r="B339" s="307"/>
      <c r="C339" s="307"/>
      <c r="D339" s="307"/>
      <c r="E339" s="307"/>
      <c r="F339" s="307"/>
      <c r="G339" s="307"/>
      <c r="H339" s="307"/>
      <c r="I339" s="307"/>
      <c r="J339" s="307"/>
      <c r="K339" s="307"/>
      <c r="L339" s="307"/>
      <c r="M339" s="307"/>
      <c r="N339" s="92" t="n">
        <v>46508</v>
      </c>
      <c r="O339" s="482" t="n">
        <v>46504</v>
      </c>
      <c r="P339" s="307"/>
      <c r="Q339" s="307"/>
      <c r="R339" s="307"/>
      <c r="S339" s="307"/>
      <c r="T339" s="307"/>
      <c r="U339" s="307"/>
      <c r="V339" s="307"/>
      <c r="W339" s="307"/>
      <c r="X339" s="307"/>
      <c r="Y339" s="307"/>
      <c r="Z339" s="307"/>
      <c r="AA339" s="307"/>
      <c r="AB339" s="307"/>
      <c r="AC339" s="307"/>
      <c r="AD339" s="307"/>
      <c r="AE339" s="307"/>
      <c r="AF339" s="307"/>
      <c r="AG339" s="307"/>
      <c r="AH339" s="307"/>
      <c r="AI339" s="307"/>
      <c r="AJ339" s="307"/>
      <c r="AK339" s="307"/>
      <c r="AL339" s="307"/>
    </row>
    <row r="340" customFormat="false" ht="12.75" hidden="false" customHeight="false" outlineLevel="0" collapsed="false">
      <c r="A340" s="307"/>
      <c r="B340" s="307"/>
      <c r="C340" s="307"/>
      <c r="D340" s="307"/>
      <c r="E340" s="307"/>
      <c r="F340" s="307"/>
      <c r="G340" s="307"/>
      <c r="H340" s="307"/>
      <c r="I340" s="307"/>
      <c r="J340" s="307"/>
      <c r="K340" s="307"/>
      <c r="L340" s="307"/>
      <c r="M340" s="307"/>
      <c r="N340" s="92" t="n">
        <v>46539</v>
      </c>
      <c r="O340" s="482" t="n">
        <v>46532</v>
      </c>
      <c r="P340" s="307"/>
      <c r="Q340" s="307"/>
      <c r="R340" s="307"/>
      <c r="S340" s="307"/>
      <c r="T340" s="307"/>
      <c r="U340" s="307"/>
      <c r="V340" s="307"/>
      <c r="W340" s="307"/>
      <c r="X340" s="307"/>
      <c r="Y340" s="307"/>
      <c r="Z340" s="307"/>
      <c r="AA340" s="307"/>
      <c r="AB340" s="307"/>
      <c r="AC340" s="307"/>
      <c r="AD340" s="307"/>
      <c r="AE340" s="307"/>
      <c r="AF340" s="307"/>
      <c r="AG340" s="307"/>
      <c r="AH340" s="307"/>
      <c r="AI340" s="307"/>
      <c r="AJ340" s="307"/>
      <c r="AK340" s="307"/>
      <c r="AL340" s="307"/>
    </row>
    <row r="341" customFormat="false" ht="12.75" hidden="false" customHeight="false" outlineLevel="0" collapsed="false">
      <c r="A341" s="307"/>
      <c r="B341" s="307"/>
      <c r="C341" s="307"/>
      <c r="D341" s="307"/>
      <c r="E341" s="307"/>
      <c r="F341" s="307"/>
      <c r="G341" s="307"/>
      <c r="H341" s="307"/>
      <c r="I341" s="307"/>
      <c r="J341" s="307"/>
      <c r="K341" s="307"/>
      <c r="L341" s="307"/>
      <c r="M341" s="307"/>
      <c r="N341" s="92" t="n">
        <v>46569</v>
      </c>
      <c r="O341" s="482" t="n">
        <v>46563</v>
      </c>
      <c r="P341" s="307"/>
      <c r="Q341" s="307"/>
      <c r="R341" s="307"/>
      <c r="S341" s="307"/>
      <c r="T341" s="307"/>
      <c r="U341" s="307"/>
      <c r="V341" s="307"/>
      <c r="W341" s="307"/>
      <c r="X341" s="307"/>
      <c r="Y341" s="307"/>
      <c r="Z341" s="307"/>
      <c r="AA341" s="307"/>
      <c r="AB341" s="307"/>
      <c r="AC341" s="307"/>
      <c r="AD341" s="307"/>
      <c r="AE341" s="307"/>
      <c r="AF341" s="307"/>
      <c r="AG341" s="307"/>
      <c r="AH341" s="307"/>
      <c r="AI341" s="307"/>
      <c r="AJ341" s="307"/>
      <c r="AK341" s="307"/>
      <c r="AL341" s="307"/>
    </row>
    <row r="342" customFormat="false" ht="12.75" hidden="false" customHeight="false" outlineLevel="0" collapsed="false">
      <c r="A342" s="307"/>
      <c r="B342" s="307"/>
      <c r="C342" s="307"/>
      <c r="D342" s="307"/>
      <c r="E342" s="307"/>
      <c r="F342" s="307"/>
      <c r="G342" s="307"/>
      <c r="H342" s="307"/>
      <c r="I342" s="307"/>
      <c r="J342" s="307"/>
      <c r="K342" s="307"/>
      <c r="L342" s="307"/>
      <c r="M342" s="307"/>
      <c r="N342" s="92" t="n">
        <v>46600</v>
      </c>
      <c r="O342" s="482" t="n">
        <v>46595</v>
      </c>
      <c r="P342" s="307"/>
      <c r="Q342" s="307"/>
      <c r="R342" s="307"/>
      <c r="S342" s="307"/>
      <c r="T342" s="307"/>
      <c r="U342" s="307"/>
      <c r="V342" s="307"/>
      <c r="W342" s="307"/>
      <c r="X342" s="307"/>
      <c r="Y342" s="307"/>
      <c r="Z342" s="307"/>
      <c r="AA342" s="307"/>
      <c r="AB342" s="307"/>
      <c r="AC342" s="307"/>
      <c r="AD342" s="307"/>
      <c r="AE342" s="307"/>
      <c r="AF342" s="307"/>
      <c r="AG342" s="307"/>
      <c r="AH342" s="307"/>
      <c r="AI342" s="307"/>
      <c r="AJ342" s="307"/>
      <c r="AK342" s="307"/>
      <c r="AL342" s="307"/>
    </row>
    <row r="343" customFormat="false" ht="12.75" hidden="false" customHeight="false" outlineLevel="0" collapsed="false">
      <c r="A343" s="307"/>
      <c r="B343" s="307"/>
      <c r="C343" s="307"/>
      <c r="D343" s="307"/>
      <c r="E343" s="307"/>
      <c r="F343" s="307"/>
      <c r="G343" s="307"/>
      <c r="H343" s="307"/>
      <c r="I343" s="307"/>
      <c r="J343" s="307"/>
      <c r="K343" s="307"/>
      <c r="L343" s="307"/>
      <c r="M343" s="307"/>
      <c r="N343" s="92" t="n">
        <v>46631</v>
      </c>
      <c r="O343" s="482" t="n">
        <v>46625</v>
      </c>
      <c r="P343" s="307"/>
      <c r="Q343" s="307"/>
      <c r="R343" s="307"/>
      <c r="S343" s="307"/>
      <c r="T343" s="307"/>
      <c r="U343" s="307"/>
      <c r="V343" s="307"/>
      <c r="W343" s="307"/>
      <c r="X343" s="307"/>
      <c r="Y343" s="307"/>
      <c r="Z343" s="307"/>
      <c r="AA343" s="307"/>
      <c r="AB343" s="307"/>
      <c r="AC343" s="307"/>
      <c r="AD343" s="307"/>
      <c r="AE343" s="307"/>
      <c r="AF343" s="307"/>
      <c r="AG343" s="307"/>
      <c r="AH343" s="307"/>
      <c r="AI343" s="307"/>
      <c r="AJ343" s="307"/>
      <c r="AK343" s="307"/>
      <c r="AL343" s="307"/>
    </row>
    <row r="344" customFormat="false" ht="12.75" hidden="false" customHeight="false" outlineLevel="0" collapsed="false">
      <c r="A344" s="307"/>
      <c r="B344" s="307"/>
      <c r="C344" s="307"/>
      <c r="D344" s="307"/>
      <c r="E344" s="307"/>
      <c r="F344" s="307"/>
      <c r="G344" s="307"/>
      <c r="H344" s="307"/>
      <c r="I344" s="307"/>
      <c r="J344" s="307"/>
      <c r="K344" s="307"/>
      <c r="L344" s="307"/>
      <c r="M344" s="307"/>
      <c r="N344" s="92" t="n">
        <v>46661</v>
      </c>
      <c r="O344" s="482" t="n">
        <v>46657</v>
      </c>
      <c r="P344" s="307"/>
      <c r="Q344" s="307"/>
      <c r="R344" s="307"/>
      <c r="S344" s="307"/>
      <c r="T344" s="307"/>
      <c r="U344" s="307"/>
      <c r="V344" s="307"/>
      <c r="W344" s="307"/>
      <c r="X344" s="307"/>
      <c r="Y344" s="307"/>
      <c r="Z344" s="307"/>
      <c r="AA344" s="307"/>
      <c r="AB344" s="307"/>
      <c r="AC344" s="307"/>
      <c r="AD344" s="307"/>
      <c r="AE344" s="307"/>
      <c r="AF344" s="307"/>
      <c r="AG344" s="307"/>
      <c r="AH344" s="307"/>
      <c r="AI344" s="307"/>
      <c r="AJ344" s="307"/>
      <c r="AK344" s="307"/>
      <c r="AL344" s="307"/>
    </row>
    <row r="345" customFormat="false" ht="12.75" hidden="false" customHeight="false" outlineLevel="0" collapsed="false">
      <c r="A345" s="307"/>
      <c r="B345" s="307"/>
      <c r="C345" s="307"/>
      <c r="D345" s="307"/>
      <c r="E345" s="307"/>
      <c r="F345" s="307"/>
      <c r="G345" s="307"/>
      <c r="H345" s="307"/>
      <c r="I345" s="307"/>
      <c r="J345" s="307"/>
      <c r="K345" s="307"/>
      <c r="L345" s="307"/>
      <c r="M345" s="307"/>
      <c r="N345" s="92" t="n">
        <v>46692</v>
      </c>
      <c r="O345" s="482" t="n">
        <v>46686</v>
      </c>
      <c r="P345" s="307"/>
      <c r="Q345" s="307"/>
      <c r="R345" s="307"/>
      <c r="S345" s="307"/>
      <c r="T345" s="307"/>
      <c r="U345" s="307"/>
      <c r="V345" s="307"/>
      <c r="W345" s="307"/>
      <c r="X345" s="307"/>
      <c r="Y345" s="307"/>
      <c r="Z345" s="307"/>
      <c r="AA345" s="307"/>
      <c r="AB345" s="307"/>
      <c r="AC345" s="307"/>
      <c r="AD345" s="307"/>
      <c r="AE345" s="307"/>
      <c r="AF345" s="307"/>
      <c r="AG345" s="307"/>
      <c r="AH345" s="307"/>
      <c r="AI345" s="307"/>
      <c r="AJ345" s="307"/>
      <c r="AK345" s="307"/>
      <c r="AL345" s="307"/>
    </row>
    <row r="346" customFormat="false" ht="12.75" hidden="false" customHeight="false" outlineLevel="0" collapsed="false">
      <c r="A346" s="307"/>
      <c r="B346" s="307"/>
      <c r="C346" s="307"/>
      <c r="D346" s="307"/>
      <c r="E346" s="307"/>
      <c r="F346" s="307"/>
      <c r="G346" s="307"/>
      <c r="H346" s="307"/>
      <c r="I346" s="307"/>
      <c r="J346" s="307"/>
      <c r="K346" s="307"/>
      <c r="L346" s="307"/>
      <c r="M346" s="307"/>
      <c r="N346" s="92" t="n">
        <v>46722</v>
      </c>
      <c r="O346" s="482" t="n">
        <v>46715</v>
      </c>
      <c r="P346" s="307"/>
      <c r="Q346" s="307"/>
      <c r="R346" s="307"/>
      <c r="S346" s="307"/>
      <c r="T346" s="307"/>
      <c r="U346" s="307"/>
      <c r="V346" s="307"/>
      <c r="W346" s="307"/>
      <c r="X346" s="307"/>
      <c r="Y346" s="307"/>
      <c r="Z346" s="307"/>
      <c r="AA346" s="307"/>
      <c r="AB346" s="307"/>
      <c r="AC346" s="307"/>
      <c r="AD346" s="307"/>
      <c r="AE346" s="307"/>
      <c r="AF346" s="307"/>
      <c r="AG346" s="307"/>
      <c r="AH346" s="307"/>
      <c r="AI346" s="307"/>
      <c r="AJ346" s="307"/>
      <c r="AK346" s="307"/>
      <c r="AL346" s="307"/>
    </row>
    <row r="347" customFormat="false" ht="12.75" hidden="false" customHeight="false" outlineLevel="0" collapsed="false">
      <c r="A347" s="307"/>
      <c r="B347" s="307"/>
      <c r="C347" s="307"/>
      <c r="D347" s="307"/>
      <c r="E347" s="307"/>
      <c r="F347" s="307"/>
      <c r="G347" s="307"/>
      <c r="H347" s="307"/>
      <c r="I347" s="307"/>
      <c r="J347" s="307"/>
      <c r="K347" s="307"/>
      <c r="L347" s="307"/>
      <c r="M347" s="307"/>
      <c r="N347" s="92" t="n">
        <v>46753</v>
      </c>
      <c r="O347" s="482" t="n">
        <v>46748</v>
      </c>
      <c r="P347" s="307"/>
      <c r="Q347" s="307"/>
      <c r="R347" s="307"/>
      <c r="S347" s="307"/>
      <c r="T347" s="307"/>
      <c r="U347" s="307"/>
      <c r="V347" s="307"/>
      <c r="W347" s="307"/>
      <c r="X347" s="307"/>
      <c r="Y347" s="307"/>
      <c r="Z347" s="307"/>
      <c r="AA347" s="307"/>
      <c r="AB347" s="307"/>
      <c r="AC347" s="307"/>
      <c r="AD347" s="307"/>
      <c r="AE347" s="307"/>
      <c r="AF347" s="307"/>
      <c r="AG347" s="307"/>
      <c r="AH347" s="307"/>
      <c r="AI347" s="307"/>
      <c r="AJ347" s="307"/>
      <c r="AK347" s="307"/>
      <c r="AL347" s="307"/>
    </row>
    <row r="348" customFormat="false" ht="12.75" hidden="false" customHeight="false" outlineLevel="0" collapsed="false">
      <c r="A348" s="307"/>
      <c r="B348" s="307"/>
      <c r="C348" s="307"/>
      <c r="D348" s="307"/>
      <c r="E348" s="307"/>
      <c r="F348" s="307"/>
      <c r="G348" s="307"/>
      <c r="H348" s="307"/>
      <c r="I348" s="307"/>
      <c r="J348" s="307"/>
      <c r="K348" s="307"/>
      <c r="L348" s="307"/>
      <c r="M348" s="307"/>
      <c r="N348" s="92" t="n">
        <v>46784</v>
      </c>
      <c r="O348" s="482" t="n">
        <v>46778</v>
      </c>
      <c r="P348" s="307"/>
      <c r="Q348" s="307"/>
      <c r="R348" s="307"/>
      <c r="S348" s="307"/>
      <c r="T348" s="307"/>
      <c r="U348" s="307"/>
      <c r="V348" s="307"/>
      <c r="W348" s="307"/>
      <c r="X348" s="307"/>
      <c r="Y348" s="307"/>
      <c r="Z348" s="307"/>
      <c r="AA348" s="307"/>
      <c r="AB348" s="307"/>
      <c r="AC348" s="307"/>
      <c r="AD348" s="307"/>
      <c r="AE348" s="307"/>
      <c r="AF348" s="307"/>
      <c r="AG348" s="307"/>
      <c r="AH348" s="307"/>
      <c r="AI348" s="307"/>
      <c r="AJ348" s="307"/>
      <c r="AK348" s="307"/>
      <c r="AL348" s="307"/>
    </row>
    <row r="349" customFormat="false" ht="12.75" hidden="false" customHeight="false" outlineLevel="0" collapsed="false">
      <c r="A349" s="307"/>
      <c r="B349" s="307"/>
      <c r="C349" s="307"/>
      <c r="D349" s="307"/>
      <c r="E349" s="307"/>
      <c r="F349" s="307"/>
      <c r="G349" s="307"/>
      <c r="H349" s="307"/>
      <c r="I349" s="307"/>
      <c r="J349" s="307"/>
      <c r="K349" s="307"/>
      <c r="L349" s="307"/>
      <c r="M349" s="307"/>
      <c r="N349" s="92" t="n">
        <v>46813</v>
      </c>
      <c r="O349" s="482" t="n">
        <v>46807</v>
      </c>
      <c r="P349" s="307"/>
      <c r="Q349" s="307"/>
      <c r="R349" s="307"/>
      <c r="S349" s="307"/>
      <c r="T349" s="307"/>
      <c r="U349" s="307"/>
      <c r="V349" s="307"/>
      <c r="W349" s="307"/>
      <c r="X349" s="307"/>
      <c r="Y349" s="307"/>
      <c r="Z349" s="307"/>
      <c r="AA349" s="307"/>
      <c r="AB349" s="307"/>
      <c r="AC349" s="307"/>
      <c r="AD349" s="307"/>
      <c r="AE349" s="307"/>
      <c r="AF349" s="307"/>
      <c r="AG349" s="307"/>
      <c r="AH349" s="307"/>
      <c r="AI349" s="307"/>
      <c r="AJ349" s="307"/>
      <c r="AK349" s="307"/>
      <c r="AL349" s="307"/>
    </row>
    <row r="350" customFormat="false" ht="12.75" hidden="false" customHeight="false" outlineLevel="0" collapsed="false">
      <c r="A350" s="307"/>
      <c r="B350" s="307"/>
      <c r="C350" s="307"/>
      <c r="D350" s="307"/>
      <c r="E350" s="307"/>
      <c r="F350" s="307"/>
      <c r="G350" s="307"/>
      <c r="H350" s="307"/>
      <c r="I350" s="307"/>
      <c r="J350" s="307"/>
      <c r="K350" s="307"/>
      <c r="L350" s="307"/>
      <c r="M350" s="307"/>
      <c r="N350" s="92" t="n">
        <v>46844</v>
      </c>
      <c r="O350" s="482" t="n">
        <v>46840</v>
      </c>
      <c r="P350" s="307"/>
      <c r="Q350" s="307"/>
      <c r="R350" s="307"/>
      <c r="S350" s="307"/>
      <c r="T350" s="307"/>
      <c r="U350" s="307"/>
      <c r="V350" s="307"/>
      <c r="W350" s="307"/>
      <c r="X350" s="307"/>
      <c r="Y350" s="307"/>
      <c r="Z350" s="307"/>
      <c r="AA350" s="307"/>
      <c r="AB350" s="307"/>
      <c r="AC350" s="307"/>
      <c r="AD350" s="307"/>
      <c r="AE350" s="307"/>
      <c r="AF350" s="307"/>
      <c r="AG350" s="307"/>
      <c r="AH350" s="307"/>
      <c r="AI350" s="307"/>
      <c r="AJ350" s="307"/>
      <c r="AK350" s="307"/>
      <c r="AL350" s="307"/>
    </row>
    <row r="351" customFormat="false" ht="12.75" hidden="false" customHeight="false" outlineLevel="0" collapsed="false">
      <c r="A351" s="307"/>
      <c r="B351" s="307"/>
      <c r="C351" s="307"/>
      <c r="D351" s="307"/>
      <c r="E351" s="307"/>
      <c r="F351" s="307"/>
      <c r="G351" s="307"/>
      <c r="H351" s="307"/>
      <c r="I351" s="307"/>
      <c r="J351" s="307"/>
      <c r="K351" s="307"/>
      <c r="L351" s="307"/>
      <c r="M351" s="307"/>
      <c r="N351" s="92" t="n">
        <v>46874</v>
      </c>
      <c r="O351" s="482" t="n">
        <v>46868</v>
      </c>
      <c r="P351" s="307"/>
      <c r="Q351" s="307"/>
      <c r="R351" s="307"/>
      <c r="S351" s="307"/>
      <c r="T351" s="307"/>
      <c r="U351" s="307"/>
      <c r="V351" s="307"/>
      <c r="W351" s="307"/>
      <c r="X351" s="307"/>
      <c r="Y351" s="307"/>
      <c r="Z351" s="307"/>
      <c r="AA351" s="307"/>
      <c r="AB351" s="307"/>
      <c r="AC351" s="307"/>
      <c r="AD351" s="307"/>
      <c r="AE351" s="307"/>
      <c r="AF351" s="307"/>
      <c r="AG351" s="307"/>
      <c r="AH351" s="307"/>
      <c r="AI351" s="307"/>
      <c r="AJ351" s="307"/>
      <c r="AK351" s="307"/>
      <c r="AL351" s="307"/>
    </row>
    <row r="352" customFormat="false" ht="12.75" hidden="false" customHeight="false" outlineLevel="0" collapsed="false">
      <c r="A352" s="307"/>
      <c r="B352" s="307"/>
      <c r="C352" s="307"/>
      <c r="D352" s="307"/>
      <c r="E352" s="307"/>
      <c r="F352" s="307"/>
      <c r="G352" s="307"/>
      <c r="H352" s="307"/>
      <c r="I352" s="307"/>
      <c r="J352" s="307"/>
      <c r="K352" s="307"/>
      <c r="L352" s="307"/>
      <c r="M352" s="307"/>
      <c r="N352" s="92" t="n">
        <v>46905</v>
      </c>
      <c r="O352" s="482" t="n">
        <v>46898</v>
      </c>
      <c r="P352" s="307"/>
      <c r="Q352" s="307"/>
      <c r="R352" s="307"/>
      <c r="S352" s="307"/>
      <c r="T352" s="307"/>
      <c r="U352" s="307"/>
      <c r="V352" s="307"/>
      <c r="W352" s="307"/>
      <c r="X352" s="307"/>
      <c r="Y352" s="307"/>
      <c r="Z352" s="307"/>
      <c r="AA352" s="307"/>
      <c r="AB352" s="307"/>
      <c r="AC352" s="307"/>
      <c r="AD352" s="307"/>
      <c r="AE352" s="307"/>
      <c r="AF352" s="307"/>
      <c r="AG352" s="307"/>
      <c r="AH352" s="307"/>
      <c r="AI352" s="307"/>
      <c r="AJ352" s="307"/>
      <c r="AK352" s="307"/>
      <c r="AL352" s="307"/>
    </row>
    <row r="353" customFormat="false" ht="12.75" hidden="false" customHeight="false" outlineLevel="0" collapsed="false">
      <c r="A353" s="307"/>
      <c r="B353" s="307"/>
      <c r="C353" s="307"/>
      <c r="D353" s="307"/>
      <c r="E353" s="307"/>
      <c r="F353" s="307"/>
      <c r="G353" s="307"/>
      <c r="H353" s="307"/>
      <c r="I353" s="307"/>
      <c r="J353" s="307"/>
      <c r="K353" s="307"/>
      <c r="L353" s="307"/>
      <c r="M353" s="307"/>
      <c r="N353" s="92" t="n">
        <v>46935</v>
      </c>
      <c r="O353" s="482" t="n">
        <v>46931</v>
      </c>
      <c r="P353" s="307"/>
      <c r="Q353" s="307"/>
      <c r="R353" s="307"/>
      <c r="S353" s="307"/>
      <c r="T353" s="307"/>
      <c r="U353" s="307"/>
      <c r="V353" s="307"/>
      <c r="W353" s="307"/>
      <c r="X353" s="307"/>
      <c r="Y353" s="307"/>
      <c r="Z353" s="307"/>
      <c r="AA353" s="307"/>
      <c r="AB353" s="307"/>
      <c r="AC353" s="307"/>
      <c r="AD353" s="307"/>
      <c r="AE353" s="307"/>
      <c r="AF353" s="307"/>
      <c r="AG353" s="307"/>
      <c r="AH353" s="307"/>
      <c r="AI353" s="307"/>
      <c r="AJ353" s="307"/>
      <c r="AK353" s="307"/>
      <c r="AL353" s="307"/>
    </row>
    <row r="354" customFormat="false" ht="12.75" hidden="false" customHeight="false" outlineLevel="0" collapsed="false">
      <c r="A354" s="307"/>
      <c r="B354" s="307"/>
      <c r="C354" s="307"/>
      <c r="D354" s="307"/>
      <c r="E354" s="307"/>
      <c r="F354" s="307"/>
      <c r="G354" s="307"/>
      <c r="H354" s="307"/>
      <c r="I354" s="307"/>
      <c r="J354" s="307"/>
      <c r="K354" s="307"/>
      <c r="L354" s="307"/>
      <c r="M354" s="307"/>
      <c r="N354" s="92" t="n">
        <v>46966</v>
      </c>
      <c r="O354" s="482" t="n">
        <v>46960</v>
      </c>
      <c r="P354" s="307"/>
      <c r="Q354" s="307"/>
      <c r="R354" s="307"/>
      <c r="S354" s="307"/>
      <c r="T354" s="307"/>
      <c r="U354" s="307"/>
      <c r="V354" s="307"/>
      <c r="W354" s="307"/>
      <c r="X354" s="307"/>
      <c r="Y354" s="307"/>
      <c r="Z354" s="307"/>
      <c r="AA354" s="307"/>
      <c r="AB354" s="307"/>
      <c r="AC354" s="307"/>
      <c r="AD354" s="307"/>
      <c r="AE354" s="307"/>
      <c r="AF354" s="307"/>
      <c r="AG354" s="307"/>
      <c r="AH354" s="307"/>
      <c r="AI354" s="307"/>
      <c r="AJ354" s="307"/>
      <c r="AK354" s="307"/>
      <c r="AL354" s="307"/>
    </row>
    <row r="355" customFormat="false" ht="12.75" hidden="false" customHeight="false" outlineLevel="0" collapsed="false">
      <c r="A355" s="307"/>
      <c r="B355" s="307"/>
      <c r="C355" s="307"/>
      <c r="D355" s="307"/>
      <c r="E355" s="307"/>
      <c r="F355" s="307"/>
      <c r="G355" s="307"/>
      <c r="H355" s="307"/>
      <c r="I355" s="307"/>
      <c r="J355" s="307"/>
      <c r="K355" s="307"/>
      <c r="L355" s="307"/>
      <c r="M355" s="307"/>
      <c r="N355" s="92" t="n">
        <v>46997</v>
      </c>
      <c r="O355" s="482" t="n">
        <v>46993</v>
      </c>
      <c r="P355" s="307"/>
      <c r="Q355" s="307"/>
      <c r="R355" s="307"/>
      <c r="S355" s="307"/>
      <c r="T355" s="307"/>
      <c r="U355" s="307"/>
      <c r="V355" s="307"/>
      <c r="W355" s="307"/>
      <c r="X355" s="307"/>
      <c r="Y355" s="307"/>
      <c r="Z355" s="307"/>
      <c r="AA355" s="307"/>
      <c r="AB355" s="307"/>
      <c r="AC355" s="307"/>
      <c r="AD355" s="307"/>
      <c r="AE355" s="307"/>
      <c r="AF355" s="307"/>
      <c r="AG355" s="307"/>
      <c r="AH355" s="307"/>
      <c r="AI355" s="307"/>
      <c r="AJ355" s="307"/>
      <c r="AK355" s="307"/>
      <c r="AL355" s="307"/>
    </row>
    <row r="356" customFormat="false" ht="12.75" hidden="false" customHeight="false" outlineLevel="0" collapsed="false">
      <c r="A356" s="307"/>
      <c r="B356" s="307"/>
      <c r="C356" s="307"/>
      <c r="D356" s="307"/>
      <c r="E356" s="307"/>
      <c r="F356" s="307"/>
      <c r="G356" s="307"/>
      <c r="H356" s="307"/>
      <c r="I356" s="307"/>
      <c r="J356" s="307"/>
      <c r="K356" s="307"/>
      <c r="L356" s="307"/>
      <c r="M356" s="307"/>
      <c r="N356" s="92" t="n">
        <v>47027</v>
      </c>
      <c r="O356" s="482" t="n">
        <v>47022</v>
      </c>
      <c r="P356" s="307"/>
      <c r="Q356" s="307"/>
      <c r="R356" s="307"/>
      <c r="S356" s="307"/>
      <c r="T356" s="307"/>
      <c r="U356" s="307"/>
      <c r="V356" s="307"/>
      <c r="W356" s="307"/>
      <c r="X356" s="307"/>
      <c r="Y356" s="307"/>
      <c r="Z356" s="307"/>
      <c r="AA356" s="307"/>
      <c r="AB356" s="307"/>
      <c r="AC356" s="307"/>
      <c r="AD356" s="307"/>
      <c r="AE356" s="307"/>
      <c r="AF356" s="307"/>
      <c r="AG356" s="307"/>
      <c r="AH356" s="307"/>
      <c r="AI356" s="307"/>
      <c r="AJ356" s="307"/>
      <c r="AK356" s="307"/>
      <c r="AL356" s="307"/>
    </row>
    <row r="357" customFormat="false" ht="12.75" hidden="false" customHeight="false" outlineLevel="0" collapsed="false">
      <c r="A357" s="307"/>
      <c r="B357" s="307"/>
      <c r="C357" s="307"/>
      <c r="D357" s="307"/>
      <c r="E357" s="307"/>
      <c r="F357" s="307"/>
      <c r="G357" s="307"/>
      <c r="H357" s="307"/>
      <c r="I357" s="307"/>
      <c r="J357" s="307"/>
      <c r="K357" s="307"/>
      <c r="L357" s="307"/>
      <c r="M357" s="307"/>
      <c r="N357" s="92" t="n">
        <v>47058</v>
      </c>
      <c r="O357" s="482" t="n">
        <v>47052</v>
      </c>
      <c r="P357" s="307"/>
      <c r="Q357" s="307"/>
      <c r="R357" s="307"/>
      <c r="S357" s="307"/>
      <c r="T357" s="307"/>
      <c r="U357" s="307"/>
      <c r="V357" s="307"/>
      <c r="W357" s="307"/>
      <c r="X357" s="307"/>
      <c r="Y357" s="307"/>
      <c r="Z357" s="307"/>
      <c r="AA357" s="307"/>
      <c r="AB357" s="307"/>
      <c r="AC357" s="307"/>
      <c r="AD357" s="307"/>
      <c r="AE357" s="307"/>
      <c r="AF357" s="307"/>
      <c r="AG357" s="307"/>
      <c r="AH357" s="307"/>
      <c r="AI357" s="307"/>
      <c r="AJ357" s="307"/>
      <c r="AK357" s="307"/>
      <c r="AL357" s="307"/>
    </row>
    <row r="358" customFormat="false" ht="12.75" hidden="false" customHeight="false" outlineLevel="0" collapsed="false">
      <c r="A358" s="307"/>
      <c r="B358" s="307"/>
      <c r="C358" s="307"/>
      <c r="D358" s="307"/>
      <c r="E358" s="307"/>
      <c r="F358" s="307"/>
      <c r="G358" s="307"/>
      <c r="H358" s="307"/>
      <c r="I358" s="307"/>
      <c r="J358" s="307"/>
      <c r="K358" s="307"/>
      <c r="L358" s="307"/>
      <c r="M358" s="307"/>
      <c r="N358" s="92" t="n">
        <v>47088</v>
      </c>
      <c r="O358" s="482" t="n">
        <v>47084</v>
      </c>
      <c r="P358" s="307"/>
      <c r="Q358" s="307"/>
      <c r="R358" s="307"/>
      <c r="S358" s="307"/>
      <c r="T358" s="307"/>
      <c r="U358" s="307"/>
      <c r="V358" s="307"/>
      <c r="W358" s="307"/>
      <c r="X358" s="307"/>
      <c r="Y358" s="307"/>
      <c r="Z358" s="307"/>
      <c r="AA358" s="307"/>
      <c r="AB358" s="307"/>
      <c r="AC358" s="307"/>
      <c r="AD358" s="307"/>
      <c r="AE358" s="307"/>
      <c r="AF358" s="307"/>
      <c r="AG358" s="307"/>
      <c r="AH358" s="307"/>
      <c r="AI358" s="307"/>
      <c r="AJ358" s="307"/>
      <c r="AK358" s="307"/>
      <c r="AL358" s="307"/>
    </row>
    <row r="359" customFormat="false" ht="12.75" hidden="false" customHeight="false" outlineLevel="0" collapsed="false">
      <c r="A359" s="307"/>
      <c r="B359" s="307"/>
      <c r="C359" s="307"/>
      <c r="D359" s="307"/>
      <c r="E359" s="307"/>
      <c r="F359" s="307"/>
      <c r="G359" s="307"/>
      <c r="H359" s="307"/>
      <c r="I359" s="307"/>
      <c r="J359" s="307"/>
      <c r="K359" s="307"/>
      <c r="L359" s="307"/>
      <c r="M359" s="307"/>
      <c r="N359" s="92" t="n">
        <v>47119</v>
      </c>
      <c r="O359" s="482" t="n">
        <v>47113</v>
      </c>
      <c r="P359" s="307"/>
      <c r="Q359" s="307"/>
      <c r="R359" s="307"/>
      <c r="S359" s="307"/>
      <c r="T359" s="307"/>
      <c r="U359" s="307"/>
      <c r="V359" s="307"/>
      <c r="W359" s="307"/>
      <c r="X359" s="307"/>
      <c r="Y359" s="307"/>
      <c r="Z359" s="307"/>
      <c r="AA359" s="307"/>
      <c r="AB359" s="307"/>
      <c r="AC359" s="307"/>
      <c r="AD359" s="307"/>
      <c r="AE359" s="307"/>
      <c r="AF359" s="307"/>
      <c r="AG359" s="307"/>
      <c r="AH359" s="307"/>
      <c r="AI359" s="307"/>
      <c r="AJ359" s="307"/>
      <c r="AK359" s="307"/>
      <c r="AL359" s="307"/>
    </row>
    <row r="360" customFormat="false" ht="12.75" hidden="false" customHeight="false" outlineLevel="0" collapsed="false">
      <c r="A360" s="307"/>
      <c r="B360" s="307"/>
      <c r="C360" s="307"/>
      <c r="D360" s="307"/>
      <c r="E360" s="307"/>
      <c r="F360" s="307"/>
      <c r="G360" s="307"/>
      <c r="H360" s="307"/>
      <c r="I360" s="307"/>
      <c r="J360" s="307"/>
      <c r="K360" s="307"/>
      <c r="L360" s="307"/>
      <c r="M360" s="307"/>
      <c r="N360" s="92" t="n">
        <v>47150</v>
      </c>
      <c r="O360" s="482" t="n">
        <v>47144</v>
      </c>
      <c r="P360" s="307"/>
      <c r="Q360" s="307"/>
      <c r="R360" s="307"/>
      <c r="S360" s="307"/>
      <c r="T360" s="307"/>
      <c r="U360" s="307"/>
      <c r="V360" s="307"/>
      <c r="W360" s="307"/>
      <c r="X360" s="307"/>
      <c r="Y360" s="307"/>
      <c r="Z360" s="307"/>
      <c r="AA360" s="307"/>
      <c r="AB360" s="307"/>
      <c r="AC360" s="307"/>
      <c r="AD360" s="307"/>
      <c r="AE360" s="307"/>
      <c r="AF360" s="307"/>
      <c r="AG360" s="307"/>
      <c r="AH360" s="307"/>
      <c r="AI360" s="307"/>
      <c r="AJ360" s="307"/>
      <c r="AK360" s="307"/>
      <c r="AL360" s="307"/>
    </row>
    <row r="361" customFormat="false" ht="12.75" hidden="false" customHeight="false" outlineLevel="0" collapsed="false">
      <c r="A361" s="307"/>
      <c r="B361" s="307"/>
      <c r="C361" s="307"/>
      <c r="D361" s="307"/>
      <c r="E361" s="307"/>
      <c r="F361" s="307"/>
      <c r="G361" s="307"/>
      <c r="H361" s="307"/>
      <c r="I361" s="307"/>
      <c r="J361" s="307"/>
      <c r="K361" s="307"/>
      <c r="L361" s="307"/>
      <c r="M361" s="307"/>
      <c r="N361" s="92" t="n">
        <v>47178</v>
      </c>
      <c r="O361" s="482" t="n">
        <v>47172</v>
      </c>
      <c r="P361" s="307"/>
      <c r="Q361" s="307"/>
      <c r="R361" s="307"/>
      <c r="S361" s="307"/>
      <c r="T361" s="307"/>
      <c r="U361" s="307"/>
      <c r="V361" s="307"/>
      <c r="W361" s="307"/>
      <c r="X361" s="307"/>
      <c r="Y361" s="307"/>
      <c r="Z361" s="307"/>
      <c r="AA361" s="307"/>
      <c r="AB361" s="307"/>
      <c r="AC361" s="307"/>
      <c r="AD361" s="307"/>
      <c r="AE361" s="307"/>
      <c r="AF361" s="307"/>
      <c r="AG361" s="307"/>
      <c r="AH361" s="307"/>
      <c r="AI361" s="307"/>
      <c r="AJ361" s="307"/>
      <c r="AK361" s="307"/>
      <c r="AL361" s="307"/>
    </row>
    <row r="362" customFormat="false" ht="12.75" hidden="false" customHeight="false" outlineLevel="0" collapsed="false">
      <c r="A362" s="307"/>
      <c r="B362" s="307"/>
      <c r="C362" s="307"/>
      <c r="D362" s="307"/>
      <c r="E362" s="307"/>
      <c r="F362" s="307"/>
      <c r="G362" s="307"/>
      <c r="H362" s="307"/>
      <c r="I362" s="307"/>
      <c r="J362" s="307"/>
      <c r="K362" s="307"/>
      <c r="L362" s="307"/>
      <c r="M362" s="307"/>
      <c r="N362" s="92" t="n">
        <v>47209</v>
      </c>
      <c r="O362" s="482" t="n">
        <v>47203</v>
      </c>
      <c r="P362" s="307"/>
      <c r="Q362" s="307"/>
      <c r="R362" s="307"/>
      <c r="S362" s="307"/>
      <c r="T362" s="307"/>
      <c r="U362" s="307"/>
      <c r="V362" s="307"/>
      <c r="W362" s="307"/>
      <c r="X362" s="307"/>
      <c r="Y362" s="307"/>
      <c r="Z362" s="307"/>
      <c r="AA362" s="307"/>
      <c r="AB362" s="307"/>
      <c r="AC362" s="307"/>
      <c r="AD362" s="307"/>
      <c r="AE362" s="307"/>
      <c r="AF362" s="307"/>
      <c r="AG362" s="307"/>
      <c r="AH362" s="307"/>
      <c r="AI362" s="307"/>
      <c r="AJ362" s="307"/>
      <c r="AK362" s="307"/>
      <c r="AL362" s="307"/>
    </row>
    <row r="363" customFormat="false" ht="12.75" hidden="false" customHeight="false" outlineLevel="0" collapsed="false">
      <c r="A363" s="307"/>
      <c r="B363" s="307"/>
      <c r="C363" s="307"/>
      <c r="D363" s="307"/>
      <c r="E363" s="307"/>
      <c r="F363" s="307"/>
      <c r="G363" s="307"/>
      <c r="H363" s="307"/>
      <c r="I363" s="307"/>
      <c r="J363" s="307"/>
      <c r="K363" s="307"/>
      <c r="L363" s="307"/>
      <c r="M363" s="307"/>
      <c r="N363" s="92" t="n">
        <v>47239</v>
      </c>
      <c r="O363" s="482" t="n">
        <v>47233</v>
      </c>
      <c r="P363" s="307"/>
      <c r="Q363" s="307"/>
      <c r="R363" s="307"/>
      <c r="S363" s="307"/>
      <c r="T363" s="307"/>
      <c r="U363" s="307"/>
      <c r="V363" s="307"/>
      <c r="W363" s="307"/>
      <c r="X363" s="307"/>
      <c r="Y363" s="307"/>
      <c r="Z363" s="307"/>
      <c r="AA363" s="307"/>
      <c r="AB363" s="307"/>
      <c r="AC363" s="307"/>
      <c r="AD363" s="307"/>
      <c r="AE363" s="307"/>
      <c r="AF363" s="307"/>
      <c r="AG363" s="307"/>
      <c r="AH363" s="307"/>
      <c r="AI363" s="307"/>
      <c r="AJ363" s="307"/>
      <c r="AK363" s="307"/>
      <c r="AL363" s="307"/>
    </row>
    <row r="364" customFormat="false" ht="12.75" hidden="false" customHeight="false" outlineLevel="0" collapsed="false">
      <c r="A364" s="307"/>
      <c r="B364" s="307"/>
      <c r="C364" s="307"/>
      <c r="D364" s="307"/>
      <c r="E364" s="307"/>
      <c r="F364" s="307"/>
      <c r="G364" s="307"/>
      <c r="H364" s="307"/>
      <c r="I364" s="307"/>
      <c r="J364" s="307"/>
      <c r="K364" s="307"/>
      <c r="L364" s="307"/>
      <c r="M364" s="307"/>
      <c r="N364" s="92" t="n">
        <v>47270</v>
      </c>
      <c r="O364" s="482" t="n">
        <v>47263</v>
      </c>
      <c r="P364" s="307"/>
      <c r="Q364" s="307"/>
      <c r="R364" s="307"/>
      <c r="S364" s="307"/>
      <c r="T364" s="307"/>
      <c r="U364" s="307"/>
      <c r="V364" s="307"/>
      <c r="W364" s="307"/>
      <c r="X364" s="307"/>
      <c r="Y364" s="307"/>
      <c r="Z364" s="307"/>
      <c r="AA364" s="307"/>
      <c r="AB364" s="307"/>
      <c r="AC364" s="307"/>
      <c r="AD364" s="307"/>
      <c r="AE364" s="307"/>
      <c r="AF364" s="307"/>
      <c r="AG364" s="307"/>
      <c r="AH364" s="307"/>
      <c r="AI364" s="307"/>
      <c r="AJ364" s="307"/>
      <c r="AK364" s="307"/>
      <c r="AL364" s="307"/>
    </row>
    <row r="365" customFormat="false" ht="12.75" hidden="false" customHeight="false" outlineLevel="0" collapsed="false">
      <c r="A365" s="307"/>
      <c r="B365" s="307"/>
      <c r="C365" s="307"/>
      <c r="D365" s="307"/>
      <c r="E365" s="307"/>
      <c r="F365" s="307"/>
      <c r="G365" s="307"/>
      <c r="H365" s="307"/>
      <c r="I365" s="307"/>
      <c r="J365" s="307"/>
      <c r="K365" s="307"/>
      <c r="L365" s="307"/>
      <c r="M365" s="307"/>
      <c r="N365" s="92" t="n">
        <v>47300</v>
      </c>
      <c r="O365" s="482" t="n">
        <v>47295</v>
      </c>
      <c r="P365" s="307"/>
      <c r="Q365" s="307"/>
      <c r="R365" s="307"/>
      <c r="S365" s="307"/>
      <c r="T365" s="307"/>
      <c r="U365" s="307"/>
      <c r="V365" s="307"/>
      <c r="W365" s="307"/>
      <c r="X365" s="307"/>
      <c r="Y365" s="307"/>
      <c r="Z365" s="307"/>
      <c r="AA365" s="307"/>
      <c r="AB365" s="307"/>
      <c r="AC365" s="307"/>
      <c r="AD365" s="307"/>
      <c r="AE365" s="307"/>
      <c r="AF365" s="307"/>
      <c r="AG365" s="307"/>
      <c r="AH365" s="307"/>
      <c r="AI365" s="307"/>
      <c r="AJ365" s="307"/>
      <c r="AK365" s="307"/>
      <c r="AL365" s="307"/>
    </row>
    <row r="366" customFormat="false" ht="12.75" hidden="false" customHeight="false" outlineLevel="0" collapsed="false">
      <c r="A366" s="307"/>
      <c r="B366" s="307"/>
      <c r="C366" s="307"/>
      <c r="D366" s="307"/>
      <c r="E366" s="307"/>
      <c r="F366" s="307"/>
      <c r="G366" s="307"/>
      <c r="H366" s="307"/>
      <c r="I366" s="307"/>
      <c r="J366" s="307"/>
      <c r="K366" s="307"/>
      <c r="L366" s="307"/>
      <c r="M366" s="307"/>
      <c r="N366" s="92" t="n">
        <v>47331</v>
      </c>
      <c r="O366" s="482" t="n">
        <v>47325</v>
      </c>
      <c r="P366" s="307"/>
      <c r="Q366" s="307"/>
      <c r="R366" s="307"/>
      <c r="S366" s="307"/>
      <c r="T366" s="307"/>
      <c r="U366" s="307"/>
      <c r="V366" s="307"/>
      <c r="W366" s="307"/>
      <c r="X366" s="307"/>
      <c r="Y366" s="307"/>
      <c r="Z366" s="307"/>
      <c r="AA366" s="307"/>
      <c r="AB366" s="307"/>
      <c r="AC366" s="307"/>
      <c r="AD366" s="307"/>
      <c r="AE366" s="307"/>
      <c r="AF366" s="307"/>
      <c r="AG366" s="307"/>
      <c r="AH366" s="307"/>
      <c r="AI366" s="307"/>
      <c r="AJ366" s="307"/>
      <c r="AK366" s="307"/>
      <c r="AL366" s="307"/>
    </row>
    <row r="367" customFormat="false" ht="12.75" hidden="false" customHeight="false" outlineLevel="0" collapsed="false">
      <c r="A367" s="307"/>
      <c r="B367" s="307"/>
      <c r="C367" s="307"/>
      <c r="D367" s="307"/>
      <c r="E367" s="307"/>
      <c r="F367" s="307"/>
      <c r="G367" s="307"/>
      <c r="H367" s="307"/>
      <c r="I367" s="307"/>
      <c r="J367" s="307"/>
      <c r="K367" s="307"/>
      <c r="L367" s="307"/>
      <c r="M367" s="307"/>
      <c r="N367" s="92" t="n">
        <v>47362</v>
      </c>
      <c r="O367" s="482" t="n">
        <v>47358</v>
      </c>
      <c r="P367" s="307"/>
      <c r="Q367" s="307"/>
      <c r="R367" s="307"/>
      <c r="S367" s="307"/>
      <c r="T367" s="307"/>
      <c r="U367" s="307"/>
      <c r="V367" s="307"/>
      <c r="W367" s="307"/>
      <c r="X367" s="307"/>
      <c r="Y367" s="307"/>
      <c r="Z367" s="307"/>
      <c r="AA367" s="307"/>
      <c r="AB367" s="307"/>
      <c r="AC367" s="307"/>
      <c r="AD367" s="307"/>
      <c r="AE367" s="307"/>
      <c r="AF367" s="307"/>
      <c r="AG367" s="307"/>
      <c r="AH367" s="307"/>
      <c r="AI367" s="307"/>
      <c r="AJ367" s="307"/>
      <c r="AK367" s="307"/>
      <c r="AL367" s="307"/>
    </row>
    <row r="368" customFormat="false" ht="12.75" hidden="false" customHeight="false" outlineLevel="0" collapsed="false">
      <c r="A368" s="307"/>
      <c r="B368" s="307"/>
      <c r="C368" s="307"/>
      <c r="D368" s="307"/>
      <c r="E368" s="307"/>
      <c r="F368" s="307"/>
      <c r="G368" s="307"/>
      <c r="H368" s="307"/>
      <c r="I368" s="307"/>
      <c r="J368" s="307"/>
      <c r="K368" s="307"/>
      <c r="L368" s="307"/>
      <c r="M368" s="307"/>
      <c r="N368" s="92" t="n">
        <v>47392</v>
      </c>
      <c r="O368" s="482" t="n">
        <v>47386</v>
      </c>
      <c r="P368" s="307"/>
      <c r="Q368" s="307"/>
      <c r="R368" s="307"/>
      <c r="S368" s="307"/>
      <c r="T368" s="307"/>
      <c r="U368" s="307"/>
      <c r="V368" s="307"/>
      <c r="W368" s="307"/>
      <c r="X368" s="307"/>
      <c r="Y368" s="307"/>
      <c r="Z368" s="307"/>
      <c r="AA368" s="307"/>
      <c r="AB368" s="307"/>
      <c r="AC368" s="307"/>
      <c r="AD368" s="307"/>
      <c r="AE368" s="307"/>
      <c r="AF368" s="307"/>
      <c r="AG368" s="307"/>
      <c r="AH368" s="307"/>
      <c r="AI368" s="307"/>
      <c r="AJ368" s="307"/>
      <c r="AK368" s="307"/>
      <c r="AL368" s="307"/>
    </row>
    <row r="369" customFormat="false" ht="12.75" hidden="false" customHeight="false" outlineLevel="0" collapsed="false">
      <c r="A369" s="307"/>
      <c r="B369" s="307"/>
      <c r="C369" s="307"/>
      <c r="D369" s="307"/>
      <c r="E369" s="307"/>
      <c r="F369" s="307"/>
      <c r="G369" s="307"/>
      <c r="H369" s="307"/>
      <c r="I369" s="307"/>
      <c r="J369" s="307"/>
      <c r="K369" s="307"/>
      <c r="L369" s="307"/>
      <c r="M369" s="307"/>
      <c r="N369" s="92" t="n">
        <v>47423</v>
      </c>
      <c r="O369" s="482" t="n">
        <v>47417</v>
      </c>
      <c r="P369" s="307"/>
      <c r="Q369" s="307"/>
      <c r="R369" s="307"/>
      <c r="S369" s="307"/>
      <c r="T369" s="307"/>
      <c r="U369" s="307"/>
      <c r="V369" s="307"/>
      <c r="W369" s="307"/>
      <c r="X369" s="307"/>
      <c r="Y369" s="307"/>
      <c r="Z369" s="307"/>
      <c r="AA369" s="307"/>
      <c r="AB369" s="307"/>
      <c r="AC369" s="307"/>
      <c r="AD369" s="307"/>
      <c r="AE369" s="307"/>
      <c r="AF369" s="307"/>
      <c r="AG369" s="307"/>
      <c r="AH369" s="307"/>
      <c r="AI369" s="307"/>
      <c r="AJ369" s="307"/>
      <c r="AK369" s="307"/>
      <c r="AL369" s="307"/>
    </row>
    <row r="370" customFormat="false" ht="12.75" hidden="false" customHeight="false" outlineLevel="0" collapsed="false">
      <c r="A370" s="307"/>
      <c r="B370" s="307"/>
      <c r="C370" s="307"/>
      <c r="D370" s="307"/>
      <c r="E370" s="307"/>
      <c r="F370" s="307"/>
      <c r="G370" s="307"/>
      <c r="H370" s="307"/>
      <c r="I370" s="307"/>
      <c r="J370" s="307"/>
      <c r="K370" s="307"/>
      <c r="L370" s="307"/>
      <c r="M370" s="307"/>
      <c r="N370" s="92" t="n">
        <v>47453</v>
      </c>
      <c r="O370" s="482" t="n">
        <v>47449</v>
      </c>
      <c r="P370" s="307"/>
      <c r="Q370" s="307"/>
      <c r="R370" s="307"/>
      <c r="S370" s="307"/>
      <c r="T370" s="307"/>
      <c r="U370" s="307"/>
      <c r="V370" s="307"/>
      <c r="W370" s="307"/>
      <c r="X370" s="307"/>
      <c r="Y370" s="307"/>
      <c r="Z370" s="307"/>
      <c r="AA370" s="307"/>
      <c r="AB370" s="307"/>
      <c r="AC370" s="307"/>
      <c r="AD370" s="307"/>
      <c r="AE370" s="307"/>
      <c r="AF370" s="307"/>
      <c r="AG370" s="307"/>
      <c r="AH370" s="307"/>
      <c r="AI370" s="307"/>
      <c r="AJ370" s="307"/>
      <c r="AK370" s="307"/>
      <c r="AL370" s="307"/>
    </row>
    <row r="371" customFormat="false" ht="12.75" hidden="false" customHeight="false" outlineLevel="0" collapsed="false">
      <c r="A371" s="307"/>
      <c r="B371" s="307"/>
      <c r="C371" s="307"/>
      <c r="D371" s="307"/>
      <c r="E371" s="307"/>
      <c r="F371" s="307"/>
      <c r="G371" s="307"/>
      <c r="H371" s="307"/>
      <c r="I371" s="307"/>
      <c r="J371" s="307"/>
      <c r="K371" s="307"/>
      <c r="L371" s="307"/>
      <c r="M371" s="307"/>
      <c r="N371" s="92" t="n">
        <v>47484</v>
      </c>
      <c r="O371" s="482" t="n">
        <v>47478</v>
      </c>
      <c r="P371" s="307"/>
      <c r="Q371" s="307"/>
      <c r="R371" s="307"/>
      <c r="S371" s="307"/>
      <c r="T371" s="307"/>
      <c r="U371" s="307"/>
      <c r="V371" s="307"/>
      <c r="W371" s="307"/>
      <c r="X371" s="307"/>
      <c r="Y371" s="307"/>
      <c r="Z371" s="307"/>
      <c r="AA371" s="307"/>
      <c r="AB371" s="307"/>
      <c r="AC371" s="307"/>
      <c r="AD371" s="307"/>
      <c r="AE371" s="307"/>
      <c r="AF371" s="307"/>
      <c r="AG371" s="307"/>
      <c r="AH371" s="307"/>
      <c r="AI371" s="307"/>
      <c r="AJ371" s="307"/>
      <c r="AK371" s="307"/>
      <c r="AL371" s="307"/>
    </row>
    <row r="372" customFormat="false" ht="12.75" hidden="false" customHeight="false" outlineLevel="0" collapsed="false">
      <c r="A372" s="307"/>
      <c r="B372" s="307"/>
      <c r="C372" s="307"/>
      <c r="D372" s="307"/>
      <c r="E372" s="307"/>
      <c r="F372" s="307"/>
      <c r="G372" s="307"/>
      <c r="H372" s="307"/>
      <c r="I372" s="307"/>
      <c r="J372" s="307"/>
      <c r="K372" s="307"/>
      <c r="L372" s="307"/>
      <c r="M372" s="307"/>
      <c r="N372" s="92" t="n">
        <v>47515</v>
      </c>
      <c r="O372" s="482" t="n">
        <v>47511</v>
      </c>
      <c r="P372" s="307"/>
      <c r="Q372" s="307"/>
      <c r="R372" s="307"/>
      <c r="S372" s="307"/>
      <c r="T372" s="307"/>
      <c r="U372" s="307"/>
      <c r="V372" s="307"/>
      <c r="W372" s="307"/>
      <c r="X372" s="307"/>
      <c r="Y372" s="307"/>
      <c r="Z372" s="307"/>
      <c r="AA372" s="307"/>
      <c r="AB372" s="307"/>
      <c r="AC372" s="307"/>
      <c r="AD372" s="307"/>
      <c r="AE372" s="307"/>
      <c r="AF372" s="307"/>
      <c r="AG372" s="307"/>
      <c r="AH372" s="307"/>
      <c r="AI372" s="307"/>
      <c r="AJ372" s="307"/>
      <c r="AK372" s="307"/>
      <c r="AL372" s="307"/>
    </row>
    <row r="373" customFormat="false" ht="12.75" hidden="false" customHeight="false" outlineLevel="0" collapsed="false">
      <c r="A373" s="307"/>
      <c r="B373" s="307"/>
      <c r="C373" s="307"/>
      <c r="D373" s="307"/>
      <c r="E373" s="307"/>
      <c r="F373" s="307"/>
      <c r="G373" s="307"/>
      <c r="H373" s="307"/>
      <c r="I373" s="307"/>
      <c r="J373" s="307"/>
      <c r="K373" s="307"/>
      <c r="L373" s="307"/>
      <c r="M373" s="307"/>
      <c r="N373" s="92" t="n">
        <v>47543</v>
      </c>
      <c r="O373" s="482" t="n">
        <v>47539</v>
      </c>
      <c r="P373" s="307"/>
      <c r="Q373" s="307"/>
      <c r="R373" s="307"/>
      <c r="S373" s="307"/>
      <c r="T373" s="307"/>
      <c r="U373" s="307"/>
      <c r="V373" s="307"/>
      <c r="W373" s="307"/>
      <c r="X373" s="307"/>
      <c r="Y373" s="307"/>
      <c r="Z373" s="307"/>
      <c r="AA373" s="307"/>
      <c r="AB373" s="307"/>
      <c r="AC373" s="307"/>
      <c r="AD373" s="307"/>
      <c r="AE373" s="307"/>
      <c r="AF373" s="307"/>
      <c r="AG373" s="307"/>
      <c r="AH373" s="307"/>
      <c r="AI373" s="307"/>
      <c r="AJ373" s="307"/>
      <c r="AK373" s="307"/>
      <c r="AL373" s="307"/>
    </row>
    <row r="374" customFormat="false" ht="12.75" hidden="false" customHeight="false" outlineLevel="0" collapsed="false">
      <c r="A374" s="307"/>
      <c r="B374" s="307"/>
      <c r="C374" s="307"/>
      <c r="D374" s="307"/>
      <c r="E374" s="307"/>
      <c r="F374" s="307"/>
      <c r="G374" s="307"/>
      <c r="H374" s="307"/>
      <c r="I374" s="307"/>
      <c r="J374" s="307"/>
      <c r="K374" s="307"/>
      <c r="L374" s="307"/>
      <c r="M374" s="307"/>
      <c r="N374" s="92" t="n">
        <v>47574</v>
      </c>
      <c r="O374" s="482" t="n">
        <v>47568</v>
      </c>
      <c r="P374" s="307"/>
      <c r="Q374" s="307"/>
      <c r="R374" s="307"/>
      <c r="S374" s="307"/>
      <c r="T374" s="307"/>
      <c r="U374" s="307"/>
      <c r="V374" s="307"/>
      <c r="W374" s="307"/>
      <c r="X374" s="307"/>
      <c r="Y374" s="307"/>
      <c r="Z374" s="307"/>
      <c r="AA374" s="307"/>
      <c r="AB374" s="307"/>
      <c r="AC374" s="307"/>
      <c r="AD374" s="307"/>
      <c r="AE374" s="307"/>
      <c r="AF374" s="307"/>
      <c r="AG374" s="307"/>
      <c r="AH374" s="307"/>
      <c r="AI374" s="307"/>
      <c r="AJ374" s="307"/>
      <c r="AK374" s="307"/>
      <c r="AL374" s="307"/>
    </row>
    <row r="375" customFormat="false" ht="12.75" hidden="false" customHeight="false" outlineLevel="0" collapsed="false">
      <c r="A375" s="307"/>
      <c r="B375" s="307"/>
      <c r="C375" s="307"/>
      <c r="D375" s="307"/>
      <c r="E375" s="307"/>
      <c r="F375" s="307"/>
      <c r="G375" s="307"/>
      <c r="H375" s="307"/>
      <c r="I375" s="307"/>
      <c r="J375" s="307"/>
      <c r="K375" s="307"/>
      <c r="L375" s="307"/>
      <c r="M375" s="307"/>
      <c r="N375" s="92" t="n">
        <v>47604</v>
      </c>
      <c r="O375" s="482" t="n">
        <v>47598</v>
      </c>
      <c r="P375" s="307"/>
      <c r="Q375" s="307"/>
      <c r="R375" s="307"/>
      <c r="S375" s="307"/>
      <c r="T375" s="307"/>
      <c r="U375" s="307"/>
      <c r="V375" s="307"/>
      <c r="W375" s="307"/>
      <c r="X375" s="307"/>
      <c r="Y375" s="307"/>
      <c r="Z375" s="307"/>
      <c r="AA375" s="307"/>
      <c r="AB375" s="307"/>
      <c r="AC375" s="307"/>
      <c r="AD375" s="307"/>
      <c r="AE375" s="307"/>
      <c r="AF375" s="307"/>
      <c r="AG375" s="307"/>
      <c r="AH375" s="307"/>
      <c r="AI375" s="307"/>
      <c r="AJ375" s="307"/>
      <c r="AK375" s="307"/>
      <c r="AL375" s="307"/>
    </row>
    <row r="376" customFormat="false" ht="12.75" hidden="false" customHeight="false" outlineLevel="0" collapsed="false">
      <c r="A376" s="307"/>
      <c r="B376" s="307"/>
      <c r="C376" s="307"/>
      <c r="D376" s="307"/>
      <c r="E376" s="307"/>
      <c r="F376" s="307"/>
      <c r="G376" s="307"/>
      <c r="H376" s="307"/>
      <c r="I376" s="307"/>
      <c r="J376" s="307"/>
      <c r="K376" s="307"/>
      <c r="L376" s="307"/>
      <c r="M376" s="307"/>
      <c r="N376" s="92" t="n">
        <v>47635</v>
      </c>
      <c r="O376" s="482" t="n">
        <v>47631</v>
      </c>
      <c r="P376" s="307"/>
      <c r="Q376" s="307"/>
      <c r="R376" s="307"/>
      <c r="S376" s="307"/>
      <c r="T376" s="307"/>
      <c r="U376" s="307"/>
      <c r="V376" s="307"/>
      <c r="W376" s="307"/>
      <c r="X376" s="307"/>
      <c r="Y376" s="307"/>
      <c r="Z376" s="307"/>
      <c r="AA376" s="307"/>
      <c r="AB376" s="307"/>
      <c r="AC376" s="307"/>
      <c r="AD376" s="307"/>
      <c r="AE376" s="307"/>
      <c r="AF376" s="307"/>
      <c r="AG376" s="307"/>
      <c r="AH376" s="307"/>
      <c r="AI376" s="307"/>
      <c r="AJ376" s="307"/>
      <c r="AK376" s="307"/>
      <c r="AL376" s="307"/>
    </row>
    <row r="377" customFormat="false" ht="12.75" hidden="false" customHeight="false" outlineLevel="0" collapsed="false">
      <c r="A377" s="307"/>
      <c r="B377" s="307"/>
      <c r="C377" s="307"/>
      <c r="D377" s="307"/>
      <c r="E377" s="307"/>
      <c r="F377" s="307"/>
      <c r="G377" s="307"/>
      <c r="H377" s="307"/>
      <c r="I377" s="307"/>
      <c r="J377" s="307"/>
      <c r="K377" s="307"/>
      <c r="L377" s="307"/>
      <c r="M377" s="307"/>
      <c r="N377" s="92" t="n">
        <v>47665</v>
      </c>
      <c r="O377" s="482" t="n">
        <v>47659</v>
      </c>
      <c r="P377" s="307"/>
      <c r="Q377" s="307"/>
      <c r="R377" s="307"/>
      <c r="S377" s="307"/>
      <c r="T377" s="307"/>
      <c r="U377" s="307"/>
      <c r="V377" s="307"/>
      <c r="W377" s="307"/>
      <c r="X377" s="307"/>
      <c r="Y377" s="307"/>
      <c r="Z377" s="307"/>
      <c r="AA377" s="307"/>
      <c r="AB377" s="307"/>
      <c r="AC377" s="307"/>
      <c r="AD377" s="307"/>
      <c r="AE377" s="307"/>
      <c r="AF377" s="307"/>
      <c r="AG377" s="307"/>
      <c r="AH377" s="307"/>
      <c r="AI377" s="307"/>
      <c r="AJ377" s="307"/>
      <c r="AK377" s="307"/>
      <c r="AL377" s="307"/>
    </row>
    <row r="378" customFormat="false" ht="12.75" hidden="false" customHeight="false" outlineLevel="0" collapsed="false">
      <c r="A378" s="307"/>
      <c r="B378" s="307"/>
      <c r="C378" s="307"/>
      <c r="D378" s="307"/>
      <c r="E378" s="307"/>
      <c r="F378" s="307"/>
      <c r="G378" s="307"/>
      <c r="H378" s="307"/>
      <c r="I378" s="307"/>
      <c r="J378" s="307"/>
      <c r="K378" s="307"/>
      <c r="L378" s="307"/>
      <c r="M378" s="307"/>
      <c r="N378" s="92" t="n">
        <v>47696</v>
      </c>
      <c r="O378" s="482" t="n">
        <v>47690</v>
      </c>
      <c r="P378" s="307"/>
      <c r="Q378" s="307"/>
      <c r="R378" s="307"/>
      <c r="S378" s="307"/>
      <c r="T378" s="307"/>
      <c r="U378" s="307"/>
      <c r="V378" s="307"/>
      <c r="W378" s="307"/>
      <c r="X378" s="307"/>
      <c r="Y378" s="307"/>
      <c r="Z378" s="307"/>
      <c r="AA378" s="307"/>
      <c r="AB378" s="307"/>
      <c r="AC378" s="307"/>
      <c r="AD378" s="307"/>
      <c r="AE378" s="307"/>
      <c r="AF378" s="307"/>
      <c r="AG378" s="307"/>
      <c r="AH378" s="307"/>
      <c r="AI378" s="307"/>
      <c r="AJ378" s="307"/>
      <c r="AK378" s="307"/>
      <c r="AL378" s="307"/>
    </row>
    <row r="379" customFormat="false" ht="12.75" hidden="false" customHeight="false" outlineLevel="0" collapsed="false">
      <c r="A379" s="307"/>
      <c r="B379" s="307"/>
      <c r="C379" s="307"/>
      <c r="D379" s="307"/>
      <c r="E379" s="307"/>
      <c r="F379" s="307"/>
      <c r="G379" s="307"/>
      <c r="H379" s="307"/>
      <c r="I379" s="307"/>
      <c r="J379" s="307"/>
      <c r="K379" s="307"/>
      <c r="L379" s="307"/>
      <c r="M379" s="307"/>
      <c r="N379" s="92" t="n">
        <v>47727</v>
      </c>
      <c r="O379" s="482" t="n">
        <v>47722</v>
      </c>
      <c r="P379" s="307"/>
      <c r="Q379" s="307"/>
      <c r="R379" s="307"/>
      <c r="S379" s="307"/>
      <c r="T379" s="307"/>
      <c r="U379" s="307"/>
      <c r="V379" s="307"/>
      <c r="W379" s="307"/>
      <c r="X379" s="307"/>
      <c r="Y379" s="307"/>
      <c r="Z379" s="307"/>
      <c r="AA379" s="307"/>
      <c r="AB379" s="307"/>
      <c r="AC379" s="307"/>
      <c r="AD379" s="307"/>
      <c r="AE379" s="307"/>
      <c r="AF379" s="307"/>
      <c r="AG379" s="307"/>
      <c r="AH379" s="307"/>
      <c r="AI379" s="307"/>
      <c r="AJ379" s="307"/>
      <c r="AK379" s="307"/>
      <c r="AL379" s="307"/>
    </row>
    <row r="380" customFormat="false" ht="12.75" hidden="false" customHeight="false" outlineLevel="0" collapsed="false">
      <c r="A380" s="307"/>
      <c r="B380" s="307"/>
      <c r="C380" s="307"/>
      <c r="D380" s="307"/>
      <c r="E380" s="307"/>
      <c r="F380" s="307"/>
      <c r="G380" s="307"/>
      <c r="H380" s="307"/>
      <c r="I380" s="307"/>
      <c r="J380" s="307"/>
      <c r="K380" s="307"/>
      <c r="L380" s="307"/>
      <c r="M380" s="307"/>
      <c r="N380" s="92" t="n">
        <v>47757</v>
      </c>
      <c r="O380" s="482" t="n">
        <v>47751</v>
      </c>
      <c r="P380" s="307"/>
      <c r="Q380" s="307"/>
      <c r="R380" s="307"/>
      <c r="S380" s="307"/>
      <c r="T380" s="307"/>
      <c r="U380" s="307"/>
      <c r="V380" s="307"/>
      <c r="W380" s="307"/>
      <c r="X380" s="307"/>
      <c r="Y380" s="307"/>
      <c r="Z380" s="307"/>
      <c r="AA380" s="307"/>
      <c r="AB380" s="307"/>
      <c r="AC380" s="307"/>
      <c r="AD380" s="307"/>
      <c r="AE380" s="307"/>
      <c r="AF380" s="307"/>
      <c r="AG380" s="307"/>
      <c r="AH380" s="307"/>
      <c r="AI380" s="307"/>
      <c r="AJ380" s="307"/>
      <c r="AK380" s="307"/>
      <c r="AL380" s="307"/>
    </row>
    <row r="381" customFormat="false" ht="12.75" hidden="false" customHeight="false" outlineLevel="0" collapsed="false">
      <c r="A381" s="307"/>
      <c r="B381" s="307"/>
      <c r="C381" s="307"/>
      <c r="D381" s="307"/>
      <c r="E381" s="307"/>
      <c r="F381" s="307"/>
      <c r="G381" s="307"/>
      <c r="H381" s="307"/>
      <c r="I381" s="307"/>
      <c r="J381" s="307"/>
      <c r="K381" s="307"/>
      <c r="L381" s="307"/>
      <c r="M381" s="307"/>
      <c r="N381" s="92" t="n">
        <v>47788</v>
      </c>
      <c r="O381" s="482" t="n">
        <v>47784</v>
      </c>
      <c r="P381" s="307"/>
      <c r="Q381" s="307"/>
      <c r="R381" s="307"/>
      <c r="S381" s="307"/>
      <c r="T381" s="307"/>
      <c r="U381" s="307"/>
      <c r="V381" s="307"/>
      <c r="W381" s="307"/>
      <c r="X381" s="307"/>
      <c r="Y381" s="307"/>
      <c r="Z381" s="307"/>
      <c r="AA381" s="307"/>
      <c r="AB381" s="307"/>
      <c r="AC381" s="307"/>
      <c r="AD381" s="307"/>
      <c r="AE381" s="307"/>
      <c r="AF381" s="307"/>
      <c r="AG381" s="307"/>
      <c r="AH381" s="307"/>
      <c r="AI381" s="307"/>
      <c r="AJ381" s="307"/>
      <c r="AK381" s="307"/>
      <c r="AL381" s="307"/>
    </row>
    <row r="382" customFormat="false" ht="12.75" hidden="false" customHeight="false" outlineLevel="0" collapsed="false">
      <c r="A382" s="307"/>
      <c r="B382" s="307"/>
      <c r="C382" s="307"/>
      <c r="D382" s="307"/>
      <c r="E382" s="307"/>
      <c r="F382" s="307"/>
      <c r="G382" s="307"/>
      <c r="H382" s="307"/>
      <c r="I382" s="307"/>
      <c r="J382" s="307"/>
      <c r="K382" s="307"/>
      <c r="L382" s="307"/>
      <c r="M382" s="307"/>
      <c r="N382" s="92" t="n">
        <v>47818</v>
      </c>
      <c r="O382" s="482" t="n">
        <v>47812</v>
      </c>
      <c r="P382" s="307"/>
      <c r="Q382" s="307"/>
      <c r="R382" s="307"/>
      <c r="S382" s="307"/>
      <c r="T382" s="307"/>
      <c r="U382" s="307"/>
      <c r="V382" s="307"/>
      <c r="W382" s="307"/>
      <c r="X382" s="307"/>
      <c r="Y382" s="307"/>
      <c r="Z382" s="307"/>
      <c r="AA382" s="307"/>
      <c r="AB382" s="307"/>
      <c r="AC382" s="307"/>
      <c r="AD382" s="307"/>
      <c r="AE382" s="307"/>
      <c r="AF382" s="307"/>
      <c r="AG382" s="307"/>
      <c r="AH382" s="307"/>
      <c r="AI382" s="307"/>
      <c r="AJ382" s="307"/>
      <c r="AK382" s="307"/>
      <c r="AL382" s="307"/>
    </row>
    <row r="383" customFormat="false" ht="12.75" hidden="false" customHeight="false" outlineLevel="0" collapsed="false">
      <c r="A383" s="307"/>
      <c r="B383" s="307"/>
      <c r="C383" s="307"/>
      <c r="D383" s="307"/>
      <c r="E383" s="307"/>
      <c r="F383" s="307"/>
      <c r="G383" s="307"/>
      <c r="H383" s="307"/>
      <c r="I383" s="307"/>
      <c r="J383" s="307"/>
      <c r="K383" s="307"/>
      <c r="L383" s="307"/>
      <c r="M383" s="307"/>
      <c r="N383" s="92" t="n">
        <v>47849</v>
      </c>
      <c r="O383" s="482" t="n">
        <v>47812</v>
      </c>
      <c r="P383" s="307"/>
      <c r="Q383" s="307"/>
      <c r="R383" s="307"/>
      <c r="S383" s="307"/>
      <c r="T383" s="307"/>
      <c r="U383" s="307"/>
      <c r="V383" s="307"/>
      <c r="W383" s="307"/>
      <c r="X383" s="307"/>
      <c r="Y383" s="307"/>
      <c r="Z383" s="307"/>
      <c r="AA383" s="307"/>
      <c r="AB383" s="307"/>
      <c r="AC383" s="307"/>
      <c r="AD383" s="307"/>
      <c r="AE383" s="307"/>
      <c r="AF383" s="307"/>
      <c r="AG383" s="307"/>
      <c r="AH383" s="307"/>
      <c r="AI383" s="307"/>
      <c r="AJ383" s="307"/>
      <c r="AK383" s="307"/>
      <c r="AL383" s="307"/>
    </row>
    <row r="384" customFormat="false" ht="12.75" hidden="false" customHeight="false" outlineLevel="0" collapsed="false">
      <c r="A384" s="307"/>
      <c r="B384" s="307"/>
      <c r="C384" s="307"/>
      <c r="D384" s="307"/>
      <c r="E384" s="307"/>
      <c r="F384" s="307"/>
      <c r="G384" s="307"/>
      <c r="H384" s="307"/>
      <c r="I384" s="307"/>
      <c r="J384" s="307"/>
      <c r="K384" s="307"/>
      <c r="L384" s="307"/>
      <c r="M384" s="307"/>
      <c r="N384" s="307"/>
      <c r="O384" s="307"/>
      <c r="P384" s="307"/>
      <c r="Q384" s="307"/>
      <c r="R384" s="307"/>
      <c r="S384" s="307"/>
      <c r="T384" s="307"/>
      <c r="U384" s="307"/>
      <c r="V384" s="307"/>
      <c r="W384" s="307"/>
      <c r="X384" s="307"/>
      <c r="Y384" s="307"/>
      <c r="Z384" s="307"/>
      <c r="AA384" s="307"/>
      <c r="AB384" s="307"/>
      <c r="AC384" s="307"/>
      <c r="AD384" s="307"/>
      <c r="AE384" s="307"/>
      <c r="AF384" s="307"/>
      <c r="AG384" s="307"/>
      <c r="AH384" s="307"/>
      <c r="AI384" s="307"/>
      <c r="AJ384" s="307"/>
      <c r="AK384" s="307"/>
      <c r="AL384" s="307"/>
    </row>
    <row r="385" customFormat="false" ht="12.75" hidden="false" customHeight="false" outlineLevel="0" collapsed="false">
      <c r="A385" s="307"/>
      <c r="B385" s="307"/>
      <c r="C385" s="307"/>
      <c r="D385" s="307"/>
      <c r="E385" s="307"/>
      <c r="F385" s="307"/>
      <c r="G385" s="307"/>
      <c r="H385" s="307"/>
      <c r="I385" s="307"/>
      <c r="J385" s="307"/>
      <c r="K385" s="307"/>
      <c r="L385" s="307"/>
      <c r="M385" s="307"/>
      <c r="N385" s="307"/>
      <c r="O385" s="307"/>
      <c r="P385" s="307"/>
      <c r="Q385" s="307"/>
      <c r="R385" s="307"/>
      <c r="S385" s="307"/>
      <c r="T385" s="307"/>
      <c r="U385" s="307"/>
      <c r="V385" s="307"/>
      <c r="W385" s="307"/>
      <c r="X385" s="307"/>
      <c r="Y385" s="307"/>
      <c r="Z385" s="307"/>
      <c r="AA385" s="307"/>
      <c r="AB385" s="307"/>
      <c r="AC385" s="307"/>
      <c r="AD385" s="307"/>
      <c r="AE385" s="307"/>
      <c r="AF385" s="307"/>
      <c r="AG385" s="307"/>
      <c r="AH385" s="307"/>
      <c r="AI385" s="307"/>
      <c r="AJ385" s="307"/>
      <c r="AK385" s="307"/>
      <c r="AL385" s="307"/>
    </row>
    <row r="386" customFormat="false" ht="12.75" hidden="false" customHeight="false" outlineLevel="0" collapsed="false">
      <c r="A386" s="307"/>
      <c r="B386" s="307"/>
      <c r="C386" s="307"/>
      <c r="D386" s="307"/>
      <c r="E386" s="307"/>
      <c r="F386" s="307"/>
      <c r="G386" s="307"/>
      <c r="H386" s="307"/>
      <c r="I386" s="307"/>
      <c r="J386" s="307"/>
      <c r="K386" s="307"/>
      <c r="L386" s="307"/>
      <c r="M386" s="307"/>
      <c r="N386" s="307"/>
      <c r="O386" s="307"/>
      <c r="P386" s="307"/>
      <c r="Q386" s="307"/>
      <c r="R386" s="307"/>
      <c r="S386" s="307"/>
      <c r="T386" s="307"/>
      <c r="U386" s="307"/>
      <c r="V386" s="307"/>
      <c r="W386" s="307"/>
      <c r="X386" s="307"/>
      <c r="Y386" s="307"/>
      <c r="Z386" s="307"/>
      <c r="AA386" s="307"/>
      <c r="AB386" s="307"/>
      <c r="AC386" s="307"/>
      <c r="AD386" s="307"/>
      <c r="AE386" s="307"/>
      <c r="AF386" s="307"/>
      <c r="AG386" s="307"/>
      <c r="AH386" s="307"/>
      <c r="AI386" s="307"/>
      <c r="AJ386" s="307"/>
      <c r="AK386" s="307"/>
      <c r="AL386" s="307"/>
    </row>
    <row r="387" customFormat="false" ht="12.75" hidden="false" customHeight="false" outlineLevel="0" collapsed="false">
      <c r="A387" s="307"/>
      <c r="B387" s="307"/>
      <c r="C387" s="307"/>
      <c r="D387" s="307"/>
      <c r="E387" s="307"/>
      <c r="F387" s="307"/>
      <c r="G387" s="307"/>
      <c r="H387" s="307"/>
      <c r="I387" s="307"/>
      <c r="J387" s="307"/>
      <c r="K387" s="307"/>
      <c r="L387" s="307"/>
      <c r="M387" s="307"/>
      <c r="N387" s="307"/>
      <c r="O387" s="307"/>
      <c r="P387" s="307"/>
      <c r="Q387" s="307"/>
      <c r="R387" s="307"/>
      <c r="S387" s="307"/>
      <c r="T387" s="307"/>
      <c r="U387" s="307"/>
      <c r="V387" s="307"/>
      <c r="W387" s="307"/>
      <c r="X387" s="307"/>
      <c r="Y387" s="307"/>
      <c r="Z387" s="307"/>
      <c r="AA387" s="307"/>
      <c r="AB387" s="307"/>
      <c r="AC387" s="307"/>
      <c r="AD387" s="307"/>
      <c r="AE387" s="307"/>
      <c r="AF387" s="307"/>
      <c r="AG387" s="307"/>
      <c r="AH387" s="307"/>
      <c r="AI387" s="307"/>
      <c r="AJ387" s="307"/>
      <c r="AK387" s="307"/>
      <c r="AL387" s="307"/>
    </row>
    <row r="388" customFormat="false" ht="12.75" hidden="false" customHeight="false" outlineLevel="0" collapsed="false">
      <c r="A388" s="307"/>
      <c r="B388" s="307"/>
      <c r="C388" s="307"/>
      <c r="D388" s="307"/>
      <c r="E388" s="307"/>
      <c r="F388" s="307"/>
      <c r="G388" s="307"/>
      <c r="H388" s="307"/>
      <c r="I388" s="307"/>
      <c r="J388" s="307"/>
      <c r="K388" s="307"/>
      <c r="L388" s="307"/>
      <c r="M388" s="307"/>
      <c r="N388" s="307"/>
      <c r="O388" s="307"/>
      <c r="P388" s="307"/>
      <c r="Q388" s="307"/>
      <c r="R388" s="307"/>
      <c r="S388" s="307"/>
      <c r="T388" s="307"/>
      <c r="U388" s="307"/>
      <c r="V388" s="307"/>
      <c r="W388" s="307"/>
      <c r="X388" s="307"/>
      <c r="Y388" s="307"/>
      <c r="Z388" s="307"/>
      <c r="AA388" s="307"/>
      <c r="AB388" s="307"/>
      <c r="AC388" s="307"/>
      <c r="AD388" s="307"/>
      <c r="AE388" s="307"/>
      <c r="AF388" s="307"/>
      <c r="AG388" s="307"/>
      <c r="AH388" s="307"/>
      <c r="AI388" s="307"/>
      <c r="AJ388" s="307"/>
      <c r="AK388" s="307"/>
      <c r="AL388" s="307"/>
    </row>
    <row r="389" customFormat="false" ht="12.75" hidden="false" customHeight="false" outlineLevel="0" collapsed="false">
      <c r="A389" s="307"/>
      <c r="B389" s="307"/>
      <c r="C389" s="307"/>
      <c r="D389" s="307"/>
      <c r="E389" s="307"/>
      <c r="F389" s="307"/>
      <c r="G389" s="307"/>
      <c r="H389" s="307"/>
      <c r="I389" s="307"/>
      <c r="J389" s="307"/>
      <c r="K389" s="307"/>
      <c r="L389" s="307"/>
      <c r="M389" s="307"/>
      <c r="N389" s="307"/>
      <c r="O389" s="307"/>
      <c r="P389" s="307"/>
      <c r="Q389" s="307"/>
      <c r="R389" s="307"/>
      <c r="S389" s="307"/>
      <c r="T389" s="307"/>
      <c r="U389" s="307"/>
      <c r="V389" s="307"/>
      <c r="W389" s="307"/>
      <c r="X389" s="307"/>
      <c r="Y389" s="307"/>
      <c r="Z389" s="307"/>
      <c r="AA389" s="307"/>
      <c r="AB389" s="307"/>
      <c r="AC389" s="307"/>
      <c r="AD389" s="307"/>
      <c r="AE389" s="307"/>
      <c r="AF389" s="307"/>
      <c r="AG389" s="307"/>
      <c r="AH389" s="307"/>
      <c r="AI389" s="307"/>
      <c r="AJ389" s="307"/>
      <c r="AK389" s="307"/>
      <c r="AL389" s="307"/>
    </row>
    <row r="390" customFormat="false" ht="12.75" hidden="false" customHeight="false" outlineLevel="0" collapsed="false">
      <c r="A390" s="307"/>
      <c r="B390" s="307"/>
      <c r="C390" s="307"/>
      <c r="D390" s="307"/>
      <c r="E390" s="307"/>
      <c r="F390" s="307"/>
      <c r="G390" s="307"/>
      <c r="H390" s="307"/>
      <c r="I390" s="307"/>
      <c r="J390" s="307"/>
      <c r="K390" s="307"/>
      <c r="L390" s="307"/>
      <c r="M390" s="307"/>
      <c r="N390" s="307"/>
      <c r="O390" s="307"/>
      <c r="P390" s="307"/>
      <c r="Q390" s="307"/>
      <c r="R390" s="307"/>
      <c r="S390" s="307"/>
      <c r="T390" s="307"/>
      <c r="U390" s="307"/>
      <c r="V390" s="307"/>
      <c r="W390" s="307"/>
      <c r="X390" s="307"/>
      <c r="Y390" s="307"/>
      <c r="Z390" s="307"/>
      <c r="AA390" s="307"/>
      <c r="AB390" s="307"/>
      <c r="AC390" s="307"/>
      <c r="AD390" s="307"/>
      <c r="AE390" s="307"/>
      <c r="AF390" s="307"/>
      <c r="AG390" s="307"/>
      <c r="AH390" s="307"/>
      <c r="AI390" s="307"/>
      <c r="AJ390" s="307"/>
      <c r="AK390" s="307"/>
      <c r="AL390" s="307"/>
    </row>
    <row r="391" customFormat="false" ht="12.75" hidden="false" customHeight="false" outlineLevel="0" collapsed="false">
      <c r="A391" s="307"/>
      <c r="B391" s="307"/>
      <c r="C391" s="307"/>
      <c r="D391" s="307"/>
      <c r="E391" s="307"/>
      <c r="F391" s="307"/>
      <c r="G391" s="307"/>
      <c r="H391" s="307"/>
      <c r="I391" s="307"/>
      <c r="J391" s="307"/>
      <c r="K391" s="307"/>
      <c r="L391" s="307"/>
      <c r="M391" s="307"/>
      <c r="N391" s="307"/>
      <c r="O391" s="307"/>
      <c r="P391" s="307"/>
      <c r="Q391" s="307"/>
      <c r="R391" s="307"/>
      <c r="S391" s="307"/>
      <c r="T391" s="307"/>
      <c r="U391" s="307"/>
      <c r="V391" s="307"/>
      <c r="W391" s="307"/>
      <c r="X391" s="307"/>
      <c r="Y391" s="307"/>
      <c r="Z391" s="307"/>
      <c r="AA391" s="307"/>
      <c r="AB391" s="307"/>
      <c r="AC391" s="307"/>
      <c r="AD391" s="307"/>
      <c r="AE391" s="307"/>
      <c r="AF391" s="307"/>
      <c r="AG391" s="307"/>
      <c r="AH391" s="307"/>
      <c r="AI391" s="307"/>
      <c r="AJ391" s="307"/>
      <c r="AK391" s="307"/>
      <c r="AL391" s="307"/>
    </row>
    <row r="392" customFormat="false" ht="12.75" hidden="false" customHeight="false" outlineLevel="0" collapsed="false">
      <c r="A392" s="307"/>
      <c r="B392" s="307"/>
      <c r="C392" s="307"/>
      <c r="D392" s="307"/>
      <c r="E392" s="307"/>
      <c r="F392" s="307"/>
      <c r="G392" s="307"/>
      <c r="H392" s="307"/>
      <c r="I392" s="307"/>
      <c r="J392" s="307"/>
      <c r="K392" s="307"/>
      <c r="L392" s="307"/>
      <c r="M392" s="307"/>
      <c r="N392" s="307"/>
      <c r="O392" s="307"/>
      <c r="P392" s="307"/>
      <c r="Q392" s="307"/>
      <c r="R392" s="307"/>
      <c r="S392" s="307"/>
      <c r="T392" s="307"/>
      <c r="U392" s="307"/>
      <c r="V392" s="307"/>
      <c r="W392" s="307"/>
      <c r="X392" s="307"/>
      <c r="Y392" s="307"/>
      <c r="Z392" s="307"/>
      <c r="AA392" s="307"/>
      <c r="AB392" s="307"/>
      <c r="AC392" s="307"/>
      <c r="AD392" s="307"/>
      <c r="AE392" s="307"/>
      <c r="AF392" s="307"/>
      <c r="AG392" s="307"/>
      <c r="AH392" s="307"/>
      <c r="AI392" s="307"/>
      <c r="AJ392" s="307"/>
      <c r="AK392" s="307"/>
      <c r="AL392" s="307"/>
    </row>
    <row r="393" customFormat="false" ht="12.75" hidden="false" customHeight="false" outlineLevel="0" collapsed="false">
      <c r="A393" s="307"/>
      <c r="B393" s="307"/>
      <c r="C393" s="307"/>
      <c r="D393" s="307"/>
      <c r="E393" s="307"/>
      <c r="F393" s="307"/>
      <c r="G393" s="307"/>
      <c r="H393" s="307"/>
      <c r="I393" s="307"/>
      <c r="J393" s="307"/>
      <c r="K393" s="307"/>
      <c r="L393" s="307"/>
      <c r="M393" s="307"/>
      <c r="N393" s="307"/>
      <c r="O393" s="307"/>
      <c r="P393" s="307"/>
      <c r="Q393" s="307"/>
      <c r="R393" s="307"/>
      <c r="S393" s="307"/>
      <c r="T393" s="307"/>
      <c r="U393" s="307"/>
      <c r="V393" s="307"/>
      <c r="W393" s="307"/>
      <c r="X393" s="307"/>
      <c r="Y393" s="307"/>
      <c r="Z393" s="307"/>
      <c r="AA393" s="307"/>
      <c r="AB393" s="307"/>
      <c r="AC393" s="307"/>
      <c r="AD393" s="307"/>
      <c r="AE393" s="307"/>
      <c r="AF393" s="307"/>
      <c r="AG393" s="307"/>
      <c r="AH393" s="307"/>
      <c r="AI393" s="307"/>
      <c r="AJ393" s="307"/>
      <c r="AK393" s="307"/>
      <c r="AL393" s="307"/>
    </row>
    <row r="394" customFormat="false" ht="12.75" hidden="false" customHeight="false" outlineLevel="0" collapsed="false">
      <c r="A394" s="307"/>
      <c r="B394" s="307"/>
      <c r="C394" s="307"/>
      <c r="D394" s="307"/>
      <c r="E394" s="307"/>
      <c r="F394" s="307"/>
      <c r="G394" s="307"/>
      <c r="H394" s="307"/>
      <c r="I394" s="307"/>
      <c r="J394" s="307"/>
      <c r="K394" s="307"/>
      <c r="L394" s="307"/>
      <c r="M394" s="307"/>
      <c r="N394" s="307"/>
      <c r="O394" s="307"/>
      <c r="P394" s="307"/>
      <c r="Q394" s="307"/>
      <c r="R394" s="307"/>
      <c r="S394" s="307"/>
      <c r="T394" s="307"/>
      <c r="U394" s="307"/>
      <c r="V394" s="307"/>
      <c r="W394" s="307"/>
      <c r="X394" s="307"/>
      <c r="Y394" s="307"/>
      <c r="Z394" s="307"/>
      <c r="AA394" s="307"/>
      <c r="AB394" s="307"/>
      <c r="AC394" s="307"/>
      <c r="AD394" s="307"/>
      <c r="AE394" s="307"/>
      <c r="AF394" s="307"/>
      <c r="AG394" s="307"/>
      <c r="AH394" s="307"/>
      <c r="AI394" s="307"/>
      <c r="AJ394" s="307"/>
      <c r="AK394" s="307"/>
      <c r="AL394" s="307"/>
    </row>
    <row r="395" customFormat="false" ht="12.75" hidden="false" customHeight="false" outlineLevel="0" collapsed="false">
      <c r="A395" s="307"/>
      <c r="B395" s="307"/>
      <c r="C395" s="307"/>
      <c r="D395" s="307"/>
      <c r="E395" s="307"/>
      <c r="F395" s="307"/>
      <c r="G395" s="307"/>
      <c r="H395" s="307"/>
      <c r="I395" s="307"/>
      <c r="J395" s="307"/>
      <c r="K395" s="307"/>
      <c r="L395" s="307"/>
      <c r="M395" s="307"/>
      <c r="N395" s="307"/>
      <c r="O395" s="307"/>
      <c r="P395" s="307"/>
      <c r="Q395" s="307"/>
      <c r="R395" s="307"/>
      <c r="S395" s="307"/>
      <c r="T395" s="307"/>
      <c r="U395" s="307"/>
      <c r="V395" s="307"/>
      <c r="W395" s="307"/>
      <c r="X395" s="307"/>
      <c r="Y395" s="307"/>
      <c r="Z395" s="307"/>
      <c r="AA395" s="307"/>
      <c r="AB395" s="307"/>
      <c r="AC395" s="307"/>
      <c r="AD395" s="307"/>
      <c r="AE395" s="307"/>
      <c r="AF395" s="307"/>
      <c r="AG395" s="307"/>
      <c r="AH395" s="307"/>
      <c r="AI395" s="307"/>
      <c r="AJ395" s="307"/>
      <c r="AK395" s="307"/>
      <c r="AL395" s="307"/>
    </row>
    <row r="396" customFormat="false" ht="12.75" hidden="false" customHeight="false" outlineLevel="0" collapsed="false">
      <c r="A396" s="307"/>
      <c r="B396" s="307"/>
      <c r="C396" s="307"/>
      <c r="D396" s="307"/>
      <c r="E396" s="307"/>
      <c r="F396" s="307"/>
      <c r="G396" s="307"/>
      <c r="H396" s="307"/>
      <c r="I396" s="307"/>
      <c r="J396" s="307"/>
      <c r="K396" s="307"/>
      <c r="L396" s="307"/>
      <c r="M396" s="307"/>
      <c r="N396" s="307"/>
      <c r="O396" s="307"/>
      <c r="P396" s="307"/>
      <c r="Q396" s="307"/>
      <c r="R396" s="307"/>
      <c r="S396" s="307"/>
      <c r="T396" s="307"/>
      <c r="U396" s="307"/>
      <c r="V396" s="307"/>
      <c r="W396" s="307"/>
      <c r="X396" s="307"/>
      <c r="Y396" s="307"/>
      <c r="Z396" s="307"/>
      <c r="AA396" s="307"/>
      <c r="AB396" s="307"/>
      <c r="AC396" s="307"/>
      <c r="AD396" s="307"/>
      <c r="AE396" s="307"/>
      <c r="AF396" s="307"/>
      <c r="AG396" s="307"/>
      <c r="AH396" s="307"/>
      <c r="AI396" s="307"/>
      <c r="AJ396" s="307"/>
      <c r="AK396" s="307"/>
      <c r="AL396" s="307"/>
    </row>
    <row r="397" customFormat="false" ht="12.75" hidden="false" customHeight="false" outlineLevel="0" collapsed="false">
      <c r="A397" s="307"/>
      <c r="B397" s="307"/>
      <c r="C397" s="307"/>
      <c r="D397" s="307"/>
      <c r="E397" s="307"/>
      <c r="F397" s="307"/>
      <c r="G397" s="307"/>
      <c r="H397" s="307"/>
      <c r="I397" s="307"/>
      <c r="J397" s="307"/>
      <c r="K397" s="307"/>
      <c r="L397" s="307"/>
      <c r="M397" s="307"/>
      <c r="N397" s="307"/>
      <c r="O397" s="307"/>
      <c r="P397" s="307"/>
      <c r="Q397" s="307"/>
      <c r="R397" s="307"/>
      <c r="S397" s="307"/>
      <c r="T397" s="307"/>
      <c r="U397" s="307"/>
      <c r="V397" s="307"/>
      <c r="W397" s="307"/>
      <c r="X397" s="307"/>
      <c r="Y397" s="307"/>
      <c r="Z397" s="307"/>
      <c r="AA397" s="307"/>
      <c r="AB397" s="307"/>
      <c r="AC397" s="307"/>
      <c r="AD397" s="307"/>
      <c r="AE397" s="307"/>
      <c r="AF397" s="307"/>
      <c r="AG397" s="307"/>
      <c r="AH397" s="307"/>
      <c r="AI397" s="307"/>
      <c r="AJ397" s="307"/>
      <c r="AK397" s="307"/>
      <c r="AL397" s="307"/>
    </row>
    <row r="398" customFormat="false" ht="12.75" hidden="false" customHeight="false" outlineLevel="0" collapsed="false">
      <c r="A398" s="307"/>
      <c r="B398" s="307"/>
      <c r="C398" s="307"/>
      <c r="D398" s="307"/>
      <c r="E398" s="307"/>
      <c r="F398" s="307"/>
      <c r="G398" s="307"/>
      <c r="H398" s="307"/>
      <c r="I398" s="307"/>
      <c r="J398" s="307"/>
      <c r="K398" s="307"/>
      <c r="L398" s="307"/>
      <c r="M398" s="307"/>
      <c r="N398" s="307"/>
      <c r="O398" s="307"/>
      <c r="P398" s="307"/>
      <c r="Q398" s="307"/>
      <c r="R398" s="307"/>
      <c r="S398" s="307"/>
      <c r="T398" s="307"/>
      <c r="U398" s="307"/>
      <c r="V398" s="307"/>
      <c r="W398" s="307"/>
      <c r="X398" s="307"/>
      <c r="Y398" s="307"/>
      <c r="Z398" s="307"/>
      <c r="AA398" s="307"/>
      <c r="AB398" s="307"/>
      <c r="AC398" s="307"/>
      <c r="AD398" s="307"/>
      <c r="AE398" s="307"/>
      <c r="AF398" s="307"/>
      <c r="AG398" s="307"/>
      <c r="AH398" s="307"/>
      <c r="AI398" s="307"/>
      <c r="AJ398" s="307"/>
      <c r="AK398" s="307"/>
      <c r="AL398" s="307"/>
    </row>
    <row r="399" customFormat="false" ht="12.75" hidden="false" customHeight="false" outlineLevel="0" collapsed="false">
      <c r="A399" s="307"/>
      <c r="B399" s="307"/>
      <c r="C399" s="307"/>
      <c r="D399" s="307"/>
      <c r="E399" s="307"/>
      <c r="F399" s="307"/>
      <c r="G399" s="307"/>
      <c r="H399" s="307"/>
      <c r="I399" s="307"/>
      <c r="J399" s="307"/>
      <c r="K399" s="307"/>
      <c r="L399" s="307"/>
      <c r="M399" s="307"/>
      <c r="N399" s="307"/>
      <c r="O399" s="307"/>
      <c r="P399" s="307"/>
      <c r="Q399" s="307"/>
      <c r="R399" s="307"/>
      <c r="S399" s="307"/>
      <c r="T399" s="307"/>
      <c r="U399" s="307"/>
      <c r="V399" s="307"/>
      <c r="W399" s="307"/>
      <c r="X399" s="307"/>
      <c r="Y399" s="307"/>
      <c r="Z399" s="307"/>
      <c r="AA399" s="307"/>
      <c r="AB399" s="307"/>
      <c r="AC399" s="307"/>
      <c r="AD399" s="307"/>
      <c r="AE399" s="307"/>
      <c r="AF399" s="307"/>
      <c r="AG399" s="307"/>
      <c r="AH399" s="307"/>
      <c r="AI399" s="307"/>
      <c r="AJ399" s="307"/>
      <c r="AK399" s="307"/>
      <c r="AL399" s="307"/>
    </row>
    <row r="400" customFormat="false" ht="12.75" hidden="false" customHeight="false" outlineLevel="0" collapsed="false">
      <c r="A400" s="307"/>
      <c r="B400" s="307"/>
      <c r="C400" s="307"/>
      <c r="D400" s="307"/>
      <c r="E400" s="307"/>
      <c r="F400" s="307"/>
      <c r="G400" s="307"/>
      <c r="H400" s="307"/>
      <c r="I400" s="307"/>
      <c r="J400" s="307"/>
      <c r="K400" s="307"/>
      <c r="L400" s="307"/>
      <c r="M400" s="307"/>
      <c r="N400" s="307"/>
      <c r="O400" s="307"/>
      <c r="P400" s="307"/>
      <c r="Q400" s="307"/>
      <c r="R400" s="307"/>
      <c r="S400" s="307"/>
      <c r="T400" s="307"/>
      <c r="U400" s="307"/>
      <c r="V400" s="307"/>
      <c r="W400" s="307"/>
      <c r="X400" s="307"/>
      <c r="Y400" s="307"/>
      <c r="Z400" s="307"/>
      <c r="AA400" s="307"/>
      <c r="AB400" s="307"/>
      <c r="AC400" s="307"/>
      <c r="AD400" s="307"/>
      <c r="AE400" s="307"/>
      <c r="AF400" s="307"/>
      <c r="AG400" s="307"/>
      <c r="AH400" s="307"/>
      <c r="AI400" s="307"/>
      <c r="AJ400" s="307"/>
      <c r="AK400" s="307"/>
      <c r="AL400" s="307"/>
    </row>
    <row r="401" customFormat="false" ht="12.75" hidden="false" customHeight="false" outlineLevel="0" collapsed="false">
      <c r="A401" s="307"/>
      <c r="B401" s="307"/>
      <c r="C401" s="307"/>
      <c r="D401" s="307"/>
      <c r="E401" s="307"/>
      <c r="F401" s="307"/>
      <c r="G401" s="307"/>
      <c r="H401" s="307"/>
      <c r="I401" s="307"/>
      <c r="J401" s="307"/>
      <c r="K401" s="307"/>
      <c r="L401" s="307"/>
      <c r="M401" s="307"/>
      <c r="N401" s="307"/>
      <c r="O401" s="307"/>
      <c r="P401" s="307"/>
      <c r="Q401" s="307"/>
      <c r="R401" s="307"/>
      <c r="S401" s="307"/>
      <c r="T401" s="307"/>
      <c r="U401" s="307"/>
      <c r="V401" s="307"/>
      <c r="W401" s="307"/>
      <c r="X401" s="307"/>
      <c r="Y401" s="307"/>
      <c r="Z401" s="307"/>
      <c r="AA401" s="307"/>
      <c r="AB401" s="307"/>
      <c r="AC401" s="307"/>
      <c r="AD401" s="307"/>
      <c r="AE401" s="307"/>
      <c r="AF401" s="307"/>
      <c r="AG401" s="307"/>
      <c r="AH401" s="307"/>
      <c r="AI401" s="307"/>
      <c r="AJ401" s="307"/>
      <c r="AK401" s="307"/>
      <c r="AL401" s="307"/>
    </row>
    <row r="402" customFormat="false" ht="12.75" hidden="false" customHeight="false" outlineLevel="0" collapsed="false">
      <c r="A402" s="307"/>
      <c r="B402" s="307"/>
      <c r="C402" s="307"/>
      <c r="D402" s="307"/>
      <c r="E402" s="307"/>
      <c r="F402" s="307"/>
      <c r="G402" s="307"/>
      <c r="H402" s="307"/>
      <c r="I402" s="307"/>
      <c r="J402" s="307"/>
      <c r="K402" s="307"/>
      <c r="L402" s="307"/>
      <c r="M402" s="307"/>
      <c r="N402" s="307"/>
      <c r="O402" s="307"/>
      <c r="P402" s="307"/>
      <c r="Q402" s="307"/>
      <c r="R402" s="307"/>
      <c r="S402" s="307"/>
      <c r="T402" s="307"/>
      <c r="U402" s="307"/>
      <c r="V402" s="307"/>
      <c r="W402" s="307"/>
      <c r="X402" s="307"/>
      <c r="Y402" s="307"/>
      <c r="Z402" s="307"/>
      <c r="AA402" s="307"/>
      <c r="AB402" s="307"/>
      <c r="AC402" s="307"/>
      <c r="AD402" s="307"/>
      <c r="AE402" s="307"/>
      <c r="AF402" s="307"/>
      <c r="AG402" s="307"/>
      <c r="AH402" s="307"/>
      <c r="AI402" s="307"/>
      <c r="AJ402" s="307"/>
      <c r="AK402" s="307"/>
      <c r="AL402" s="307"/>
    </row>
    <row r="403" customFormat="false" ht="12.75" hidden="false" customHeight="false" outlineLevel="0" collapsed="false">
      <c r="A403" s="307"/>
      <c r="B403" s="307"/>
      <c r="C403" s="307"/>
      <c r="D403" s="307"/>
      <c r="E403" s="307"/>
      <c r="F403" s="307"/>
      <c r="G403" s="307"/>
      <c r="H403" s="307"/>
      <c r="I403" s="307"/>
      <c r="J403" s="307"/>
      <c r="K403" s="307"/>
      <c r="L403" s="307"/>
      <c r="M403" s="307"/>
      <c r="N403" s="307"/>
      <c r="O403" s="307"/>
      <c r="P403" s="307"/>
      <c r="Q403" s="307"/>
      <c r="R403" s="307"/>
      <c r="S403" s="307"/>
      <c r="T403" s="307"/>
      <c r="U403" s="307"/>
      <c r="V403" s="307"/>
      <c r="W403" s="307"/>
      <c r="X403" s="307"/>
      <c r="Y403" s="307"/>
      <c r="Z403" s="307"/>
      <c r="AA403" s="307"/>
      <c r="AB403" s="307"/>
      <c r="AC403" s="307"/>
      <c r="AD403" s="307"/>
      <c r="AE403" s="307"/>
      <c r="AF403" s="307"/>
      <c r="AG403" s="307"/>
      <c r="AH403" s="307"/>
      <c r="AI403" s="307"/>
      <c r="AJ403" s="307"/>
      <c r="AK403" s="307"/>
      <c r="AL403" s="307"/>
    </row>
    <row r="404" customFormat="false" ht="12.75" hidden="false" customHeight="false" outlineLevel="0" collapsed="false">
      <c r="A404" s="307"/>
      <c r="B404" s="307"/>
      <c r="C404" s="307"/>
      <c r="D404" s="307"/>
      <c r="E404" s="307"/>
      <c r="F404" s="307"/>
      <c r="G404" s="307"/>
      <c r="H404" s="307"/>
      <c r="I404" s="307"/>
      <c r="J404" s="307"/>
      <c r="K404" s="307"/>
      <c r="L404" s="307"/>
      <c r="M404" s="307"/>
      <c r="N404" s="307"/>
      <c r="O404" s="307"/>
      <c r="P404" s="307"/>
      <c r="Q404" s="307"/>
      <c r="R404" s="307"/>
      <c r="S404" s="307"/>
      <c r="T404" s="307"/>
      <c r="U404" s="307"/>
      <c r="V404" s="307"/>
      <c r="W404" s="307"/>
      <c r="X404" s="307"/>
      <c r="Y404" s="307"/>
      <c r="Z404" s="307"/>
      <c r="AA404" s="307"/>
      <c r="AB404" s="307"/>
      <c r="AC404" s="307"/>
      <c r="AD404" s="307"/>
      <c r="AE404" s="307"/>
      <c r="AF404" s="307"/>
      <c r="AG404" s="307"/>
      <c r="AH404" s="307"/>
      <c r="AI404" s="307"/>
      <c r="AJ404" s="307"/>
      <c r="AK404" s="307"/>
      <c r="AL404" s="307"/>
    </row>
    <row r="405" customFormat="false" ht="12.75" hidden="false" customHeight="false" outlineLevel="0" collapsed="false">
      <c r="A405" s="307"/>
      <c r="B405" s="307"/>
      <c r="C405" s="307"/>
      <c r="D405" s="307"/>
      <c r="E405" s="307"/>
      <c r="F405" s="307"/>
      <c r="G405" s="307"/>
      <c r="H405" s="307"/>
      <c r="I405" s="307"/>
      <c r="J405" s="307"/>
      <c r="K405" s="307"/>
      <c r="L405" s="307"/>
      <c r="M405" s="307"/>
      <c r="N405" s="307"/>
      <c r="O405" s="307"/>
      <c r="P405" s="307"/>
      <c r="Q405" s="307"/>
      <c r="R405" s="307"/>
      <c r="S405" s="307"/>
      <c r="T405" s="307"/>
      <c r="U405" s="307"/>
      <c r="V405" s="307"/>
      <c r="W405" s="307"/>
      <c r="X405" s="307"/>
      <c r="Y405" s="307"/>
      <c r="Z405" s="307"/>
      <c r="AA405" s="307"/>
      <c r="AB405" s="307"/>
      <c r="AC405" s="307"/>
      <c r="AD405" s="307"/>
      <c r="AE405" s="307"/>
      <c r="AF405" s="307"/>
      <c r="AG405" s="307"/>
      <c r="AH405" s="307"/>
      <c r="AI405" s="307"/>
      <c r="AJ405" s="307"/>
      <c r="AK405" s="307"/>
      <c r="AL405" s="307"/>
    </row>
    <row r="406" customFormat="false" ht="12.75" hidden="false" customHeight="false" outlineLevel="0" collapsed="false">
      <c r="A406" s="307"/>
      <c r="B406" s="307"/>
      <c r="C406" s="307"/>
      <c r="D406" s="307"/>
      <c r="E406" s="307"/>
      <c r="F406" s="307"/>
      <c r="G406" s="307"/>
      <c r="H406" s="307"/>
      <c r="I406" s="307"/>
      <c r="J406" s="307"/>
      <c r="K406" s="307"/>
      <c r="L406" s="307"/>
      <c r="M406" s="307"/>
      <c r="N406" s="307"/>
      <c r="O406" s="307"/>
      <c r="P406" s="307"/>
      <c r="Q406" s="307"/>
      <c r="R406" s="307"/>
      <c r="S406" s="307"/>
      <c r="T406" s="307"/>
      <c r="U406" s="307"/>
      <c r="V406" s="307"/>
      <c r="W406" s="307"/>
      <c r="X406" s="307"/>
      <c r="Y406" s="307"/>
      <c r="Z406" s="307"/>
      <c r="AA406" s="307"/>
      <c r="AB406" s="307"/>
      <c r="AC406" s="307"/>
      <c r="AD406" s="307"/>
      <c r="AE406" s="307"/>
      <c r="AF406" s="307"/>
      <c r="AG406" s="307"/>
      <c r="AH406" s="307"/>
      <c r="AI406" s="307"/>
      <c r="AJ406" s="307"/>
      <c r="AK406" s="307"/>
      <c r="AL406" s="307"/>
    </row>
    <row r="407" customFormat="false" ht="12.75" hidden="false" customHeight="false" outlineLevel="0" collapsed="false">
      <c r="A407" s="307"/>
      <c r="B407" s="307"/>
      <c r="C407" s="307"/>
      <c r="D407" s="307"/>
      <c r="E407" s="307"/>
      <c r="F407" s="307"/>
      <c r="G407" s="307"/>
      <c r="H407" s="307"/>
      <c r="I407" s="307"/>
      <c r="J407" s="307"/>
      <c r="K407" s="307"/>
      <c r="L407" s="307"/>
      <c r="M407" s="307"/>
      <c r="N407" s="307"/>
      <c r="O407" s="307"/>
      <c r="P407" s="307"/>
      <c r="Q407" s="307"/>
      <c r="R407" s="307"/>
      <c r="S407" s="307"/>
      <c r="T407" s="307"/>
      <c r="U407" s="307"/>
      <c r="V407" s="307"/>
      <c r="W407" s="307"/>
      <c r="X407" s="307"/>
      <c r="Y407" s="307"/>
      <c r="Z407" s="307"/>
      <c r="AA407" s="307"/>
      <c r="AB407" s="307"/>
      <c r="AC407" s="307"/>
      <c r="AD407" s="307"/>
      <c r="AE407" s="307"/>
      <c r="AF407" s="307"/>
      <c r="AG407" s="307"/>
      <c r="AH407" s="307"/>
      <c r="AI407" s="307"/>
      <c r="AJ407" s="307"/>
      <c r="AK407" s="307"/>
      <c r="AL407" s="307"/>
    </row>
    <row r="408" customFormat="false" ht="12.75" hidden="false" customHeight="false" outlineLevel="0" collapsed="false">
      <c r="A408" s="307"/>
      <c r="B408" s="307"/>
      <c r="C408" s="307"/>
      <c r="D408" s="307"/>
      <c r="E408" s="307"/>
      <c r="F408" s="307"/>
      <c r="G408" s="307"/>
      <c r="H408" s="307"/>
      <c r="I408" s="307"/>
      <c r="J408" s="307"/>
      <c r="K408" s="307"/>
      <c r="L408" s="307"/>
      <c r="M408" s="307"/>
      <c r="N408" s="307"/>
      <c r="O408" s="307"/>
      <c r="P408" s="307"/>
      <c r="Q408" s="307"/>
      <c r="R408" s="307"/>
      <c r="S408" s="307"/>
      <c r="T408" s="307"/>
      <c r="U408" s="307"/>
      <c r="V408" s="307"/>
      <c r="W408" s="307"/>
      <c r="X408" s="307"/>
      <c r="Y408" s="307"/>
      <c r="Z408" s="307"/>
      <c r="AA408" s="307"/>
      <c r="AB408" s="307"/>
      <c r="AC408" s="307"/>
      <c r="AD408" s="307"/>
      <c r="AE408" s="307"/>
      <c r="AF408" s="307"/>
      <c r="AG408" s="307"/>
      <c r="AH408" s="307"/>
      <c r="AI408" s="307"/>
      <c r="AJ408" s="307"/>
      <c r="AK408" s="307"/>
      <c r="AL408" s="307"/>
    </row>
    <row r="409" customFormat="false" ht="12.75" hidden="false" customHeight="false" outlineLevel="0" collapsed="false">
      <c r="A409" s="307"/>
      <c r="B409" s="307"/>
      <c r="C409" s="307"/>
      <c r="D409" s="307"/>
      <c r="E409" s="307"/>
      <c r="F409" s="307"/>
      <c r="G409" s="307"/>
      <c r="H409" s="307"/>
      <c r="I409" s="307"/>
      <c r="J409" s="307"/>
      <c r="K409" s="307"/>
      <c r="L409" s="307"/>
      <c r="M409" s="307"/>
      <c r="N409" s="307"/>
      <c r="O409" s="307"/>
      <c r="P409" s="307"/>
      <c r="Q409" s="307"/>
      <c r="R409" s="307"/>
      <c r="S409" s="307"/>
      <c r="T409" s="307"/>
      <c r="U409" s="307"/>
      <c r="V409" s="307"/>
      <c r="W409" s="307"/>
      <c r="X409" s="307"/>
      <c r="Y409" s="307"/>
      <c r="Z409" s="307"/>
      <c r="AA409" s="307"/>
      <c r="AB409" s="307"/>
      <c r="AC409" s="307"/>
      <c r="AD409" s="307"/>
      <c r="AE409" s="307"/>
      <c r="AF409" s="307"/>
      <c r="AG409" s="307"/>
      <c r="AH409" s="307"/>
      <c r="AI409" s="307"/>
      <c r="AJ409" s="307"/>
      <c r="AK409" s="307"/>
      <c r="AL409" s="307"/>
    </row>
    <row r="410" customFormat="false" ht="12.75" hidden="false" customHeight="false" outlineLevel="0" collapsed="false">
      <c r="A410" s="307"/>
      <c r="B410" s="307"/>
      <c r="C410" s="307"/>
      <c r="D410" s="307"/>
      <c r="E410" s="307"/>
      <c r="F410" s="307"/>
      <c r="G410" s="307"/>
      <c r="H410" s="307"/>
      <c r="I410" s="307"/>
      <c r="J410" s="307"/>
      <c r="K410" s="307"/>
      <c r="L410" s="307"/>
      <c r="M410" s="307"/>
      <c r="N410" s="307"/>
      <c r="O410" s="307"/>
      <c r="P410" s="307"/>
      <c r="Q410" s="307"/>
      <c r="R410" s="307"/>
      <c r="S410" s="307"/>
      <c r="T410" s="307"/>
      <c r="U410" s="307"/>
      <c r="V410" s="307"/>
      <c r="W410" s="307"/>
      <c r="X410" s="307"/>
      <c r="Y410" s="307"/>
      <c r="Z410" s="307"/>
      <c r="AA410" s="307"/>
      <c r="AB410" s="307"/>
      <c r="AC410" s="307"/>
      <c r="AD410" s="307"/>
      <c r="AE410" s="307"/>
      <c r="AF410" s="307"/>
      <c r="AG410" s="307"/>
      <c r="AH410" s="307"/>
      <c r="AI410" s="307"/>
      <c r="AJ410" s="307"/>
      <c r="AK410" s="307"/>
      <c r="AL410" s="307"/>
    </row>
    <row r="411" customFormat="false" ht="12.75" hidden="false" customHeight="false" outlineLevel="0" collapsed="false">
      <c r="A411" s="307"/>
      <c r="B411" s="307"/>
      <c r="C411" s="307"/>
      <c r="D411" s="307"/>
      <c r="E411" s="307"/>
      <c r="F411" s="307"/>
      <c r="G411" s="307"/>
      <c r="H411" s="307"/>
      <c r="I411" s="307"/>
      <c r="J411" s="307"/>
      <c r="K411" s="307"/>
      <c r="L411" s="307"/>
      <c r="M411" s="307"/>
      <c r="N411" s="307"/>
      <c r="O411" s="307"/>
      <c r="P411" s="307"/>
      <c r="Q411" s="307"/>
      <c r="R411" s="307"/>
      <c r="S411" s="307"/>
      <c r="T411" s="307"/>
      <c r="U411" s="307"/>
      <c r="V411" s="307"/>
      <c r="W411" s="307"/>
      <c r="X411" s="307"/>
      <c r="Y411" s="307"/>
      <c r="Z411" s="307"/>
      <c r="AA411" s="307"/>
      <c r="AB411" s="307"/>
      <c r="AC411" s="307"/>
      <c r="AD411" s="307"/>
      <c r="AE411" s="307"/>
      <c r="AF411" s="307"/>
      <c r="AG411" s="307"/>
      <c r="AH411" s="307"/>
      <c r="AI411" s="307"/>
      <c r="AJ411" s="307"/>
      <c r="AK411" s="307"/>
      <c r="AL411" s="307"/>
    </row>
    <row r="412" customFormat="false" ht="12.75" hidden="false" customHeight="false" outlineLevel="0" collapsed="false">
      <c r="A412" s="307"/>
      <c r="B412" s="307"/>
      <c r="C412" s="307"/>
      <c r="D412" s="307"/>
      <c r="E412" s="307"/>
      <c r="F412" s="307"/>
      <c r="G412" s="307"/>
      <c r="H412" s="307"/>
      <c r="I412" s="307"/>
      <c r="J412" s="307"/>
      <c r="K412" s="307"/>
      <c r="L412" s="307"/>
      <c r="M412" s="307"/>
      <c r="N412" s="307"/>
      <c r="O412" s="307"/>
      <c r="P412" s="307"/>
      <c r="Q412" s="307"/>
      <c r="R412" s="307"/>
      <c r="S412" s="307"/>
      <c r="T412" s="307"/>
      <c r="U412" s="307"/>
      <c r="V412" s="307"/>
      <c r="W412" s="307"/>
      <c r="X412" s="307"/>
      <c r="Y412" s="307"/>
      <c r="Z412" s="307"/>
      <c r="AA412" s="307"/>
      <c r="AB412" s="307"/>
      <c r="AC412" s="307"/>
      <c r="AD412" s="307"/>
      <c r="AE412" s="307"/>
      <c r="AF412" s="307"/>
      <c r="AG412" s="307"/>
      <c r="AH412" s="307"/>
      <c r="AI412" s="307"/>
      <c r="AJ412" s="307"/>
      <c r="AK412" s="307"/>
      <c r="AL412" s="307"/>
    </row>
    <row r="413" customFormat="false" ht="12.75" hidden="false" customHeight="false" outlineLevel="0" collapsed="false">
      <c r="A413" s="307"/>
      <c r="B413" s="307"/>
      <c r="C413" s="307"/>
      <c r="D413" s="307"/>
      <c r="E413" s="307"/>
      <c r="F413" s="307"/>
      <c r="G413" s="307"/>
      <c r="H413" s="307"/>
      <c r="I413" s="307"/>
      <c r="J413" s="307"/>
      <c r="K413" s="307"/>
      <c r="L413" s="307"/>
      <c r="M413" s="307"/>
      <c r="N413" s="307"/>
      <c r="O413" s="307"/>
      <c r="P413" s="307"/>
      <c r="Q413" s="307"/>
      <c r="R413" s="307"/>
      <c r="S413" s="307"/>
      <c r="T413" s="307"/>
      <c r="U413" s="307"/>
      <c r="V413" s="307"/>
      <c r="W413" s="307"/>
      <c r="X413" s="307"/>
      <c r="Y413" s="307"/>
      <c r="Z413" s="307"/>
      <c r="AA413" s="307"/>
      <c r="AB413" s="307"/>
      <c r="AC413" s="307"/>
      <c r="AD413" s="307"/>
      <c r="AE413" s="307"/>
      <c r="AF413" s="307"/>
      <c r="AG413" s="307"/>
      <c r="AH413" s="307"/>
      <c r="AI413" s="307"/>
      <c r="AJ413" s="307"/>
      <c r="AK413" s="307"/>
      <c r="AL413" s="307"/>
    </row>
    <row r="414" customFormat="false" ht="12.75" hidden="false" customHeight="false" outlineLevel="0" collapsed="false">
      <c r="A414" s="307"/>
      <c r="B414" s="307"/>
      <c r="C414" s="307"/>
      <c r="D414" s="307"/>
      <c r="E414" s="307"/>
      <c r="F414" s="307"/>
      <c r="G414" s="307"/>
      <c r="H414" s="307"/>
      <c r="I414" s="307"/>
      <c r="J414" s="307"/>
      <c r="K414" s="307"/>
      <c r="L414" s="307"/>
      <c r="M414" s="307"/>
      <c r="N414" s="307"/>
      <c r="O414" s="307"/>
      <c r="P414" s="307"/>
      <c r="Q414" s="307"/>
      <c r="R414" s="307"/>
      <c r="S414" s="307"/>
      <c r="T414" s="307"/>
      <c r="U414" s="307"/>
      <c r="V414" s="307"/>
      <c r="W414" s="307"/>
      <c r="X414" s="307"/>
      <c r="Y414" s="307"/>
      <c r="Z414" s="307"/>
      <c r="AA414" s="307"/>
      <c r="AB414" s="307"/>
      <c r="AC414" s="307"/>
      <c r="AD414" s="307"/>
      <c r="AE414" s="307"/>
      <c r="AF414" s="307"/>
      <c r="AG414" s="307"/>
      <c r="AH414" s="307"/>
      <c r="AI414" s="307"/>
      <c r="AJ414" s="307"/>
      <c r="AK414" s="307"/>
      <c r="AL414" s="307"/>
    </row>
    <row r="415" customFormat="false" ht="12.75" hidden="false" customHeight="false" outlineLevel="0" collapsed="false">
      <c r="A415" s="307"/>
      <c r="B415" s="307"/>
      <c r="C415" s="307"/>
      <c r="D415" s="307"/>
      <c r="E415" s="307"/>
      <c r="F415" s="307"/>
      <c r="G415" s="307"/>
      <c r="H415" s="307"/>
      <c r="I415" s="307"/>
      <c r="J415" s="307"/>
      <c r="K415" s="307"/>
      <c r="L415" s="307"/>
      <c r="M415" s="307"/>
      <c r="N415" s="307"/>
      <c r="O415" s="307"/>
      <c r="P415" s="307"/>
      <c r="Q415" s="307"/>
      <c r="R415" s="307"/>
      <c r="S415" s="307"/>
      <c r="T415" s="307"/>
      <c r="U415" s="307"/>
      <c r="V415" s="307"/>
      <c r="W415" s="307"/>
      <c r="X415" s="307"/>
      <c r="Y415" s="307"/>
      <c r="Z415" s="307"/>
      <c r="AA415" s="307"/>
      <c r="AB415" s="307"/>
      <c r="AC415" s="307"/>
      <c r="AD415" s="307"/>
      <c r="AE415" s="307"/>
      <c r="AF415" s="307"/>
      <c r="AG415" s="307"/>
      <c r="AH415" s="307"/>
      <c r="AI415" s="307"/>
      <c r="AJ415" s="307"/>
      <c r="AK415" s="307"/>
      <c r="AL415" s="307"/>
    </row>
    <row r="416" customFormat="false" ht="12.75" hidden="false" customHeight="false" outlineLevel="0" collapsed="false">
      <c r="A416" s="307"/>
      <c r="B416" s="307"/>
      <c r="C416" s="307"/>
      <c r="D416" s="307"/>
      <c r="E416" s="307"/>
      <c r="F416" s="307"/>
      <c r="G416" s="307"/>
      <c r="H416" s="307"/>
      <c r="I416" s="307"/>
      <c r="J416" s="307"/>
      <c r="K416" s="307"/>
      <c r="L416" s="307"/>
      <c r="M416" s="307"/>
      <c r="N416" s="307"/>
      <c r="O416" s="307"/>
      <c r="P416" s="307"/>
      <c r="Q416" s="307"/>
      <c r="R416" s="307"/>
      <c r="S416" s="307"/>
      <c r="T416" s="307"/>
      <c r="U416" s="307"/>
      <c r="V416" s="307"/>
      <c r="W416" s="307"/>
      <c r="X416" s="307"/>
      <c r="Y416" s="307"/>
      <c r="Z416" s="307"/>
      <c r="AA416" s="307"/>
      <c r="AB416" s="307"/>
      <c r="AC416" s="307"/>
      <c r="AD416" s="307"/>
      <c r="AE416" s="307"/>
      <c r="AF416" s="307"/>
      <c r="AG416" s="307"/>
      <c r="AH416" s="307"/>
      <c r="AI416" s="307"/>
      <c r="AJ416" s="307"/>
      <c r="AK416" s="307"/>
      <c r="AL416" s="307"/>
    </row>
    <row r="417" customFormat="false" ht="12.75" hidden="false" customHeight="false" outlineLevel="0" collapsed="false">
      <c r="A417" s="307"/>
      <c r="B417" s="307"/>
      <c r="C417" s="307"/>
      <c r="D417" s="307"/>
      <c r="E417" s="307"/>
      <c r="F417" s="307"/>
      <c r="G417" s="307"/>
      <c r="H417" s="307"/>
      <c r="I417" s="307"/>
      <c r="J417" s="307"/>
      <c r="K417" s="307"/>
      <c r="L417" s="307"/>
      <c r="M417" s="307"/>
      <c r="N417" s="307"/>
      <c r="O417" s="307"/>
      <c r="P417" s="307"/>
      <c r="Q417" s="307"/>
      <c r="R417" s="307"/>
      <c r="S417" s="307"/>
      <c r="T417" s="307"/>
      <c r="U417" s="307"/>
      <c r="V417" s="307"/>
      <c r="W417" s="307"/>
      <c r="X417" s="307"/>
      <c r="Y417" s="307"/>
      <c r="Z417" s="307"/>
      <c r="AA417" s="307"/>
      <c r="AB417" s="307"/>
      <c r="AC417" s="307"/>
      <c r="AD417" s="307"/>
      <c r="AE417" s="307"/>
      <c r="AF417" s="307"/>
      <c r="AG417" s="307"/>
      <c r="AH417" s="307"/>
      <c r="AI417" s="307"/>
      <c r="AJ417" s="307"/>
      <c r="AK417" s="307"/>
      <c r="AL417" s="307"/>
    </row>
    <row r="418" customFormat="false" ht="12.75" hidden="false" customHeight="false" outlineLevel="0" collapsed="false">
      <c r="A418" s="307"/>
      <c r="B418" s="307"/>
      <c r="C418" s="307"/>
      <c r="D418" s="307"/>
      <c r="E418" s="307"/>
      <c r="F418" s="307"/>
      <c r="G418" s="307"/>
      <c r="H418" s="307"/>
      <c r="I418" s="307"/>
      <c r="J418" s="307"/>
      <c r="K418" s="307"/>
      <c r="L418" s="307"/>
      <c r="M418" s="307"/>
      <c r="N418" s="307"/>
      <c r="O418" s="307"/>
      <c r="P418" s="307"/>
      <c r="Q418" s="307"/>
      <c r="R418" s="307"/>
      <c r="S418" s="307"/>
      <c r="T418" s="307"/>
      <c r="U418" s="307"/>
      <c r="V418" s="307"/>
      <c r="W418" s="307"/>
      <c r="X418" s="307"/>
      <c r="Y418" s="307"/>
      <c r="Z418" s="307"/>
      <c r="AA418" s="307"/>
      <c r="AB418" s="307"/>
      <c r="AC418" s="307"/>
      <c r="AD418" s="307"/>
      <c r="AE418" s="307"/>
      <c r="AF418" s="307"/>
      <c r="AG418" s="307"/>
      <c r="AH418" s="307"/>
      <c r="AI418" s="307"/>
      <c r="AJ418" s="307"/>
      <c r="AK418" s="307"/>
      <c r="AL418" s="307"/>
    </row>
    <row r="419" customFormat="false" ht="12.75" hidden="false" customHeight="false" outlineLevel="0" collapsed="false">
      <c r="A419" s="307"/>
      <c r="B419" s="307"/>
      <c r="C419" s="307"/>
      <c r="D419" s="307"/>
      <c r="E419" s="307"/>
      <c r="F419" s="307"/>
      <c r="G419" s="307"/>
      <c r="H419" s="307"/>
      <c r="I419" s="307"/>
      <c r="J419" s="307"/>
      <c r="K419" s="307"/>
      <c r="L419" s="307"/>
      <c r="M419" s="307"/>
      <c r="N419" s="307"/>
      <c r="O419" s="307"/>
      <c r="P419" s="307"/>
      <c r="Q419" s="307"/>
      <c r="R419" s="307"/>
      <c r="S419" s="307"/>
      <c r="T419" s="307"/>
      <c r="U419" s="307"/>
      <c r="V419" s="307"/>
      <c r="W419" s="307"/>
      <c r="X419" s="307"/>
      <c r="Y419" s="307"/>
      <c r="Z419" s="307"/>
      <c r="AA419" s="307"/>
      <c r="AB419" s="307"/>
      <c r="AC419" s="307"/>
      <c r="AD419" s="307"/>
      <c r="AE419" s="307"/>
      <c r="AF419" s="307"/>
      <c r="AG419" s="307"/>
      <c r="AH419" s="307"/>
      <c r="AI419" s="307"/>
      <c r="AJ419" s="307"/>
      <c r="AK419" s="307"/>
      <c r="AL419" s="307"/>
    </row>
    <row r="420" customFormat="false" ht="12.75" hidden="false" customHeight="false" outlineLevel="0" collapsed="false">
      <c r="A420" s="307"/>
      <c r="B420" s="307"/>
      <c r="C420" s="307"/>
      <c r="D420" s="307"/>
      <c r="E420" s="307"/>
      <c r="F420" s="307"/>
      <c r="G420" s="307"/>
      <c r="H420" s="307"/>
      <c r="I420" s="307"/>
      <c r="J420" s="307"/>
      <c r="K420" s="307"/>
      <c r="L420" s="307"/>
      <c r="M420" s="307"/>
      <c r="N420" s="307"/>
      <c r="O420" s="307"/>
      <c r="P420" s="307"/>
      <c r="Q420" s="307"/>
      <c r="R420" s="307"/>
      <c r="S420" s="307"/>
      <c r="T420" s="307"/>
      <c r="U420" s="307"/>
      <c r="V420" s="307"/>
      <c r="W420" s="307"/>
      <c r="X420" s="307"/>
      <c r="Y420" s="307"/>
      <c r="Z420" s="307"/>
      <c r="AA420" s="307"/>
      <c r="AB420" s="307"/>
      <c r="AC420" s="307"/>
      <c r="AD420" s="307"/>
      <c r="AE420" s="307"/>
      <c r="AF420" s="307"/>
      <c r="AG420" s="307"/>
      <c r="AH420" s="307"/>
      <c r="AI420" s="307"/>
      <c r="AJ420" s="307"/>
      <c r="AK420" s="307"/>
      <c r="AL420" s="307"/>
    </row>
    <row r="421" customFormat="false" ht="12.75" hidden="false" customHeight="false" outlineLevel="0" collapsed="false">
      <c r="A421" s="307"/>
      <c r="B421" s="307"/>
      <c r="C421" s="307"/>
      <c r="D421" s="307"/>
      <c r="E421" s="307"/>
      <c r="F421" s="307"/>
      <c r="G421" s="307"/>
      <c r="H421" s="307"/>
      <c r="I421" s="307"/>
      <c r="J421" s="307"/>
      <c r="K421" s="307"/>
      <c r="L421" s="307"/>
      <c r="M421" s="307"/>
      <c r="N421" s="307"/>
      <c r="O421" s="307"/>
      <c r="P421" s="307"/>
      <c r="Q421" s="307"/>
      <c r="R421" s="307"/>
      <c r="S421" s="307"/>
      <c r="T421" s="307"/>
      <c r="U421" s="307"/>
      <c r="V421" s="307"/>
      <c r="W421" s="307"/>
      <c r="X421" s="307"/>
      <c r="Y421" s="307"/>
      <c r="Z421" s="307"/>
      <c r="AA421" s="307"/>
      <c r="AB421" s="307"/>
      <c r="AC421" s="307"/>
      <c r="AD421" s="307"/>
      <c r="AE421" s="307"/>
      <c r="AF421" s="307"/>
      <c r="AG421" s="307"/>
      <c r="AH421" s="307"/>
      <c r="AI421" s="307"/>
      <c r="AJ421" s="307"/>
      <c r="AK421" s="307"/>
      <c r="AL421" s="307"/>
    </row>
    <row r="422" customFormat="false" ht="12.75" hidden="false" customHeight="false" outlineLevel="0" collapsed="false">
      <c r="A422" s="307"/>
      <c r="B422" s="307"/>
      <c r="C422" s="307"/>
      <c r="D422" s="307"/>
      <c r="E422" s="307"/>
      <c r="F422" s="307"/>
      <c r="G422" s="307"/>
      <c r="H422" s="307"/>
      <c r="I422" s="307"/>
      <c r="J422" s="307"/>
      <c r="K422" s="307"/>
      <c r="L422" s="307"/>
      <c r="M422" s="307"/>
      <c r="N422" s="307"/>
      <c r="O422" s="307"/>
      <c r="P422" s="307"/>
      <c r="Q422" s="307"/>
      <c r="R422" s="307"/>
      <c r="S422" s="307"/>
      <c r="T422" s="307"/>
      <c r="U422" s="307"/>
      <c r="V422" s="307"/>
      <c r="W422" s="307"/>
      <c r="X422" s="307"/>
      <c r="Y422" s="307"/>
      <c r="Z422" s="307"/>
      <c r="AA422" s="307"/>
      <c r="AB422" s="307"/>
      <c r="AC422" s="307"/>
      <c r="AD422" s="307"/>
      <c r="AE422" s="307"/>
      <c r="AF422" s="307"/>
      <c r="AG422" s="307"/>
      <c r="AH422" s="307"/>
      <c r="AI422" s="307"/>
      <c r="AJ422" s="307"/>
      <c r="AK422" s="307"/>
      <c r="AL422" s="307"/>
    </row>
    <row r="423" customFormat="false" ht="12.75" hidden="false" customHeight="false" outlineLevel="0" collapsed="false">
      <c r="A423" s="307"/>
      <c r="B423" s="307"/>
      <c r="C423" s="307"/>
      <c r="D423" s="307"/>
      <c r="E423" s="307"/>
      <c r="F423" s="307"/>
      <c r="G423" s="307"/>
      <c r="H423" s="307"/>
      <c r="I423" s="307"/>
      <c r="J423" s="307"/>
      <c r="K423" s="307"/>
      <c r="L423" s="307"/>
      <c r="M423" s="307"/>
      <c r="N423" s="307"/>
      <c r="O423" s="307"/>
      <c r="P423" s="307"/>
      <c r="Q423" s="307"/>
      <c r="R423" s="307"/>
      <c r="S423" s="307"/>
      <c r="T423" s="307"/>
      <c r="U423" s="307"/>
      <c r="V423" s="307"/>
      <c r="W423" s="307"/>
      <c r="X423" s="307"/>
      <c r="Y423" s="307"/>
      <c r="Z423" s="307"/>
      <c r="AA423" s="307"/>
      <c r="AB423" s="307"/>
      <c r="AC423" s="307"/>
      <c r="AD423" s="307"/>
      <c r="AE423" s="307"/>
      <c r="AF423" s="307"/>
      <c r="AG423" s="307"/>
      <c r="AH423" s="307"/>
      <c r="AI423" s="307"/>
      <c r="AJ423" s="307"/>
      <c r="AK423" s="307"/>
      <c r="AL423" s="307"/>
    </row>
    <row r="424" customFormat="false" ht="12.75" hidden="false" customHeight="false" outlineLevel="0" collapsed="false">
      <c r="A424" s="307"/>
      <c r="B424" s="307"/>
      <c r="C424" s="307"/>
      <c r="D424" s="307"/>
      <c r="E424" s="307"/>
      <c r="F424" s="307"/>
      <c r="G424" s="307"/>
      <c r="H424" s="307"/>
      <c r="I424" s="307"/>
      <c r="J424" s="307"/>
      <c r="K424" s="307"/>
      <c r="L424" s="307"/>
      <c r="M424" s="307"/>
      <c r="N424" s="307"/>
      <c r="O424" s="307"/>
      <c r="P424" s="307"/>
      <c r="Q424" s="307"/>
      <c r="R424" s="307"/>
      <c r="S424" s="307"/>
      <c r="T424" s="307"/>
      <c r="U424" s="307"/>
      <c r="V424" s="307"/>
      <c r="W424" s="307"/>
      <c r="X424" s="307"/>
      <c r="Y424" s="307"/>
      <c r="Z424" s="307"/>
      <c r="AA424" s="307"/>
      <c r="AB424" s="307"/>
      <c r="AC424" s="307"/>
      <c r="AD424" s="307"/>
      <c r="AE424" s="307"/>
      <c r="AF424" s="307"/>
      <c r="AG424" s="307"/>
      <c r="AH424" s="307"/>
      <c r="AI424" s="307"/>
      <c r="AJ424" s="307"/>
      <c r="AK424" s="307"/>
      <c r="AL424" s="307"/>
    </row>
    <row r="425" customFormat="false" ht="12.75" hidden="false" customHeight="false" outlineLevel="0" collapsed="false">
      <c r="A425" s="307"/>
      <c r="B425" s="307"/>
      <c r="C425" s="307"/>
      <c r="D425" s="307"/>
      <c r="E425" s="307"/>
      <c r="F425" s="307"/>
      <c r="G425" s="307"/>
      <c r="H425" s="307"/>
      <c r="I425" s="307"/>
      <c r="J425" s="307"/>
      <c r="K425" s="307"/>
      <c r="L425" s="307"/>
      <c r="M425" s="307"/>
      <c r="N425" s="307"/>
      <c r="O425" s="307"/>
      <c r="P425" s="307"/>
      <c r="Q425" s="307"/>
      <c r="R425" s="307"/>
      <c r="S425" s="307"/>
      <c r="T425" s="307"/>
      <c r="U425" s="307"/>
      <c r="V425" s="307"/>
      <c r="W425" s="307"/>
      <c r="X425" s="307"/>
      <c r="Y425" s="307"/>
      <c r="Z425" s="307"/>
      <c r="AA425" s="307"/>
      <c r="AB425" s="307"/>
      <c r="AC425" s="307"/>
      <c r="AD425" s="307"/>
      <c r="AE425" s="307"/>
      <c r="AF425" s="307"/>
      <c r="AG425" s="307"/>
      <c r="AH425" s="307"/>
      <c r="AI425" s="307"/>
      <c r="AJ425" s="307"/>
      <c r="AK425" s="307"/>
      <c r="AL425" s="307"/>
    </row>
    <row r="426" customFormat="false" ht="12.75" hidden="false" customHeight="false" outlineLevel="0" collapsed="false">
      <c r="A426" s="307"/>
      <c r="B426" s="307"/>
      <c r="C426" s="307"/>
      <c r="D426" s="307"/>
      <c r="E426" s="307"/>
      <c r="F426" s="307"/>
      <c r="G426" s="307"/>
      <c r="H426" s="307"/>
      <c r="I426" s="307"/>
      <c r="J426" s="307"/>
      <c r="K426" s="307"/>
      <c r="L426" s="307"/>
      <c r="M426" s="307"/>
      <c r="N426" s="307"/>
      <c r="O426" s="307"/>
      <c r="P426" s="307"/>
      <c r="Q426" s="307"/>
      <c r="R426" s="307"/>
      <c r="S426" s="307"/>
      <c r="T426" s="307"/>
      <c r="U426" s="307"/>
      <c r="V426" s="307"/>
      <c r="W426" s="307"/>
      <c r="X426" s="307"/>
      <c r="Y426" s="307"/>
      <c r="Z426" s="307"/>
      <c r="AA426" s="307"/>
      <c r="AB426" s="307"/>
      <c r="AC426" s="307"/>
      <c r="AD426" s="307"/>
      <c r="AE426" s="307"/>
      <c r="AF426" s="307"/>
      <c r="AG426" s="307"/>
      <c r="AH426" s="307"/>
      <c r="AI426" s="307"/>
      <c r="AJ426" s="307"/>
      <c r="AK426" s="307"/>
      <c r="AL426" s="307"/>
    </row>
    <row r="427" customFormat="false" ht="12.75" hidden="false" customHeight="false" outlineLevel="0" collapsed="false">
      <c r="A427" s="307"/>
      <c r="B427" s="307"/>
      <c r="C427" s="307"/>
      <c r="D427" s="307"/>
      <c r="E427" s="307"/>
      <c r="F427" s="307"/>
      <c r="G427" s="307"/>
      <c r="H427" s="307"/>
      <c r="I427" s="307"/>
      <c r="J427" s="307"/>
      <c r="K427" s="307"/>
      <c r="L427" s="307"/>
      <c r="M427" s="307"/>
      <c r="N427" s="307"/>
      <c r="O427" s="307"/>
      <c r="P427" s="307"/>
      <c r="Q427" s="307"/>
      <c r="R427" s="307"/>
      <c r="S427" s="307"/>
      <c r="T427" s="307"/>
      <c r="U427" s="307"/>
      <c r="V427" s="307"/>
      <c r="W427" s="307"/>
      <c r="X427" s="307"/>
      <c r="Y427" s="307"/>
      <c r="Z427" s="307"/>
      <c r="AA427" s="307"/>
      <c r="AB427" s="307"/>
      <c r="AC427" s="307"/>
      <c r="AD427" s="307"/>
      <c r="AE427" s="307"/>
      <c r="AF427" s="307"/>
      <c r="AG427" s="307"/>
      <c r="AH427" s="307"/>
      <c r="AI427" s="307"/>
      <c r="AJ427" s="307"/>
      <c r="AK427" s="307"/>
      <c r="AL427" s="307"/>
    </row>
    <row r="428" customFormat="false" ht="12.75" hidden="false" customHeight="false" outlineLevel="0" collapsed="false">
      <c r="A428" s="307"/>
      <c r="B428" s="307"/>
      <c r="C428" s="307"/>
      <c r="D428" s="307"/>
      <c r="E428" s="307"/>
      <c r="F428" s="307"/>
      <c r="G428" s="307"/>
      <c r="H428" s="307"/>
      <c r="I428" s="307"/>
      <c r="J428" s="307"/>
      <c r="K428" s="307"/>
      <c r="L428" s="307"/>
      <c r="M428" s="307"/>
      <c r="N428" s="307"/>
      <c r="O428" s="307"/>
      <c r="P428" s="307"/>
      <c r="Q428" s="307"/>
      <c r="R428" s="307"/>
      <c r="S428" s="307"/>
      <c r="T428" s="307"/>
      <c r="U428" s="307"/>
      <c r="V428" s="307"/>
      <c r="W428" s="307"/>
      <c r="X428" s="307"/>
      <c r="Y428" s="307"/>
      <c r="Z428" s="307"/>
      <c r="AA428" s="307"/>
      <c r="AB428" s="307"/>
      <c r="AC428" s="307"/>
      <c r="AD428" s="307"/>
      <c r="AE428" s="307"/>
      <c r="AF428" s="307"/>
      <c r="AG428" s="307"/>
      <c r="AH428" s="307"/>
      <c r="AI428" s="307"/>
      <c r="AJ428" s="307"/>
      <c r="AK428" s="307"/>
      <c r="AL428" s="307"/>
    </row>
    <row r="429" customFormat="false" ht="12.75" hidden="false" customHeight="false" outlineLevel="0" collapsed="false">
      <c r="A429" s="307"/>
      <c r="B429" s="307"/>
      <c r="C429" s="307"/>
      <c r="D429" s="307"/>
      <c r="E429" s="307"/>
      <c r="F429" s="307"/>
      <c r="G429" s="307"/>
      <c r="H429" s="307"/>
      <c r="I429" s="307"/>
      <c r="J429" s="307"/>
      <c r="K429" s="307"/>
      <c r="L429" s="307"/>
      <c r="M429" s="307"/>
      <c r="N429" s="307"/>
      <c r="O429" s="307"/>
      <c r="P429" s="307"/>
      <c r="Q429" s="307"/>
      <c r="R429" s="307"/>
      <c r="S429" s="307"/>
      <c r="T429" s="307"/>
      <c r="U429" s="307"/>
      <c r="V429" s="307"/>
      <c r="W429" s="307"/>
      <c r="X429" s="307"/>
      <c r="Y429" s="307"/>
      <c r="Z429" s="307"/>
      <c r="AA429" s="307"/>
      <c r="AB429" s="307"/>
      <c r="AC429" s="307"/>
      <c r="AD429" s="307"/>
      <c r="AE429" s="307"/>
      <c r="AF429" s="307"/>
      <c r="AG429" s="307"/>
      <c r="AH429" s="307"/>
      <c r="AI429" s="307"/>
      <c r="AJ429" s="307"/>
      <c r="AK429" s="307"/>
      <c r="AL429" s="307"/>
    </row>
    <row r="430" customFormat="false" ht="12.75" hidden="false" customHeight="false" outlineLevel="0" collapsed="false">
      <c r="A430" s="307"/>
      <c r="B430" s="307"/>
      <c r="C430" s="307"/>
      <c r="D430" s="307"/>
      <c r="E430" s="307"/>
      <c r="F430" s="307"/>
      <c r="G430" s="307"/>
      <c r="H430" s="307"/>
      <c r="I430" s="307"/>
      <c r="J430" s="307"/>
      <c r="K430" s="307"/>
      <c r="L430" s="307"/>
      <c r="M430" s="307"/>
      <c r="N430" s="307"/>
      <c r="O430" s="307"/>
      <c r="P430" s="307"/>
      <c r="Q430" s="307"/>
      <c r="R430" s="307"/>
      <c r="S430" s="307"/>
      <c r="T430" s="307"/>
      <c r="U430" s="307"/>
      <c r="V430" s="307"/>
      <c r="W430" s="307"/>
      <c r="X430" s="307"/>
      <c r="Y430" s="307"/>
      <c r="Z430" s="307"/>
      <c r="AA430" s="307"/>
      <c r="AB430" s="307"/>
      <c r="AC430" s="307"/>
      <c r="AD430" s="307"/>
      <c r="AE430" s="307"/>
      <c r="AF430" s="307"/>
      <c r="AG430" s="307"/>
      <c r="AH430" s="307"/>
      <c r="AI430" s="307"/>
      <c r="AJ430" s="307"/>
      <c r="AK430" s="307"/>
      <c r="AL430" s="307"/>
    </row>
    <row r="431" customFormat="false" ht="12.75" hidden="false" customHeight="false" outlineLevel="0" collapsed="false">
      <c r="A431" s="307"/>
      <c r="B431" s="307"/>
      <c r="C431" s="307"/>
      <c r="D431" s="307"/>
      <c r="E431" s="307"/>
      <c r="F431" s="307"/>
      <c r="G431" s="307"/>
      <c r="H431" s="307"/>
      <c r="I431" s="307"/>
      <c r="J431" s="307"/>
      <c r="K431" s="307"/>
      <c r="L431" s="307"/>
      <c r="M431" s="307"/>
      <c r="N431" s="307"/>
      <c r="O431" s="307"/>
      <c r="P431" s="307"/>
      <c r="Q431" s="307"/>
      <c r="R431" s="307"/>
      <c r="S431" s="307"/>
      <c r="T431" s="307"/>
      <c r="U431" s="307"/>
      <c r="V431" s="307"/>
      <c r="W431" s="307"/>
      <c r="X431" s="307"/>
      <c r="Y431" s="307"/>
      <c r="Z431" s="307"/>
      <c r="AA431" s="307"/>
      <c r="AB431" s="307"/>
      <c r="AC431" s="307"/>
      <c r="AD431" s="307"/>
      <c r="AE431" s="307"/>
      <c r="AF431" s="307"/>
      <c r="AG431" s="307"/>
      <c r="AH431" s="307"/>
      <c r="AI431" s="307"/>
      <c r="AJ431" s="307"/>
      <c r="AK431" s="307"/>
      <c r="AL431" s="307"/>
    </row>
    <row r="432" customFormat="false" ht="12.75" hidden="false" customHeight="false" outlineLevel="0" collapsed="false">
      <c r="A432" s="307"/>
      <c r="B432" s="307"/>
      <c r="C432" s="307"/>
      <c r="D432" s="307"/>
      <c r="E432" s="307"/>
      <c r="F432" s="307"/>
      <c r="G432" s="307"/>
      <c r="H432" s="307"/>
      <c r="I432" s="307"/>
      <c r="J432" s="307"/>
      <c r="K432" s="307"/>
      <c r="L432" s="307"/>
      <c r="M432" s="307"/>
      <c r="N432" s="307"/>
      <c r="O432" s="307"/>
      <c r="P432" s="307"/>
      <c r="Q432" s="307"/>
      <c r="R432" s="307"/>
      <c r="S432" s="307"/>
      <c r="T432" s="307"/>
      <c r="U432" s="307"/>
      <c r="V432" s="307"/>
      <c r="W432" s="307"/>
      <c r="X432" s="307"/>
      <c r="Y432" s="307"/>
      <c r="Z432" s="307"/>
      <c r="AA432" s="307"/>
      <c r="AB432" s="307"/>
      <c r="AC432" s="307"/>
      <c r="AD432" s="307"/>
      <c r="AE432" s="307"/>
      <c r="AF432" s="307"/>
      <c r="AG432" s="307"/>
      <c r="AH432" s="307"/>
      <c r="AI432" s="307"/>
      <c r="AJ432" s="307"/>
      <c r="AK432" s="307"/>
      <c r="AL432" s="307"/>
    </row>
    <row r="433" customFormat="false" ht="12.75" hidden="false" customHeight="false" outlineLevel="0" collapsed="false">
      <c r="A433" s="307"/>
      <c r="B433" s="307"/>
      <c r="C433" s="307"/>
      <c r="D433" s="307"/>
      <c r="E433" s="307"/>
      <c r="F433" s="307"/>
      <c r="G433" s="307"/>
      <c r="H433" s="307"/>
      <c r="I433" s="307"/>
      <c r="J433" s="307"/>
      <c r="K433" s="307"/>
      <c r="L433" s="307"/>
      <c r="M433" s="307"/>
      <c r="N433" s="307"/>
      <c r="O433" s="307"/>
      <c r="P433" s="307"/>
      <c r="Q433" s="307"/>
      <c r="R433" s="307"/>
      <c r="S433" s="307"/>
      <c r="T433" s="307"/>
      <c r="U433" s="307"/>
      <c r="V433" s="307"/>
      <c r="W433" s="307"/>
      <c r="X433" s="307"/>
      <c r="Y433" s="307"/>
      <c r="Z433" s="307"/>
      <c r="AA433" s="307"/>
      <c r="AB433" s="307"/>
      <c r="AC433" s="307"/>
      <c r="AD433" s="307"/>
      <c r="AE433" s="307"/>
      <c r="AF433" s="307"/>
      <c r="AG433" s="307"/>
      <c r="AH433" s="307"/>
      <c r="AI433" s="307"/>
      <c r="AJ433" s="307"/>
      <c r="AK433" s="307"/>
      <c r="AL433" s="307"/>
    </row>
    <row r="434" customFormat="false" ht="12.75" hidden="false" customHeight="false" outlineLevel="0" collapsed="false">
      <c r="A434" s="307"/>
      <c r="B434" s="307"/>
      <c r="C434" s="307"/>
      <c r="D434" s="307"/>
      <c r="E434" s="307"/>
      <c r="F434" s="307"/>
      <c r="G434" s="307"/>
      <c r="H434" s="307"/>
      <c r="I434" s="307"/>
      <c r="J434" s="307"/>
      <c r="K434" s="307"/>
      <c r="L434" s="307"/>
      <c r="M434" s="307"/>
      <c r="N434" s="307"/>
      <c r="O434" s="307"/>
      <c r="P434" s="307"/>
      <c r="Q434" s="307"/>
      <c r="R434" s="307"/>
      <c r="S434" s="307"/>
      <c r="T434" s="307"/>
      <c r="U434" s="307"/>
      <c r="V434" s="307"/>
      <c r="W434" s="307"/>
      <c r="X434" s="307"/>
      <c r="Y434" s="307"/>
      <c r="Z434" s="307"/>
      <c r="AA434" s="307"/>
      <c r="AB434" s="307"/>
      <c r="AC434" s="307"/>
      <c r="AD434" s="307"/>
      <c r="AE434" s="307"/>
      <c r="AF434" s="307"/>
      <c r="AG434" s="307"/>
      <c r="AH434" s="307"/>
      <c r="AI434" s="307"/>
      <c r="AJ434" s="307"/>
      <c r="AK434" s="307"/>
      <c r="AL434" s="307"/>
    </row>
    <row r="435" customFormat="false" ht="12.75" hidden="false" customHeight="false" outlineLevel="0" collapsed="false">
      <c r="A435" s="307"/>
      <c r="B435" s="307"/>
      <c r="C435" s="307"/>
      <c r="D435" s="307"/>
      <c r="E435" s="307"/>
      <c r="F435" s="307"/>
      <c r="G435" s="307"/>
      <c r="H435" s="307"/>
      <c r="I435" s="307"/>
      <c r="J435" s="307"/>
      <c r="K435" s="307"/>
      <c r="L435" s="307"/>
      <c r="M435" s="307"/>
      <c r="N435" s="307"/>
      <c r="O435" s="307"/>
      <c r="P435" s="307"/>
      <c r="Q435" s="307"/>
      <c r="R435" s="307"/>
      <c r="S435" s="307"/>
      <c r="T435" s="307"/>
      <c r="U435" s="307"/>
      <c r="V435" s="307"/>
      <c r="W435" s="307"/>
      <c r="X435" s="307"/>
      <c r="Y435" s="307"/>
      <c r="Z435" s="307"/>
      <c r="AA435" s="307"/>
      <c r="AB435" s="307"/>
      <c r="AC435" s="307"/>
      <c r="AD435" s="307"/>
      <c r="AE435" s="307"/>
      <c r="AF435" s="307"/>
      <c r="AG435" s="307"/>
      <c r="AH435" s="307"/>
      <c r="AI435" s="307"/>
      <c r="AJ435" s="307"/>
      <c r="AK435" s="307"/>
      <c r="AL435" s="307"/>
    </row>
    <row r="436" customFormat="false" ht="12.75" hidden="false" customHeight="false" outlineLevel="0" collapsed="false">
      <c r="A436" s="307"/>
      <c r="B436" s="307"/>
      <c r="C436" s="307"/>
      <c r="D436" s="307"/>
      <c r="E436" s="307"/>
      <c r="F436" s="307"/>
      <c r="G436" s="307"/>
      <c r="H436" s="307"/>
      <c r="I436" s="307"/>
      <c r="J436" s="307"/>
      <c r="K436" s="307"/>
      <c r="L436" s="307"/>
      <c r="M436" s="307"/>
      <c r="N436" s="307"/>
      <c r="O436" s="307"/>
      <c r="P436" s="307"/>
      <c r="Q436" s="307"/>
      <c r="R436" s="307"/>
      <c r="S436" s="307"/>
      <c r="T436" s="307"/>
      <c r="U436" s="307"/>
      <c r="V436" s="307"/>
      <c r="W436" s="307"/>
      <c r="X436" s="307"/>
      <c r="Y436" s="307"/>
      <c r="Z436" s="307"/>
      <c r="AA436" s="307"/>
      <c r="AB436" s="307"/>
      <c r="AC436" s="307"/>
      <c r="AD436" s="307"/>
      <c r="AE436" s="307"/>
      <c r="AF436" s="307"/>
      <c r="AG436" s="307"/>
      <c r="AH436" s="307"/>
      <c r="AI436" s="307"/>
      <c r="AJ436" s="307"/>
      <c r="AK436" s="307"/>
      <c r="AL436" s="307"/>
    </row>
    <row r="437" customFormat="false" ht="12.75" hidden="false" customHeight="false" outlineLevel="0" collapsed="false">
      <c r="A437" s="307"/>
      <c r="B437" s="307"/>
      <c r="C437" s="307"/>
      <c r="D437" s="307"/>
      <c r="E437" s="307"/>
      <c r="F437" s="307"/>
      <c r="G437" s="307"/>
      <c r="H437" s="307"/>
      <c r="I437" s="307"/>
      <c r="J437" s="307"/>
      <c r="K437" s="307"/>
      <c r="L437" s="307"/>
      <c r="M437" s="307"/>
      <c r="N437" s="307"/>
      <c r="O437" s="307"/>
      <c r="P437" s="307"/>
      <c r="Q437" s="307"/>
      <c r="R437" s="307"/>
      <c r="S437" s="307"/>
      <c r="T437" s="307"/>
      <c r="U437" s="307"/>
      <c r="V437" s="307"/>
      <c r="W437" s="307"/>
      <c r="X437" s="307"/>
      <c r="Y437" s="307"/>
      <c r="Z437" s="307"/>
      <c r="AA437" s="307"/>
      <c r="AB437" s="307"/>
      <c r="AC437" s="307"/>
      <c r="AD437" s="307"/>
      <c r="AE437" s="307"/>
      <c r="AF437" s="307"/>
      <c r="AG437" s="307"/>
      <c r="AH437" s="307"/>
      <c r="AI437" s="307"/>
      <c r="AJ437" s="307"/>
      <c r="AK437" s="307"/>
      <c r="AL437" s="307"/>
    </row>
    <row r="438" customFormat="false" ht="12.75" hidden="false" customHeight="false" outlineLevel="0" collapsed="false">
      <c r="A438" s="307"/>
      <c r="B438" s="307"/>
      <c r="C438" s="307"/>
      <c r="D438" s="307"/>
      <c r="E438" s="307"/>
      <c r="F438" s="307"/>
      <c r="G438" s="307"/>
      <c r="H438" s="307"/>
      <c r="I438" s="307"/>
      <c r="J438" s="307"/>
      <c r="K438" s="307"/>
      <c r="L438" s="307"/>
      <c r="M438" s="307"/>
      <c r="N438" s="307"/>
      <c r="O438" s="307"/>
      <c r="P438" s="307"/>
      <c r="Q438" s="307"/>
      <c r="R438" s="307"/>
      <c r="S438" s="307"/>
      <c r="T438" s="307"/>
      <c r="U438" s="307"/>
      <c r="V438" s="307"/>
      <c r="W438" s="307"/>
      <c r="X438" s="307"/>
      <c r="Y438" s="307"/>
      <c r="Z438" s="307"/>
      <c r="AA438" s="307"/>
      <c r="AB438" s="307"/>
      <c r="AC438" s="307"/>
      <c r="AD438" s="307"/>
      <c r="AE438" s="307"/>
      <c r="AF438" s="307"/>
      <c r="AG438" s="307"/>
      <c r="AH438" s="307"/>
      <c r="AI438" s="307"/>
      <c r="AJ438" s="307"/>
      <c r="AK438" s="307"/>
      <c r="AL438" s="307"/>
    </row>
    <row r="439" customFormat="false" ht="12.75" hidden="false" customHeight="false" outlineLevel="0" collapsed="false">
      <c r="A439" s="307"/>
      <c r="B439" s="307"/>
      <c r="C439" s="307"/>
      <c r="D439" s="307"/>
      <c r="E439" s="307"/>
      <c r="F439" s="307"/>
      <c r="G439" s="307"/>
      <c r="H439" s="307"/>
      <c r="I439" s="307"/>
      <c r="J439" s="307"/>
      <c r="K439" s="307"/>
      <c r="L439" s="307"/>
      <c r="M439" s="307"/>
      <c r="N439" s="307"/>
      <c r="O439" s="307"/>
      <c r="P439" s="307"/>
      <c r="Q439" s="307"/>
      <c r="R439" s="307"/>
      <c r="S439" s="307"/>
      <c r="T439" s="307"/>
      <c r="U439" s="307"/>
      <c r="V439" s="307"/>
      <c r="W439" s="307"/>
      <c r="X439" s="307"/>
      <c r="Y439" s="307"/>
      <c r="Z439" s="307"/>
      <c r="AA439" s="307"/>
      <c r="AB439" s="307"/>
      <c r="AC439" s="307"/>
      <c r="AD439" s="307"/>
      <c r="AE439" s="307"/>
      <c r="AF439" s="307"/>
      <c r="AG439" s="307"/>
      <c r="AH439" s="307"/>
      <c r="AI439" s="307"/>
      <c r="AJ439" s="307"/>
      <c r="AK439" s="307"/>
      <c r="AL439" s="307"/>
    </row>
    <row r="440" customFormat="false" ht="12.75" hidden="false" customHeight="false" outlineLevel="0" collapsed="false">
      <c r="A440" s="307"/>
      <c r="B440" s="307"/>
      <c r="C440" s="307"/>
      <c r="D440" s="307"/>
      <c r="E440" s="307"/>
      <c r="F440" s="307"/>
      <c r="G440" s="307"/>
      <c r="H440" s="307"/>
      <c r="I440" s="307"/>
      <c r="J440" s="307"/>
      <c r="K440" s="307"/>
      <c r="L440" s="307"/>
      <c r="M440" s="307"/>
      <c r="N440" s="307"/>
      <c r="O440" s="307"/>
      <c r="P440" s="307"/>
      <c r="Q440" s="307"/>
      <c r="R440" s="307"/>
      <c r="S440" s="307"/>
      <c r="T440" s="307"/>
      <c r="U440" s="307"/>
      <c r="V440" s="307"/>
      <c r="W440" s="307"/>
      <c r="X440" s="307"/>
      <c r="Y440" s="307"/>
      <c r="Z440" s="307"/>
      <c r="AA440" s="307"/>
      <c r="AB440" s="307"/>
      <c r="AC440" s="307"/>
      <c r="AD440" s="307"/>
      <c r="AE440" s="307"/>
      <c r="AF440" s="307"/>
      <c r="AG440" s="307"/>
      <c r="AH440" s="307"/>
      <c r="AI440" s="307"/>
      <c r="AJ440" s="307"/>
      <c r="AK440" s="307"/>
      <c r="AL440" s="307"/>
    </row>
    <row r="441" customFormat="false" ht="12.75" hidden="false" customHeight="false" outlineLevel="0" collapsed="false">
      <c r="A441" s="307"/>
      <c r="B441" s="307"/>
      <c r="C441" s="307"/>
      <c r="D441" s="307"/>
      <c r="E441" s="307"/>
      <c r="F441" s="307"/>
      <c r="G441" s="307"/>
      <c r="H441" s="307"/>
      <c r="I441" s="307"/>
      <c r="J441" s="307"/>
      <c r="K441" s="307"/>
      <c r="L441" s="307"/>
      <c r="M441" s="307"/>
      <c r="N441" s="307"/>
      <c r="O441" s="307"/>
      <c r="P441" s="307"/>
      <c r="Q441" s="307"/>
      <c r="R441" s="307"/>
      <c r="S441" s="307"/>
      <c r="T441" s="307"/>
      <c r="U441" s="307"/>
      <c r="V441" s="307"/>
      <c r="W441" s="307"/>
      <c r="X441" s="307"/>
      <c r="Y441" s="307"/>
      <c r="Z441" s="307"/>
      <c r="AA441" s="307"/>
      <c r="AB441" s="307"/>
      <c r="AC441" s="307"/>
      <c r="AD441" s="307"/>
      <c r="AE441" s="307"/>
      <c r="AF441" s="307"/>
      <c r="AG441" s="307"/>
      <c r="AH441" s="307"/>
      <c r="AI441" s="307"/>
      <c r="AJ441" s="307"/>
      <c r="AK441" s="307"/>
      <c r="AL441" s="307"/>
    </row>
    <row r="442" customFormat="false" ht="12.75" hidden="false" customHeight="false" outlineLevel="0" collapsed="false">
      <c r="A442" s="307"/>
      <c r="B442" s="307"/>
      <c r="C442" s="307"/>
      <c r="D442" s="307"/>
      <c r="E442" s="307"/>
      <c r="F442" s="307"/>
      <c r="G442" s="307"/>
      <c r="H442" s="307"/>
      <c r="I442" s="307"/>
      <c r="J442" s="307"/>
      <c r="K442" s="307"/>
      <c r="L442" s="307"/>
      <c r="M442" s="307"/>
      <c r="N442" s="307"/>
      <c r="O442" s="307"/>
      <c r="P442" s="307"/>
      <c r="Q442" s="307"/>
      <c r="R442" s="307"/>
      <c r="S442" s="307"/>
      <c r="T442" s="307"/>
      <c r="U442" s="307"/>
      <c r="V442" s="307"/>
      <c r="W442" s="307"/>
      <c r="X442" s="307"/>
      <c r="Y442" s="307"/>
      <c r="Z442" s="307"/>
      <c r="AA442" s="307"/>
      <c r="AB442" s="307"/>
      <c r="AC442" s="307"/>
      <c r="AD442" s="307"/>
      <c r="AE442" s="307"/>
      <c r="AF442" s="307"/>
      <c r="AG442" s="307"/>
      <c r="AH442" s="307"/>
      <c r="AI442" s="307"/>
      <c r="AJ442" s="307"/>
      <c r="AK442" s="307"/>
      <c r="AL442" s="307"/>
    </row>
    <row r="443" customFormat="false" ht="12.75" hidden="false" customHeight="false" outlineLevel="0" collapsed="false">
      <c r="A443" s="307"/>
      <c r="B443" s="307"/>
      <c r="C443" s="307"/>
      <c r="D443" s="307"/>
      <c r="E443" s="307"/>
      <c r="F443" s="307"/>
      <c r="G443" s="307"/>
      <c r="H443" s="307"/>
      <c r="I443" s="307"/>
      <c r="J443" s="307"/>
      <c r="K443" s="307"/>
      <c r="L443" s="307"/>
      <c r="M443" s="307"/>
      <c r="N443" s="307"/>
      <c r="O443" s="307"/>
      <c r="P443" s="307"/>
      <c r="Q443" s="307"/>
      <c r="R443" s="307"/>
      <c r="S443" s="307"/>
      <c r="T443" s="307"/>
      <c r="U443" s="307"/>
      <c r="V443" s="307"/>
      <c r="W443" s="307"/>
      <c r="X443" s="307"/>
      <c r="Y443" s="307"/>
      <c r="Z443" s="307"/>
      <c r="AA443" s="307"/>
      <c r="AB443" s="307"/>
      <c r="AC443" s="307"/>
      <c r="AD443" s="307"/>
      <c r="AE443" s="307"/>
      <c r="AF443" s="307"/>
      <c r="AG443" s="307"/>
      <c r="AH443" s="307"/>
      <c r="AI443" s="307"/>
      <c r="AJ443" s="307"/>
      <c r="AK443" s="307"/>
      <c r="AL443" s="307"/>
    </row>
    <row r="444" customFormat="false" ht="12.75" hidden="false" customHeight="false" outlineLevel="0" collapsed="false">
      <c r="A444" s="307"/>
      <c r="B444" s="307"/>
      <c r="C444" s="307"/>
      <c r="D444" s="307"/>
      <c r="E444" s="307"/>
      <c r="F444" s="307"/>
      <c r="G444" s="307"/>
      <c r="H444" s="307"/>
      <c r="I444" s="307"/>
      <c r="J444" s="307"/>
      <c r="K444" s="307"/>
      <c r="L444" s="307"/>
      <c r="M444" s="307"/>
      <c r="N444" s="307"/>
      <c r="O444" s="307"/>
      <c r="P444" s="307"/>
      <c r="Q444" s="307"/>
      <c r="R444" s="307"/>
      <c r="S444" s="307"/>
      <c r="T444" s="307"/>
      <c r="U444" s="307"/>
      <c r="V444" s="307"/>
      <c r="W444" s="307"/>
      <c r="X444" s="307"/>
      <c r="Y444" s="307"/>
      <c r="Z444" s="307"/>
      <c r="AA444" s="307"/>
      <c r="AB444" s="307"/>
      <c r="AC444" s="307"/>
      <c r="AD444" s="307"/>
      <c r="AE444" s="307"/>
      <c r="AF444" s="307"/>
      <c r="AG444" s="307"/>
      <c r="AH444" s="307"/>
      <c r="AI444" s="307"/>
      <c r="AJ444" s="307"/>
      <c r="AK444" s="307"/>
      <c r="AL444" s="307"/>
    </row>
    <row r="445" customFormat="false" ht="12.75" hidden="false" customHeight="false" outlineLevel="0" collapsed="false">
      <c r="A445" s="307"/>
      <c r="B445" s="307"/>
      <c r="C445" s="307"/>
      <c r="D445" s="307"/>
      <c r="E445" s="307"/>
      <c r="F445" s="307"/>
      <c r="G445" s="307"/>
      <c r="H445" s="307"/>
      <c r="I445" s="307"/>
      <c r="J445" s="307"/>
      <c r="K445" s="307"/>
      <c r="L445" s="307"/>
      <c r="M445" s="307"/>
      <c r="N445" s="307"/>
      <c r="O445" s="307"/>
      <c r="P445" s="307"/>
      <c r="Q445" s="307"/>
      <c r="R445" s="307"/>
      <c r="S445" s="307"/>
      <c r="T445" s="307"/>
      <c r="U445" s="307"/>
      <c r="V445" s="307"/>
      <c r="W445" s="307"/>
      <c r="X445" s="307"/>
      <c r="Y445" s="307"/>
      <c r="Z445" s="307"/>
      <c r="AA445" s="307"/>
      <c r="AB445" s="307"/>
      <c r="AC445" s="307"/>
      <c r="AD445" s="307"/>
      <c r="AE445" s="307"/>
      <c r="AF445" s="307"/>
      <c r="AG445" s="307"/>
      <c r="AH445" s="307"/>
      <c r="AI445" s="307"/>
      <c r="AJ445" s="307"/>
      <c r="AK445" s="307"/>
      <c r="AL445" s="307"/>
    </row>
    <row r="446" customFormat="false" ht="12.75" hidden="false" customHeight="false" outlineLevel="0" collapsed="false">
      <c r="A446" s="307"/>
      <c r="B446" s="307"/>
      <c r="C446" s="307"/>
      <c r="D446" s="307"/>
      <c r="E446" s="307"/>
      <c r="F446" s="307"/>
      <c r="G446" s="307"/>
      <c r="H446" s="307"/>
      <c r="I446" s="307"/>
      <c r="J446" s="307"/>
      <c r="K446" s="307"/>
      <c r="L446" s="307"/>
      <c r="M446" s="307"/>
      <c r="N446" s="307"/>
      <c r="O446" s="307"/>
      <c r="P446" s="307"/>
      <c r="Q446" s="307"/>
      <c r="R446" s="307"/>
      <c r="S446" s="307"/>
      <c r="T446" s="307"/>
      <c r="U446" s="307"/>
      <c r="V446" s="307"/>
      <c r="W446" s="307"/>
      <c r="X446" s="307"/>
      <c r="Y446" s="307"/>
      <c r="Z446" s="307"/>
      <c r="AA446" s="307"/>
      <c r="AB446" s="307"/>
      <c r="AC446" s="307"/>
      <c r="AD446" s="307"/>
      <c r="AE446" s="307"/>
      <c r="AF446" s="307"/>
      <c r="AG446" s="307"/>
      <c r="AH446" s="307"/>
      <c r="AI446" s="307"/>
      <c r="AJ446" s="307"/>
      <c r="AK446" s="307"/>
      <c r="AL446" s="307"/>
    </row>
    <row r="447" customFormat="false" ht="12.75" hidden="false" customHeight="false" outlineLevel="0" collapsed="false">
      <c r="A447" s="307"/>
      <c r="B447" s="307"/>
      <c r="C447" s="307"/>
      <c r="D447" s="307"/>
      <c r="E447" s="307"/>
      <c r="F447" s="307"/>
      <c r="G447" s="307"/>
      <c r="H447" s="307"/>
      <c r="I447" s="307"/>
      <c r="J447" s="307"/>
      <c r="K447" s="307"/>
      <c r="L447" s="307"/>
      <c r="M447" s="307"/>
      <c r="N447" s="307"/>
      <c r="O447" s="307"/>
      <c r="P447" s="307"/>
      <c r="Q447" s="307"/>
      <c r="R447" s="307"/>
      <c r="S447" s="307"/>
      <c r="T447" s="307"/>
      <c r="U447" s="307"/>
      <c r="V447" s="307"/>
      <c r="W447" s="307"/>
      <c r="X447" s="307"/>
      <c r="Y447" s="307"/>
      <c r="Z447" s="307"/>
      <c r="AA447" s="307"/>
      <c r="AB447" s="307"/>
      <c r="AC447" s="307"/>
      <c r="AD447" s="307"/>
      <c r="AE447" s="307"/>
      <c r="AF447" s="307"/>
      <c r="AG447" s="307"/>
      <c r="AH447" s="307"/>
      <c r="AI447" s="307"/>
      <c r="AJ447" s="307"/>
      <c r="AK447" s="307"/>
      <c r="AL447" s="307"/>
    </row>
    <row r="448" customFormat="false" ht="12.75" hidden="false" customHeight="false" outlineLevel="0" collapsed="false">
      <c r="A448" s="307"/>
      <c r="B448" s="307"/>
      <c r="C448" s="307"/>
      <c r="D448" s="307"/>
      <c r="E448" s="307"/>
      <c r="F448" s="307"/>
      <c r="G448" s="307"/>
      <c r="H448" s="307"/>
      <c r="I448" s="307"/>
      <c r="J448" s="307"/>
      <c r="K448" s="307"/>
      <c r="L448" s="307"/>
      <c r="M448" s="307"/>
      <c r="N448" s="307"/>
      <c r="O448" s="307"/>
      <c r="P448" s="307"/>
      <c r="Q448" s="307"/>
      <c r="R448" s="307"/>
      <c r="S448" s="307"/>
      <c r="T448" s="307"/>
      <c r="U448" s="307"/>
      <c r="V448" s="307"/>
      <c r="W448" s="307"/>
      <c r="X448" s="307"/>
      <c r="Y448" s="307"/>
      <c r="Z448" s="307"/>
      <c r="AA448" s="307"/>
      <c r="AB448" s="307"/>
      <c r="AC448" s="307"/>
      <c r="AD448" s="307"/>
      <c r="AE448" s="307"/>
      <c r="AF448" s="307"/>
      <c r="AG448" s="307"/>
      <c r="AH448" s="307"/>
      <c r="AI448" s="307"/>
      <c r="AJ448" s="307"/>
      <c r="AK448" s="307"/>
      <c r="AL448" s="307"/>
    </row>
    <row r="449" customFormat="false" ht="12.75" hidden="false" customHeight="false" outlineLevel="0" collapsed="false">
      <c r="A449" s="307"/>
      <c r="B449" s="307"/>
      <c r="C449" s="307"/>
      <c r="D449" s="307"/>
      <c r="E449" s="307"/>
      <c r="F449" s="307"/>
      <c r="G449" s="307"/>
      <c r="H449" s="307"/>
      <c r="I449" s="307"/>
      <c r="J449" s="307"/>
      <c r="K449" s="307"/>
      <c r="L449" s="307"/>
      <c r="M449" s="307"/>
      <c r="N449" s="307"/>
      <c r="O449" s="307"/>
      <c r="P449" s="307"/>
      <c r="Q449" s="307"/>
      <c r="R449" s="307"/>
      <c r="S449" s="307"/>
      <c r="T449" s="307"/>
      <c r="U449" s="307"/>
      <c r="V449" s="307"/>
      <c r="W449" s="307"/>
      <c r="X449" s="307"/>
      <c r="Y449" s="307"/>
      <c r="Z449" s="307"/>
      <c r="AA449" s="307"/>
      <c r="AB449" s="307"/>
      <c r="AC449" s="307"/>
      <c r="AD449" s="307"/>
      <c r="AE449" s="307"/>
      <c r="AF449" s="307"/>
      <c r="AG449" s="307"/>
      <c r="AH449" s="307"/>
      <c r="AI449" s="307"/>
      <c r="AJ449" s="307"/>
      <c r="AK449" s="307"/>
      <c r="AL449" s="307"/>
    </row>
    <row r="450" customFormat="false" ht="12.75" hidden="false" customHeight="false" outlineLevel="0" collapsed="false">
      <c r="A450" s="307"/>
      <c r="B450" s="307"/>
      <c r="C450" s="307"/>
      <c r="D450" s="307"/>
      <c r="E450" s="307"/>
      <c r="F450" s="307"/>
      <c r="G450" s="307"/>
      <c r="H450" s="307"/>
      <c r="I450" s="307"/>
      <c r="J450" s="307"/>
      <c r="K450" s="307"/>
      <c r="L450" s="307"/>
      <c r="M450" s="307"/>
      <c r="N450" s="307"/>
      <c r="O450" s="307"/>
      <c r="P450" s="307"/>
      <c r="Q450" s="307"/>
      <c r="R450" s="307"/>
      <c r="S450" s="307"/>
      <c r="T450" s="307"/>
      <c r="U450" s="307"/>
      <c r="V450" s="307"/>
      <c r="W450" s="307"/>
      <c r="X450" s="307"/>
      <c r="Y450" s="307"/>
      <c r="Z450" s="307"/>
      <c r="AA450" s="307"/>
      <c r="AB450" s="307"/>
      <c r="AC450" s="307"/>
      <c r="AD450" s="307"/>
      <c r="AE450" s="307"/>
      <c r="AF450" s="307"/>
      <c r="AG450" s="307"/>
      <c r="AH450" s="307"/>
      <c r="AI450" s="307"/>
      <c r="AJ450" s="307"/>
      <c r="AK450" s="307"/>
      <c r="AL450" s="307"/>
    </row>
    <row r="451" customFormat="false" ht="12.75" hidden="false" customHeight="false" outlineLevel="0" collapsed="false">
      <c r="A451" s="307"/>
      <c r="B451" s="307"/>
      <c r="C451" s="307"/>
      <c r="D451" s="307"/>
      <c r="E451" s="307"/>
      <c r="F451" s="307"/>
      <c r="G451" s="307"/>
      <c r="H451" s="307"/>
      <c r="I451" s="307"/>
      <c r="J451" s="307"/>
      <c r="K451" s="307"/>
      <c r="L451" s="307"/>
      <c r="M451" s="307"/>
      <c r="N451" s="307"/>
      <c r="O451" s="307"/>
      <c r="P451" s="307"/>
      <c r="Q451" s="307"/>
      <c r="R451" s="307"/>
      <c r="S451" s="307"/>
      <c r="T451" s="307"/>
      <c r="U451" s="307"/>
      <c r="V451" s="307"/>
      <c r="W451" s="307"/>
      <c r="X451" s="307"/>
      <c r="Y451" s="307"/>
      <c r="Z451" s="307"/>
      <c r="AA451" s="307"/>
      <c r="AB451" s="307"/>
      <c r="AC451" s="307"/>
      <c r="AD451" s="307"/>
      <c r="AE451" s="307"/>
      <c r="AF451" s="307"/>
      <c r="AG451" s="307"/>
      <c r="AH451" s="307"/>
      <c r="AI451" s="307"/>
      <c r="AJ451" s="307"/>
      <c r="AK451" s="307"/>
      <c r="AL451" s="307"/>
    </row>
    <row r="452" customFormat="false" ht="12.75" hidden="false" customHeight="false" outlineLevel="0" collapsed="false">
      <c r="A452" s="307"/>
      <c r="B452" s="307"/>
      <c r="C452" s="307"/>
      <c r="D452" s="307"/>
      <c r="E452" s="307"/>
      <c r="F452" s="307"/>
      <c r="G452" s="307"/>
      <c r="H452" s="307"/>
      <c r="I452" s="307"/>
      <c r="J452" s="307"/>
      <c r="K452" s="307"/>
      <c r="L452" s="307"/>
      <c r="M452" s="307"/>
      <c r="N452" s="307"/>
      <c r="O452" s="307"/>
      <c r="P452" s="307"/>
      <c r="Q452" s="307"/>
      <c r="R452" s="307"/>
      <c r="S452" s="307"/>
      <c r="T452" s="307"/>
      <c r="U452" s="307"/>
      <c r="V452" s="307"/>
      <c r="W452" s="307"/>
      <c r="X452" s="307"/>
      <c r="Y452" s="307"/>
      <c r="Z452" s="307"/>
      <c r="AA452" s="307"/>
      <c r="AB452" s="307"/>
      <c r="AC452" s="307"/>
      <c r="AD452" s="307"/>
      <c r="AE452" s="307"/>
      <c r="AF452" s="307"/>
      <c r="AG452" s="307"/>
      <c r="AH452" s="307"/>
      <c r="AI452" s="307"/>
      <c r="AJ452" s="307"/>
      <c r="AK452" s="307"/>
      <c r="AL452" s="307"/>
    </row>
    <row r="453" customFormat="false" ht="12.75" hidden="false" customHeight="false" outlineLevel="0" collapsed="false">
      <c r="A453" s="307"/>
      <c r="B453" s="307"/>
      <c r="C453" s="307"/>
      <c r="D453" s="307"/>
      <c r="E453" s="307"/>
      <c r="F453" s="307"/>
      <c r="G453" s="307"/>
      <c r="H453" s="307"/>
      <c r="I453" s="307"/>
      <c r="J453" s="307"/>
      <c r="K453" s="307"/>
      <c r="L453" s="307"/>
      <c r="M453" s="307"/>
      <c r="N453" s="307"/>
      <c r="O453" s="307"/>
      <c r="P453" s="307"/>
      <c r="Q453" s="307"/>
      <c r="R453" s="307"/>
      <c r="S453" s="307"/>
      <c r="T453" s="307"/>
      <c r="U453" s="307"/>
      <c r="V453" s="307"/>
      <c r="W453" s="307"/>
      <c r="X453" s="307"/>
      <c r="Y453" s="307"/>
      <c r="Z453" s="307"/>
      <c r="AA453" s="307"/>
      <c r="AB453" s="307"/>
      <c r="AC453" s="307"/>
      <c r="AD453" s="307"/>
      <c r="AE453" s="307"/>
      <c r="AF453" s="307"/>
      <c r="AG453" s="307"/>
      <c r="AH453" s="307"/>
      <c r="AI453" s="307"/>
      <c r="AJ453" s="307"/>
      <c r="AK453" s="307"/>
      <c r="AL453" s="307"/>
    </row>
    <row r="454" customFormat="false" ht="12.75" hidden="false" customHeight="false" outlineLevel="0" collapsed="false">
      <c r="A454" s="307"/>
      <c r="B454" s="307"/>
      <c r="C454" s="307"/>
      <c r="D454" s="307"/>
      <c r="E454" s="307"/>
      <c r="F454" s="307"/>
      <c r="G454" s="307"/>
      <c r="H454" s="307"/>
      <c r="I454" s="307"/>
      <c r="J454" s="307"/>
      <c r="K454" s="307"/>
      <c r="L454" s="307"/>
      <c r="M454" s="307"/>
      <c r="N454" s="307"/>
      <c r="O454" s="307"/>
      <c r="P454" s="307"/>
      <c r="Q454" s="307"/>
      <c r="R454" s="307"/>
      <c r="S454" s="307"/>
      <c r="T454" s="307"/>
      <c r="U454" s="307"/>
      <c r="V454" s="307"/>
      <c r="W454" s="307"/>
      <c r="X454" s="307"/>
      <c r="Y454" s="307"/>
      <c r="Z454" s="307"/>
      <c r="AA454" s="307"/>
      <c r="AB454" s="307"/>
      <c r="AC454" s="307"/>
      <c r="AD454" s="307"/>
      <c r="AE454" s="307"/>
      <c r="AF454" s="307"/>
      <c r="AG454" s="307"/>
      <c r="AH454" s="307"/>
      <c r="AI454" s="307"/>
      <c r="AJ454" s="307"/>
      <c r="AK454" s="307"/>
      <c r="AL454" s="307"/>
    </row>
    <row r="455" customFormat="false" ht="12.75" hidden="false" customHeight="false" outlineLevel="0" collapsed="false">
      <c r="A455" s="307"/>
      <c r="B455" s="307"/>
      <c r="C455" s="307"/>
      <c r="D455" s="307"/>
      <c r="E455" s="307"/>
      <c r="F455" s="307"/>
      <c r="G455" s="307"/>
      <c r="H455" s="307"/>
      <c r="I455" s="307"/>
      <c r="J455" s="307"/>
      <c r="K455" s="307"/>
      <c r="L455" s="307"/>
      <c r="M455" s="307"/>
      <c r="N455" s="307"/>
      <c r="O455" s="307"/>
      <c r="P455" s="307"/>
      <c r="Q455" s="307"/>
      <c r="R455" s="307"/>
      <c r="S455" s="307"/>
      <c r="T455" s="307"/>
      <c r="U455" s="307"/>
      <c r="V455" s="307"/>
      <c r="W455" s="307"/>
      <c r="X455" s="307"/>
      <c r="Y455" s="307"/>
      <c r="Z455" s="307"/>
      <c r="AA455" s="307"/>
      <c r="AB455" s="307"/>
      <c r="AC455" s="307"/>
      <c r="AD455" s="307"/>
      <c r="AE455" s="307"/>
      <c r="AF455" s="307"/>
      <c r="AG455" s="307"/>
      <c r="AH455" s="307"/>
      <c r="AI455" s="307"/>
      <c r="AJ455" s="307"/>
      <c r="AK455" s="307"/>
      <c r="AL455" s="307"/>
    </row>
    <row r="456" customFormat="false" ht="12.75" hidden="false" customHeight="false" outlineLevel="0" collapsed="false">
      <c r="A456" s="307"/>
      <c r="B456" s="307"/>
      <c r="C456" s="307"/>
      <c r="D456" s="307"/>
      <c r="E456" s="307"/>
      <c r="F456" s="307"/>
      <c r="G456" s="307"/>
      <c r="H456" s="307"/>
      <c r="I456" s="307"/>
      <c r="J456" s="307"/>
      <c r="K456" s="307"/>
      <c r="L456" s="307"/>
      <c r="M456" s="307"/>
      <c r="N456" s="307"/>
      <c r="O456" s="307"/>
      <c r="P456" s="307"/>
      <c r="Q456" s="307"/>
      <c r="R456" s="307"/>
      <c r="S456" s="307"/>
      <c r="T456" s="307"/>
      <c r="U456" s="307"/>
      <c r="V456" s="307"/>
      <c r="W456" s="307"/>
      <c r="X456" s="307"/>
      <c r="Y456" s="307"/>
      <c r="Z456" s="307"/>
      <c r="AA456" s="307"/>
      <c r="AB456" s="307"/>
      <c r="AC456" s="307"/>
      <c r="AD456" s="307"/>
      <c r="AE456" s="307"/>
      <c r="AF456" s="307"/>
      <c r="AG456" s="307"/>
      <c r="AH456" s="307"/>
      <c r="AI456" s="307"/>
      <c r="AJ456" s="307"/>
      <c r="AK456" s="307"/>
      <c r="AL456" s="307"/>
    </row>
    <row r="457" customFormat="false" ht="12.75" hidden="false" customHeight="false" outlineLevel="0" collapsed="false">
      <c r="A457" s="307"/>
      <c r="B457" s="307"/>
      <c r="C457" s="307"/>
      <c r="D457" s="307"/>
      <c r="E457" s="307"/>
      <c r="F457" s="307"/>
      <c r="G457" s="307"/>
      <c r="H457" s="307"/>
      <c r="I457" s="307"/>
      <c r="J457" s="307"/>
      <c r="K457" s="307"/>
      <c r="L457" s="307"/>
      <c r="M457" s="307"/>
      <c r="N457" s="307"/>
      <c r="O457" s="307"/>
      <c r="P457" s="307"/>
      <c r="Q457" s="307"/>
      <c r="R457" s="307"/>
      <c r="S457" s="307"/>
      <c r="T457" s="307"/>
      <c r="U457" s="307"/>
      <c r="V457" s="307"/>
      <c r="W457" s="307"/>
      <c r="X457" s="307"/>
      <c r="Y457" s="307"/>
      <c r="Z457" s="307"/>
      <c r="AA457" s="307"/>
      <c r="AB457" s="307"/>
      <c r="AC457" s="307"/>
      <c r="AD457" s="307"/>
      <c r="AE457" s="307"/>
      <c r="AF457" s="307"/>
      <c r="AG457" s="307"/>
      <c r="AH457" s="307"/>
      <c r="AI457" s="307"/>
      <c r="AJ457" s="307"/>
      <c r="AK457" s="307"/>
      <c r="AL457" s="307"/>
    </row>
    <row r="458" customFormat="false" ht="12.75" hidden="false" customHeight="false" outlineLevel="0" collapsed="false">
      <c r="A458" s="307"/>
      <c r="B458" s="307"/>
      <c r="C458" s="307"/>
      <c r="D458" s="307"/>
      <c r="E458" s="307"/>
      <c r="F458" s="307"/>
      <c r="G458" s="307"/>
      <c r="H458" s="307"/>
      <c r="I458" s="307"/>
      <c r="J458" s="307"/>
      <c r="K458" s="307"/>
      <c r="L458" s="307"/>
      <c r="M458" s="307"/>
      <c r="N458" s="307"/>
      <c r="O458" s="307"/>
      <c r="P458" s="307"/>
      <c r="Q458" s="307"/>
      <c r="R458" s="307"/>
      <c r="S458" s="307"/>
      <c r="T458" s="307"/>
      <c r="U458" s="307"/>
      <c r="V458" s="307"/>
      <c r="W458" s="307"/>
      <c r="X458" s="307"/>
      <c r="Y458" s="307"/>
      <c r="Z458" s="307"/>
      <c r="AA458" s="307"/>
      <c r="AB458" s="307"/>
      <c r="AC458" s="307"/>
      <c r="AD458" s="307"/>
      <c r="AE458" s="307"/>
      <c r="AF458" s="307"/>
      <c r="AG458" s="307"/>
      <c r="AH458" s="307"/>
      <c r="AI458" s="307"/>
      <c r="AJ458" s="307"/>
      <c r="AK458" s="307"/>
      <c r="AL458" s="307"/>
    </row>
    <row r="459" customFormat="false" ht="12.75" hidden="false" customHeight="false" outlineLevel="0" collapsed="false">
      <c r="A459" s="307"/>
      <c r="B459" s="307"/>
      <c r="C459" s="307"/>
      <c r="D459" s="307"/>
      <c r="E459" s="307"/>
      <c r="F459" s="307"/>
      <c r="G459" s="307"/>
      <c r="H459" s="307"/>
      <c r="I459" s="307"/>
      <c r="J459" s="307"/>
      <c r="K459" s="307"/>
      <c r="L459" s="307"/>
      <c r="M459" s="307"/>
      <c r="N459" s="307"/>
      <c r="O459" s="307"/>
      <c r="P459" s="307"/>
      <c r="Q459" s="307"/>
      <c r="R459" s="307"/>
      <c r="S459" s="307"/>
      <c r="T459" s="307"/>
      <c r="U459" s="307"/>
      <c r="V459" s="307"/>
      <c r="W459" s="307"/>
      <c r="X459" s="307"/>
      <c r="Y459" s="307"/>
      <c r="Z459" s="307"/>
      <c r="AA459" s="307"/>
      <c r="AB459" s="307"/>
      <c r="AC459" s="307"/>
      <c r="AD459" s="307"/>
      <c r="AE459" s="307"/>
      <c r="AF459" s="307"/>
      <c r="AG459" s="307"/>
      <c r="AH459" s="307"/>
      <c r="AI459" s="307"/>
      <c r="AJ459" s="307"/>
      <c r="AK459" s="307"/>
      <c r="AL459" s="307"/>
    </row>
    <row r="460" customFormat="false" ht="12.75" hidden="false" customHeight="false" outlineLevel="0" collapsed="false">
      <c r="A460" s="307"/>
      <c r="B460" s="307"/>
      <c r="C460" s="307"/>
      <c r="D460" s="307"/>
      <c r="E460" s="307"/>
      <c r="F460" s="307"/>
      <c r="G460" s="307"/>
      <c r="H460" s="307"/>
      <c r="I460" s="307"/>
      <c r="J460" s="307"/>
      <c r="K460" s="307"/>
      <c r="L460" s="307"/>
      <c r="M460" s="307"/>
      <c r="N460" s="307"/>
      <c r="O460" s="307"/>
      <c r="P460" s="307"/>
      <c r="Q460" s="307"/>
      <c r="R460" s="307"/>
      <c r="S460" s="307"/>
      <c r="T460" s="307"/>
      <c r="U460" s="307"/>
      <c r="V460" s="307"/>
      <c r="W460" s="307"/>
      <c r="X460" s="307"/>
      <c r="Y460" s="307"/>
      <c r="Z460" s="307"/>
      <c r="AA460" s="307"/>
      <c r="AB460" s="307"/>
      <c r="AC460" s="307"/>
      <c r="AD460" s="307"/>
      <c r="AE460" s="307"/>
      <c r="AF460" s="307"/>
      <c r="AG460" s="307"/>
      <c r="AH460" s="307"/>
      <c r="AI460" s="307"/>
      <c r="AJ460" s="307"/>
      <c r="AK460" s="307"/>
      <c r="AL460" s="307"/>
    </row>
    <row r="461" customFormat="false" ht="12.75" hidden="false" customHeight="false" outlineLevel="0" collapsed="false">
      <c r="A461" s="307"/>
      <c r="B461" s="307"/>
      <c r="C461" s="307"/>
      <c r="D461" s="307"/>
      <c r="E461" s="307"/>
      <c r="F461" s="307"/>
      <c r="G461" s="307"/>
      <c r="H461" s="307"/>
      <c r="I461" s="307"/>
      <c r="J461" s="307"/>
      <c r="K461" s="307"/>
      <c r="L461" s="307"/>
      <c r="M461" s="307"/>
      <c r="N461" s="307"/>
      <c r="O461" s="307"/>
      <c r="P461" s="307"/>
      <c r="Q461" s="307"/>
      <c r="R461" s="307"/>
      <c r="S461" s="307"/>
      <c r="T461" s="307"/>
      <c r="U461" s="307"/>
      <c r="V461" s="307"/>
      <c r="W461" s="307"/>
      <c r="X461" s="307"/>
      <c r="Y461" s="307"/>
      <c r="Z461" s="307"/>
      <c r="AA461" s="307"/>
      <c r="AB461" s="307"/>
      <c r="AC461" s="307"/>
      <c r="AD461" s="307"/>
      <c r="AE461" s="307"/>
      <c r="AF461" s="307"/>
      <c r="AG461" s="307"/>
      <c r="AH461" s="307"/>
      <c r="AI461" s="307"/>
      <c r="AJ461" s="307"/>
      <c r="AK461" s="307"/>
      <c r="AL461" s="307"/>
    </row>
    <row r="462" customFormat="false" ht="12.75" hidden="false" customHeight="false" outlineLevel="0" collapsed="false">
      <c r="A462" s="307"/>
      <c r="B462" s="307"/>
      <c r="C462" s="307"/>
      <c r="D462" s="307"/>
      <c r="E462" s="307"/>
      <c r="F462" s="307"/>
      <c r="G462" s="307"/>
      <c r="H462" s="307"/>
      <c r="I462" s="307"/>
      <c r="J462" s="307"/>
      <c r="K462" s="307"/>
      <c r="L462" s="307"/>
      <c r="M462" s="307"/>
      <c r="N462" s="307"/>
      <c r="O462" s="307"/>
      <c r="P462" s="307"/>
      <c r="Q462" s="307"/>
      <c r="R462" s="307"/>
      <c r="S462" s="307"/>
      <c r="T462" s="307"/>
      <c r="U462" s="307"/>
      <c r="V462" s="307"/>
      <c r="W462" s="307"/>
      <c r="X462" s="307"/>
      <c r="Y462" s="307"/>
      <c r="Z462" s="307"/>
      <c r="AA462" s="307"/>
      <c r="AB462" s="307"/>
      <c r="AC462" s="307"/>
      <c r="AD462" s="307"/>
      <c r="AE462" s="307"/>
      <c r="AF462" s="307"/>
      <c r="AG462" s="307"/>
      <c r="AH462" s="307"/>
      <c r="AI462" s="307"/>
      <c r="AJ462" s="307"/>
      <c r="AK462" s="307"/>
      <c r="AL462" s="307"/>
    </row>
    <row r="463" customFormat="false" ht="12.75" hidden="false" customHeight="false" outlineLevel="0" collapsed="false">
      <c r="A463" s="307"/>
      <c r="B463" s="307"/>
      <c r="C463" s="307"/>
      <c r="D463" s="307"/>
      <c r="E463" s="307"/>
      <c r="F463" s="307"/>
      <c r="G463" s="307"/>
      <c r="H463" s="307"/>
      <c r="I463" s="307"/>
      <c r="J463" s="307"/>
      <c r="K463" s="307"/>
      <c r="L463" s="307"/>
      <c r="M463" s="307"/>
      <c r="P463" s="307"/>
      <c r="Q463" s="307"/>
      <c r="R463" s="307"/>
      <c r="S463" s="307"/>
      <c r="T463" s="307"/>
      <c r="U463" s="307"/>
      <c r="V463" s="307"/>
      <c r="W463" s="307"/>
      <c r="X463" s="307"/>
      <c r="Y463" s="307"/>
      <c r="Z463" s="307"/>
      <c r="AA463" s="307"/>
      <c r="AB463" s="307"/>
      <c r="AC463" s="307"/>
      <c r="AD463" s="307"/>
      <c r="AE463" s="307"/>
      <c r="AF463" s="307"/>
      <c r="AG463" s="307"/>
      <c r="AH463" s="307"/>
      <c r="AI463" s="307"/>
      <c r="AJ463" s="307"/>
      <c r="AK463" s="307"/>
      <c r="AL463" s="307"/>
    </row>
  </sheetData>
  <conditionalFormatting sqref="D5">
    <cfRule type="cellIs" priority="2" operator="notEqual" aboveAverage="0" equalAverage="0" bottom="0" percent="0" rank="0" text="" dxfId="0">
      <formula>"No Adj"</formula>
    </cfRule>
  </conditionalFormatting>
  <conditionalFormatting sqref="E11">
    <cfRule type="cellIs" priority="3" operator="lessThan" aboveAverage="0" equalAverage="0" bottom="0" percent="0" rank="0" text="" dxfId="1">
      <formula>$C$2</formula>
    </cfRule>
  </conditionalFormatting>
  <conditionalFormatting sqref="E12">
    <cfRule type="cellIs" priority="4" operator="lessThan" aboveAverage="0" equalAverage="0" bottom="0" percent="0" rank="0" text="" dxfId="2">
      <formula>$E$11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97">
              <controlPr defaultSize="0" print="false" autoFill="0" autoPict="0" macro="vols.getvols">
                <anchor moveWithCells="true" sizeWithCells="false">
                  <from>
                    <xdr:col>9</xdr:col>
                    <xdr:colOff>30600</xdr:colOff>
                    <xdr:row>20</xdr:row>
                    <xdr:rowOff>47520</xdr:rowOff>
                  </from>
                  <to>
                    <xdr:col>10</xdr:col>
                    <xdr:colOff>161280</xdr:colOff>
                    <xdr:row>21</xdr:row>
                    <xdr:rowOff>114120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26">
              <controlPr defaultSize="0" print="false" autoFill="0" autoPict="0" macro="Module2.volsettles">
                <anchor moveWithCells="true" sizeWithCells="false">
                  <from>
                    <xdr:col>11</xdr:col>
                    <xdr:colOff>10440</xdr:colOff>
                    <xdr:row>20</xdr:row>
                    <xdr:rowOff>76320</xdr:rowOff>
                  </from>
                  <to>
                    <xdr:col>12</xdr:col>
                    <xdr:colOff>212400</xdr:colOff>
                    <xdr:row>21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1999-04-20T17:32:17Z</dcterms:created>
  <dc:creator>mhorowi</dc:creator>
  <dc:description>- Oracle 8i ODBC QueryFix Applied</dc:description>
  <dc:language>en-US</dc:language>
  <cp:lastModifiedBy>Dutch Quigley</cp:lastModifiedBy>
  <cp:lastPrinted>2001-09-24T13:10:30Z</cp:lastPrinted>
  <dcterms:modified xsi:type="dcterms:W3CDTF">2001-09-25T19:44:11Z</dcterms:modified>
  <cp:revision>0</cp:revision>
  <dc:subject/>
  <dc:title/>
</cp:coreProperties>
</file>