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" sheetId="1" state="visible" r:id="rId3"/>
    <sheet name="Cheat" sheetId="2" state="visible" r:id="rId4"/>
    <sheet name="QBs" sheetId="3" state="visible" r:id="rId5"/>
    <sheet name="RBs" sheetId="4" state="visible" r:id="rId6"/>
    <sheet name="WRs" sheetId="5" state="visible" r:id="rId7"/>
    <sheet name="TEs" sheetId="6" state="visible" r:id="rId8"/>
    <sheet name="PKs" sheetId="7" state="visible" r:id="rId9"/>
    <sheet name="Defs" sheetId="8" state="visible" r:id="rId10"/>
    <sheet name="Read Me First" sheetId="9" state="visible" r:id="rId11"/>
    <sheet name="calcs" sheetId="10" state="hidden" r:id="rId12"/>
    <sheet name="Module1" sheetId="11" state="hidden" r:id="rId13"/>
  </sheets>
  <externalReferences>
    <externalReference r:id="rId14"/>
  </externalReferences>
  <definedNames>
    <definedName function="false" hidden="false" localSheetId="1" name="_xlnm.Print_Area" vbProcedure="false">Cheat!$A$7:$U$109</definedName>
    <definedName function="false" hidden="false" localSheetId="7" name="_xlnm.Print_Area" vbProcedure="false">Defs!$A$3:$A$33</definedName>
    <definedName function="false" hidden="false" localSheetId="2" name="_xlnm.Print_Area" vbProcedure="false">QBs!$A$2:$L$65</definedName>
    <definedName function="false" hidden="false" localSheetId="3" name="_xlnm.Print_Area" vbProcedure="false">RBs!$A$2:$J$110</definedName>
    <definedName function="false" hidden="false" localSheetId="5" name="_xlnm.Print_Area" vbProcedure="false">TEs!$A$2:$F$65</definedName>
    <definedName function="false" hidden="false" localSheetId="4" name="_xlnm.Print_Area" vbProcedure="false">WRs!$A$2:$J$138</definedName>
    <definedName function="false" hidden="false" name="a" vbProcedure="false">{"'QBs'!$A$1:$M$65"}</definedName>
    <definedName function="false" hidden="false" name="HTML_CodePage" vbProcedure="false">1252</definedName>
    <definedName function="false" hidden="false" name="HTML_Control" vbProcedure="false">{"'Cheat'!$A$7:$U$109"}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"Teams"</definedName>
    <definedName function="false" hidden="false" name="HTML_LastUpdate" vbProcedure="false">"7/30/00"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"Joe Bryant"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"C:\business\onepagebasic.htm"</definedName>
    <definedName function="false" hidden="false" name="HTML_Title" vbProcedure="false">"projections 6-05-00"</definedName>
    <definedName function="false" hidden="false" localSheetId="2" name="a" vbProcedure="false">{"'QBs'!$A$1:$M$65"}</definedName>
    <definedName function="false" hidden="false" localSheetId="2" name="HTML_Control" vbProcedure="false">{"'ST'!$A$1:$J$32"}</definedName>
    <definedName function="false" hidden="false" localSheetId="2" name="HTML_LastUpdate" vbProcedure="false">"7/20/00"</definedName>
    <definedName function="false" hidden="false" localSheetId="2" name="HTML_PathFile" vbProcedure="false">"C:\business\top200temp.htm"</definedName>
    <definedName function="false" hidden="false" localSheetId="2" name="TABLE" vbProcedure="false">#REF!</definedName>
    <definedName function="false" hidden="false" localSheetId="3" name="a" vbProcedure="false">{"'QBs'!$A$1:$M$65"}</definedName>
    <definedName function="false" hidden="false" localSheetId="3" name="HTML_Control" vbProcedure="false">{"'ST'!$A$1:$J$32"}</definedName>
    <definedName function="false" hidden="false" localSheetId="3" name="HTML_LastUpdate" vbProcedure="false">"7/20/00"</definedName>
    <definedName function="false" hidden="false" localSheetId="3" name="HTML_PathFile" vbProcedure="false">"C:\business\top200temp.htm"</definedName>
    <definedName function="false" hidden="false" localSheetId="3" name="TABLE" vbProcedure="false">#REF!</definedName>
    <definedName function="false" hidden="false" localSheetId="4" name="a" vbProcedure="false">{"'QBs'!$A$1:$M$65"}</definedName>
    <definedName function="false" hidden="false" localSheetId="4" name="HTML_Control" vbProcedure="false">{"'ST'!$A$1:$J$32"}</definedName>
    <definedName function="false" hidden="false" localSheetId="4" name="HTML_LastUpdate" vbProcedure="false">"7/20/00"</definedName>
    <definedName function="false" hidden="false" localSheetId="4" name="HTML_PathFile" vbProcedure="false">"C:\business\top200temp.htm"</definedName>
    <definedName function="false" hidden="false" localSheetId="4" name="TABLE" vbProcedure="false">#REF!</definedName>
    <definedName function="false" hidden="false" localSheetId="5" name="a" vbProcedure="false">{"'QBs'!$A$1:$M$65"}</definedName>
    <definedName function="false" hidden="false" localSheetId="5" name="HTML_Control" vbProcedure="false">{"'ST'!$A$1:$J$32"}</definedName>
    <definedName function="false" hidden="false" localSheetId="5" name="HTML_LastUpdate" vbProcedure="false">"7/20/00"</definedName>
    <definedName function="false" hidden="false" localSheetId="5" name="HTML_PathFile" vbProcedure="false">"C:\business\top200temp.htm"</definedName>
    <definedName function="false" hidden="false" localSheetId="5" name="TABLE" vbProcedure="false">#REF!</definedName>
    <definedName function="false" hidden="false" localSheetId="6" name="a" vbProcedure="false">{"'QBs'!$A$1:$M$65"}</definedName>
    <definedName function="false" hidden="false" localSheetId="6" name="Excel_BuiltIn_Print_Area" vbProcedure="false">#REF!</definedName>
    <definedName function="false" hidden="false" localSheetId="6" name="HTML_Control" vbProcedure="false">{"'Top200 (Basic)'!$A$1:$D$200"}</definedName>
    <definedName function="false" hidden="false" localSheetId="6" name="HTML_LastUpdate" vbProcedure="false">"7/24/00"</definedName>
    <definedName function="false" hidden="false" localSheetId="6" name="HTML_PathFile" vbProcedure="false">"C:\business\top200tempbasic.htm"</definedName>
    <definedName function="false" hidden="false" localSheetId="7" name="a" vbProcedure="false">{"'QBs'!$A$1:$M$65"}</definedName>
    <definedName function="false" hidden="false" localSheetId="7" name="HTML_Control" vbProcedure="false">{"'Top200 (Basic)'!$A$1:$D$200"}</definedName>
    <definedName function="false" hidden="false" localSheetId="7" name="HTML_LastUpdate" vbProcedure="false">"7/24/00"</definedName>
    <definedName function="false" hidden="false" localSheetId="7" name="HTML_PathFile" vbProcedure="false">"C:\business\top200tempbasic.htm"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<sst xmlns="http://schemas.openxmlformats.org/spreadsheetml/2006/main" count="1582" uniqueCount="617">
  <si>
    <t xml:space="preserve">Data As of 8/2/00</t>
  </si>
  <si>
    <t xml:space="preserve">Rank</t>
  </si>
  <si>
    <t xml:space="preserve">Player</t>
  </si>
  <si>
    <t xml:space="preserve">Team</t>
  </si>
  <si>
    <t xml:space="preserve">Pts</t>
  </si>
  <si>
    <t xml:space="preserve">VBD</t>
  </si>
  <si>
    <t xml:space="preserve">Pos</t>
  </si>
  <si>
    <t xml:space="preserve">Defense/ST Scoring:</t>
  </si>
  <si>
    <t xml:space="preserve">ST</t>
  </si>
  <si>
    <t xml:space="preserve">RB</t>
  </si>
  <si>
    <t xml:space="preserve">Defense/ST TD</t>
  </si>
  <si>
    <t xml:space="preserve">Fumbles Recovered</t>
  </si>
  <si>
    <t xml:space="preserve">Interceptions</t>
  </si>
  <si>
    <t xml:space="preserve">QB</t>
  </si>
  <si>
    <t xml:space="preserve">Sacks</t>
  </si>
  <si>
    <t xml:space="preserve">Safeties</t>
  </si>
  <si>
    <t xml:space="preserve">Pts per Total Yards Allowed</t>
  </si>
  <si>
    <t xml:space="preserve">QB/RB/WR/TE Scoring:</t>
  </si>
  <si>
    <t xml:space="preserve">WR</t>
  </si>
  <si>
    <t xml:space="preserve">TE</t>
  </si>
  <si>
    <t xml:space="preserve">Pts per Point Allowed</t>
  </si>
  <si>
    <t xml:space="preserve">Pts per Pass Attempt</t>
  </si>
  <si>
    <t xml:space="preserve">Pts per Pass Completion</t>
  </si>
  <si>
    <t xml:space="preserve">Kicker Scoring:</t>
  </si>
  <si>
    <t xml:space="preserve">PK</t>
  </si>
  <si>
    <t xml:space="preserve">Pts per Passing Yard</t>
  </si>
  <si>
    <t xml:space="preserve">Field Goals Made (1-29 yards)</t>
  </si>
  <si>
    <t xml:space="preserve">Pts per Int</t>
  </si>
  <si>
    <t xml:space="preserve">Field Goals Made (30-39 yards)</t>
  </si>
  <si>
    <t xml:space="preserve">Pts per Passing TD (0-9 yards)</t>
  </si>
  <si>
    <t xml:space="preserve">Field Goals Made (40-49 yards)</t>
  </si>
  <si>
    <t xml:space="preserve">Pts per Passing TD (10-19 yards)</t>
  </si>
  <si>
    <t xml:space="preserve">Field Goals Made (50+ yards)</t>
  </si>
  <si>
    <t xml:space="preserve">Pts per Passing TD (20-29 yards)</t>
  </si>
  <si>
    <t xml:space="preserve">Field Goals Missed (1-29 yards)</t>
  </si>
  <si>
    <t xml:space="preserve">Pts per Passing TD (30-39 yards)</t>
  </si>
  <si>
    <t xml:space="preserve">Field Goals Missed (30-39 yards)</t>
  </si>
  <si>
    <t xml:space="preserve">Pts per Passing TD (40-49 yards)</t>
  </si>
  <si>
    <t xml:space="preserve">Field Goals Missed (40-49 yards)</t>
  </si>
  <si>
    <t xml:space="preserve">Pts per Passing TD (50+ yards)</t>
  </si>
  <si>
    <t xml:space="preserve">Field Goals Missed (50+ yards)</t>
  </si>
  <si>
    <t xml:space="preserve">Bonus for 300 yard passing game</t>
  </si>
  <si>
    <t xml:space="preserve">Extra Point Made</t>
  </si>
  <si>
    <t xml:space="preserve">Pts per Rushing Attempt</t>
  </si>
  <si>
    <t xml:space="preserve">Extra Point Missed</t>
  </si>
  <si>
    <t xml:space="preserve">Pts per Rushing Yard</t>
  </si>
  <si>
    <t xml:space="preserve">Pts per Rushing TD (0-9 yards)</t>
  </si>
  <si>
    <t xml:space="preserve">League Variables</t>
  </si>
  <si>
    <t xml:space="preserve">Pts per Rushing TD (10-19 yards)</t>
  </si>
  <si>
    <t xml:space="preserve">Rounds of Draft</t>
  </si>
  <si>
    <t xml:space="preserve">Pts per Rushing TD (20-29 yards)</t>
  </si>
  <si>
    <t xml:space="preserve">Teams in League</t>
  </si>
  <si>
    <t xml:space="preserve">Pts per Rushing TD (30-39 yards)</t>
  </si>
  <si>
    <t xml:space="preserve">Number of QB Starters</t>
  </si>
  <si>
    <t xml:space="preserve">Pts per Rushing TD (40-49 yards)</t>
  </si>
  <si>
    <t xml:space="preserve">Number of RB Starters</t>
  </si>
  <si>
    <t xml:space="preserve">Pts per Rushing TD (50+ yards)</t>
  </si>
  <si>
    <t xml:space="preserve">Number of WR Starters</t>
  </si>
  <si>
    <t xml:space="preserve">Bonus for 100 yard rushing game</t>
  </si>
  <si>
    <t xml:space="preserve">Number of TE Starters</t>
  </si>
  <si>
    <t xml:space="preserve">Pts per Reception</t>
  </si>
  <si>
    <t xml:space="preserve">Number of PK Starters</t>
  </si>
  <si>
    <t xml:space="preserve">Pts per Receiving Yard</t>
  </si>
  <si>
    <t xml:space="preserve">Number of Def/ST Starters</t>
  </si>
  <si>
    <t xml:space="preserve">Pts per Receiving TD (0-9 yards)</t>
  </si>
  <si>
    <t xml:space="preserve">Pts per Receiving TD (10-19 yards)</t>
  </si>
  <si>
    <t xml:space="preserve">Pts per Receiving TD (20-29 yards)</t>
  </si>
  <si>
    <t xml:space="preserve">Pts per Receiving TD (30-39 yards)</t>
  </si>
  <si>
    <t xml:space="preserve">Pts per Receiving TD (40-49 yards)</t>
  </si>
  <si>
    <t xml:space="preserve">Pts per Receiving TD (50+ yards)</t>
  </si>
  <si>
    <t xml:space="preserve">Bonus for 100 yard receiving game </t>
  </si>
  <si>
    <t xml:space="preserve">Fumbles Lost</t>
  </si>
  <si>
    <t xml:space="preserve">Data as of 8/2/00</t>
  </si>
  <si>
    <t xml:space="preserve">Quarterbacks</t>
  </si>
  <si>
    <t xml:space="preserve">Running Backs</t>
  </si>
  <si>
    <t xml:space="preserve">Wide Receivers</t>
  </si>
  <si>
    <t xml:space="preserve">Overall</t>
  </si>
  <si>
    <t xml:space="preserve">Tight Ends</t>
  </si>
  <si>
    <t xml:space="preserve">Bye</t>
  </si>
  <si>
    <t xml:space="preserve">Place Kickers</t>
  </si>
  <si>
    <t xml:space="preserve">Special Teams/Defense</t>
  </si>
  <si>
    <t xml:space="preserve">Arizona Cardinals</t>
  </si>
  <si>
    <t xml:space="preserve">Atlanta Falcons </t>
  </si>
  <si>
    <t xml:space="preserve">Baltimore Ravens </t>
  </si>
  <si>
    <t xml:space="preserve">Buffalo Bills </t>
  </si>
  <si>
    <t xml:space="preserve">Carolina Panthers </t>
  </si>
  <si>
    <t xml:space="preserve">Chicago Bears </t>
  </si>
  <si>
    <t xml:space="preserve">Cincinnati Bengals </t>
  </si>
  <si>
    <t xml:space="preserve">Cleveland Browns</t>
  </si>
  <si>
    <t xml:space="preserve">Dallas Cowboys </t>
  </si>
  <si>
    <t xml:space="preserve">Denver Broncos </t>
  </si>
  <si>
    <t xml:space="preserve">Detroit Lions </t>
  </si>
  <si>
    <t xml:space="preserve">Green Bay Packers</t>
  </si>
  <si>
    <t xml:space="preserve">Indianapolis Colts </t>
  </si>
  <si>
    <t xml:space="preserve">Jacksonville Jaguars</t>
  </si>
  <si>
    <t xml:space="preserve">Kansas City Chiefs</t>
  </si>
  <si>
    <t xml:space="preserve">Miami Dolphins </t>
  </si>
  <si>
    <t xml:space="preserve">Minnesota Vikings </t>
  </si>
  <si>
    <t xml:space="preserve">New England Patriots</t>
  </si>
  <si>
    <t xml:space="preserve">New Orleans Saints</t>
  </si>
  <si>
    <t xml:space="preserve">New York Giants</t>
  </si>
  <si>
    <t xml:space="preserve">New York Jets</t>
  </si>
  <si>
    <t xml:space="preserve">Oakland Raiders </t>
  </si>
  <si>
    <t xml:space="preserve">Philadelphia Eagles </t>
  </si>
  <si>
    <t xml:space="preserve">Pittsburgh Steelers </t>
  </si>
  <si>
    <t xml:space="preserve">San Diego Chargers</t>
  </si>
  <si>
    <t xml:space="preserve">San Francisco 49ers</t>
  </si>
  <si>
    <t xml:space="preserve">Seattle Seahawks </t>
  </si>
  <si>
    <t xml:space="preserve">St. Louis Rams</t>
  </si>
  <si>
    <t xml:space="preserve">Tampa Bay Buccaneers</t>
  </si>
  <si>
    <t xml:space="preserve">Tennessee Titans </t>
  </si>
  <si>
    <t xml:space="preserve">Washington Redskins </t>
  </si>
  <si>
    <t xml:space="preserve">Passing Projections</t>
  </si>
  <si>
    <t xml:space="preserve">Rushing Projections</t>
  </si>
  <si>
    <t xml:space="preserve">Fum</t>
  </si>
  <si>
    <t xml:space="preserve">Passing TD Distribution</t>
  </si>
  <si>
    <t xml:space="preserve">Rushing TD Distribution</t>
  </si>
  <si>
    <t xml:space="preserve">Passing TD Projections</t>
  </si>
  <si>
    <t xml:space="preserve">Rushing TD Projections</t>
  </si>
  <si>
    <t xml:space="preserve">Fantasy</t>
  </si>
  <si>
    <t xml:space="preserve">Comp</t>
  </si>
  <si>
    <t xml:space="preserve">Att</t>
  </si>
  <si>
    <t xml:space="preserve">Yards</t>
  </si>
  <si>
    <t xml:space="preserve">300yd</t>
  </si>
  <si>
    <t xml:space="preserve">TDs</t>
  </si>
  <si>
    <t xml:space="preserve">Int</t>
  </si>
  <si>
    <t xml:space="preserve">100yd</t>
  </si>
  <si>
    <t xml:space="preserve">Lost</t>
  </si>
  <si>
    <t xml:space="preserve">0-9</t>
  </si>
  <si>
    <t xml:space="preserve">10-19</t>
  </si>
  <si>
    <t xml:space="preserve">20-29</t>
  </si>
  <si>
    <t xml:space="preserve">30-39</t>
  </si>
  <si>
    <t xml:space="preserve">40-49</t>
  </si>
  <si>
    <t xml:space="preserve">50+</t>
  </si>
  <si>
    <t xml:space="preserve">Value</t>
  </si>
  <si>
    <t xml:space="preserve">Kurt Warner</t>
  </si>
  <si>
    <t xml:space="preserve">StL</t>
  </si>
  <si>
    <t xml:space="preserve">Peyton Manning</t>
  </si>
  <si>
    <t xml:space="preserve">Ind</t>
  </si>
  <si>
    <t xml:space="preserve">Brett Favre</t>
  </si>
  <si>
    <t xml:space="preserve">GB</t>
  </si>
  <si>
    <t xml:space="preserve">Steve McNair</t>
  </si>
  <si>
    <t xml:space="preserve">Ten</t>
  </si>
  <si>
    <t xml:space="preserve">Cade McNown</t>
  </si>
  <si>
    <t xml:space="preserve">Chi</t>
  </si>
  <si>
    <t xml:space="preserve">Rich Gannon</t>
  </si>
  <si>
    <t xml:space="preserve">Oak</t>
  </si>
  <si>
    <t xml:space="preserve">Jeff Garcia</t>
  </si>
  <si>
    <t xml:space="preserve">SF</t>
  </si>
  <si>
    <t xml:space="preserve">Brad Johnson</t>
  </si>
  <si>
    <t xml:space="preserve">Was</t>
  </si>
  <si>
    <t xml:space="preserve">Jeff Blake</t>
  </si>
  <si>
    <t xml:space="preserve">NO</t>
  </si>
  <si>
    <t xml:space="preserve">Mark Brunell</t>
  </si>
  <si>
    <t xml:space="preserve">Jac</t>
  </si>
  <si>
    <t xml:space="preserve">Steve Beuerlein</t>
  </si>
  <si>
    <t xml:space="preserve">Car</t>
  </si>
  <si>
    <t xml:space="preserve">Tim Couch</t>
  </si>
  <si>
    <t xml:space="preserve">Cle</t>
  </si>
  <si>
    <t xml:space="preserve">Daunte Culpepper</t>
  </si>
  <si>
    <t xml:space="preserve">Min</t>
  </si>
  <si>
    <t xml:space="preserve">Brian Griese</t>
  </si>
  <si>
    <t xml:space="preserve">Den</t>
  </si>
  <si>
    <t xml:space="preserve">Jon Kitna</t>
  </si>
  <si>
    <t xml:space="preserve">Sea</t>
  </si>
  <si>
    <t xml:space="preserve">Kerry Collins</t>
  </si>
  <si>
    <t xml:space="preserve">NYG</t>
  </si>
  <si>
    <t xml:space="preserve">Troy Aikman</t>
  </si>
  <si>
    <t xml:space="preserve">Dal</t>
  </si>
  <si>
    <t xml:space="preserve">Donovan McNabb</t>
  </si>
  <si>
    <t xml:space="preserve">Phi</t>
  </si>
  <si>
    <t xml:space="preserve">Elvis Grbac</t>
  </si>
  <si>
    <t xml:space="preserve">KC</t>
  </si>
  <si>
    <t xml:space="preserve">Drew Bledsoe</t>
  </si>
  <si>
    <t xml:space="preserve">NE</t>
  </si>
  <si>
    <t xml:space="preserve">Rob Johnson</t>
  </si>
  <si>
    <t xml:space="preserve">Buf</t>
  </si>
  <si>
    <t xml:space="preserve">Vinny Testaverde</t>
  </si>
  <si>
    <t xml:space="preserve">NYJ</t>
  </si>
  <si>
    <t xml:space="preserve">Jake Plummer</t>
  </si>
  <si>
    <t xml:space="preserve">Ari</t>
  </si>
  <si>
    <t xml:space="preserve">Shaun King</t>
  </si>
  <si>
    <t xml:space="preserve">TB</t>
  </si>
  <si>
    <t xml:space="preserve">Tony Banks</t>
  </si>
  <si>
    <t xml:space="preserve">Bal</t>
  </si>
  <si>
    <t xml:space="preserve">Chris Chandler</t>
  </si>
  <si>
    <t xml:space="preserve">Atl</t>
  </si>
  <si>
    <t xml:space="preserve">Charlie Batch</t>
  </si>
  <si>
    <t xml:space="preserve">Det</t>
  </si>
  <si>
    <t xml:space="preserve">Kordell Stewart</t>
  </si>
  <si>
    <t xml:space="preserve">Pit</t>
  </si>
  <si>
    <t xml:space="preserve">Akili Smith</t>
  </si>
  <si>
    <t xml:space="preserve">Cin</t>
  </si>
  <si>
    <t xml:space="preserve">Damon Huard</t>
  </si>
  <si>
    <t xml:space="preserve">Mia</t>
  </si>
  <si>
    <t xml:space="preserve">Jim Harbaugh</t>
  </si>
  <si>
    <t xml:space="preserve">SD</t>
  </si>
  <si>
    <t xml:space="preserve">Jay Fiedler</t>
  </si>
  <si>
    <t xml:space="preserve">Scott Mitchell</t>
  </si>
  <si>
    <t xml:space="preserve">Moses Moreno</t>
  </si>
  <si>
    <t xml:space="preserve">Kent Graham</t>
  </si>
  <si>
    <t xml:space="preserve">Danny Kanell</t>
  </si>
  <si>
    <t xml:space="preserve">Ryan Leaf</t>
  </si>
  <si>
    <t xml:space="preserve">Trent Dilfer</t>
  </si>
  <si>
    <t xml:space="preserve">Bubby Brister</t>
  </si>
  <si>
    <t xml:space="preserve">Mike Tomczak</t>
  </si>
  <si>
    <t xml:space="preserve">Doug Flutie</t>
  </si>
  <si>
    <t xml:space="preserve">Jim Miller</t>
  </si>
  <si>
    <t xml:space="preserve">Ray Lucas</t>
  </si>
  <si>
    <t xml:space="preserve">Dave Brown</t>
  </si>
  <si>
    <t xml:space="preserve">Gus Frerotte</t>
  </si>
  <si>
    <t xml:space="preserve">Jeff Lewis</t>
  </si>
  <si>
    <t xml:space="preserve">Randall Cunningham</t>
  </si>
  <si>
    <t xml:space="preserve">Jonathan Quinn</t>
  </si>
  <si>
    <t xml:space="preserve">Warren Moon</t>
  </si>
  <si>
    <t xml:space="preserve">Neil O'Donnell</t>
  </si>
  <si>
    <t xml:space="preserve">Jason Garrett</t>
  </si>
  <si>
    <t xml:space="preserve">Jeff George</t>
  </si>
  <si>
    <t xml:space="preserve">Billy Joe Tolliver</t>
  </si>
  <si>
    <t xml:space="preserve">Giovanni Carmazzi</t>
  </si>
  <si>
    <t xml:space="preserve">Matt Hasselbeck</t>
  </si>
  <si>
    <t xml:space="preserve">Doug Pederson</t>
  </si>
  <si>
    <t xml:space="preserve">Eric Zeier</t>
  </si>
  <si>
    <t xml:space="preserve">Trent Green</t>
  </si>
  <si>
    <t xml:space="preserve">Ty Detmer</t>
  </si>
  <si>
    <t xml:space="preserve">Glenn Foley</t>
  </si>
  <si>
    <t xml:space="preserve">John Friesz</t>
  </si>
  <si>
    <t xml:space="preserve">Bobby Hoying</t>
  </si>
  <si>
    <t xml:space="preserve">Kelly Holcomb</t>
  </si>
  <si>
    <t xml:space="preserve">Receiving Projections</t>
  </si>
  <si>
    <t xml:space="preserve">Receiving TD Distribution</t>
  </si>
  <si>
    <t xml:space="preserve">Receiving TD Projections</t>
  </si>
  <si>
    <t xml:space="preserve">Rec</t>
  </si>
  <si>
    <t xml:space="preserve">Edgerrin James</t>
  </si>
  <si>
    <t xml:space="preserve">Marshall Faulk</t>
  </si>
  <si>
    <t xml:space="preserve">Fred Taylor</t>
  </si>
  <si>
    <t xml:space="preserve">Eddie George</t>
  </si>
  <si>
    <t xml:space="preserve">Emmitt Smith</t>
  </si>
  <si>
    <t xml:space="preserve">Stephen Davis</t>
  </si>
  <si>
    <t xml:space="preserve">Terrell Davis</t>
  </si>
  <si>
    <t xml:space="preserve">Dorsey Levens</t>
  </si>
  <si>
    <t xml:space="preserve">Curtis Martin</t>
  </si>
  <si>
    <t xml:space="preserve">Duce Staley</t>
  </si>
  <si>
    <t xml:space="preserve">James Stewart</t>
  </si>
  <si>
    <t xml:space="preserve">Robert Smith</t>
  </si>
  <si>
    <t xml:space="preserve">Ricky Williams</t>
  </si>
  <si>
    <t xml:space="preserve">Charlie Garner</t>
  </si>
  <si>
    <t xml:space="preserve">Curtis Enis</t>
  </si>
  <si>
    <t xml:space="preserve">Ron Dayne</t>
  </si>
  <si>
    <t xml:space="preserve">Mike Alstott</t>
  </si>
  <si>
    <t xml:space="preserve">Jamal Lewis</t>
  </si>
  <si>
    <t xml:space="preserve">Jerome Bettis</t>
  </si>
  <si>
    <t xml:space="preserve">Ricky Watters</t>
  </si>
  <si>
    <t xml:space="preserve">Jamal Anderson</t>
  </si>
  <si>
    <t xml:space="preserve">Errict Rhett</t>
  </si>
  <si>
    <t xml:space="preserve">Tyrone Wheatley</t>
  </si>
  <si>
    <t xml:space="preserve">Warrick Dunn</t>
  </si>
  <si>
    <t xml:space="preserve">Tim Biakabutuka</t>
  </si>
  <si>
    <t xml:space="preserve">J.J. Johnson</t>
  </si>
  <si>
    <t xml:space="preserve">Jermaine Fazande</t>
  </si>
  <si>
    <t xml:space="preserve">Raymont Harris</t>
  </si>
  <si>
    <t xml:space="preserve">Thomas Jones</t>
  </si>
  <si>
    <t xml:space="preserve">Shaun Alexander</t>
  </si>
  <si>
    <t xml:space="preserve">Corey Dillon</t>
  </si>
  <si>
    <t xml:space="preserve">Antowain Smith</t>
  </si>
  <si>
    <t xml:space="preserve">Fred Beasley</t>
  </si>
  <si>
    <t xml:space="preserve">Kimble Anders</t>
  </si>
  <si>
    <t xml:space="preserve">Napoleon Kaufman</t>
  </si>
  <si>
    <t xml:space="preserve">Natrone Means</t>
  </si>
  <si>
    <t xml:space="preserve">Richard Huntley</t>
  </si>
  <si>
    <t xml:space="preserve">Jonathan Linton</t>
  </si>
  <si>
    <t xml:space="preserve">Mike Cloud</t>
  </si>
  <si>
    <t xml:space="preserve">Tiki Barber</t>
  </si>
  <si>
    <t xml:space="preserve">Michael Pittman</t>
  </si>
  <si>
    <t xml:space="preserve">Chris Warren</t>
  </si>
  <si>
    <t xml:space="preserve">Olandis Gary</t>
  </si>
  <si>
    <t xml:space="preserve">J.R. Redmond</t>
  </si>
  <si>
    <t xml:space="preserve">Larry Centers</t>
  </si>
  <si>
    <t xml:space="preserve">Donnell Bennett</t>
  </si>
  <si>
    <t xml:space="preserve">Michael Basnight</t>
  </si>
  <si>
    <t xml:space="preserve">Terrell Fletcher</t>
  </si>
  <si>
    <t xml:space="preserve">Stanley Pritchett</t>
  </si>
  <si>
    <t xml:space="preserve">Robert Holcombe</t>
  </si>
  <si>
    <t xml:space="preserve">Priest Holmes</t>
  </si>
  <si>
    <t xml:space="preserve">Chris Howard</t>
  </si>
  <si>
    <t xml:space="preserve">Adrian Murrell</t>
  </si>
  <si>
    <t xml:space="preserve">Tony Richardson</t>
  </si>
  <si>
    <t xml:space="preserve">Ron Rivers</t>
  </si>
  <si>
    <t xml:space="preserve">James Allen</t>
  </si>
  <si>
    <t xml:space="preserve">Rob Konrad</t>
  </si>
  <si>
    <t xml:space="preserve">Byron Hanspard</t>
  </si>
  <si>
    <t xml:space="preserve">Shawn Bryson</t>
  </si>
  <si>
    <t xml:space="preserve">Terry Kirby</t>
  </si>
  <si>
    <t xml:space="preserve">Thurman Thomas</t>
  </si>
  <si>
    <t xml:space="preserve">Karim Abdul-Jabbar</t>
  </si>
  <si>
    <t xml:space="preserve">Kevin Faulk</t>
  </si>
  <si>
    <t xml:space="preserve">Lamar Smith</t>
  </si>
  <si>
    <t xml:space="preserve">Trung Canidate</t>
  </si>
  <si>
    <t xml:space="preserve">Bernie Parmalee</t>
  </si>
  <si>
    <t xml:space="preserve">Richie Anderson</t>
  </si>
  <si>
    <t xml:space="preserve">Moe Williams</t>
  </si>
  <si>
    <t xml:space="preserve">William Floyd</t>
  </si>
  <si>
    <t xml:space="preserve">Sedrick Irvin</t>
  </si>
  <si>
    <t xml:space="preserve">Curtis Keaton</t>
  </si>
  <si>
    <t xml:space="preserve">Terry Jackson</t>
  </si>
  <si>
    <t xml:space="preserve">Mario Bates</t>
  </si>
  <si>
    <t xml:space="preserve">Charles Evans</t>
  </si>
  <si>
    <t xml:space="preserve">William Henderson</t>
  </si>
  <si>
    <t xml:space="preserve">Jon Ritchie</t>
  </si>
  <si>
    <t xml:space="preserve">Cory Schlesinger</t>
  </si>
  <si>
    <t xml:space="preserve">Aaron Craver</t>
  </si>
  <si>
    <t xml:space="preserve">Doug Chapman</t>
  </si>
  <si>
    <t xml:space="preserve">Robert Chancey</t>
  </si>
  <si>
    <t xml:space="preserve">Sean Bennett</t>
  </si>
  <si>
    <t xml:space="preserve">Marc Edwards</t>
  </si>
  <si>
    <t xml:space="preserve">Nick Williams</t>
  </si>
  <si>
    <t xml:space="preserve">Travis Prentice</t>
  </si>
  <si>
    <t xml:space="preserve">Ahman Green</t>
  </si>
  <si>
    <t xml:space="preserve">Eric Bieniemy</t>
  </si>
  <si>
    <t xml:space="preserve">Rodney Thomas</t>
  </si>
  <si>
    <t xml:space="preserve">Zack Crockett</t>
  </si>
  <si>
    <t xml:space="preserve">Reggie Brown</t>
  </si>
  <si>
    <t xml:space="preserve">Howard Griffith</t>
  </si>
  <si>
    <t xml:space="preserve">Bob Christian</t>
  </si>
  <si>
    <t xml:space="preserve">Fred McCrary</t>
  </si>
  <si>
    <t xml:space="preserve">Wilmont Perry</t>
  </si>
  <si>
    <t xml:space="preserve">Skip Hicks</t>
  </si>
  <si>
    <t xml:space="preserve">Joe Montgomery</t>
  </si>
  <si>
    <t xml:space="preserve">Tony Carter</t>
  </si>
  <si>
    <t xml:space="preserve">Frank Murphy</t>
  </si>
  <si>
    <t xml:space="preserve">Daimon Shelton</t>
  </si>
  <si>
    <t xml:space="preserve">Jon Witman</t>
  </si>
  <si>
    <t xml:space="preserve">Stacey Mack</t>
  </si>
  <si>
    <t xml:space="preserve">Keith Elias</t>
  </si>
  <si>
    <t xml:space="preserve">Joel Mackovicka</t>
  </si>
  <si>
    <t xml:space="preserve">Jay Graham</t>
  </si>
  <si>
    <t xml:space="preserve">Rabih Abdullah</t>
  </si>
  <si>
    <t xml:space="preserve">Reuben Droughns</t>
  </si>
  <si>
    <t xml:space="preserve">Amos Zereoue</t>
  </si>
  <si>
    <t xml:space="preserve">Lorenzo Neal</t>
  </si>
  <si>
    <t xml:space="preserve">Robert Thomas</t>
  </si>
  <si>
    <t xml:space="preserve">Brandon Bennett</t>
  </si>
  <si>
    <t xml:space="preserve">Marvin Harrison</t>
  </si>
  <si>
    <t xml:space="preserve">Randy Moss</t>
  </si>
  <si>
    <t xml:space="preserve">Marcus Robinson</t>
  </si>
  <si>
    <t xml:space="preserve">Antonio Freeman</t>
  </si>
  <si>
    <t xml:space="preserve">Isaac Bruce</t>
  </si>
  <si>
    <t xml:space="preserve">Jimmy Smith</t>
  </si>
  <si>
    <t xml:space="preserve">Eric Moulds</t>
  </si>
  <si>
    <t xml:space="preserve">Terry Glenn</t>
  </si>
  <si>
    <t xml:space="preserve">Kevin Johnson</t>
  </si>
  <si>
    <t xml:space="preserve">Cris Carter</t>
  </si>
  <si>
    <t xml:space="preserve">Michael Westbrook</t>
  </si>
  <si>
    <t xml:space="preserve">Derrick Mayes</t>
  </si>
  <si>
    <t xml:space="preserve">Germane Crowell</t>
  </si>
  <si>
    <t xml:space="preserve">Amani Toomer</t>
  </si>
  <si>
    <t xml:space="preserve">Keyshawn Johnson</t>
  </si>
  <si>
    <t xml:space="preserve">Muhsin Muhammad</t>
  </si>
  <si>
    <t xml:space="preserve">Ed McCaffrey</t>
  </si>
  <si>
    <t xml:space="preserve">Terrell Owens</t>
  </si>
  <si>
    <t xml:space="preserve">Tim Brown</t>
  </si>
  <si>
    <t xml:space="preserve">Darnay Scott</t>
  </si>
  <si>
    <t xml:space="preserve">Rob Moore</t>
  </si>
  <si>
    <t xml:space="preserve">Albert Connell</t>
  </si>
  <si>
    <t xml:space="preserve">Terance Mathis</t>
  </si>
  <si>
    <t xml:space="preserve">Torry Holt</t>
  </si>
  <si>
    <t xml:space="preserve">Plaxico Burress</t>
  </si>
  <si>
    <t xml:space="preserve">Joey Galloway</t>
  </si>
  <si>
    <t xml:space="preserve">Raghib Ismail</t>
  </si>
  <si>
    <t xml:space="preserve">Patrick Jeffers</t>
  </si>
  <si>
    <t xml:space="preserve">Peter Warrick</t>
  </si>
  <si>
    <t xml:space="preserve">Wayne Chrebet</t>
  </si>
  <si>
    <t xml:space="preserve">Tony Martin</t>
  </si>
  <si>
    <t xml:space="preserve">Tim Dwight</t>
  </si>
  <si>
    <t xml:space="preserve">Keenan McCardell</t>
  </si>
  <si>
    <t xml:space="preserve">Ike Hilliard</t>
  </si>
  <si>
    <t xml:space="preserve">Bobby Engram</t>
  </si>
  <si>
    <t xml:space="preserve">Rod Smith</t>
  </si>
  <si>
    <t xml:space="preserve">Peerless Price</t>
  </si>
  <si>
    <t xml:space="preserve">Bill Schroeder</t>
  </si>
  <si>
    <t xml:space="preserve">Derrick Alexander</t>
  </si>
  <si>
    <t xml:space="preserve">Jerry Rice</t>
  </si>
  <si>
    <t xml:space="preserve">Joe Horn</t>
  </si>
  <si>
    <t xml:space="preserve">Qadry Ismail</t>
  </si>
  <si>
    <t xml:space="preserve">Johnnie Morton</t>
  </si>
  <si>
    <t xml:space="preserve">Oronde Gadsden</t>
  </si>
  <si>
    <t xml:space="preserve">Shawn Jefferson</t>
  </si>
  <si>
    <t xml:space="preserve">Jake Reed</t>
  </si>
  <si>
    <t xml:space="preserve">Sean Dawkins</t>
  </si>
  <si>
    <t xml:space="preserve">David Boston</t>
  </si>
  <si>
    <t xml:space="preserve">Curtis Conway</t>
  </si>
  <si>
    <t xml:space="preserve">Darrin Chiaverini</t>
  </si>
  <si>
    <t xml:space="preserve">Troy Edwards</t>
  </si>
  <si>
    <t xml:space="preserve">Az-Zahir Hakim</t>
  </si>
  <si>
    <t xml:space="preserve">Carl Pickens</t>
  </si>
  <si>
    <t xml:space="preserve">Terrence Wilkins</t>
  </si>
  <si>
    <t xml:space="preserve">Charles Johnson</t>
  </si>
  <si>
    <t xml:space="preserve">Kevin Dyson</t>
  </si>
  <si>
    <t xml:space="preserve">Jeff Graham</t>
  </si>
  <si>
    <t xml:space="preserve">Jacquez Green</t>
  </si>
  <si>
    <t xml:space="preserve">Herman Moore</t>
  </si>
  <si>
    <t xml:space="preserve">Justin Armour</t>
  </si>
  <si>
    <t xml:space="preserve">Yancey Thigpen</t>
  </si>
  <si>
    <t xml:space="preserve">Torrance Small</t>
  </si>
  <si>
    <t xml:space="preserve">James Jett</t>
  </si>
  <si>
    <t xml:space="preserve">Frank Sanders</t>
  </si>
  <si>
    <t xml:space="preserve">Dedric Ward</t>
  </si>
  <si>
    <t xml:space="preserve">Corey Bradford</t>
  </si>
  <si>
    <t xml:space="preserve">R. Jay Soward</t>
  </si>
  <si>
    <t xml:space="preserve">Keith Poole</t>
  </si>
  <si>
    <t xml:space="preserve">Marty Booker</t>
  </si>
  <si>
    <t xml:space="preserve">Kevin Lockett</t>
  </si>
  <si>
    <t xml:space="preserve">O.J. McDuffie</t>
  </si>
  <si>
    <t xml:space="preserve">Tony Simmons</t>
  </si>
  <si>
    <t xml:space="preserve">Donald Hayes</t>
  </si>
  <si>
    <t xml:space="preserve">Vincent Brisby</t>
  </si>
  <si>
    <t xml:space="preserve">Pat Johnson</t>
  </si>
  <si>
    <t xml:space="preserve">Dennis Northcutt</t>
  </si>
  <si>
    <t xml:space="preserve">Darrell Jackson</t>
  </si>
  <si>
    <t xml:space="preserve">Jermaine Lewis</t>
  </si>
  <si>
    <t xml:space="preserve">Mathew Hatchette</t>
  </si>
  <si>
    <t xml:space="preserve">Andre Reed</t>
  </si>
  <si>
    <t xml:space="preserve">J.J. Stokes</t>
  </si>
  <si>
    <t xml:space="preserve">Hines Ward</t>
  </si>
  <si>
    <t xml:space="preserve">Joe Jurevicious</t>
  </si>
  <si>
    <t xml:space="preserve">Laveranues Coles</t>
  </si>
  <si>
    <t xml:space="preserve">Chris Sanders</t>
  </si>
  <si>
    <t xml:space="preserve">Andre Rison</t>
  </si>
  <si>
    <t xml:space="preserve">Jerry Porter</t>
  </si>
  <si>
    <t xml:space="preserve">Travis Taylor</t>
  </si>
  <si>
    <t xml:space="preserve">Ron Dugans</t>
  </si>
  <si>
    <t xml:space="preserve">Troy Brown</t>
  </si>
  <si>
    <t xml:space="preserve">Jerome Pathon</t>
  </si>
  <si>
    <t xml:space="preserve">Jeremey McDaniel</t>
  </si>
  <si>
    <t xml:space="preserve">Trevor Gaylor</t>
  </si>
  <si>
    <t xml:space="preserve">Windrell Hayes</t>
  </si>
  <si>
    <t xml:space="preserve">Lamar Thomas</t>
  </si>
  <si>
    <t xml:space="preserve">E.G. Green</t>
  </si>
  <si>
    <t xml:space="preserve">Charlie Jones</t>
  </si>
  <si>
    <t xml:space="preserve">Bert Emanuel</t>
  </si>
  <si>
    <t xml:space="preserve">Jajuan Dawson</t>
  </si>
  <si>
    <t xml:space="preserve">Chris Brazzell</t>
  </si>
  <si>
    <t xml:space="preserve">Sylvester Morris</t>
  </si>
  <si>
    <t xml:space="preserve">Reidel Anthony</t>
  </si>
  <si>
    <t xml:space="preserve">Irving Fryar</t>
  </si>
  <si>
    <t xml:space="preserve">Na Brown</t>
  </si>
  <si>
    <t xml:space="preserve">James McKnight</t>
  </si>
  <si>
    <t xml:space="preserve">Brett Bech</t>
  </si>
  <si>
    <t xml:space="preserve">Craig Yeast</t>
  </si>
  <si>
    <t xml:space="preserve">Willie Jackson</t>
  </si>
  <si>
    <t xml:space="preserve">Karsten Bailey</t>
  </si>
  <si>
    <t xml:space="preserve">Isaac Byrd</t>
  </si>
  <si>
    <t xml:space="preserve">Dez White</t>
  </si>
  <si>
    <t xml:space="preserve">Jason Tucker</t>
  </si>
  <si>
    <t xml:space="preserve">Macey Brooks</t>
  </si>
  <si>
    <t xml:space="preserve">Ricky Proehl</t>
  </si>
  <si>
    <t xml:space="preserve">Eddie Kennison</t>
  </si>
  <si>
    <t xml:space="preserve">Avion Black</t>
  </si>
  <si>
    <t xml:space="preserve">Courtney Hawkins</t>
  </si>
  <si>
    <t xml:space="preserve">Danny Farmer</t>
  </si>
  <si>
    <t xml:space="preserve">Tai Streets</t>
  </si>
  <si>
    <t xml:space="preserve">Terry Mickens</t>
  </si>
  <si>
    <t xml:space="preserve">Jim Turner</t>
  </si>
  <si>
    <t xml:space="preserve">Yatil Green</t>
  </si>
  <si>
    <t xml:space="preserve">Todd Pinkston</t>
  </si>
  <si>
    <t xml:space="preserve">James Thrash</t>
  </si>
  <si>
    <t xml:space="preserve">D'Wayne Bates</t>
  </si>
  <si>
    <t xml:space="preserve">Brian Stablein</t>
  </si>
  <si>
    <t xml:space="preserve">Eugene Baker</t>
  </si>
  <si>
    <t xml:space="preserve">Reggie Barlow</t>
  </si>
  <si>
    <t xml:space="preserve">Mikhael Ricks</t>
  </si>
  <si>
    <t xml:space="preserve">Andy McCullough</t>
  </si>
  <si>
    <t xml:space="preserve">Wane McGarity</t>
  </si>
  <si>
    <t xml:space="preserve">Chris Cole</t>
  </si>
  <si>
    <t xml:space="preserve">Anthony Lucas</t>
  </si>
  <si>
    <t xml:space="preserve">Chris Walsh</t>
  </si>
  <si>
    <t xml:space="preserve">Karl Williams</t>
  </si>
  <si>
    <t xml:space="preserve">Brian Alford</t>
  </si>
  <si>
    <t xml:space="preserve">Tony Gonzalez</t>
  </si>
  <si>
    <t xml:space="preserve">Wesley Walls</t>
  </si>
  <si>
    <t xml:space="preserve">Frank Wycheck</t>
  </si>
  <si>
    <t xml:space="preserve">Freddie Jones</t>
  </si>
  <si>
    <t xml:space="preserve">Shannon Sharpe</t>
  </si>
  <si>
    <t xml:space="preserve">Jay Riemersma</t>
  </si>
  <si>
    <t xml:space="preserve">Rickey Dudley</t>
  </si>
  <si>
    <t xml:space="preserve">Pete Mitchell</t>
  </si>
  <si>
    <t xml:space="preserve">Bubba Franks</t>
  </si>
  <si>
    <t xml:space="preserve">Ken Dilger</t>
  </si>
  <si>
    <t xml:space="preserve">Stephen Alexander</t>
  </si>
  <si>
    <t xml:space="preserve">David Sloan</t>
  </si>
  <si>
    <t xml:space="preserve">Ben Coates</t>
  </si>
  <si>
    <t xml:space="preserve">Marcus Pollard</t>
  </si>
  <si>
    <t xml:space="preserve">Greg Clark</t>
  </si>
  <si>
    <t xml:space="preserve">Christian Fauria</t>
  </si>
  <si>
    <t xml:space="preserve">Cam Cleeland</t>
  </si>
  <si>
    <t xml:space="preserve">Byron Chamberlain</t>
  </si>
  <si>
    <t xml:space="preserve">Luther Broughton</t>
  </si>
  <si>
    <t xml:space="preserve">Tony McGee</t>
  </si>
  <si>
    <t xml:space="preserve">David LaFleur</t>
  </si>
  <si>
    <t xml:space="preserve">OJ Santiago</t>
  </si>
  <si>
    <t xml:space="preserve">Roland Williams</t>
  </si>
  <si>
    <t xml:space="preserve">Billy Miller</t>
  </si>
  <si>
    <t xml:space="preserve">Anthony Becht</t>
  </si>
  <si>
    <t xml:space="preserve">Jimmy Kleinsasser</t>
  </si>
  <si>
    <t xml:space="preserve">Damon Jones</t>
  </si>
  <si>
    <t xml:space="preserve">Chris Gedney</t>
  </si>
  <si>
    <t xml:space="preserve">Dave Moore</t>
  </si>
  <si>
    <t xml:space="preserve">Jackie Harris</t>
  </si>
  <si>
    <t xml:space="preserve">Kyle Brady</t>
  </si>
  <si>
    <t xml:space="preserve">Terry Hardy</t>
  </si>
  <si>
    <t xml:space="preserve">Andrew Glover</t>
  </si>
  <si>
    <t xml:space="preserve">Mark Campbell</t>
  </si>
  <si>
    <t xml:space="preserve">Eric Bjornson</t>
  </si>
  <si>
    <t xml:space="preserve">Mark Bruener</t>
  </si>
  <si>
    <t xml:space="preserve">Reggie Kelly</t>
  </si>
  <si>
    <t xml:space="preserve">Ernie Conwell</t>
  </si>
  <si>
    <t xml:space="preserve">Ryan Wetnight</t>
  </si>
  <si>
    <t xml:space="preserve">Dwayne Carswell</t>
  </si>
  <si>
    <t xml:space="preserve">Rod Rutledge</t>
  </si>
  <si>
    <t xml:space="preserve">Jeremy Brigham</t>
  </si>
  <si>
    <t xml:space="preserve">James Whalen</t>
  </si>
  <si>
    <t xml:space="preserve">Tyrone Davis</t>
  </si>
  <si>
    <t xml:space="preserve">Fred Baxter</t>
  </si>
  <si>
    <t xml:space="preserve">Reggie Davis</t>
  </si>
  <si>
    <t xml:space="preserve">Chad Lewis</t>
  </si>
  <si>
    <t xml:space="preserve">Troy Drayton</t>
  </si>
  <si>
    <t xml:space="preserve">Bobby Collins</t>
  </si>
  <si>
    <t xml:space="preserve">Alonzo Mayes</t>
  </si>
  <si>
    <t xml:space="preserve">Hunter Goodwin</t>
  </si>
  <si>
    <t xml:space="preserve">Jason Gavadza</t>
  </si>
  <si>
    <t xml:space="preserve">Marco Battaglia</t>
  </si>
  <si>
    <t xml:space="preserve">Erron Kinney</t>
  </si>
  <si>
    <t xml:space="preserve">James Jenkins</t>
  </si>
  <si>
    <t xml:space="preserve">Carlester Crumpler</t>
  </si>
  <si>
    <t xml:space="preserve">Aaron Shea</t>
  </si>
  <si>
    <t xml:space="preserve">Itula Mili</t>
  </si>
  <si>
    <t xml:space="preserve">Ed Perry</t>
  </si>
  <si>
    <t xml:space="preserve">Brian Kinchen</t>
  </si>
  <si>
    <t xml:space="preserve">Howard Cross</t>
  </si>
  <si>
    <t xml:space="preserve">Shonn Bell</t>
  </si>
  <si>
    <t xml:space="preserve">Walter Rasby</t>
  </si>
  <si>
    <t xml:space="preserve">Field Goals</t>
  </si>
  <si>
    <t xml:space="preserve">Extra Points</t>
  </si>
  <si>
    <t xml:space="preserve">Field Goals Made Distribution</t>
  </si>
  <si>
    <t xml:space="preserve">Field Goals Missed Distribution</t>
  </si>
  <si>
    <t xml:space="preserve">Projected Field Goals Made</t>
  </si>
  <si>
    <t xml:space="preserve">Projected Field Goals Missed</t>
  </si>
  <si>
    <t xml:space="preserve">Made</t>
  </si>
  <si>
    <t xml:space="preserve">Miss</t>
  </si>
  <si>
    <t xml:space="preserve">0-29</t>
  </si>
  <si>
    <t xml:space="preserve">Mike Vanderjagt</t>
  </si>
  <si>
    <t xml:space="preserve">Mike Hollis</t>
  </si>
  <si>
    <t xml:space="preserve">Brett Conway</t>
  </si>
  <si>
    <t xml:space="preserve">Jason Elam</t>
  </si>
  <si>
    <t xml:space="preserve">Jeff Wilkins</t>
  </si>
  <si>
    <t xml:space="preserve">Todd Peterson</t>
  </si>
  <si>
    <t xml:space="preserve">Steve Christie</t>
  </si>
  <si>
    <t xml:space="preserve">Martin Gramatica</t>
  </si>
  <si>
    <t xml:space="preserve">Sebastian Janikowski</t>
  </si>
  <si>
    <t xml:space="preserve">Ryan Longwell</t>
  </si>
  <si>
    <t xml:space="preserve">Al Del Greco</t>
  </si>
  <si>
    <t xml:space="preserve">Olindo Mare</t>
  </si>
  <si>
    <t xml:space="preserve">John Hall</t>
  </si>
  <si>
    <t xml:space="preserve">Jason Hanson</t>
  </si>
  <si>
    <t xml:space="preserve">Paul Edinger</t>
  </si>
  <si>
    <t xml:space="preserve">Gary Anderson</t>
  </si>
  <si>
    <t xml:space="preserve">John Carney</t>
  </si>
  <si>
    <t xml:space="preserve">Matt Stover</t>
  </si>
  <si>
    <t xml:space="preserve">Adam Vinatieri</t>
  </si>
  <si>
    <t xml:space="preserve">Pete Stoyanovich</t>
  </si>
  <si>
    <t xml:space="preserve">Kris Brown</t>
  </si>
  <si>
    <t xml:space="preserve">Eddie Murray</t>
  </si>
  <si>
    <t xml:space="preserve">Wade Richey</t>
  </si>
  <si>
    <t xml:space="preserve">John Kasay</t>
  </si>
  <si>
    <t xml:space="preserve">Doug Brien</t>
  </si>
  <si>
    <t xml:space="preserve">Cary Blanchard</t>
  </si>
  <si>
    <t xml:space="preserve">Brad Daluiso</t>
  </si>
  <si>
    <t xml:space="preserve">Morten Andersen</t>
  </si>
  <si>
    <t xml:space="preserve">David Akers</t>
  </si>
  <si>
    <t xml:space="preserve">Neil Rackers</t>
  </si>
  <si>
    <t xml:space="preserve">Phil Dawson</t>
  </si>
  <si>
    <t xml:space="preserve">Fumbles</t>
  </si>
  <si>
    <t xml:space="preserve">Points</t>
  </si>
  <si>
    <t xml:space="preserve">Recovered</t>
  </si>
  <si>
    <t xml:space="preserve">Allowed</t>
  </si>
  <si>
    <t xml:space="preserve">Easy as 1,2,3:</t>
  </si>
  <si>
    <t xml:space="preserve">1.  Enter values by clicking on Inputs Tab</t>
  </si>
  <si>
    <t xml:space="preserve">2.  Click off the last value before hitting the submit button.</t>
  </si>
  <si>
    <t xml:space="preserve">3.  Custom Cheatsheet at your fingertips under the Cheat Tab.</t>
  </si>
  <si>
    <t xml:space="preserve">Changing Projections:</t>
  </si>
  <si>
    <t xml:space="preserve">1.  Click on the individual player tabs.</t>
  </si>
  <si>
    <t xml:space="preserve">2. Tweak the projections by changing the yellow cells (do not change the blue cells)</t>
  </si>
  <si>
    <t xml:space="preserve">3.  Rerun the app by pressing on the submit button within the Inputs Tab</t>
  </si>
  <si>
    <t xml:space="preserve">Hints:</t>
  </si>
  <si>
    <t xml:space="preserve">1.  By zeroing the TE position, TE's will be grouped with WRs </t>
  </si>
  <si>
    <t xml:space="preserve">2.  Pts per Passing Yard is a decimal.  Example 1 pt per 20 yards = .05 yards per point</t>
  </si>
  <si>
    <t xml:space="preserve">3.  Values can be positive or negative</t>
  </si>
  <si>
    <t xml:space="preserve">4.  Use the Overall list to draft in the early rounds.</t>
  </si>
  <si>
    <t xml:space="preserve">5.  Use Position lists to fill in roster needs.</t>
  </si>
  <si>
    <t xml:space="preserve">6.  Save the file so that your scoring criteria becomes the default.</t>
  </si>
  <si>
    <t xml:space="preserve">Notes:</t>
  </si>
  <si>
    <t xml:space="preserve">1.  Macros must be enabled for this to work.</t>
  </si>
  <si>
    <t xml:space="preserve">2.  Traditional VBD formulas have been tweaked to Eric's Secret Formula</t>
  </si>
  <si>
    <t xml:space="preserve">Drafted</t>
  </si>
  <si>
    <t xml:space="preserve">QB position</t>
  </si>
  <si>
    <t xml:space="preserve">RB position</t>
  </si>
  <si>
    <t xml:space="preserve">TE position</t>
  </si>
  <si>
    <t xml:space="preserve">PK position</t>
  </si>
  <si>
    <t xml:space="preserve">ST position</t>
  </si>
  <si>
    <t xml:space="preserve">WR position</t>
  </si>
  <si>
    <t xml:space="preserve">Average</t>
  </si>
  <si>
    <t xml:space="preserve">QB X Value</t>
  </si>
  <si>
    <t xml:space="preserve">RB X Value</t>
  </si>
  <si>
    <t xml:space="preserve">WR X Value</t>
  </si>
  <si>
    <t xml:space="preserve">TE X Value</t>
  </si>
  <si>
    <t xml:space="preserve">PK X Value</t>
  </si>
  <si>
    <t xml:space="preserve">ST X Value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</si>
</sst>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0.00"/>
    <numFmt numFmtId="167" formatCode="#,##0"/>
    <numFmt numFmtId="168" formatCode="0.0000"/>
    <numFmt numFmtId="169" formatCode="0.0"/>
    <numFmt numFmtId="170" formatCode="[$-409]d\-mmm"/>
    <numFmt numFmtId="171" formatCode="_(* #,##0.00_);_(* \(#,##0.0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8"/>
      <name val="Arial"/>
      <family val="2"/>
    </font>
    <font>
      <sz val="10"/>
      <name val="Arial"/>
      <family val="2"/>
    </font>
    <font>
      <b val="true"/>
      <sz val="8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0"/>
      <name val="Arial"/>
      <family val="2"/>
    </font>
    <font>
      <sz val="10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000000"/>
        <bgColor rgb="FF00330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6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6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6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6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6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6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6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6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6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id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533520</xdr:colOff>
          <xdr:row>33</xdr:row>
          <xdr:rowOff>0</xdr:rowOff>
        </xdr:from>
        <xdr:to>
          <xdr:col>8</xdr:col>
          <xdr:colOff>-149040</xdr:colOff>
          <xdr:row>34</xdr:row>
          <xdr:rowOff>75960</xdr:rowOff>
        </xdr:to>
        <xdr:sp>
          <xdr:nvSpPr>
            <xdr:cNvPr id="1001" name="Button 4" descr="Submi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Submit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ttp://www.cheatsheets.net/cheat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C4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85"/>
    <col collapsed="false" customWidth="true" hidden="false" outlineLevel="0" max="2" min="2" style="0" width="25.28"/>
    <col collapsed="false" customWidth="true" hidden="false" outlineLevel="0" max="6" min="3" style="0" width="4.7"/>
    <col collapsed="false" customWidth="true" hidden="false" outlineLevel="0" max="7" min="7" style="0" width="1.85"/>
    <col collapsed="false" customWidth="true" hidden="false" outlineLevel="0" max="8" min="8" style="0" width="23.56"/>
    <col collapsed="false" customWidth="true" hidden="false" outlineLevel="0" max="9" min="9" style="0" width="4.7"/>
    <col collapsed="false" customWidth="true" hidden="false" outlineLevel="0" max="27" min="27" style="1" width="9.14"/>
    <col collapsed="false" customWidth="true" hidden="false" outlineLevel="0" max="28" min="28" style="0" width="15.41"/>
    <col collapsed="false" customWidth="true" hidden="false" outlineLevel="0" max="29" min="29" style="1" width="7.28"/>
    <col collapsed="false" customWidth="true" hidden="false" outlineLevel="0" max="30" min="30" style="2" width="7.28"/>
    <col collapsed="false" customWidth="true" hidden="false" outlineLevel="0" max="31" min="31" style="1" width="9.14"/>
    <col collapsed="false" customWidth="true" hidden="false" outlineLevel="0" max="32" min="32" style="0" width="13.85"/>
    <col collapsed="false" customWidth="true" hidden="false" outlineLevel="0" max="33" min="33" style="1" width="9.14"/>
    <col collapsed="false" customWidth="true" hidden="false" outlineLevel="0" max="34" min="34" style="2" width="9.14"/>
    <col collapsed="false" customWidth="true" hidden="false" outlineLevel="0" max="35" min="35" style="1" width="9.14"/>
    <col collapsed="false" customWidth="true" hidden="false" outlineLevel="0" max="36" min="36" style="0" width="17.56"/>
    <col collapsed="false" customWidth="true" hidden="false" outlineLevel="0" max="37" min="37" style="1" width="9.14"/>
    <col collapsed="false" customWidth="true" hidden="false" outlineLevel="0" max="38" min="38" style="2" width="9.14"/>
    <col collapsed="false" customWidth="true" hidden="false" outlineLevel="0" max="39" min="39" style="1" width="9.14"/>
    <col collapsed="false" customWidth="true" hidden="false" outlineLevel="0" max="40" min="40" style="0" width="17.7"/>
    <col collapsed="false" customWidth="true" hidden="false" outlineLevel="0" max="41" min="41" style="1" width="9.14"/>
    <col collapsed="false" customWidth="true" hidden="false" outlineLevel="0" max="42" min="42" style="2" width="9.14"/>
    <col collapsed="false" customWidth="true" hidden="false" outlineLevel="0" max="43" min="43" style="1" width="9.14"/>
    <col collapsed="false" customWidth="true" hidden="false" outlineLevel="0" max="44" min="44" style="0" width="17.56"/>
    <col collapsed="false" customWidth="true" hidden="false" outlineLevel="0" max="45" min="45" style="1" width="9.14"/>
    <col collapsed="false" customWidth="true" hidden="false" outlineLevel="0" max="46" min="46" style="2" width="9.14"/>
    <col collapsed="false" customWidth="true" hidden="false" outlineLevel="0" max="47" min="47" style="1" width="9.14"/>
    <col collapsed="false" customWidth="true" hidden="false" outlineLevel="0" max="48" min="48" style="0" width="15.85"/>
    <col collapsed="false" customWidth="true" hidden="false" outlineLevel="0" max="49" min="49" style="1" width="9.14"/>
    <col collapsed="false" customWidth="true" hidden="false" outlineLevel="0" max="50" min="50" style="2" width="9.14"/>
    <col collapsed="false" customWidth="true" hidden="false" outlineLevel="0" max="51" min="51" style="1" width="9.14"/>
    <col collapsed="false" customWidth="true" hidden="false" outlineLevel="0" max="52" min="52" style="0" width="16.56"/>
    <col collapsed="false" customWidth="true" hidden="false" outlineLevel="0" max="55" min="53" style="1" width="9.14"/>
  </cols>
  <sheetData>
    <row r="1" customFormat="false" ht="12.75" hidden="false" customHeight="false" outlineLevel="0" collapsed="false">
      <c r="H1" s="0" t="s">
        <v>0</v>
      </c>
    </row>
    <row r="2" customFormat="false" ht="13.5" hidden="false" customHeight="false" outlineLevel="0" collapsed="false">
      <c r="G2" s="1"/>
      <c r="J2" s="3"/>
      <c r="AA2" s="4" t="s">
        <v>1</v>
      </c>
      <c r="AB2" s="5" t="s">
        <v>2</v>
      </c>
      <c r="AC2" s="6" t="s">
        <v>3</v>
      </c>
      <c r="AD2" s="6" t="s">
        <v>4</v>
      </c>
      <c r="AE2" s="6" t="s">
        <v>5</v>
      </c>
      <c r="AF2" s="5" t="s">
        <v>2</v>
      </c>
      <c r="AG2" s="4" t="s">
        <v>3</v>
      </c>
      <c r="AH2" s="6" t="s">
        <v>4</v>
      </c>
      <c r="AI2" s="6" t="s">
        <v>5</v>
      </c>
      <c r="AJ2" s="5" t="s">
        <v>2</v>
      </c>
      <c r="AK2" s="4" t="s">
        <v>3</v>
      </c>
      <c r="AL2" s="6" t="s">
        <v>4</v>
      </c>
      <c r="AM2" s="6" t="s">
        <v>5</v>
      </c>
      <c r="AN2" s="5" t="s">
        <v>2</v>
      </c>
      <c r="AO2" s="4" t="s">
        <v>3</v>
      </c>
      <c r="AP2" s="6" t="s">
        <v>4</v>
      </c>
      <c r="AQ2" s="6" t="s">
        <v>5</v>
      </c>
      <c r="AR2" s="5" t="s">
        <v>2</v>
      </c>
      <c r="AS2" s="4" t="s">
        <v>3</v>
      </c>
      <c r="AT2" s="6" t="s">
        <v>4</v>
      </c>
      <c r="AU2" s="6" t="s">
        <v>5</v>
      </c>
      <c r="AV2" s="5" t="s">
        <v>3</v>
      </c>
      <c r="AW2" s="4" t="s">
        <v>4</v>
      </c>
      <c r="AX2" s="6" t="s">
        <v>5</v>
      </c>
      <c r="AY2" s="4" t="s">
        <v>1</v>
      </c>
      <c r="AZ2" s="5" t="s">
        <v>2</v>
      </c>
      <c r="BA2" s="4" t="s">
        <v>3</v>
      </c>
      <c r="BB2" s="4" t="s">
        <v>6</v>
      </c>
      <c r="BC2" s="6" t="s">
        <v>5</v>
      </c>
    </row>
    <row r="3" customFormat="false" ht="13.5" hidden="false" customHeight="false" outlineLevel="0" collapsed="false">
      <c r="H3" s="7" t="s">
        <v>7</v>
      </c>
      <c r="I3" s="8" t="s">
        <v>8</v>
      </c>
      <c r="J3" s="9"/>
      <c r="AA3" s="1" t="n">
        <v>1</v>
      </c>
      <c r="AB3" s="0" t="str">
        <f aca="false">QBs!A3</f>
        <v>Kurt Warner</v>
      </c>
      <c r="AC3" s="1" t="str">
        <f aca="false">QBs!B3</f>
        <v>StL</v>
      </c>
      <c r="AD3" s="2" t="n">
        <f aca="false">QBs!AL3</f>
        <v>397.264202247191</v>
      </c>
      <c r="AE3" s="2" t="n">
        <f aca="false">AD3-calcs!$E$9</f>
        <v>108.939406784907</v>
      </c>
      <c r="AF3" s="0" t="str">
        <f aca="false">RBs!A3</f>
        <v>Edgerrin James</v>
      </c>
      <c r="AG3" s="1" t="str">
        <f aca="false">RBs!B3</f>
        <v>Ind</v>
      </c>
      <c r="AH3" s="2" t="n">
        <f aca="false">RBs!AJ3</f>
        <v>317.940909090909</v>
      </c>
      <c r="AI3" s="2" t="n">
        <f aca="false">AH3-calcs!$E$10</f>
        <v>170.468974358974</v>
      </c>
      <c r="AJ3" s="0" t="str">
        <f aca="false">WRs!A3</f>
        <v>Marvin Harrison</v>
      </c>
      <c r="AK3" s="1" t="str">
        <f aca="false">WRs!B3</f>
        <v>Ind</v>
      </c>
      <c r="AL3" s="2" t="n">
        <f aca="false">WRs!AJ3</f>
        <v>240.072413793103</v>
      </c>
      <c r="AM3" s="2" t="n">
        <f aca="false">AL3-calcs!$E$11</f>
        <v>94.9366009852217</v>
      </c>
      <c r="AN3" s="0" t="str">
        <f aca="false">TEs!A3</f>
        <v>Tony Gonzalez</v>
      </c>
      <c r="AO3" s="1" t="str">
        <f aca="false">TEs!B3</f>
        <v>KC</v>
      </c>
      <c r="AP3" s="2" t="n">
        <f aca="false">TEs!T3</f>
        <v>141.854545454545</v>
      </c>
      <c r="AQ3" s="2" t="n">
        <f aca="false">AP3-calcs!$E$12</f>
        <v>80.4787878787879</v>
      </c>
      <c r="AR3" s="0" t="str">
        <f aca="false">PKs!A3</f>
        <v>Mike Vanderjagt</v>
      </c>
      <c r="AS3" s="1" t="str">
        <f aca="false">PKs!B3</f>
        <v>Ind</v>
      </c>
      <c r="AT3" s="2" t="n">
        <f aca="false">PKs!W3</f>
        <v>133.296741854637</v>
      </c>
      <c r="AU3" s="2" t="n">
        <f aca="false">AT3-calcs!$E$13</f>
        <v>14.8062519822057</v>
      </c>
      <c r="AV3" s="0" t="str">
        <f aca="false">Defs!A3</f>
        <v>St. Louis Rams</v>
      </c>
      <c r="AW3" s="1" t="n">
        <f aca="false">Defs!I3</f>
        <v>87.32</v>
      </c>
      <c r="AX3" s="2" t="n">
        <f aca="false">AW3-calcs!$E$14</f>
        <v>26.1</v>
      </c>
      <c r="AY3" s="1" t="n">
        <v>1</v>
      </c>
      <c r="AZ3" s="0" t="str">
        <f aca="false">RBs!A3</f>
        <v>Edgerrin James</v>
      </c>
      <c r="BA3" s="1" t="str">
        <f aca="false">RBs!B3</f>
        <v>Ind</v>
      </c>
      <c r="BB3" s="1" t="s">
        <v>9</v>
      </c>
      <c r="BC3" s="2" t="n">
        <f aca="false">RBs!AJ3-calcs!$E$10</f>
        <v>170.468974358974</v>
      </c>
    </row>
    <row r="4" customFormat="false" ht="12.75" hidden="false" customHeight="false" outlineLevel="0" collapsed="false">
      <c r="H4" s="10" t="s">
        <v>10</v>
      </c>
      <c r="I4" s="11" t="n">
        <v>6</v>
      </c>
      <c r="J4" s="9"/>
      <c r="AA4" s="1" t="n">
        <v>2</v>
      </c>
      <c r="AB4" s="0" t="str">
        <f aca="false">QBs!A4</f>
        <v>Peyton Manning</v>
      </c>
      <c r="AC4" s="1" t="str">
        <f aca="false">QBs!B4</f>
        <v>Ind</v>
      </c>
      <c r="AD4" s="2" t="n">
        <f aca="false">QBs!AL4</f>
        <v>359.276561797753</v>
      </c>
      <c r="AE4" s="2" t="n">
        <f aca="false">AD4-calcs!$E$9</f>
        <v>70.9517663354691</v>
      </c>
      <c r="AF4" s="0" t="str">
        <f aca="false">RBs!A4</f>
        <v>Marshall Faulk</v>
      </c>
      <c r="AG4" s="1" t="str">
        <f aca="false">RBs!B4</f>
        <v>StL</v>
      </c>
      <c r="AH4" s="2" t="n">
        <f aca="false">RBs!AJ4</f>
        <v>305.357342657343</v>
      </c>
      <c r="AI4" s="2" t="n">
        <f aca="false">AH4-calcs!$E$10</f>
        <v>157.885407925408</v>
      </c>
      <c r="AJ4" s="0" t="str">
        <f aca="false">WRs!A4</f>
        <v>Randy Moss</v>
      </c>
      <c r="AK4" s="1" t="str">
        <f aca="false">WRs!B4</f>
        <v>Min</v>
      </c>
      <c r="AL4" s="2" t="n">
        <f aca="false">WRs!AJ4</f>
        <v>236.641428571429</v>
      </c>
      <c r="AM4" s="2" t="n">
        <f aca="false">AL4-calcs!$E$11</f>
        <v>91.5056157635468</v>
      </c>
      <c r="AN4" s="0" t="str">
        <f aca="false">TEs!A4</f>
        <v>Wesley Walls</v>
      </c>
      <c r="AO4" s="1" t="str">
        <f aca="false">TEs!B4</f>
        <v>Car</v>
      </c>
      <c r="AP4" s="2" t="n">
        <f aca="false">TEs!T4</f>
        <v>111.459090909091</v>
      </c>
      <c r="AQ4" s="2" t="n">
        <f aca="false">AP4-calcs!$E$12</f>
        <v>50.0833333333333</v>
      </c>
      <c r="AR4" s="0" t="str">
        <f aca="false">PKs!A5</f>
        <v>Brett Conway</v>
      </c>
      <c r="AS4" s="1" t="str">
        <f aca="false">PKs!B5</f>
        <v>Was</v>
      </c>
      <c r="AT4" s="2" t="n">
        <f aca="false">PKs!W5</f>
        <v>125.103221905502</v>
      </c>
      <c r="AU4" s="2" t="n">
        <f aca="false">AT4-calcs!$E$13</f>
        <v>6.61273203307135</v>
      </c>
      <c r="AV4" s="0" t="str">
        <f aca="false">Defs!A4</f>
        <v>Washington Redskins </v>
      </c>
      <c r="AW4" s="1" t="n">
        <f aca="false">Defs!I4</f>
        <v>84.98</v>
      </c>
      <c r="AX4" s="2" t="n">
        <f aca="false">AW4-calcs!$E$14</f>
        <v>23.76</v>
      </c>
      <c r="AY4" s="1" t="n">
        <v>2</v>
      </c>
      <c r="AZ4" s="0" t="str">
        <f aca="false">RBs!A4</f>
        <v>Marshall Faulk</v>
      </c>
      <c r="BA4" s="1" t="str">
        <f aca="false">RBs!B4</f>
        <v>StL</v>
      </c>
      <c r="BB4" s="1" t="s">
        <v>9</v>
      </c>
      <c r="BC4" s="2" t="n">
        <f aca="false">RBs!AJ4-calcs!$E$10</f>
        <v>157.885407925408</v>
      </c>
    </row>
    <row r="5" customFormat="false" ht="12.75" hidden="false" customHeight="false" outlineLevel="0" collapsed="false">
      <c r="H5" s="12" t="s">
        <v>11</v>
      </c>
      <c r="I5" s="13" t="n">
        <v>2</v>
      </c>
      <c r="J5" s="9"/>
      <c r="AA5" s="1" t="n">
        <v>3</v>
      </c>
      <c r="AB5" s="0" t="str">
        <f aca="false">QBs!A7</f>
        <v>Cade McNown</v>
      </c>
      <c r="AC5" s="1" t="str">
        <f aca="false">QBs!B7</f>
        <v>Chi</v>
      </c>
      <c r="AD5" s="2" t="n">
        <f aca="false">QBs!AL7</f>
        <v>348.488363636364</v>
      </c>
      <c r="AE5" s="2" t="n">
        <f aca="false">AD5-calcs!$E$9</f>
        <v>60.16356817408</v>
      </c>
      <c r="AF5" s="0" t="str">
        <f aca="false">RBs!A8</f>
        <v>Stephen Davis</v>
      </c>
      <c r="AG5" s="1" t="str">
        <f aca="false">RBs!B8</f>
        <v>Was</v>
      </c>
      <c r="AH5" s="2" t="n">
        <f aca="false">RBs!AJ8</f>
        <v>263.714685314685</v>
      </c>
      <c r="AI5" s="2" t="n">
        <f aca="false">AH5-calcs!$E$10</f>
        <v>116.24275058275</v>
      </c>
      <c r="AJ5" s="0" t="str">
        <f aca="false">WRs!A5</f>
        <v>Marcus Robinson</v>
      </c>
      <c r="AK5" s="1" t="str">
        <f aca="false">WRs!B5</f>
        <v>Chi</v>
      </c>
      <c r="AL5" s="2" t="n">
        <f aca="false">WRs!AJ5</f>
        <v>227.257142857143</v>
      </c>
      <c r="AM5" s="2" t="n">
        <f aca="false">AL5-calcs!$E$11</f>
        <v>82.1213300492611</v>
      </c>
      <c r="AN5" s="0" t="str">
        <f aca="false">TEs!A7</f>
        <v>Shannon Sharpe</v>
      </c>
      <c r="AO5" s="1" t="str">
        <f aca="false">TEs!B7</f>
        <v>Bal</v>
      </c>
      <c r="AP5" s="2" t="n">
        <f aca="false">TEs!T7</f>
        <v>87.4509090909091</v>
      </c>
      <c r="AQ5" s="2" t="n">
        <f aca="false">AP5-calcs!$E$12</f>
        <v>26.0751515151515</v>
      </c>
      <c r="AR5" s="0" t="str">
        <f aca="false">PKs!A6</f>
        <v>Jason Elam</v>
      </c>
      <c r="AS5" s="1" t="str">
        <f aca="false">PKs!B6</f>
        <v>Den</v>
      </c>
      <c r="AT5" s="2" t="n">
        <f aca="false">PKs!W6</f>
        <v>124.120843050877</v>
      </c>
      <c r="AU5" s="2" t="n">
        <f aca="false">AT5-calcs!$E$13</f>
        <v>5.6303531784458</v>
      </c>
      <c r="AV5" s="0" t="str">
        <f aca="false">Defs!A5</f>
        <v>Baltimore Ravens </v>
      </c>
      <c r="AW5" s="1" t="n">
        <f aca="false">Defs!I5</f>
        <v>84</v>
      </c>
      <c r="AX5" s="2" t="n">
        <f aca="false">AW5-calcs!$E$14</f>
        <v>22.78</v>
      </c>
      <c r="AY5" s="1" t="n">
        <v>3</v>
      </c>
      <c r="AZ5" s="0" t="str">
        <f aca="false">RBs!A8</f>
        <v>Stephen Davis</v>
      </c>
      <c r="BA5" s="1" t="str">
        <f aca="false">RBs!B8</f>
        <v>Was</v>
      </c>
      <c r="BB5" s="1" t="s">
        <v>9</v>
      </c>
      <c r="BC5" s="2" t="n">
        <f aca="false">RBs!AJ8-calcs!$E$10</f>
        <v>116.24275058275</v>
      </c>
    </row>
    <row r="6" customFormat="false" ht="12.75" hidden="false" customHeight="false" outlineLevel="0" collapsed="false">
      <c r="H6" s="12" t="s">
        <v>12</v>
      </c>
      <c r="I6" s="14" t="n">
        <v>2</v>
      </c>
      <c r="J6" s="9"/>
      <c r="AA6" s="1" t="n">
        <v>4</v>
      </c>
      <c r="AB6" s="0" t="str">
        <f aca="false">QBs!A6</f>
        <v>Steve McNair</v>
      </c>
      <c r="AC6" s="1" t="str">
        <f aca="false">QBs!B6</f>
        <v>Ten</v>
      </c>
      <c r="AD6" s="2" t="n">
        <f aca="false">QBs!AL6</f>
        <v>346.95993258427</v>
      </c>
      <c r="AE6" s="2" t="n">
        <f aca="false">AD6-calcs!$E$9</f>
        <v>58.6351371219861</v>
      </c>
      <c r="AF6" s="0" t="str">
        <f aca="false">RBs!A7</f>
        <v>Emmitt Smith</v>
      </c>
      <c r="AG6" s="1" t="str">
        <f aca="false">RBs!B7</f>
        <v>Dal</v>
      </c>
      <c r="AH6" s="2" t="n">
        <f aca="false">RBs!AJ7</f>
        <v>254.038461538462</v>
      </c>
      <c r="AI6" s="2" t="n">
        <f aca="false">AH6-calcs!$E$10</f>
        <v>106.566526806527</v>
      </c>
      <c r="AJ6" s="0" t="str">
        <f aca="false">WRs!A9</f>
        <v>Eric Moulds</v>
      </c>
      <c r="AK6" s="1" t="str">
        <f aca="false">WRs!B9</f>
        <v>Buf</v>
      </c>
      <c r="AL6" s="2" t="n">
        <f aca="false">WRs!AJ9</f>
        <v>216.457142857143</v>
      </c>
      <c r="AM6" s="2" t="n">
        <f aca="false">AL6-calcs!$E$11</f>
        <v>71.3213300492611</v>
      </c>
      <c r="AN6" s="0" t="str">
        <f aca="false">TEs!A6</f>
        <v>Freddie Jones</v>
      </c>
      <c r="AO6" s="1" t="str">
        <f aca="false">TEs!B6</f>
        <v>SD</v>
      </c>
      <c r="AP6" s="2" t="n">
        <f aca="false">TEs!T6</f>
        <v>87.2909090909091</v>
      </c>
      <c r="AQ6" s="2" t="n">
        <f aca="false">AP6-calcs!$E$12</f>
        <v>25.9151515151515</v>
      </c>
      <c r="AR6" s="0" t="str">
        <f aca="false">PKs!A4</f>
        <v>Mike Hollis</v>
      </c>
      <c r="AS6" s="1" t="str">
        <f aca="false">PKs!B4</f>
        <v>Jac</v>
      </c>
      <c r="AT6" s="2" t="n">
        <f aca="false">PKs!W4</f>
        <v>123.736027568922</v>
      </c>
      <c r="AU6" s="2" t="n">
        <f aca="false">AT6-calcs!$E$13</f>
        <v>5.24553769649138</v>
      </c>
      <c r="AV6" s="0" t="str">
        <f aca="false">Defs!A9</f>
        <v>Tampa Bay Buccaneers</v>
      </c>
      <c r="AW6" s="1" t="n">
        <f aca="false">Defs!I9</f>
        <v>72.16</v>
      </c>
      <c r="AX6" s="2" t="n">
        <f aca="false">AW6-calcs!$E$14</f>
        <v>10.94</v>
      </c>
      <c r="AY6" s="1" t="n">
        <v>4</v>
      </c>
      <c r="AZ6" s="0" t="str">
        <f aca="false">QBs!A3</f>
        <v>Kurt Warner</v>
      </c>
      <c r="BA6" s="1" t="str">
        <f aca="false">QBs!B3</f>
        <v>StL</v>
      </c>
      <c r="BB6" s="1" t="s">
        <v>13</v>
      </c>
      <c r="BC6" s="2" t="n">
        <f aca="false">QBs!AL3-calcs!$E$9</f>
        <v>108.939406784907</v>
      </c>
    </row>
    <row r="7" customFormat="false" ht="12.75" hidden="false" customHeight="false" outlineLevel="0" collapsed="false">
      <c r="H7" s="12" t="s">
        <v>14</v>
      </c>
      <c r="I7" s="13" t="n">
        <v>1</v>
      </c>
      <c r="J7" s="9"/>
      <c r="AA7" s="1" t="n">
        <v>5</v>
      </c>
      <c r="AB7" s="0" t="str">
        <f aca="false">QBs!A5</f>
        <v>Brett Favre</v>
      </c>
      <c r="AC7" s="1" t="str">
        <f aca="false">QBs!B5</f>
        <v>GB</v>
      </c>
      <c r="AD7" s="2" t="n">
        <f aca="false">QBs!AL5</f>
        <v>339.775060150376</v>
      </c>
      <c r="AE7" s="2" t="n">
        <f aca="false">AD7-calcs!$E$9</f>
        <v>51.4502646880922</v>
      </c>
      <c r="AF7" s="0" t="str">
        <f aca="false">RBs!A5</f>
        <v>Fred Taylor</v>
      </c>
      <c r="AG7" s="1" t="str">
        <f aca="false">RBs!B5</f>
        <v>Jac</v>
      </c>
      <c r="AH7" s="2" t="n">
        <f aca="false">RBs!AJ5</f>
        <v>253.382237762238</v>
      </c>
      <c r="AI7" s="2" t="n">
        <f aca="false">AH7-calcs!$E$10</f>
        <v>105.910303030303</v>
      </c>
      <c r="AJ7" s="0" t="str">
        <f aca="false">WRs!A8</f>
        <v>Jimmy Smith</v>
      </c>
      <c r="AK7" s="1" t="str">
        <f aca="false">WRs!B8</f>
        <v>Jac</v>
      </c>
      <c r="AL7" s="2" t="n">
        <f aca="false">WRs!AJ8</f>
        <v>214.155172413793</v>
      </c>
      <c r="AM7" s="2" t="n">
        <f aca="false">AL7-calcs!$E$11</f>
        <v>69.0193596059114</v>
      </c>
      <c r="AN7" s="0" t="str">
        <f aca="false">TEs!A8</f>
        <v>Jay Riemersma</v>
      </c>
      <c r="AO7" s="1" t="str">
        <f aca="false">TEs!B8</f>
        <v>Buf</v>
      </c>
      <c r="AP7" s="2" t="n">
        <f aca="false">TEs!T8</f>
        <v>86.3636363636364</v>
      </c>
      <c r="AQ7" s="2" t="n">
        <f aca="false">AP7-calcs!$E$12</f>
        <v>24.9878787878788</v>
      </c>
      <c r="AR7" s="0" t="str">
        <f aca="false">PKs!A8</f>
        <v>Todd Peterson</v>
      </c>
      <c r="AS7" s="1" t="str">
        <f aca="false">PKs!B8</f>
        <v>Sea</v>
      </c>
      <c r="AT7" s="2" t="n">
        <f aca="false">PKs!W8</f>
        <v>121.138464196251</v>
      </c>
      <c r="AU7" s="2" t="n">
        <f aca="false">AT7-calcs!$E$13</f>
        <v>2.64797432382025</v>
      </c>
      <c r="AV7" s="0" t="str">
        <f aca="false">Defs!A7</f>
        <v>Jacksonville Jaguars</v>
      </c>
      <c r="AW7" s="1" t="n">
        <f aca="false">Defs!I7</f>
        <v>71.54</v>
      </c>
      <c r="AX7" s="2" t="n">
        <f aca="false">AW7-calcs!$E$14</f>
        <v>10.32</v>
      </c>
      <c r="AY7" s="1" t="n">
        <v>5</v>
      </c>
      <c r="AZ7" s="0" t="str">
        <f aca="false">RBs!A7</f>
        <v>Emmitt Smith</v>
      </c>
      <c r="BA7" s="1" t="str">
        <f aca="false">RBs!B7</f>
        <v>Dal</v>
      </c>
      <c r="BB7" s="1" t="s">
        <v>9</v>
      </c>
      <c r="BC7" s="2" t="n">
        <f aca="false">RBs!AJ7-calcs!$E$10</f>
        <v>106.566526806527</v>
      </c>
    </row>
    <row r="8" customFormat="false" ht="12.75" hidden="false" customHeight="false" outlineLevel="0" collapsed="false">
      <c r="H8" s="12" t="s">
        <v>15</v>
      </c>
      <c r="I8" s="13" t="n">
        <v>2</v>
      </c>
      <c r="J8" s="9"/>
      <c r="AA8" s="1" t="n">
        <v>6</v>
      </c>
      <c r="AB8" s="0" t="str">
        <f aca="false">QBs!A10</f>
        <v>Brad Johnson</v>
      </c>
      <c r="AC8" s="1" t="str">
        <f aca="false">QBs!B10</f>
        <v>Was</v>
      </c>
      <c r="AD8" s="2" t="n">
        <f aca="false">QBs!AL10</f>
        <v>325.027652892562</v>
      </c>
      <c r="AE8" s="2" t="n">
        <f aca="false">AD8-calcs!$E$9</f>
        <v>36.7028574302782</v>
      </c>
      <c r="AF8" s="0" t="str">
        <f aca="false">RBs!A9</f>
        <v>Terrell Davis</v>
      </c>
      <c r="AG8" s="1" t="str">
        <f aca="false">RBs!B9</f>
        <v>Den</v>
      </c>
      <c r="AH8" s="2" t="n">
        <f aca="false">RBs!AJ9</f>
        <v>251.014685314685</v>
      </c>
      <c r="AI8" s="2" t="n">
        <f aca="false">AH8-calcs!$E$10</f>
        <v>103.542750582751</v>
      </c>
      <c r="AJ8" s="0" t="str">
        <f aca="false">WRs!A6</f>
        <v>Antonio Freeman</v>
      </c>
      <c r="AK8" s="1" t="str">
        <f aca="false">WRs!B6</f>
        <v>GB</v>
      </c>
      <c r="AL8" s="2" t="n">
        <f aca="false">WRs!AJ6</f>
        <v>206.813793103448</v>
      </c>
      <c r="AM8" s="2" t="n">
        <f aca="false">AL8-calcs!$E$11</f>
        <v>61.6779802955665</v>
      </c>
      <c r="AN8" s="0" t="str">
        <f aca="false">TEs!A5</f>
        <v>Frank Wycheck</v>
      </c>
      <c r="AO8" s="1" t="str">
        <f aca="false">TEs!B5</f>
        <v>Ten</v>
      </c>
      <c r="AP8" s="2" t="n">
        <f aca="false">TEs!T5</f>
        <v>86.1181818181818</v>
      </c>
      <c r="AQ8" s="2" t="n">
        <f aca="false">AP8-calcs!$E$12</f>
        <v>24.7424242424242</v>
      </c>
      <c r="AR8" s="0" t="str">
        <f aca="false">PKs!A7</f>
        <v>Jeff Wilkins</v>
      </c>
      <c r="AS8" s="1" t="str">
        <f aca="false">PKs!B7</f>
        <v>StL</v>
      </c>
      <c r="AT8" s="2" t="n">
        <f aca="false">PKs!W7</f>
        <v>120.321741854637</v>
      </c>
      <c r="AU8" s="2" t="n">
        <f aca="false">AT8-calcs!$E$13</f>
        <v>1.83125198220566</v>
      </c>
      <c r="AV8" s="0" t="str">
        <f aca="false">Defs!A6</f>
        <v>Tennessee Titans </v>
      </c>
      <c r="AW8" s="1" t="n">
        <f aca="false">Defs!I6</f>
        <v>66.28</v>
      </c>
      <c r="AX8" s="2" t="n">
        <f aca="false">AW8-calcs!$E$14</f>
        <v>5.06</v>
      </c>
      <c r="AY8" s="1" t="n">
        <v>6</v>
      </c>
      <c r="AZ8" s="0" t="str">
        <f aca="false">RBs!A5</f>
        <v>Fred Taylor</v>
      </c>
      <c r="BA8" s="1" t="str">
        <f aca="false">RBs!B5</f>
        <v>Jac</v>
      </c>
      <c r="BB8" s="1" t="s">
        <v>9</v>
      </c>
      <c r="BC8" s="2" t="n">
        <f aca="false">RBs!AJ5-calcs!$E$10</f>
        <v>105.910303030303</v>
      </c>
    </row>
    <row r="9" customFormat="false" ht="13.5" hidden="false" customHeight="false" outlineLevel="0" collapsed="false">
      <c r="H9" s="12" t="s">
        <v>16</v>
      </c>
      <c r="I9" s="15" t="n">
        <v>-0.01</v>
      </c>
      <c r="J9" s="9"/>
      <c r="AA9" s="1" t="n">
        <v>7</v>
      </c>
      <c r="AB9" s="0" t="str">
        <f aca="false">QBs!A9</f>
        <v>Jeff Garcia</v>
      </c>
      <c r="AC9" s="1" t="str">
        <f aca="false">QBs!B9</f>
        <v>SF</v>
      </c>
      <c r="AD9" s="2" t="n">
        <f aca="false">QBs!AL9</f>
        <v>324.584921348315</v>
      </c>
      <c r="AE9" s="2" t="n">
        <f aca="false">AD9-calcs!$E$9</f>
        <v>36.260125886031</v>
      </c>
      <c r="AF9" s="0" t="str">
        <f aca="false">RBs!A6</f>
        <v>Eddie George</v>
      </c>
      <c r="AG9" s="1" t="str">
        <f aca="false">RBs!B6</f>
        <v>Ten</v>
      </c>
      <c r="AH9" s="2" t="n">
        <f aca="false">RBs!AJ6</f>
        <v>247.90979020979</v>
      </c>
      <c r="AI9" s="2" t="n">
        <f aca="false">AH9-calcs!$E$10</f>
        <v>100.437855477855</v>
      </c>
      <c r="AJ9" s="0" t="str">
        <f aca="false">WRs!A7</f>
        <v>Isaac Bruce</v>
      </c>
      <c r="AK9" s="1" t="str">
        <f aca="false">WRs!B7</f>
        <v>StL</v>
      </c>
      <c r="AL9" s="2" t="n">
        <f aca="false">WRs!AJ7</f>
        <v>206.562413793103</v>
      </c>
      <c r="AM9" s="2" t="n">
        <f aca="false">AL9-calcs!$E$11</f>
        <v>61.4266009852217</v>
      </c>
      <c r="AN9" s="0" t="str">
        <f aca="false">TEs!A9</f>
        <v>Rickey Dudley</v>
      </c>
      <c r="AO9" s="1" t="str">
        <f aca="false">TEs!B9</f>
        <v>Oak</v>
      </c>
      <c r="AP9" s="2" t="n">
        <f aca="false">TEs!T9</f>
        <v>85.1136363636364</v>
      </c>
      <c r="AQ9" s="2" t="n">
        <f aca="false">AP9-calcs!$E$12</f>
        <v>23.7378787878788</v>
      </c>
      <c r="AR9" s="0" t="str">
        <f aca="false">PKs!A11</f>
        <v>Sebastian Janikowski</v>
      </c>
      <c r="AS9" s="1" t="str">
        <f aca="false">PKs!B11</f>
        <v>Oak</v>
      </c>
      <c r="AT9" s="2" t="n">
        <f aca="false">PKs!W11</f>
        <v>120.138464196251</v>
      </c>
      <c r="AU9" s="2" t="n">
        <f aca="false">AT9-calcs!$E$13</f>
        <v>1.64797432382025</v>
      </c>
      <c r="AV9" s="0" t="str">
        <f aca="false">Defs!A8</f>
        <v>Seattle Seahawks </v>
      </c>
      <c r="AW9" s="1" t="n">
        <f aca="false">Defs!I8</f>
        <v>65.22</v>
      </c>
      <c r="AX9" s="2" t="n">
        <f aca="false">AW9-calcs!$E$14</f>
        <v>4</v>
      </c>
      <c r="AY9" s="1" t="n">
        <v>7</v>
      </c>
      <c r="AZ9" s="0" t="str">
        <f aca="false">RBs!A9</f>
        <v>Terrell Davis</v>
      </c>
      <c r="BA9" s="1" t="str">
        <f aca="false">RBs!B9</f>
        <v>Den</v>
      </c>
      <c r="BB9" s="1" t="s">
        <v>9</v>
      </c>
      <c r="BC9" s="2" t="n">
        <f aca="false">RBs!AJ9-calcs!$E$10</f>
        <v>103.542750582751</v>
      </c>
    </row>
    <row r="10" customFormat="false" ht="13.5" hidden="false" customHeight="false" outlineLevel="0" collapsed="false">
      <c r="B10" s="16" t="s">
        <v>17</v>
      </c>
      <c r="C10" s="8" t="s">
        <v>13</v>
      </c>
      <c r="D10" s="8" t="s">
        <v>9</v>
      </c>
      <c r="E10" s="8" t="s">
        <v>18</v>
      </c>
      <c r="F10" s="8" t="s">
        <v>19</v>
      </c>
      <c r="H10" s="17" t="s">
        <v>20</v>
      </c>
      <c r="I10" s="18" t="n">
        <v>-0.1</v>
      </c>
      <c r="J10" s="9"/>
      <c r="AA10" s="1" t="n">
        <v>8</v>
      </c>
      <c r="AB10" s="0" t="str">
        <f aca="false">QBs!A11</f>
        <v>Jeff Blake</v>
      </c>
      <c r="AC10" s="1" t="str">
        <f aca="false">QBs!B11</f>
        <v>NO</v>
      </c>
      <c r="AD10" s="2" t="n">
        <f aca="false">QBs!AL11</f>
        <v>318.967495867769</v>
      </c>
      <c r="AE10" s="2" t="n">
        <f aca="false">AD10-calcs!$E$9</f>
        <v>30.6427004054849</v>
      </c>
      <c r="AF10" s="0" t="str">
        <f aca="false">RBs!A10</f>
        <v>Dorsey Levens</v>
      </c>
      <c r="AG10" s="1" t="str">
        <f aca="false">RBs!B10</f>
        <v>GB</v>
      </c>
      <c r="AH10" s="2" t="n">
        <f aca="false">RBs!AJ10</f>
        <v>242.833566433566</v>
      </c>
      <c r="AI10" s="2" t="n">
        <f aca="false">AH10-calcs!$E$10</f>
        <v>95.3616317016317</v>
      </c>
      <c r="AJ10" s="0" t="str">
        <f aca="false">WRs!A10</f>
        <v>Terry Glenn</v>
      </c>
      <c r="AK10" s="1" t="str">
        <f aca="false">WRs!B10</f>
        <v>NE</v>
      </c>
      <c r="AL10" s="2" t="n">
        <f aca="false">WRs!AJ10</f>
        <v>204.2</v>
      </c>
      <c r="AM10" s="2" t="n">
        <f aca="false">AL10-calcs!$E$11</f>
        <v>59.0641871921183</v>
      </c>
      <c r="AN10" s="0" t="str">
        <f aca="false">TEs!A10</f>
        <v>Pete Mitchell</v>
      </c>
      <c r="AO10" s="1" t="str">
        <f aca="false">TEs!B10</f>
        <v>NYG</v>
      </c>
      <c r="AP10" s="2" t="n">
        <f aca="false">TEs!T10</f>
        <v>77.8409090909091</v>
      </c>
      <c r="AQ10" s="2" t="n">
        <f aca="false">AP10-calcs!$E$12</f>
        <v>16.4651515151515</v>
      </c>
      <c r="AR10" s="0" t="str">
        <f aca="false">PKs!A10</f>
        <v>Martin Gramatica</v>
      </c>
      <c r="AS10" s="1" t="str">
        <f aca="false">PKs!B10</f>
        <v>TB</v>
      </c>
      <c r="AT10" s="2" t="n">
        <f aca="false">PKs!W10</f>
        <v>120.120843050877</v>
      </c>
      <c r="AU10" s="2" t="n">
        <f aca="false">AT10-calcs!$E$13</f>
        <v>1.6303531784458</v>
      </c>
      <c r="AV10" s="0" t="str">
        <f aca="false">Defs!A11</f>
        <v>Miami Dolphins </v>
      </c>
      <c r="AW10" s="1" t="n">
        <f aca="false">Defs!I11</f>
        <v>59.38</v>
      </c>
      <c r="AX10" s="2" t="n">
        <f aca="false">AW10-calcs!$E$14</f>
        <v>-1.84</v>
      </c>
      <c r="AY10" s="1" t="n">
        <v>8</v>
      </c>
      <c r="AZ10" s="0" t="str">
        <f aca="false">RBs!A6</f>
        <v>Eddie George</v>
      </c>
      <c r="BA10" s="1" t="str">
        <f aca="false">RBs!B6</f>
        <v>Ten</v>
      </c>
      <c r="BB10" s="1" t="s">
        <v>9</v>
      </c>
      <c r="BC10" s="2" t="n">
        <f aca="false">RBs!AJ6-calcs!$E$10</f>
        <v>100.437855477855</v>
      </c>
    </row>
    <row r="11" customFormat="false" ht="13.5" hidden="false" customHeight="false" outlineLevel="0" collapsed="false">
      <c r="B11" s="19" t="s">
        <v>21</v>
      </c>
      <c r="C11" s="11" t="n">
        <v>0</v>
      </c>
      <c r="D11" s="20"/>
      <c r="E11" s="21"/>
      <c r="F11" s="22"/>
      <c r="J11" s="9"/>
      <c r="AA11" s="1" t="n">
        <v>9</v>
      </c>
      <c r="AB11" s="0" t="str">
        <f aca="false">QBs!A13</f>
        <v>Steve Beuerlein</v>
      </c>
      <c r="AC11" s="1" t="str">
        <f aca="false">QBs!B13</f>
        <v>Car</v>
      </c>
      <c r="AD11" s="2" t="n">
        <f aca="false">QBs!AL13</f>
        <v>311.801573033708</v>
      </c>
      <c r="AE11" s="2" t="n">
        <f aca="false">AD11-calcs!$E$9</f>
        <v>23.4767775714242</v>
      </c>
      <c r="AF11" s="0" t="str">
        <f aca="false">RBs!A11</f>
        <v>Curtis Martin</v>
      </c>
      <c r="AG11" s="1" t="str">
        <f aca="false">RBs!B11</f>
        <v>NYJ</v>
      </c>
      <c r="AH11" s="2" t="n">
        <f aca="false">RBs!AJ11</f>
        <v>230.157342657343</v>
      </c>
      <c r="AI11" s="2" t="n">
        <f aca="false">AH11-calcs!$E$10</f>
        <v>82.6854079254079</v>
      </c>
      <c r="AJ11" s="0" t="str">
        <f aca="false">WRs!A11</f>
        <v>Kevin Johnson</v>
      </c>
      <c r="AK11" s="1" t="str">
        <f aca="false">WRs!B11</f>
        <v>Cle</v>
      </c>
      <c r="AL11" s="2" t="n">
        <f aca="false">WRs!AJ11</f>
        <v>195.4</v>
      </c>
      <c r="AM11" s="2" t="n">
        <f aca="false">AL11-calcs!$E$11</f>
        <v>50.2641871921183</v>
      </c>
      <c r="AN11" s="0" t="str">
        <f aca="false">TEs!A11</f>
        <v>Bubba Franks</v>
      </c>
      <c r="AO11" s="1" t="str">
        <f aca="false">TEs!B11</f>
        <v>GB</v>
      </c>
      <c r="AP11" s="2" t="n">
        <f aca="false">TEs!T11</f>
        <v>69.4909090909091</v>
      </c>
      <c r="AQ11" s="2" t="n">
        <f aca="false">AP11-calcs!$E$12</f>
        <v>8.11515151515152</v>
      </c>
      <c r="AR11" s="0" t="str">
        <f aca="false">PKs!A14</f>
        <v>Olindo Mare</v>
      </c>
      <c r="AS11" s="1" t="str">
        <f aca="false">PKs!B14</f>
        <v>Mia</v>
      </c>
      <c r="AT11" s="2" t="n">
        <f aca="false">PKs!W14</f>
        <v>116.120843050877</v>
      </c>
      <c r="AU11" s="2" t="n">
        <f aca="false">AT11-calcs!$E$13</f>
        <v>-2.3696468215542</v>
      </c>
      <c r="AV11" s="0" t="str">
        <f aca="false">Defs!A10</f>
        <v>Oakland Raiders </v>
      </c>
      <c r="AW11" s="1" t="n">
        <f aca="false">Defs!I10</f>
        <v>58.6</v>
      </c>
      <c r="AX11" s="2" t="n">
        <f aca="false">AW11-calcs!$E$14</f>
        <v>-2.62</v>
      </c>
      <c r="AY11" s="1" t="n">
        <v>9</v>
      </c>
      <c r="AZ11" s="0" t="str">
        <f aca="false">RBs!A10</f>
        <v>Dorsey Levens</v>
      </c>
      <c r="BA11" s="1" t="str">
        <f aca="false">RBs!B10</f>
        <v>GB</v>
      </c>
      <c r="BB11" s="1" t="s">
        <v>9</v>
      </c>
      <c r="BC11" s="2" t="n">
        <f aca="false">RBs!AJ10-calcs!$E$10</f>
        <v>95.3616317016317</v>
      </c>
    </row>
    <row r="12" customFormat="false" ht="13.5" hidden="false" customHeight="false" outlineLevel="0" collapsed="false">
      <c r="B12" s="23" t="s">
        <v>22</v>
      </c>
      <c r="C12" s="13" t="n">
        <v>0</v>
      </c>
      <c r="D12" s="24"/>
      <c r="E12" s="25"/>
      <c r="F12" s="26"/>
      <c r="H12" s="27" t="s">
        <v>23</v>
      </c>
      <c r="I12" s="8" t="s">
        <v>24</v>
      </c>
      <c r="J12" s="9"/>
      <c r="AA12" s="1" t="n">
        <v>10</v>
      </c>
      <c r="AB12" s="0" t="str">
        <f aca="false">QBs!A8</f>
        <v>Rich Gannon</v>
      </c>
      <c r="AC12" s="1" t="str">
        <f aca="false">QBs!B8</f>
        <v>Oak</v>
      </c>
      <c r="AD12" s="2" t="n">
        <f aca="false">QBs!AL8</f>
        <v>309.925308270677</v>
      </c>
      <c r="AE12" s="2" t="n">
        <f aca="false">AD12-calcs!$E$9</f>
        <v>21.600512808393</v>
      </c>
      <c r="AF12" s="0" t="str">
        <f aca="false">RBs!A13</f>
        <v>James Stewart</v>
      </c>
      <c r="AG12" s="1" t="str">
        <f aca="false">RBs!B13</f>
        <v>Det</v>
      </c>
      <c r="AH12" s="2" t="n">
        <f aca="false">RBs!AJ13</f>
        <v>214.962237762238</v>
      </c>
      <c r="AI12" s="2" t="n">
        <f aca="false">AH12-calcs!$E$10</f>
        <v>67.4903030303031</v>
      </c>
      <c r="AJ12" s="0" t="str">
        <f aca="false">WRs!A13</f>
        <v>Michael Westbrook</v>
      </c>
      <c r="AK12" s="1" t="str">
        <f aca="false">WRs!B13</f>
        <v>Was</v>
      </c>
      <c r="AL12" s="2" t="n">
        <f aca="false">WRs!AJ13</f>
        <v>193.784482758621</v>
      </c>
      <c r="AM12" s="2" t="n">
        <f aca="false">AL12-calcs!$E$11</f>
        <v>48.6486699507389</v>
      </c>
      <c r="AN12" s="0" t="str">
        <f aca="false">TEs!A13</f>
        <v>Stephen Alexander</v>
      </c>
      <c r="AO12" s="1" t="str">
        <f aca="false">TEs!B13</f>
        <v>Was</v>
      </c>
      <c r="AP12" s="2" t="n">
        <f aca="false">TEs!T13</f>
        <v>61.6581818181818</v>
      </c>
      <c r="AQ12" s="2" t="n">
        <f aca="false">AP12-calcs!$E$12</f>
        <v>0.282424242424248</v>
      </c>
      <c r="AR12" s="0" t="str">
        <f aca="false">PKs!A12</f>
        <v>Ryan Longwell</v>
      </c>
      <c r="AS12" s="1" t="str">
        <f aca="false">PKs!B12</f>
        <v>GB</v>
      </c>
      <c r="AT12" s="2" t="n">
        <f aca="false">PKs!W12</f>
        <v>115.028884711779</v>
      </c>
      <c r="AU12" s="2" t="n">
        <f aca="false">AT12-calcs!$E$13</f>
        <v>-3.46160516065149</v>
      </c>
      <c r="AV12" s="0" t="str">
        <f aca="false">Defs!A20</f>
        <v>Carolina Panthers </v>
      </c>
      <c r="AW12" s="1" t="n">
        <f aca="false">Defs!I20</f>
        <v>58</v>
      </c>
      <c r="AX12" s="2" t="n">
        <f aca="false">AW12-calcs!$E$14</f>
        <v>-3.22</v>
      </c>
      <c r="AY12" s="1" t="n">
        <v>10</v>
      </c>
      <c r="AZ12" s="0" t="str">
        <f aca="false">WRs!A3</f>
        <v>Marvin Harrison</v>
      </c>
      <c r="BA12" s="1" t="str">
        <f aca="false">WRs!B3</f>
        <v>Ind</v>
      </c>
      <c r="BB12" s="1" t="s">
        <v>18</v>
      </c>
      <c r="BC12" s="2" t="n">
        <f aca="false">WRs!AJ3-calcs!$E$11</f>
        <v>94.9366009852217</v>
      </c>
    </row>
    <row r="13" customFormat="false" ht="12.75" hidden="false" customHeight="false" outlineLevel="0" collapsed="false">
      <c r="B13" s="23" t="s">
        <v>25</v>
      </c>
      <c r="C13" s="28" t="n">
        <v>0.05</v>
      </c>
      <c r="D13" s="29"/>
      <c r="E13" s="30"/>
      <c r="F13" s="31"/>
      <c r="H13" s="32" t="s">
        <v>26</v>
      </c>
      <c r="I13" s="11" t="n">
        <v>3</v>
      </c>
      <c r="J13" s="9"/>
      <c r="AA13" s="1" t="n">
        <v>11</v>
      </c>
      <c r="AB13" s="0" t="str">
        <f aca="false">QBs!A12</f>
        <v>Mark Brunell</v>
      </c>
      <c r="AC13" s="1" t="str">
        <f aca="false">QBs!B12</f>
        <v>Jac</v>
      </c>
      <c r="AD13" s="2" t="n">
        <f aca="false">QBs!AL12</f>
        <v>303.984706766917</v>
      </c>
      <c r="AE13" s="2" t="n">
        <f aca="false">AD13-calcs!$E$9</f>
        <v>15.6599113046336</v>
      </c>
      <c r="AF13" s="0" t="str">
        <f aca="false">RBs!A15</f>
        <v>Ricky Williams</v>
      </c>
      <c r="AG13" s="1" t="str">
        <f aca="false">RBs!B15</f>
        <v>NO</v>
      </c>
      <c r="AH13" s="2" t="n">
        <f aca="false">RBs!AJ15</f>
        <v>211.233566433566</v>
      </c>
      <c r="AI13" s="2" t="n">
        <f aca="false">AH13-calcs!$E$10</f>
        <v>63.7616317016317</v>
      </c>
      <c r="AJ13" s="0" t="str">
        <f aca="false">WRs!A12</f>
        <v>Cris Carter</v>
      </c>
      <c r="AK13" s="1" t="str">
        <f aca="false">WRs!B12</f>
        <v>Min</v>
      </c>
      <c r="AL13" s="2" t="n">
        <f aca="false">WRs!AJ12</f>
        <v>191.78781512605</v>
      </c>
      <c r="AM13" s="2" t="n">
        <f aca="false">AL13-calcs!$E$11</f>
        <v>46.6520023181687</v>
      </c>
      <c r="AN13" s="0" t="str">
        <f aca="false">TEs!A14</f>
        <v>David Sloan</v>
      </c>
      <c r="AO13" s="1" t="str">
        <f aca="false">TEs!B14</f>
        <v>Det</v>
      </c>
      <c r="AP13" s="2" t="n">
        <f aca="false">TEs!T14</f>
        <v>59.0181818181818</v>
      </c>
      <c r="AQ13" s="2" t="n">
        <f aca="false">AP13-calcs!$E$12</f>
        <v>-2.35757575757575</v>
      </c>
      <c r="AR13" s="0" t="str">
        <f aca="false">PKs!A16</f>
        <v>Jason Hanson</v>
      </c>
      <c r="AS13" s="1" t="str">
        <f aca="false">PKs!B16</f>
        <v>Det</v>
      </c>
      <c r="AT13" s="2" t="n">
        <f aca="false">PKs!W16</f>
        <v>113.103221905502</v>
      </c>
      <c r="AU13" s="2" t="n">
        <f aca="false">AT13-calcs!$E$13</f>
        <v>-5.38726796692865</v>
      </c>
      <c r="AV13" s="0" t="str">
        <f aca="false">Defs!A12</f>
        <v>Philadelphia Eagles </v>
      </c>
      <c r="AW13" s="1" t="n">
        <f aca="false">Defs!I12</f>
        <v>52.36</v>
      </c>
      <c r="AX13" s="2" t="n">
        <f aca="false">AW13-calcs!$E$14</f>
        <v>-8.86</v>
      </c>
      <c r="AY13" s="1" t="n">
        <v>11</v>
      </c>
      <c r="AZ13" s="0" t="str">
        <f aca="false">WRs!A4</f>
        <v>Randy Moss</v>
      </c>
      <c r="BA13" s="1" t="str">
        <f aca="false">WRs!B4</f>
        <v>Min</v>
      </c>
      <c r="BB13" s="1" t="s">
        <v>18</v>
      </c>
      <c r="BC13" s="2" t="n">
        <f aca="false">WRs!AJ4-calcs!$E$11</f>
        <v>91.5056157635468</v>
      </c>
    </row>
    <row r="14" customFormat="false" ht="12.75" hidden="false" customHeight="false" outlineLevel="0" collapsed="false">
      <c r="B14" s="23" t="s">
        <v>27</v>
      </c>
      <c r="C14" s="13" t="n">
        <v>0</v>
      </c>
      <c r="D14" s="24"/>
      <c r="E14" s="25"/>
      <c r="F14" s="26"/>
      <c r="H14" s="32" t="s">
        <v>28</v>
      </c>
      <c r="I14" s="13" t="n">
        <v>4</v>
      </c>
      <c r="J14" s="9"/>
      <c r="AA14" s="1" t="n">
        <v>12</v>
      </c>
      <c r="AB14" s="0" t="str">
        <f aca="false">QBs!A14</f>
        <v>Tim Couch</v>
      </c>
      <c r="AC14" s="1" t="str">
        <f aca="false">QBs!B14</f>
        <v>Cle</v>
      </c>
      <c r="AD14" s="2" t="n">
        <f aca="false">QBs!AL14</f>
        <v>296.291495867769</v>
      </c>
      <c r="AE14" s="2" t="n">
        <f aca="false">AD14-calcs!$E$9</f>
        <v>7.96670040548486</v>
      </c>
      <c r="AF14" s="0" t="str">
        <f aca="false">RBs!A14</f>
        <v>Robert Smith</v>
      </c>
      <c r="AG14" s="1" t="str">
        <f aca="false">RBs!B14</f>
        <v>Min</v>
      </c>
      <c r="AH14" s="2" t="n">
        <f aca="false">RBs!AJ14</f>
        <v>208.231118881119</v>
      </c>
      <c r="AI14" s="2" t="n">
        <f aca="false">AH14-calcs!$E$10</f>
        <v>60.7591841491842</v>
      </c>
      <c r="AJ14" s="0" t="str">
        <f aca="false">WRs!A15</f>
        <v>Germane Crowell</v>
      </c>
      <c r="AK14" s="1" t="str">
        <f aca="false">WRs!B15</f>
        <v>Det</v>
      </c>
      <c r="AL14" s="2" t="n">
        <f aca="false">WRs!AJ15</f>
        <v>189.692857142857</v>
      </c>
      <c r="AM14" s="2" t="n">
        <f aca="false">AL14-calcs!$E$11</f>
        <v>44.5570443349754</v>
      </c>
      <c r="AN14" s="0" t="str">
        <f aca="false">TEs!A15</f>
        <v>Ben Coates</v>
      </c>
      <c r="AO14" s="1" t="str">
        <f aca="false">TEs!B15</f>
        <v>Bal</v>
      </c>
      <c r="AP14" s="2" t="n">
        <f aca="false">TEs!T15</f>
        <v>58.4181818181818</v>
      </c>
      <c r="AQ14" s="2" t="n">
        <f aca="false">AP14-calcs!$E$12</f>
        <v>-2.95757575757575</v>
      </c>
      <c r="AR14" s="0" t="str">
        <f aca="false">PKs!A26</f>
        <v>John Kasay</v>
      </c>
      <c r="AS14" s="1" t="str">
        <f aca="false">PKs!B26</f>
        <v>Car</v>
      </c>
      <c r="AT14" s="2" t="n">
        <f aca="false">PKs!W26</f>
        <v>109.032737324005</v>
      </c>
      <c r="AU14" s="2" t="n">
        <f aca="false">AT14-calcs!$E$13</f>
        <v>-9.45775254842643</v>
      </c>
      <c r="AV14" s="0" t="str">
        <f aca="false">Defs!A17</f>
        <v>Chicago Bears </v>
      </c>
      <c r="AW14" s="1" t="n">
        <f aca="false">Defs!I17</f>
        <v>50.3</v>
      </c>
      <c r="AX14" s="2" t="n">
        <f aca="false">AW14-calcs!$E$14</f>
        <v>-10.92</v>
      </c>
      <c r="AY14" s="1" t="n">
        <v>12</v>
      </c>
      <c r="AZ14" s="0" t="str">
        <f aca="false">RBs!A11</f>
        <v>Curtis Martin</v>
      </c>
      <c r="BA14" s="1" t="str">
        <f aca="false">RBs!B11</f>
        <v>NYJ</v>
      </c>
      <c r="BB14" s="1" t="s">
        <v>9</v>
      </c>
      <c r="BC14" s="2" t="n">
        <f aca="false">RBs!AJ11-calcs!$E$10</f>
        <v>82.6854079254079</v>
      </c>
    </row>
    <row r="15" customFormat="false" ht="12.75" hidden="false" customHeight="false" outlineLevel="0" collapsed="false">
      <c r="B15" s="23" t="s">
        <v>29</v>
      </c>
      <c r="C15" s="33" t="n">
        <v>3</v>
      </c>
      <c r="D15" s="24"/>
      <c r="E15" s="25"/>
      <c r="F15" s="26"/>
      <c r="H15" s="32" t="s">
        <v>30</v>
      </c>
      <c r="I15" s="13" t="n">
        <v>5</v>
      </c>
      <c r="J15" s="9"/>
      <c r="AA15" s="1" t="n">
        <v>13</v>
      </c>
      <c r="AB15" s="0" t="str">
        <f aca="false">QBs!A16</f>
        <v>Brian Griese</v>
      </c>
      <c r="AC15" s="1" t="str">
        <f aca="false">QBs!B16</f>
        <v>Den</v>
      </c>
      <c r="AD15" s="2" t="n">
        <f aca="false">QBs!AL16</f>
        <v>294.595258426966</v>
      </c>
      <c r="AE15" s="2" t="n">
        <f aca="false">AD15-calcs!$E$9</f>
        <v>6.27046296468262</v>
      </c>
      <c r="AF15" s="0" t="str">
        <f aca="false">RBs!A12</f>
        <v>Duce Staley</v>
      </c>
      <c r="AG15" s="1" t="str">
        <f aca="false">RBs!B12</f>
        <v>Phi</v>
      </c>
      <c r="AH15" s="2" t="n">
        <f aca="false">RBs!AJ12</f>
        <v>206.381118881119</v>
      </c>
      <c r="AI15" s="2" t="n">
        <f aca="false">AH15-calcs!$E$10</f>
        <v>58.9091841491841</v>
      </c>
      <c r="AJ15" s="0" t="str">
        <f aca="false">WRs!A16</f>
        <v>Amani Toomer</v>
      </c>
      <c r="AK15" s="1" t="str">
        <f aca="false">WRs!B16</f>
        <v>NYG</v>
      </c>
      <c r="AL15" s="2" t="n">
        <f aca="false">WRs!AJ16</f>
        <v>185.382857142857</v>
      </c>
      <c r="AM15" s="2" t="n">
        <f aca="false">AL15-calcs!$E$11</f>
        <v>40.2470443349754</v>
      </c>
      <c r="AN15" s="0" t="str">
        <f aca="false">TEs!A16</f>
        <v>Marcus Pollard</v>
      </c>
      <c r="AO15" s="1" t="str">
        <f aca="false">TEs!B16</f>
        <v>Ind</v>
      </c>
      <c r="AP15" s="2" t="n">
        <f aca="false">TEs!T16</f>
        <v>55.6181818181818</v>
      </c>
      <c r="AQ15" s="2" t="n">
        <f aca="false">AP15-calcs!$E$12</f>
        <v>-5.75757575757576</v>
      </c>
      <c r="AR15" s="0" t="str">
        <f aca="false">PKs!A15</f>
        <v>John Hall</v>
      </c>
      <c r="AS15" s="1" t="str">
        <f aca="false">PKs!B15</f>
        <v>NYJ</v>
      </c>
      <c r="AT15" s="2" t="n">
        <f aca="false">PKs!W15</f>
        <v>109.028884711779</v>
      </c>
      <c r="AU15" s="2" t="n">
        <f aca="false">AT15-calcs!$E$13</f>
        <v>-9.46160516065149</v>
      </c>
      <c r="AV15" s="0" t="str">
        <f aca="false">Defs!A14</f>
        <v>Kansas City Chiefs</v>
      </c>
      <c r="AW15" s="1" t="n">
        <f aca="false">Defs!I14</f>
        <v>50.22</v>
      </c>
      <c r="AX15" s="2" t="n">
        <f aca="false">AW15-calcs!$E$14</f>
        <v>-11</v>
      </c>
      <c r="AY15" s="1" t="n">
        <v>13</v>
      </c>
      <c r="AZ15" s="0" t="str">
        <f aca="false">WRs!A5</f>
        <v>Marcus Robinson</v>
      </c>
      <c r="BA15" s="1" t="str">
        <f aca="false">WRs!B5</f>
        <v>Chi</v>
      </c>
      <c r="BB15" s="1" t="s">
        <v>18</v>
      </c>
      <c r="BC15" s="2" t="n">
        <f aca="false">WRs!AJ5-calcs!$E$11</f>
        <v>82.1213300492611</v>
      </c>
    </row>
    <row r="16" customFormat="false" ht="13.5" hidden="false" customHeight="false" outlineLevel="0" collapsed="false">
      <c r="B16" s="23" t="s">
        <v>31</v>
      </c>
      <c r="C16" s="33" t="n">
        <v>4</v>
      </c>
      <c r="D16" s="24"/>
      <c r="E16" s="25"/>
      <c r="F16" s="26"/>
      <c r="H16" s="17" t="s">
        <v>32</v>
      </c>
      <c r="I16" s="33" t="n">
        <v>6</v>
      </c>
      <c r="J16" s="9"/>
      <c r="AA16" s="1" t="n">
        <v>14</v>
      </c>
      <c r="AB16" s="0" t="str">
        <f aca="false">QBs!A15</f>
        <v>Daunte Culpepper</v>
      </c>
      <c r="AC16" s="1" t="str">
        <f aca="false">QBs!B15</f>
        <v>Min</v>
      </c>
      <c r="AD16" s="2" t="n">
        <f aca="false">QBs!AL15</f>
        <v>292.117157894737</v>
      </c>
      <c r="AE16" s="2" t="n">
        <f aca="false">AD16-calcs!$E$9</f>
        <v>3.79236243245322</v>
      </c>
      <c r="AF16" s="0" t="str">
        <f aca="false">RBs!A18</f>
        <v>Ron Dayne</v>
      </c>
      <c r="AG16" s="1" t="str">
        <f aca="false">RBs!B18</f>
        <v>NYG</v>
      </c>
      <c r="AH16" s="2" t="n">
        <f aca="false">RBs!AJ18</f>
        <v>201.512237762238</v>
      </c>
      <c r="AI16" s="2" t="n">
        <f aca="false">AH16-calcs!$E$10</f>
        <v>54.0403030303031</v>
      </c>
      <c r="AJ16" s="0" t="str">
        <f aca="false">WRs!A21</f>
        <v>Tim Brown</v>
      </c>
      <c r="AK16" s="1" t="str">
        <f aca="false">WRs!B21</f>
        <v>Oak</v>
      </c>
      <c r="AL16" s="2" t="n">
        <f aca="false">WRs!AJ21</f>
        <v>181.834482758621</v>
      </c>
      <c r="AM16" s="2" t="n">
        <f aca="false">AL16-calcs!$E$11</f>
        <v>36.6986699507389</v>
      </c>
      <c r="AN16" s="0" t="str">
        <f aca="false">TEs!A17</f>
        <v>Greg Clark</v>
      </c>
      <c r="AO16" s="1" t="str">
        <f aca="false">TEs!B17</f>
        <v>SF</v>
      </c>
      <c r="AP16" s="2" t="n">
        <f aca="false">TEs!T17</f>
        <v>54.9454545454546</v>
      </c>
      <c r="AQ16" s="2" t="n">
        <f aca="false">AP16-calcs!$E$12</f>
        <v>-6.43030303030303</v>
      </c>
      <c r="AR16" s="0" t="str">
        <f aca="false">PKs!A20</f>
        <v>Matt Stover</v>
      </c>
      <c r="AS16" s="1" t="str">
        <f aca="false">PKs!B20</f>
        <v>Bal</v>
      </c>
      <c r="AT16" s="2" t="n">
        <f aca="false">PKs!W20</f>
        <v>108.321741854637</v>
      </c>
      <c r="AU16" s="2" t="n">
        <f aca="false">AT16-calcs!$E$13</f>
        <v>-10.1687480177943</v>
      </c>
      <c r="AV16" s="0" t="str">
        <f aca="false">Defs!A13</f>
        <v>Denver Broncos </v>
      </c>
      <c r="AW16" s="1" t="n">
        <f aca="false">Defs!I13</f>
        <v>47.64</v>
      </c>
      <c r="AX16" s="2" t="n">
        <f aca="false">AW16-calcs!$E$14</f>
        <v>-13.58</v>
      </c>
      <c r="AY16" s="1" t="n">
        <v>14</v>
      </c>
      <c r="AZ16" s="0" t="str">
        <f aca="false">TEs!A3</f>
        <v>Tony Gonzalez</v>
      </c>
      <c r="BA16" s="1" t="str">
        <f aca="false">TEs!B3</f>
        <v>KC</v>
      </c>
      <c r="BB16" s="1" t="str">
        <f aca="false">IF($I$30=0,"WR","TE")</f>
        <v>TE</v>
      </c>
      <c r="BC16" s="2" t="n">
        <f aca="false">TEs!T3-calcs!$E$12</f>
        <v>80.4787878787879</v>
      </c>
    </row>
    <row r="17" customFormat="false" ht="12.75" hidden="false" customHeight="false" outlineLevel="0" collapsed="false">
      <c r="B17" s="23" t="s">
        <v>33</v>
      </c>
      <c r="C17" s="33" t="n">
        <v>5</v>
      </c>
      <c r="D17" s="24"/>
      <c r="E17" s="25"/>
      <c r="F17" s="26"/>
      <c r="H17" s="32" t="s">
        <v>34</v>
      </c>
      <c r="I17" s="11" t="n">
        <v>0</v>
      </c>
      <c r="J17" s="9"/>
      <c r="AA17" s="1" t="n">
        <v>15</v>
      </c>
      <c r="AB17" s="0" t="str">
        <f aca="false">QBs!A19</f>
        <v>Troy Aikman</v>
      </c>
      <c r="AC17" s="1" t="str">
        <f aca="false">QBs!B19</f>
        <v>Dal</v>
      </c>
      <c r="AD17" s="2" t="n">
        <f aca="false">QBs!AL19</f>
        <v>286.728921348315</v>
      </c>
      <c r="AE17" s="2" t="n">
        <f aca="false">AD17-calcs!$E$9</f>
        <v>-1.5958741139691</v>
      </c>
      <c r="AF17" s="0" t="str">
        <f aca="false">RBs!A16</f>
        <v>Charlie Garner</v>
      </c>
      <c r="AG17" s="1" t="str">
        <f aca="false">RBs!B16</f>
        <v>SF</v>
      </c>
      <c r="AH17" s="2" t="n">
        <f aca="false">RBs!AJ16</f>
        <v>197.304895104895</v>
      </c>
      <c r="AI17" s="2" t="n">
        <f aca="false">AH17-calcs!$E$10</f>
        <v>49.8329603729603</v>
      </c>
      <c r="AJ17" s="0" t="str">
        <f aca="false">WRs!A19</f>
        <v>Ed McCaffrey</v>
      </c>
      <c r="AK17" s="1" t="str">
        <f aca="false">WRs!B19</f>
        <v>Den</v>
      </c>
      <c r="AL17" s="2" t="n">
        <f aca="false">WRs!AJ19</f>
        <v>181.284482758621</v>
      </c>
      <c r="AM17" s="2" t="n">
        <f aca="false">AL17-calcs!$E$11</f>
        <v>36.1486699507389</v>
      </c>
      <c r="AN17" s="0" t="str">
        <f aca="false">TEs!A22</f>
        <v>Tony McGee</v>
      </c>
      <c r="AO17" s="1" t="str">
        <f aca="false">TEs!B22</f>
        <v>Cin</v>
      </c>
      <c r="AP17" s="2" t="n">
        <f aca="false">TEs!T22</f>
        <v>54.2454545454546</v>
      </c>
      <c r="AQ17" s="2" t="n">
        <f aca="false">AP17-calcs!$E$12</f>
        <v>-7.13030303030303</v>
      </c>
      <c r="AR17" s="0" t="str">
        <f aca="false">PKs!A9</f>
        <v>Steve Christie</v>
      </c>
      <c r="AS17" s="1" t="str">
        <f aca="false">PKs!B9</f>
        <v>Buf</v>
      </c>
      <c r="AT17" s="2" t="n">
        <f aca="false">PKs!W9</f>
        <v>106.552083333333</v>
      </c>
      <c r="AU17" s="2" t="n">
        <f aca="false">AT17-calcs!$E$13</f>
        <v>-11.9384065390976</v>
      </c>
      <c r="AV17" s="0" t="str">
        <f aca="false">Defs!A16</f>
        <v>Green Bay Packers</v>
      </c>
      <c r="AW17" s="1" t="n">
        <f aca="false">Defs!I16</f>
        <v>44.6</v>
      </c>
      <c r="AX17" s="2" t="n">
        <f aca="false">AW17-calcs!$E$14</f>
        <v>-16.62</v>
      </c>
      <c r="AY17" s="1" t="n">
        <v>15</v>
      </c>
      <c r="AZ17" s="0" t="str">
        <f aca="false">WRs!A9</f>
        <v>Eric Moulds</v>
      </c>
      <c r="BA17" s="1" t="str">
        <f aca="false">WRs!B9</f>
        <v>Buf</v>
      </c>
      <c r="BB17" s="1" t="s">
        <v>18</v>
      </c>
      <c r="BC17" s="2" t="n">
        <f aca="false">WRs!AJ9-calcs!$E$11</f>
        <v>71.3213300492611</v>
      </c>
    </row>
    <row r="18" customFormat="false" ht="12.75" hidden="false" customHeight="false" outlineLevel="0" collapsed="false">
      <c r="B18" s="23" t="s">
        <v>35</v>
      </c>
      <c r="C18" s="33" t="n">
        <v>6</v>
      </c>
      <c r="D18" s="24"/>
      <c r="E18" s="25"/>
      <c r="F18" s="26"/>
      <c r="H18" s="32" t="s">
        <v>36</v>
      </c>
      <c r="I18" s="13" t="n">
        <v>0</v>
      </c>
      <c r="J18" s="9"/>
      <c r="AA18" s="1" t="n">
        <v>16</v>
      </c>
      <c r="AB18" s="0" t="str">
        <f aca="false">QBs!A21</f>
        <v>Elvis Grbac</v>
      </c>
      <c r="AC18" s="1" t="str">
        <f aca="false">QBs!B21</f>
        <v>KC</v>
      </c>
      <c r="AD18" s="2" t="n">
        <f aca="false">QBs!AL21</f>
        <v>285.562363636364</v>
      </c>
      <c r="AE18" s="2" t="n">
        <f aca="false">AD18-calcs!$E$9</f>
        <v>-2.76243182592003</v>
      </c>
      <c r="AF18" s="0" t="str">
        <f aca="false">RBs!A17</f>
        <v>Curtis Enis</v>
      </c>
      <c r="AG18" s="1" t="str">
        <f aca="false">RBs!B17</f>
        <v>Chi</v>
      </c>
      <c r="AH18" s="2" t="n">
        <f aca="false">RBs!AJ17</f>
        <v>193.481118881119</v>
      </c>
      <c r="AI18" s="2" t="n">
        <f aca="false">AH18-calcs!$E$10</f>
        <v>46.0091841491841</v>
      </c>
      <c r="AJ18" s="0" t="str">
        <f aca="false">WRs!A18</f>
        <v>Muhsin Muhammad</v>
      </c>
      <c r="AK18" s="1" t="str">
        <f aca="false">WRs!B18</f>
        <v>Car</v>
      </c>
      <c r="AL18" s="2" t="n">
        <f aca="false">WRs!AJ18</f>
        <v>180.774482758621</v>
      </c>
      <c r="AM18" s="2" t="n">
        <f aca="false">AL18-calcs!$E$11</f>
        <v>35.6386699507389</v>
      </c>
      <c r="AN18" s="0" t="str">
        <f aca="false">TEs!A12</f>
        <v>Ken Dilger</v>
      </c>
      <c r="AO18" s="1" t="str">
        <f aca="false">TEs!B12</f>
        <v>Ind</v>
      </c>
      <c r="AP18" s="2" t="n">
        <f aca="false">TEs!T12</f>
        <v>52.7854545454546</v>
      </c>
      <c r="AQ18" s="2" t="n">
        <f aca="false">AP18-calcs!$E$12</f>
        <v>-8.59030303030303</v>
      </c>
      <c r="AR18" s="0" t="str">
        <f aca="false">PKs!A23</f>
        <v>Kris Brown</v>
      </c>
      <c r="AS18" s="1" t="str">
        <f aca="false">PKs!B23</f>
        <v>Pit</v>
      </c>
      <c r="AT18" s="2" t="n">
        <f aca="false">PKs!W23</f>
        <v>106.067979614753</v>
      </c>
      <c r="AU18" s="2" t="n">
        <f aca="false">AT18-calcs!$E$13</f>
        <v>-12.4225102576775</v>
      </c>
      <c r="AV18" s="0" t="str">
        <f aca="false">Defs!A18</f>
        <v>New England Patriots</v>
      </c>
      <c r="AW18" s="1" t="n">
        <f aca="false">Defs!I18</f>
        <v>44.22</v>
      </c>
      <c r="AX18" s="2" t="n">
        <f aca="false">AW18-calcs!$E$14</f>
        <v>-17</v>
      </c>
      <c r="AY18" s="1" t="n">
        <v>16</v>
      </c>
      <c r="AZ18" s="0" t="str">
        <f aca="false">QBs!A4</f>
        <v>Peyton Manning</v>
      </c>
      <c r="BA18" s="1" t="str">
        <f aca="false">QBs!B4</f>
        <v>Ind</v>
      </c>
      <c r="BB18" s="1" t="s">
        <v>13</v>
      </c>
      <c r="BC18" s="2" t="n">
        <f aca="false">QBs!AL4-calcs!$E$9</f>
        <v>70.9517663354691</v>
      </c>
    </row>
    <row r="19" customFormat="false" ht="12.75" hidden="false" customHeight="false" outlineLevel="0" collapsed="false">
      <c r="B19" s="23" t="s">
        <v>37</v>
      </c>
      <c r="C19" s="33" t="n">
        <v>7</v>
      </c>
      <c r="D19" s="24"/>
      <c r="E19" s="25"/>
      <c r="F19" s="26"/>
      <c r="H19" s="32" t="s">
        <v>38</v>
      </c>
      <c r="I19" s="13" t="n">
        <v>0</v>
      </c>
      <c r="J19" s="9"/>
      <c r="AA19" s="1" t="n">
        <v>17</v>
      </c>
      <c r="AB19" s="0" t="str">
        <f aca="false">QBs!A22</f>
        <v>Drew Bledsoe</v>
      </c>
      <c r="AC19" s="1" t="str">
        <f aca="false">QBs!B22</f>
        <v>NE</v>
      </c>
      <c r="AD19" s="2" t="n">
        <f aca="false">QBs!AL22</f>
        <v>283.65020661157</v>
      </c>
      <c r="AE19" s="2" t="n">
        <f aca="false">AD19-calcs!$E$9</f>
        <v>-4.67458885071346</v>
      </c>
      <c r="AF19" s="0" t="str">
        <f aca="false">RBs!A22</f>
        <v>Ricky Watters</v>
      </c>
      <c r="AG19" s="1" t="str">
        <f aca="false">RBs!B22</f>
        <v>Sea</v>
      </c>
      <c r="AH19" s="2" t="n">
        <f aca="false">RBs!AJ22</f>
        <v>178.381118881119</v>
      </c>
      <c r="AI19" s="2" t="n">
        <f aca="false">AH19-calcs!$E$10</f>
        <v>30.9091841491841</v>
      </c>
      <c r="AJ19" s="0" t="str">
        <f aca="false">WRs!A24</f>
        <v>Albert Connell</v>
      </c>
      <c r="AK19" s="1" t="str">
        <f aca="false">WRs!B24</f>
        <v>Was</v>
      </c>
      <c r="AL19" s="2" t="n">
        <f aca="false">WRs!AJ24</f>
        <v>180.2</v>
      </c>
      <c r="AM19" s="2" t="n">
        <f aca="false">AL19-calcs!$E$11</f>
        <v>35.0641871921183</v>
      </c>
      <c r="AN19" s="0" t="str">
        <f aca="false">TEs!A18</f>
        <v>Christian Fauria</v>
      </c>
      <c r="AO19" s="1" t="str">
        <f aca="false">TEs!B18</f>
        <v>Sea</v>
      </c>
      <c r="AP19" s="2" t="n">
        <f aca="false">TEs!T18</f>
        <v>51.5454545454546</v>
      </c>
      <c r="AQ19" s="2" t="n">
        <f aca="false">AP19-calcs!$E$12</f>
        <v>-9.83030303030303</v>
      </c>
      <c r="AR19" s="0" t="str">
        <f aca="false">PKs!A13</f>
        <v>Al Del Greco</v>
      </c>
      <c r="AS19" s="1" t="str">
        <f aca="false">PKs!B13</f>
        <v>Ten</v>
      </c>
      <c r="AT19" s="2" t="n">
        <f aca="false">PKs!W13</f>
        <v>105.044270833333</v>
      </c>
      <c r="AU19" s="2" t="n">
        <f aca="false">AT19-calcs!$E$13</f>
        <v>-13.4462190390976</v>
      </c>
      <c r="AV19" s="0" t="str">
        <f aca="false">Defs!A15</f>
        <v>New Orleans Saints</v>
      </c>
      <c r="AW19" s="1" t="n">
        <f aca="false">Defs!I15</f>
        <v>39.12</v>
      </c>
      <c r="AX19" s="2" t="n">
        <f aca="false">AW19-calcs!$E$14</f>
        <v>-22.1</v>
      </c>
      <c r="AY19" s="1" t="n">
        <v>17</v>
      </c>
      <c r="AZ19" s="0" t="str">
        <f aca="false">WRs!A8</f>
        <v>Jimmy Smith</v>
      </c>
      <c r="BA19" s="1" t="str">
        <f aca="false">WRs!B8</f>
        <v>Jac</v>
      </c>
      <c r="BB19" s="1" t="s">
        <v>18</v>
      </c>
      <c r="BC19" s="2" t="n">
        <f aca="false">WRs!AJ8-calcs!$E$11</f>
        <v>69.0193596059114</v>
      </c>
    </row>
    <row r="20" customFormat="false" ht="13.5" hidden="false" customHeight="false" outlineLevel="0" collapsed="false">
      <c r="B20" s="23" t="s">
        <v>39</v>
      </c>
      <c r="C20" s="13" t="n">
        <v>8</v>
      </c>
      <c r="D20" s="24"/>
      <c r="E20" s="25"/>
      <c r="F20" s="26"/>
      <c r="H20" s="34" t="s">
        <v>40</v>
      </c>
      <c r="I20" s="35" t="n">
        <v>0</v>
      </c>
      <c r="J20" s="9"/>
      <c r="AA20" s="1" t="n">
        <v>18</v>
      </c>
      <c r="AB20" s="0" t="str">
        <f aca="false">QBs!A17</f>
        <v>Jon Kitna</v>
      </c>
      <c r="AC20" s="1" t="str">
        <f aca="false">QBs!B17</f>
        <v>Sea</v>
      </c>
      <c r="AD20" s="2" t="n">
        <f aca="false">QBs!AL17</f>
        <v>280.399308270677</v>
      </c>
      <c r="AE20" s="2" t="n">
        <f aca="false">AD20-calcs!$E$9</f>
        <v>-7.92548719160703</v>
      </c>
      <c r="AF20" s="0" t="str">
        <f aca="false">RBs!A23</f>
        <v>Jamal Anderson</v>
      </c>
      <c r="AG20" s="1" t="str">
        <f aca="false">RBs!B23</f>
        <v>Atl</v>
      </c>
      <c r="AH20" s="2" t="n">
        <f aca="false">RBs!AJ23</f>
        <v>172.533566433566</v>
      </c>
      <c r="AI20" s="2" t="n">
        <f aca="false">AH20-calcs!$E$10</f>
        <v>25.0616317016317</v>
      </c>
      <c r="AJ20" s="0" t="str">
        <f aca="false">WRs!A26</f>
        <v>Torry Holt</v>
      </c>
      <c r="AK20" s="1" t="str">
        <f aca="false">WRs!B26</f>
        <v>StL</v>
      </c>
      <c r="AL20" s="2" t="n">
        <f aca="false">WRs!AJ26</f>
        <v>179.404285714286</v>
      </c>
      <c r="AM20" s="2" t="n">
        <f aca="false">AL20-calcs!$E$11</f>
        <v>34.268472906404</v>
      </c>
      <c r="AN20" s="0" t="str">
        <f aca="false">TEs!A21</f>
        <v>Luther Broughton</v>
      </c>
      <c r="AO20" s="1" t="str">
        <f aca="false">TEs!B21</f>
        <v>Phi</v>
      </c>
      <c r="AP20" s="2" t="n">
        <f aca="false">TEs!T21</f>
        <v>50.6181818181818</v>
      </c>
      <c r="AQ20" s="2" t="n">
        <f aca="false">AP20-calcs!$E$12</f>
        <v>-10.7575757575758</v>
      </c>
      <c r="AR20" s="0" t="str">
        <f aca="false">PKs!A19</f>
        <v>John Carney</v>
      </c>
      <c r="AS20" s="1" t="str">
        <f aca="false">PKs!B19</f>
        <v>SD</v>
      </c>
      <c r="AT20" s="2" t="n">
        <f aca="false">PKs!W19</f>
        <v>105.028884711779</v>
      </c>
      <c r="AU20" s="2" t="n">
        <f aca="false">AT20-calcs!$E$13</f>
        <v>-13.4616051606515</v>
      </c>
      <c r="AV20" s="0" t="str">
        <f aca="false">Defs!A22</f>
        <v>San Diego Chargers</v>
      </c>
      <c r="AW20" s="1" t="n">
        <f aca="false">Defs!I22</f>
        <v>35.22</v>
      </c>
      <c r="AX20" s="2" t="n">
        <f aca="false">AW20-calcs!$E$14</f>
        <v>-26</v>
      </c>
      <c r="AY20" s="1" t="n">
        <v>18</v>
      </c>
      <c r="AZ20" s="0" t="str">
        <f aca="false">RBs!A13</f>
        <v>James Stewart</v>
      </c>
      <c r="BA20" s="1" t="str">
        <f aca="false">RBs!B13</f>
        <v>Det</v>
      </c>
      <c r="BB20" s="1" t="s">
        <v>9</v>
      </c>
      <c r="BC20" s="2" t="n">
        <f aca="false">RBs!AJ13-calcs!$E$10</f>
        <v>67.4903030303031</v>
      </c>
    </row>
    <row r="21" customFormat="false" ht="13.5" hidden="false" customHeight="false" outlineLevel="0" collapsed="false">
      <c r="B21" s="23" t="s">
        <v>41</v>
      </c>
      <c r="C21" s="36" t="n">
        <v>3</v>
      </c>
      <c r="D21" s="24"/>
      <c r="E21" s="25"/>
      <c r="F21" s="26"/>
      <c r="H21" s="32" t="s">
        <v>42</v>
      </c>
      <c r="I21" s="36" t="n">
        <v>1</v>
      </c>
      <c r="J21" s="9"/>
      <c r="AA21" s="1" t="n">
        <v>19</v>
      </c>
      <c r="AB21" s="0" t="str">
        <f aca="false">QBs!A18</f>
        <v>Kerry Collins</v>
      </c>
      <c r="AC21" s="1" t="str">
        <f aca="false">QBs!B18</f>
        <v>NYG</v>
      </c>
      <c r="AD21" s="2" t="n">
        <f aca="false">QBs!AL18</f>
        <v>278.885269662921</v>
      </c>
      <c r="AE21" s="2" t="n">
        <f aca="false">AD21-calcs!$E$9</f>
        <v>-9.43952579936234</v>
      </c>
      <c r="AF21" s="0" t="str">
        <f aca="false">RBs!A21</f>
        <v>Jerome Bettis</v>
      </c>
      <c r="AG21" s="1" t="str">
        <f aca="false">RBs!B21</f>
        <v>Pit</v>
      </c>
      <c r="AH21" s="2" t="n">
        <f aca="false">RBs!AJ21</f>
        <v>172.483566433566</v>
      </c>
      <c r="AI21" s="2" t="n">
        <f aca="false">AH21-calcs!$E$10</f>
        <v>25.0116317016317</v>
      </c>
      <c r="AJ21" s="0" t="str">
        <f aca="false">WRs!A20</f>
        <v>Terrell Owens</v>
      </c>
      <c r="AK21" s="1" t="str">
        <f aca="false">WRs!B20</f>
        <v>SF</v>
      </c>
      <c r="AL21" s="2" t="n">
        <f aca="false">WRs!AJ20</f>
        <v>172.73025210084</v>
      </c>
      <c r="AM21" s="2" t="n">
        <f aca="false">AL21-calcs!$E$11</f>
        <v>27.5944392929586</v>
      </c>
      <c r="AN21" s="0" t="str">
        <f aca="false">TEs!A20</f>
        <v>Byron Chamberlain</v>
      </c>
      <c r="AO21" s="1" t="str">
        <f aca="false">TEs!B20</f>
        <v>Den</v>
      </c>
      <c r="AP21" s="2" t="n">
        <f aca="false">TEs!T20</f>
        <v>49.7454545454546</v>
      </c>
      <c r="AQ21" s="2" t="n">
        <f aca="false">AP21-calcs!$E$12</f>
        <v>-11.630303030303</v>
      </c>
      <c r="AR21" s="0" t="str">
        <f aca="false">PKs!A22</f>
        <v>Pete Stoyanovich</v>
      </c>
      <c r="AS21" s="1" t="str">
        <f aca="false">PKs!B22</f>
        <v>KC</v>
      </c>
      <c r="AT21" s="2" t="n">
        <f aca="false">PKs!W22</f>
        <v>104.468170426065</v>
      </c>
      <c r="AU21" s="2" t="n">
        <f aca="false">AT21-calcs!$E$13</f>
        <v>-14.0223194463658</v>
      </c>
      <c r="AV21" s="0" t="str">
        <f aca="false">Defs!A23</f>
        <v>Pittsburgh Steelers </v>
      </c>
      <c r="AW21" s="1" t="n">
        <f aca="false">Defs!I23</f>
        <v>34.54</v>
      </c>
      <c r="AX21" s="2" t="n">
        <f aca="false">AW21-calcs!$E$14</f>
        <v>-26.68</v>
      </c>
      <c r="AY21" s="1" t="n">
        <v>19</v>
      </c>
      <c r="AZ21" s="0" t="str">
        <f aca="false">RBs!A15</f>
        <v>Ricky Williams</v>
      </c>
      <c r="BA21" s="1" t="str">
        <f aca="false">RBs!B15</f>
        <v>NO</v>
      </c>
      <c r="BB21" s="1" t="s">
        <v>9</v>
      </c>
      <c r="BC21" s="2" t="n">
        <f aca="false">RBs!AJ15-calcs!$E$10</f>
        <v>63.7616317016317</v>
      </c>
    </row>
    <row r="22" customFormat="false" ht="13.5" hidden="false" customHeight="false" outlineLevel="0" collapsed="false">
      <c r="B22" s="19" t="s">
        <v>43</v>
      </c>
      <c r="C22" s="11" t="n">
        <v>0</v>
      </c>
      <c r="D22" s="11" t="n">
        <v>0</v>
      </c>
      <c r="E22" s="11" t="n">
        <v>0</v>
      </c>
      <c r="F22" s="37"/>
      <c r="H22" s="34" t="s">
        <v>44</v>
      </c>
      <c r="I22" s="35" t="n">
        <v>0</v>
      </c>
      <c r="J22" s="9"/>
      <c r="AA22" s="1" t="n">
        <v>20</v>
      </c>
      <c r="AB22" s="0" t="str">
        <f aca="false">QBs!A20</f>
        <v>Donovan McNabb</v>
      </c>
      <c r="AC22" s="1" t="str">
        <f aca="false">QBs!B20</f>
        <v>Phi</v>
      </c>
      <c r="AD22" s="2" t="n">
        <f aca="false">QBs!AL20</f>
        <v>270.340406015038</v>
      </c>
      <c r="AE22" s="2" t="n">
        <f aca="false">AD22-calcs!$E$9</f>
        <v>-17.9843894472461</v>
      </c>
      <c r="AF22" s="0" t="str">
        <f aca="false">RBs!A19</f>
        <v>Mike Alstott</v>
      </c>
      <c r="AG22" s="1" t="str">
        <f aca="false">RBs!B19</f>
        <v>TB</v>
      </c>
      <c r="AH22" s="2" t="n">
        <f aca="false">RBs!AJ19</f>
        <v>172.35979020979</v>
      </c>
      <c r="AI22" s="2" t="n">
        <f aca="false">AH22-calcs!$E$10</f>
        <v>24.8878554778555</v>
      </c>
      <c r="AJ22" s="0" t="str">
        <f aca="false">WRs!A29</f>
        <v>Raghib Ismail</v>
      </c>
      <c r="AK22" s="1" t="str">
        <f aca="false">WRs!B29</f>
        <v>Dal</v>
      </c>
      <c r="AL22" s="2" t="n">
        <f aca="false">WRs!AJ29</f>
        <v>170.162857142857</v>
      </c>
      <c r="AM22" s="2" t="n">
        <f aca="false">AL22-calcs!$E$11</f>
        <v>25.0270443349754</v>
      </c>
      <c r="AN22" s="0" t="str">
        <f aca="false">TEs!A35</f>
        <v>Andrew Glover</v>
      </c>
      <c r="AO22" s="1" t="str">
        <f aca="false">TEs!B35</f>
        <v>NO</v>
      </c>
      <c r="AP22" s="2" t="n">
        <f aca="false">TEs!T35</f>
        <v>45.4954545454546</v>
      </c>
      <c r="AQ22" s="2" t="n">
        <f aca="false">AP22-calcs!$E$12</f>
        <v>-15.880303030303</v>
      </c>
      <c r="AR22" s="0" t="str">
        <f aca="false">PKs!A25</f>
        <v>Wade Richey</v>
      </c>
      <c r="AS22" s="1" t="str">
        <f aca="false">PKs!B25</f>
        <v>SF</v>
      </c>
      <c r="AT22" s="2" t="n">
        <f aca="false">PKs!W25</f>
        <v>101.468170426065</v>
      </c>
      <c r="AU22" s="2" t="n">
        <f aca="false">AT22-calcs!$E$13</f>
        <v>-17.0223194463658</v>
      </c>
      <c r="AV22" s="0" t="str">
        <f aca="false">Defs!A19</f>
        <v>Detroit Lions </v>
      </c>
      <c r="AW22" s="1" t="n">
        <f aca="false">Defs!I19</f>
        <v>32.58</v>
      </c>
      <c r="AX22" s="2" t="n">
        <f aca="false">AW22-calcs!$E$14</f>
        <v>-28.64</v>
      </c>
      <c r="AY22" s="1" t="n">
        <v>20</v>
      </c>
      <c r="AZ22" s="0" t="str">
        <f aca="false">WRs!A6</f>
        <v>Antonio Freeman</v>
      </c>
      <c r="BA22" s="1" t="str">
        <f aca="false">WRs!B6</f>
        <v>GB</v>
      </c>
      <c r="BB22" s="1" t="s">
        <v>18</v>
      </c>
      <c r="BC22" s="2" t="n">
        <f aca="false">WRs!AJ6-calcs!$E$11</f>
        <v>61.6779802955665</v>
      </c>
    </row>
    <row r="23" customFormat="false" ht="13.5" hidden="false" customHeight="false" outlineLevel="0" collapsed="false">
      <c r="B23" s="23" t="s">
        <v>45</v>
      </c>
      <c r="C23" s="13" t="n">
        <v>0.1</v>
      </c>
      <c r="D23" s="13" t="n">
        <v>0.1</v>
      </c>
      <c r="E23" s="13" t="n">
        <v>0.1</v>
      </c>
      <c r="F23" s="37"/>
      <c r="J23" s="9"/>
      <c r="AA23" s="1" t="n">
        <v>21</v>
      </c>
      <c r="AB23" s="0" t="str">
        <f aca="false">QBs!A23</f>
        <v>Rob Johnson</v>
      </c>
      <c r="AC23" s="1" t="str">
        <f aca="false">QBs!B23</f>
        <v>Buf</v>
      </c>
      <c r="AD23" s="2" t="n">
        <f aca="false">QBs!AL23</f>
        <v>269.868857142857</v>
      </c>
      <c r="AE23" s="2" t="n">
        <f aca="false">AD23-calcs!$E$9</f>
        <v>-18.4559383194266</v>
      </c>
      <c r="AF23" s="0" t="str">
        <f aca="false">RBs!A27</f>
        <v>Tim Biakabutuka</v>
      </c>
      <c r="AG23" s="1" t="str">
        <f aca="false">RBs!B27</f>
        <v>Car</v>
      </c>
      <c r="AH23" s="2" t="n">
        <f aca="false">RBs!AJ27</f>
        <v>167.804895104895</v>
      </c>
      <c r="AI23" s="2" t="n">
        <f aca="false">AH23-calcs!$E$10</f>
        <v>20.3329603729604</v>
      </c>
      <c r="AJ23" s="0" t="str">
        <f aca="false">WRs!A28</f>
        <v>Joey Galloway</v>
      </c>
      <c r="AK23" s="1" t="str">
        <f aca="false">WRs!B28</f>
        <v>Dal</v>
      </c>
      <c r="AL23" s="2" t="n">
        <f aca="false">WRs!AJ28</f>
        <v>170.15</v>
      </c>
      <c r="AM23" s="2" t="n">
        <f aca="false">AL23-calcs!$E$11</f>
        <v>25.0141871921183</v>
      </c>
      <c r="AN23" s="0" t="str">
        <f aca="false">TEs!A24</f>
        <v>OJ Santiago</v>
      </c>
      <c r="AO23" s="1" t="str">
        <f aca="false">TEs!B24</f>
        <v>Atl</v>
      </c>
      <c r="AP23" s="2" t="n">
        <f aca="false">TEs!T24</f>
        <v>44.9954545454546</v>
      </c>
      <c r="AQ23" s="2" t="n">
        <f aca="false">AP23-calcs!$E$12</f>
        <v>-16.380303030303</v>
      </c>
      <c r="AR23" s="0" t="str">
        <f aca="false">PKs!A27</f>
        <v>Doug Brien</v>
      </c>
      <c r="AS23" s="1" t="str">
        <f aca="false">PKs!B27</f>
        <v>NO</v>
      </c>
      <c r="AT23" s="2" t="n">
        <f aca="false">PKs!W27</f>
        <v>97.6145989974937</v>
      </c>
      <c r="AU23" s="2" t="n">
        <f aca="false">AT23-calcs!$E$13</f>
        <v>-20.8758908749372</v>
      </c>
      <c r="AV23" s="0" t="str">
        <f aca="false">Defs!A27</f>
        <v>New York Jets</v>
      </c>
      <c r="AW23" s="1" t="n">
        <f aca="false">Defs!I27</f>
        <v>31.82</v>
      </c>
      <c r="AX23" s="2" t="n">
        <f aca="false">AW23-calcs!$E$14</f>
        <v>-29.4</v>
      </c>
      <c r="AY23" s="1" t="n">
        <v>21</v>
      </c>
      <c r="AZ23" s="0" t="str">
        <f aca="false">WRs!A7</f>
        <v>Isaac Bruce</v>
      </c>
      <c r="BA23" s="1" t="str">
        <f aca="false">WRs!B7</f>
        <v>StL</v>
      </c>
      <c r="BB23" s="1" t="s">
        <v>18</v>
      </c>
      <c r="BC23" s="2" t="n">
        <f aca="false">WRs!AJ7-calcs!$E$11</f>
        <v>61.4266009852217</v>
      </c>
    </row>
    <row r="24" customFormat="false" ht="13.5" hidden="false" customHeight="false" outlineLevel="0" collapsed="false">
      <c r="B24" s="23" t="s">
        <v>46</v>
      </c>
      <c r="C24" s="33" t="n">
        <v>6</v>
      </c>
      <c r="D24" s="33" t="n">
        <v>6</v>
      </c>
      <c r="E24" s="33" t="n">
        <v>6</v>
      </c>
      <c r="F24" s="37"/>
      <c r="H24" s="27" t="s">
        <v>47</v>
      </c>
      <c r="I24" s="38"/>
      <c r="J24" s="9"/>
      <c r="AA24" s="1" t="n">
        <v>22</v>
      </c>
      <c r="AB24" s="0" t="str">
        <f aca="false">QBs!A27</f>
        <v>Tony Banks</v>
      </c>
      <c r="AC24" s="1" t="str">
        <f aca="false">QBs!B27</f>
        <v>Bal</v>
      </c>
      <c r="AD24" s="2" t="n">
        <f aca="false">QBs!AL27</f>
        <v>267.12620661157</v>
      </c>
      <c r="AE24" s="2" t="n">
        <f aca="false">AD24-calcs!$E$9</f>
        <v>-21.1985888507135</v>
      </c>
      <c r="AF24" s="0" t="str">
        <f aca="false">RBs!A24</f>
        <v>Errict Rhett</v>
      </c>
      <c r="AG24" s="1" t="str">
        <f aca="false">RBs!B24</f>
        <v>Cle</v>
      </c>
      <c r="AH24" s="2" t="n">
        <f aca="false">RBs!AJ24</f>
        <v>165.133566433566</v>
      </c>
      <c r="AI24" s="2" t="n">
        <f aca="false">AH24-calcs!$E$10</f>
        <v>17.6616317016317</v>
      </c>
      <c r="AJ24" s="0" t="str">
        <f aca="false">WRs!A31</f>
        <v>Peter Warrick</v>
      </c>
      <c r="AK24" s="1" t="str">
        <f aca="false">WRs!B31</f>
        <v>Cin</v>
      </c>
      <c r="AL24" s="2" t="n">
        <f aca="false">WRs!AJ31</f>
        <v>167.82268907563</v>
      </c>
      <c r="AM24" s="2" t="n">
        <f aca="false">AL24-calcs!$E$11</f>
        <v>22.6868762677485</v>
      </c>
      <c r="AN24" s="0" t="str">
        <f aca="false">TEs!A32</f>
        <v>Jackie Harris</v>
      </c>
      <c r="AO24" s="1" t="str">
        <f aca="false">TEs!B32</f>
        <v>Dal</v>
      </c>
      <c r="AP24" s="2" t="n">
        <f aca="false">TEs!T32</f>
        <v>44.9454545454546</v>
      </c>
      <c r="AQ24" s="2" t="n">
        <f aca="false">AP24-calcs!$E$12</f>
        <v>-16.430303030303</v>
      </c>
      <c r="AR24" s="0" t="str">
        <f aca="false">PKs!A18</f>
        <v>Gary Anderson</v>
      </c>
      <c r="AS24" s="1" t="str">
        <f aca="false">PKs!B18</f>
        <v>Min</v>
      </c>
      <c r="AT24" s="2" t="n">
        <f aca="false">PKs!W18</f>
        <v>97.5208333333333</v>
      </c>
      <c r="AU24" s="2" t="n">
        <f aca="false">AT24-calcs!$E$13</f>
        <v>-20.9696565390976</v>
      </c>
      <c r="AV24" s="0" t="str">
        <f aca="false">Defs!A21</f>
        <v>New York Giants</v>
      </c>
      <c r="AW24" s="1" t="n">
        <f aca="false">Defs!I21</f>
        <v>30.68</v>
      </c>
      <c r="AX24" s="2" t="n">
        <f aca="false">AW24-calcs!$E$14</f>
        <v>-30.54</v>
      </c>
      <c r="AY24" s="1" t="n">
        <v>22</v>
      </c>
      <c r="AZ24" s="0" t="str">
        <f aca="false">RBs!A14</f>
        <v>Robert Smith</v>
      </c>
      <c r="BA24" s="1" t="str">
        <f aca="false">RBs!B14</f>
        <v>Min</v>
      </c>
      <c r="BB24" s="1" t="s">
        <v>9</v>
      </c>
      <c r="BC24" s="2" t="n">
        <f aca="false">RBs!AJ14-calcs!$E$10</f>
        <v>60.7591841491842</v>
      </c>
    </row>
    <row r="25" customFormat="false" ht="12.75" hidden="false" customHeight="false" outlineLevel="0" collapsed="false">
      <c r="B25" s="23" t="s">
        <v>48</v>
      </c>
      <c r="C25" s="33" t="n">
        <v>7</v>
      </c>
      <c r="D25" s="33" t="n">
        <v>7</v>
      </c>
      <c r="E25" s="33" t="n">
        <v>7</v>
      </c>
      <c r="F25" s="37"/>
      <c r="H25" s="39" t="s">
        <v>49</v>
      </c>
      <c r="I25" s="11" t="n">
        <v>16</v>
      </c>
      <c r="J25" s="9"/>
      <c r="AA25" s="1" t="n">
        <v>23</v>
      </c>
      <c r="AB25" s="0" t="str">
        <f aca="false">QBs!A29</f>
        <v>Charlie Batch</v>
      </c>
      <c r="AC25" s="1" t="str">
        <f aca="false">QBs!B29</f>
        <v>Det</v>
      </c>
      <c r="AD25" s="2" t="n">
        <f aca="false">QBs!AL29</f>
        <v>256.360269662921</v>
      </c>
      <c r="AE25" s="2" t="n">
        <f aca="false">AD25-calcs!$E$9</f>
        <v>-31.9645257993624</v>
      </c>
      <c r="AF25" s="0" t="str">
        <f aca="false">RBs!A25</f>
        <v>Tyrone Wheatley</v>
      </c>
      <c r="AG25" s="1" t="str">
        <f aca="false">RBs!B25</f>
        <v>Oak</v>
      </c>
      <c r="AH25" s="2" t="n">
        <f aca="false">RBs!AJ25</f>
        <v>161.757342657343</v>
      </c>
      <c r="AI25" s="2" t="n">
        <f aca="false">AH25-calcs!$E$10</f>
        <v>14.285407925408</v>
      </c>
      <c r="AJ25" s="0" t="str">
        <f aca="false">WRs!A17</f>
        <v>Keyshawn Johnson</v>
      </c>
      <c r="AK25" s="1" t="str">
        <f aca="false">WRs!B17</f>
        <v>TB</v>
      </c>
      <c r="AL25" s="2" t="n">
        <f aca="false">WRs!AJ17</f>
        <v>167.654482758621</v>
      </c>
      <c r="AM25" s="2" t="n">
        <f aca="false">AL25-calcs!$E$11</f>
        <v>22.5186699507389</v>
      </c>
      <c r="AN25" s="0" t="str">
        <f aca="false">TEs!A25</f>
        <v>Roland Williams</v>
      </c>
      <c r="AO25" s="1" t="str">
        <f aca="false">TEs!B25</f>
        <v>StL</v>
      </c>
      <c r="AP25" s="2" t="n">
        <f aca="false">TEs!T25</f>
        <v>38.6181818181818</v>
      </c>
      <c r="AQ25" s="2" t="n">
        <f aca="false">AP25-calcs!$E$12</f>
        <v>-22.7575757575758</v>
      </c>
      <c r="AR25" s="0" t="str">
        <f aca="false">PKs!A28</f>
        <v>Cary Blanchard</v>
      </c>
      <c r="AS25" s="1" t="str">
        <f aca="false">PKs!B28</f>
        <v>Ari</v>
      </c>
      <c r="AT25" s="2" t="n">
        <f aca="false">PKs!W28</f>
        <v>96.6145989974937</v>
      </c>
      <c r="AU25" s="2" t="n">
        <f aca="false">AT25-calcs!$E$13</f>
        <v>-21.8758908749372</v>
      </c>
      <c r="AV25" s="0" t="str">
        <f aca="false">Defs!A24</f>
        <v>Dallas Cowboys </v>
      </c>
      <c r="AW25" s="1" t="n">
        <f aca="false">Defs!I24</f>
        <v>26.52</v>
      </c>
      <c r="AX25" s="2" t="n">
        <f aca="false">AW25-calcs!$E$14</f>
        <v>-34.7</v>
      </c>
      <c r="AY25" s="1" t="n">
        <v>23</v>
      </c>
      <c r="AZ25" s="0" t="str">
        <f aca="false">QBs!A7</f>
        <v>Cade McNown</v>
      </c>
      <c r="BA25" s="1" t="str">
        <f aca="false">QBs!B7</f>
        <v>Chi</v>
      </c>
      <c r="BB25" s="1" t="s">
        <v>13</v>
      </c>
      <c r="BC25" s="2" t="n">
        <f aca="false">QBs!AL7-calcs!$E$9</f>
        <v>60.16356817408</v>
      </c>
    </row>
    <row r="26" customFormat="false" ht="12.75" hidden="false" customHeight="false" outlineLevel="0" collapsed="false">
      <c r="B26" s="23" t="s">
        <v>50</v>
      </c>
      <c r="C26" s="33" t="n">
        <v>8</v>
      </c>
      <c r="D26" s="33" t="n">
        <v>8</v>
      </c>
      <c r="E26" s="33" t="n">
        <v>8</v>
      </c>
      <c r="F26" s="37"/>
      <c r="H26" s="39" t="s">
        <v>51</v>
      </c>
      <c r="I26" s="13" t="n">
        <v>12</v>
      </c>
      <c r="J26" s="9"/>
      <c r="AA26" s="1" t="n">
        <v>24</v>
      </c>
      <c r="AB26" s="0" t="str">
        <f aca="false">QBs!A25</f>
        <v>Jake Plummer</v>
      </c>
      <c r="AC26" s="1" t="str">
        <f aca="false">QBs!B25</f>
        <v>Ari</v>
      </c>
      <c r="AD26" s="2" t="n">
        <f aca="false">QBs!AL25</f>
        <v>256.024556390977</v>
      </c>
      <c r="AE26" s="2" t="n">
        <f aca="false">AD26-calcs!$E$9</f>
        <v>-32.3002390713062</v>
      </c>
      <c r="AF26" s="0" t="str">
        <f aca="false">RBs!A26</f>
        <v>Warrick Dunn</v>
      </c>
      <c r="AG26" s="1" t="str">
        <f aca="false">RBs!B26</f>
        <v>TB</v>
      </c>
      <c r="AH26" s="2" t="n">
        <f aca="false">RBs!AJ26</f>
        <v>153.952447552448</v>
      </c>
      <c r="AI26" s="2" t="n">
        <f aca="false">AH26-calcs!$E$10</f>
        <v>6.48051282051276</v>
      </c>
      <c r="AJ26" s="0" t="str">
        <f aca="false">WRs!A30</f>
        <v>Patrick Jeffers</v>
      </c>
      <c r="AK26" s="1" t="str">
        <f aca="false">WRs!B30</f>
        <v>Car</v>
      </c>
      <c r="AL26" s="2" t="n">
        <f aca="false">WRs!AJ30</f>
        <v>167.142857142857</v>
      </c>
      <c r="AM26" s="2" t="n">
        <f aca="false">AL26-calcs!$E$11</f>
        <v>22.0070443349754</v>
      </c>
      <c r="AN26" s="0" t="str">
        <f aca="false">TEs!A27</f>
        <v>Anthony Becht</v>
      </c>
      <c r="AO26" s="1" t="str">
        <f aca="false">TEs!B27</f>
        <v>NYJ</v>
      </c>
      <c r="AP26" s="2" t="n">
        <f aca="false">TEs!T27</f>
        <v>36.9454545454546</v>
      </c>
      <c r="AQ26" s="2" t="n">
        <f aca="false">AP26-calcs!$E$12</f>
        <v>-24.430303030303</v>
      </c>
      <c r="AR26" s="0" t="str">
        <f aca="false">PKs!A24</f>
        <v>Eddie Murray</v>
      </c>
      <c r="AS26" s="1" t="str">
        <f aca="false">PKs!B24</f>
        <v>Dal</v>
      </c>
      <c r="AT26" s="2" t="n">
        <f aca="false">PKs!W24</f>
        <v>94.5052083333333</v>
      </c>
      <c r="AU26" s="2" t="n">
        <f aca="false">AT26-calcs!$E$13</f>
        <v>-23.9852815390976</v>
      </c>
      <c r="AV26" s="0" t="str">
        <f aca="false">Defs!A28</f>
        <v>Minnesota Vikings </v>
      </c>
      <c r="AW26" s="1" t="n">
        <f aca="false">Defs!I28</f>
        <v>25.68</v>
      </c>
      <c r="AX26" s="2" t="n">
        <f aca="false">AW26-calcs!$E$14</f>
        <v>-35.54</v>
      </c>
      <c r="AY26" s="1" t="n">
        <v>24</v>
      </c>
      <c r="AZ26" s="0" t="str">
        <f aca="false">WRs!A10</f>
        <v>Terry Glenn</v>
      </c>
      <c r="BA26" s="1" t="str">
        <f aca="false">WRs!B10</f>
        <v>NE</v>
      </c>
      <c r="BB26" s="1" t="s">
        <v>18</v>
      </c>
      <c r="BC26" s="2" t="n">
        <f aca="false">WRs!AJ10-calcs!$E$11</f>
        <v>59.0641871921183</v>
      </c>
    </row>
    <row r="27" customFormat="false" ht="12.75" hidden="false" customHeight="false" outlineLevel="0" collapsed="false">
      <c r="B27" s="23" t="s">
        <v>52</v>
      </c>
      <c r="C27" s="33" t="n">
        <v>9</v>
      </c>
      <c r="D27" s="33" t="n">
        <v>9</v>
      </c>
      <c r="E27" s="33" t="n">
        <v>9</v>
      </c>
      <c r="F27" s="37"/>
      <c r="H27" s="39" t="s">
        <v>53</v>
      </c>
      <c r="I27" s="13" t="n">
        <v>1</v>
      </c>
      <c r="J27" s="9"/>
      <c r="AA27" s="1" t="n">
        <v>25</v>
      </c>
      <c r="AB27" s="0" t="str">
        <f aca="false">QBs!A28</f>
        <v>Chris Chandler</v>
      </c>
      <c r="AC27" s="1" t="str">
        <f aca="false">QBs!B28</f>
        <v>Atl</v>
      </c>
      <c r="AD27" s="2" t="n">
        <f aca="false">QBs!AL28</f>
        <v>248.189157894737</v>
      </c>
      <c r="AE27" s="2" t="n">
        <f aca="false">AD27-calcs!$E$9</f>
        <v>-40.1356375675469</v>
      </c>
      <c r="AF27" s="0" t="str">
        <f aca="false">RBs!A28</f>
        <v>J.J. Johnson</v>
      </c>
      <c r="AG27" s="1" t="str">
        <f aca="false">RBs!B28</f>
        <v>Mia</v>
      </c>
      <c r="AH27" s="2" t="n">
        <f aca="false">RBs!AJ28</f>
        <v>149.157342657343</v>
      </c>
      <c r="AI27" s="2" t="n">
        <f aca="false">AH27-calcs!$E$10</f>
        <v>1.6854079254079</v>
      </c>
      <c r="AJ27" s="0" t="str">
        <f aca="false">WRs!A23</f>
        <v>Rob Moore</v>
      </c>
      <c r="AK27" s="1" t="str">
        <f aca="false">WRs!B23</f>
        <v>Ari</v>
      </c>
      <c r="AL27" s="2" t="n">
        <f aca="false">WRs!AJ23</f>
        <v>166.755172413793</v>
      </c>
      <c r="AM27" s="2" t="n">
        <f aca="false">AL27-calcs!$E$11</f>
        <v>21.6193596059114</v>
      </c>
      <c r="AN27" s="0" t="str">
        <f aca="false">TEs!A26</f>
        <v>Billy Miller</v>
      </c>
      <c r="AO27" s="1" t="str">
        <f aca="false">TEs!B26</f>
        <v>Den</v>
      </c>
      <c r="AP27" s="2" t="n">
        <f aca="false">TEs!T26</f>
        <v>36.3727272727273</v>
      </c>
      <c r="AQ27" s="2" t="n">
        <f aca="false">AP27-calcs!$E$12</f>
        <v>-25.0030303030303</v>
      </c>
      <c r="AR27" s="0" t="str">
        <f aca="false">PKs!A31</f>
        <v>David Akers</v>
      </c>
      <c r="AS27" s="1" t="str">
        <f aca="false">PKs!B31</f>
        <v>Phi</v>
      </c>
      <c r="AT27" s="2" t="n">
        <f aca="false">PKs!W31</f>
        <v>91.9974950332556</v>
      </c>
      <c r="AU27" s="2" t="n">
        <f aca="false">AT27-calcs!$E$13</f>
        <v>-26.4929948391753</v>
      </c>
      <c r="AV27" s="0" t="str">
        <f aca="false">Defs!A30</f>
        <v>Buffalo Bills </v>
      </c>
      <c r="AW27" s="1" t="n">
        <f aca="false">Defs!I30</f>
        <v>20.22</v>
      </c>
      <c r="AX27" s="2" t="n">
        <f aca="false">AW27-calcs!$E$14</f>
        <v>-41</v>
      </c>
      <c r="AY27" s="1" t="n">
        <v>25</v>
      </c>
      <c r="AZ27" s="0" t="str">
        <f aca="false">RBs!A12</f>
        <v>Duce Staley</v>
      </c>
      <c r="BA27" s="1" t="str">
        <f aca="false">RBs!B12</f>
        <v>Phi</v>
      </c>
      <c r="BB27" s="1" t="s">
        <v>9</v>
      </c>
      <c r="BC27" s="2" t="n">
        <f aca="false">RBs!AJ12-calcs!$E$10</f>
        <v>58.9091841491841</v>
      </c>
    </row>
    <row r="28" customFormat="false" ht="12.75" hidden="false" customHeight="false" outlineLevel="0" collapsed="false">
      <c r="B28" s="23" t="s">
        <v>54</v>
      </c>
      <c r="C28" s="33" t="n">
        <v>10</v>
      </c>
      <c r="D28" s="33" t="n">
        <v>10</v>
      </c>
      <c r="E28" s="33" t="n">
        <v>10</v>
      </c>
      <c r="F28" s="37"/>
      <c r="H28" s="39" t="s">
        <v>55</v>
      </c>
      <c r="I28" s="13" t="n">
        <v>2</v>
      </c>
      <c r="J28" s="9"/>
      <c r="AA28" s="1" t="n">
        <v>26</v>
      </c>
      <c r="AB28" s="0" t="str">
        <f aca="false">QBs!A24</f>
        <v>Vinny Testaverde</v>
      </c>
      <c r="AC28" s="1" t="str">
        <f aca="false">QBs!B24</f>
        <v>NYJ</v>
      </c>
      <c r="AD28" s="2" t="n">
        <f aca="false">QBs!AL24</f>
        <v>245.068857142857</v>
      </c>
      <c r="AE28" s="2" t="n">
        <f aca="false">AD28-calcs!$E$9</f>
        <v>-43.2559383194266</v>
      </c>
      <c r="AF28" s="0" t="str">
        <f aca="false">RBs!A29</f>
        <v>Jermaine Fazande</v>
      </c>
      <c r="AG28" s="1" t="str">
        <f aca="false">RBs!B29</f>
        <v>SD</v>
      </c>
      <c r="AH28" s="2" t="n">
        <f aca="false">RBs!AJ29</f>
        <v>133.007342657343</v>
      </c>
      <c r="AI28" s="2" t="n">
        <f aca="false">AH28-calcs!$E$10</f>
        <v>-14.4645920745921</v>
      </c>
      <c r="AJ28" s="0" t="str">
        <f aca="false">WRs!A14</f>
        <v>Derrick Mayes</v>
      </c>
      <c r="AK28" s="1" t="str">
        <f aca="false">WRs!B14</f>
        <v>Sea</v>
      </c>
      <c r="AL28" s="2" t="n">
        <f aca="false">WRs!AJ14</f>
        <v>165.555172413793</v>
      </c>
      <c r="AM28" s="2" t="n">
        <f aca="false">AL28-calcs!$E$11</f>
        <v>20.4193596059114</v>
      </c>
      <c r="AN28" s="0" t="str">
        <f aca="false">TEs!A23</f>
        <v>David LaFleur</v>
      </c>
      <c r="AO28" s="1" t="str">
        <f aca="false">TEs!B23</f>
        <v>Dal</v>
      </c>
      <c r="AP28" s="2" t="n">
        <f aca="false">TEs!T23</f>
        <v>36.2454545454546</v>
      </c>
      <c r="AQ28" s="2" t="n">
        <f aca="false">AP28-calcs!$E$12</f>
        <v>-25.130303030303</v>
      </c>
      <c r="AR28" s="0" t="str">
        <f aca="false">PKs!A21</f>
        <v>Adam Vinatieri</v>
      </c>
      <c r="AS28" s="1" t="str">
        <f aca="false">PKs!B21</f>
        <v>NE</v>
      </c>
      <c r="AT28" s="2" t="n">
        <f aca="false">PKs!W21</f>
        <v>91.5208333333333</v>
      </c>
      <c r="AU28" s="2" t="n">
        <f aca="false">AT28-calcs!$E$13</f>
        <v>-26.9696565390976</v>
      </c>
      <c r="AV28" s="0" t="str">
        <f aca="false">Defs!A29</f>
        <v>Arizona Cardinals</v>
      </c>
      <c r="AW28" s="1" t="n">
        <f aca="false">Defs!I29</f>
        <v>18.28</v>
      </c>
      <c r="AX28" s="2" t="n">
        <f aca="false">AW28-calcs!$E$14</f>
        <v>-42.94</v>
      </c>
      <c r="AY28" s="1" t="n">
        <v>26</v>
      </c>
      <c r="AZ28" s="0" t="str">
        <f aca="false">QBs!A6</f>
        <v>Steve McNair</v>
      </c>
      <c r="BA28" s="1" t="str">
        <f aca="false">QBs!B6</f>
        <v>Ten</v>
      </c>
      <c r="BB28" s="1" t="s">
        <v>13</v>
      </c>
      <c r="BC28" s="2" t="n">
        <f aca="false">QBs!AL6-calcs!$E$9</f>
        <v>58.6351371219861</v>
      </c>
    </row>
    <row r="29" customFormat="false" ht="12.75" hidden="false" customHeight="false" outlineLevel="0" collapsed="false">
      <c r="B29" s="23" t="s">
        <v>56</v>
      </c>
      <c r="C29" s="13" t="n">
        <v>12</v>
      </c>
      <c r="D29" s="13" t="n">
        <v>12</v>
      </c>
      <c r="E29" s="13" t="n">
        <v>12</v>
      </c>
      <c r="F29" s="37"/>
      <c r="H29" s="39" t="s">
        <v>57</v>
      </c>
      <c r="I29" s="13" t="n">
        <v>3</v>
      </c>
      <c r="J29" s="9"/>
      <c r="AA29" s="1" t="n">
        <v>27</v>
      </c>
      <c r="AB29" s="0" t="str">
        <f aca="false">QBs!A26</f>
        <v>Shaun King</v>
      </c>
      <c r="AC29" s="1" t="str">
        <f aca="false">QBs!B26</f>
        <v>TB</v>
      </c>
      <c r="AD29" s="2" t="n">
        <f aca="false">QBs!AL26</f>
        <v>242.309706766917</v>
      </c>
      <c r="AE29" s="2" t="n">
        <f aca="false">AD29-calcs!$E$9</f>
        <v>-46.0150886953664</v>
      </c>
      <c r="AF29" s="0" t="str">
        <f aca="false">RBs!A20</f>
        <v>Jamal Lewis</v>
      </c>
      <c r="AG29" s="1" t="str">
        <f aca="false">RBs!B20</f>
        <v>Bal</v>
      </c>
      <c r="AH29" s="2" t="n">
        <f aca="false">RBs!AJ20</f>
        <v>131.501118881119</v>
      </c>
      <c r="AI29" s="2" t="n">
        <f aca="false">AH29-calcs!$E$10</f>
        <v>-15.9708158508159</v>
      </c>
      <c r="AJ29" s="0" t="str">
        <f aca="false">WRs!A25</f>
        <v>Terance Mathis</v>
      </c>
      <c r="AK29" s="1" t="str">
        <f aca="false">WRs!B25</f>
        <v>Atl</v>
      </c>
      <c r="AL29" s="2" t="n">
        <f aca="false">WRs!AJ25</f>
        <v>161.98025210084</v>
      </c>
      <c r="AM29" s="2" t="n">
        <f aca="false">AL29-calcs!$E$11</f>
        <v>16.8444392929586</v>
      </c>
      <c r="AN29" s="0" t="str">
        <f aca="false">TEs!A29</f>
        <v>Damon Jones</v>
      </c>
      <c r="AO29" s="1" t="str">
        <f aca="false">TEs!B29</f>
        <v>Jac</v>
      </c>
      <c r="AP29" s="2" t="n">
        <f aca="false">TEs!T29</f>
        <v>34.9854545454546</v>
      </c>
      <c r="AQ29" s="2" t="n">
        <f aca="false">AP29-calcs!$E$12</f>
        <v>-26.390303030303</v>
      </c>
      <c r="AR29" s="0" t="str">
        <f aca="false">PKs!A29</f>
        <v>Brad Daluiso</v>
      </c>
      <c r="AS29" s="1" t="str">
        <f aca="false">PKs!B29</f>
        <v>NYG</v>
      </c>
      <c r="AT29" s="2" t="n">
        <f aca="false">PKs!W29</f>
        <v>87.5052083333333</v>
      </c>
      <c r="AU29" s="2" t="n">
        <f aca="false">AT29-calcs!$E$13</f>
        <v>-30.9852815390976</v>
      </c>
      <c r="AV29" s="0" t="str">
        <f aca="false">Defs!A26</f>
        <v>Indianapolis Colts </v>
      </c>
      <c r="AW29" s="1" t="n">
        <f aca="false">Defs!I26</f>
        <v>15.44</v>
      </c>
      <c r="AX29" s="2" t="n">
        <f aca="false">AW29-calcs!$E$14</f>
        <v>-45.78</v>
      </c>
      <c r="AY29" s="1" t="n">
        <v>27</v>
      </c>
      <c r="AZ29" s="0" t="str">
        <f aca="false">RBs!A18</f>
        <v>Ron Dayne</v>
      </c>
      <c r="BA29" s="1" t="str">
        <f aca="false">RBs!B18</f>
        <v>NYG</v>
      </c>
      <c r="BB29" s="1" t="s">
        <v>9</v>
      </c>
      <c r="BC29" s="2" t="n">
        <f aca="false">RBs!AJ18-calcs!$E$10</f>
        <v>54.0403030303031</v>
      </c>
    </row>
    <row r="30" customFormat="false" ht="13.5" hidden="false" customHeight="false" outlineLevel="0" collapsed="false">
      <c r="B30" s="40" t="s">
        <v>58</v>
      </c>
      <c r="C30" s="41" t="n">
        <v>3</v>
      </c>
      <c r="D30" s="42" t="n">
        <v>3</v>
      </c>
      <c r="E30" s="41" t="n">
        <v>3</v>
      </c>
      <c r="F30" s="43"/>
      <c r="H30" s="39" t="s">
        <v>59</v>
      </c>
      <c r="I30" s="13" t="n">
        <v>1</v>
      </c>
      <c r="J30" s="9"/>
      <c r="AA30" s="1" t="n">
        <v>28</v>
      </c>
      <c r="AB30" s="0" t="str">
        <f aca="false">QBs!A30</f>
        <v>Kordell Stewart</v>
      </c>
      <c r="AC30" s="1" t="str">
        <f aca="false">QBs!B30</f>
        <v>Pit</v>
      </c>
      <c r="AD30" s="2" t="n">
        <f aca="false">QBs!AL30</f>
        <v>215.070105263158</v>
      </c>
      <c r="AE30" s="2" t="n">
        <f aca="false">AD30-calcs!$E$9</f>
        <v>-73.2546901991258</v>
      </c>
      <c r="AF30" s="0" t="str">
        <f aca="false">RBs!A30</f>
        <v>Raymont Harris</v>
      </c>
      <c r="AG30" s="1" t="str">
        <f aca="false">RBs!B30</f>
        <v>NE</v>
      </c>
      <c r="AH30" s="2" t="n">
        <f aca="false">RBs!AJ30</f>
        <v>125.907342657343</v>
      </c>
      <c r="AI30" s="2" t="n">
        <f aca="false">AH30-calcs!$E$10</f>
        <v>-21.5645920745921</v>
      </c>
      <c r="AJ30" s="0" t="str">
        <f aca="false">WRs!A27</f>
        <v>Plaxico Burress</v>
      </c>
      <c r="AK30" s="1" t="str">
        <f aca="false">WRs!B27</f>
        <v>Pit</v>
      </c>
      <c r="AL30" s="2" t="n">
        <f aca="false">WRs!AJ27</f>
        <v>157.776470588235</v>
      </c>
      <c r="AM30" s="2" t="n">
        <f aca="false">AL30-calcs!$E$11</f>
        <v>12.6406577803535</v>
      </c>
      <c r="AN30" s="0" t="str">
        <f aca="false">TEs!A31</f>
        <v>Dave Moore</v>
      </c>
      <c r="AO30" s="1" t="str">
        <f aca="false">TEs!B31</f>
        <v>TB</v>
      </c>
      <c r="AP30" s="2" t="n">
        <f aca="false">TEs!T31</f>
        <v>30.2454545454545</v>
      </c>
      <c r="AQ30" s="2" t="n">
        <f aca="false">AP30-calcs!$E$12</f>
        <v>-31.130303030303</v>
      </c>
      <c r="AR30" s="0" t="str">
        <f aca="false">PKs!A30</f>
        <v>Morten Andersen</v>
      </c>
      <c r="AS30" s="1" t="str">
        <f aca="false">PKs!B30</f>
        <v>Atl</v>
      </c>
      <c r="AT30" s="2" t="n">
        <f aca="false">PKs!W30</f>
        <v>84.9817708333333</v>
      </c>
      <c r="AU30" s="2" t="n">
        <f aca="false">AT30-calcs!$E$13</f>
        <v>-33.5087190390976</v>
      </c>
      <c r="AV30" s="0" t="str">
        <f aca="false">Defs!A25</f>
        <v>San Francisco 49ers</v>
      </c>
      <c r="AW30" s="1" t="n">
        <f aca="false">Defs!I25</f>
        <v>11.76</v>
      </c>
      <c r="AX30" s="2" t="n">
        <f aca="false">AW30-calcs!$E$14</f>
        <v>-49.46</v>
      </c>
      <c r="AY30" s="1" t="n">
        <v>28</v>
      </c>
      <c r="AZ30" s="0" t="str">
        <f aca="false">QBs!A5</f>
        <v>Brett Favre</v>
      </c>
      <c r="BA30" s="1" t="str">
        <f aca="false">QBs!B5</f>
        <v>GB</v>
      </c>
      <c r="BB30" s="1" t="s">
        <v>13</v>
      </c>
      <c r="BC30" s="2" t="n">
        <f aca="false">QBs!AL5-calcs!$E$9</f>
        <v>51.4502646880922</v>
      </c>
    </row>
    <row r="31" customFormat="false" ht="12.75" hidden="false" customHeight="false" outlineLevel="0" collapsed="false">
      <c r="B31" s="23" t="s">
        <v>60</v>
      </c>
      <c r="C31" s="37"/>
      <c r="D31" s="44" t="n">
        <v>0</v>
      </c>
      <c r="E31" s="45" t="n">
        <v>0</v>
      </c>
      <c r="F31" s="45" t="n">
        <v>0</v>
      </c>
      <c r="H31" s="39" t="s">
        <v>61</v>
      </c>
      <c r="I31" s="13" t="n">
        <v>1</v>
      </c>
      <c r="J31" s="9"/>
      <c r="AA31" s="1" t="n">
        <v>29</v>
      </c>
      <c r="AB31" s="0" t="str">
        <f aca="false">QBs!A32</f>
        <v>Damon Huard</v>
      </c>
      <c r="AC31" s="1" t="str">
        <f aca="false">QBs!B32</f>
        <v>Mia</v>
      </c>
      <c r="AD31" s="2" t="n">
        <f aca="false">QBs!AL32</f>
        <v>182.158407407407</v>
      </c>
      <c r="AE31" s="2" t="n">
        <f aca="false">AD31-calcs!$E$9</f>
        <v>-106.166388054876</v>
      </c>
      <c r="AF31" s="0" t="str">
        <f aca="false">RBs!A43</f>
        <v>Michael Pittman</v>
      </c>
      <c r="AG31" s="1" t="str">
        <f aca="false">RBs!B43</f>
        <v>Ari</v>
      </c>
      <c r="AH31" s="2" t="n">
        <f aca="false">RBs!AJ43</f>
        <v>122.928671328671</v>
      </c>
      <c r="AI31" s="2" t="n">
        <f aca="false">AH31-calcs!$E$10</f>
        <v>-24.5432634032634</v>
      </c>
      <c r="AJ31" s="0" t="str">
        <f aca="false">WRs!A43</f>
        <v>Joe Horn</v>
      </c>
      <c r="AK31" s="1" t="str">
        <f aca="false">WRs!B43</f>
        <v>NO</v>
      </c>
      <c r="AL31" s="2" t="n">
        <f aca="false">WRs!AJ43</f>
        <v>154.14268907563</v>
      </c>
      <c r="AM31" s="2" t="n">
        <f aca="false">AL31-calcs!$E$11</f>
        <v>9.00687626774848</v>
      </c>
      <c r="AN31" s="0" t="str">
        <f aca="false">TEs!A30</f>
        <v>Chris Gedney</v>
      </c>
      <c r="AO31" s="1" t="str">
        <f aca="false">TEs!B30</f>
        <v>Ari</v>
      </c>
      <c r="AP31" s="2" t="n">
        <f aca="false">TEs!T30</f>
        <v>29.8727272727273</v>
      </c>
      <c r="AQ31" s="2" t="n">
        <f aca="false">AP31-calcs!$E$12</f>
        <v>-31.5030303030303</v>
      </c>
      <c r="AR31" s="0" t="str">
        <f aca="false">PKs!A32</f>
        <v>Neil Rackers</v>
      </c>
      <c r="AS31" s="1" t="str">
        <f aca="false">PKs!B32</f>
        <v>Cin</v>
      </c>
      <c r="AT31" s="2" t="n">
        <f aca="false">PKs!W32</f>
        <v>79.9973958333333</v>
      </c>
      <c r="AU31" s="2" t="n">
        <f aca="false">AT31-calcs!$E$13</f>
        <v>-38.4930940390976</v>
      </c>
      <c r="AV31" s="0" t="str">
        <f aca="false">Defs!A31</f>
        <v>Atlanta Falcons </v>
      </c>
      <c r="AW31" s="1" t="n">
        <f aca="false">Defs!I31</f>
        <v>1.88</v>
      </c>
      <c r="AX31" s="2" t="n">
        <f aca="false">AW31-calcs!$E$14</f>
        <v>-59.34</v>
      </c>
      <c r="AY31" s="1" t="n">
        <v>29</v>
      </c>
      <c r="AZ31" s="0" t="str">
        <f aca="false">WRs!A11</f>
        <v>Kevin Johnson</v>
      </c>
      <c r="BA31" s="1" t="str">
        <f aca="false">WRs!B11</f>
        <v>Cle</v>
      </c>
      <c r="BB31" s="1" t="s">
        <v>18</v>
      </c>
      <c r="BC31" s="2" t="n">
        <f aca="false">WRs!AJ11-calcs!$E$11</f>
        <v>50.2641871921183</v>
      </c>
    </row>
    <row r="32" customFormat="false" ht="13.5" hidden="false" customHeight="false" outlineLevel="0" collapsed="false">
      <c r="B32" s="23" t="s">
        <v>62</v>
      </c>
      <c r="C32" s="37"/>
      <c r="D32" s="46" t="n">
        <v>0.1</v>
      </c>
      <c r="E32" s="13" t="n">
        <v>0.1</v>
      </c>
      <c r="F32" s="13" t="n">
        <v>0.1</v>
      </c>
      <c r="H32" s="47" t="s">
        <v>63</v>
      </c>
      <c r="I32" s="35" t="n">
        <v>1</v>
      </c>
      <c r="J32" s="9"/>
      <c r="AA32" s="1" t="n">
        <v>30</v>
      </c>
      <c r="AB32" s="0" t="str">
        <f aca="false">QBs!A31</f>
        <v>Akili Smith</v>
      </c>
      <c r="AC32" s="1" t="str">
        <f aca="false">QBs!B31</f>
        <v>Cin</v>
      </c>
      <c r="AD32" s="2" t="n">
        <f aca="false">QBs!AL31</f>
        <v>172.477503759399</v>
      </c>
      <c r="AE32" s="2" t="n">
        <f aca="false">AD32-calcs!$E$9</f>
        <v>-115.847291702885</v>
      </c>
      <c r="AF32" s="0" t="str">
        <f aca="false">RBs!A34</f>
        <v>Antowain Smith</v>
      </c>
      <c r="AG32" s="1" t="str">
        <f aca="false">RBs!B34</f>
        <v>Buf</v>
      </c>
      <c r="AH32" s="2" t="n">
        <f aca="false">RBs!AJ34</f>
        <v>121.181118881119</v>
      </c>
      <c r="AI32" s="2" t="n">
        <f aca="false">AH32-calcs!$E$10</f>
        <v>-26.2908158508159</v>
      </c>
      <c r="AJ32" s="0" t="str">
        <f aca="false">WRs!A35</f>
        <v>Keenan McCardell</v>
      </c>
      <c r="AK32" s="1" t="str">
        <f aca="false">WRs!B35</f>
        <v>Jac</v>
      </c>
      <c r="AL32" s="2" t="n">
        <f aca="false">WRs!AJ35</f>
        <v>154.12268907563</v>
      </c>
      <c r="AM32" s="2" t="n">
        <f aca="false">AL32-calcs!$E$11</f>
        <v>8.9868762677485</v>
      </c>
      <c r="AN32" s="0" t="str">
        <f aca="false">TEs!A28</f>
        <v>Jimmy Kleinsasser</v>
      </c>
      <c r="AO32" s="1" t="str">
        <f aca="false">TEs!B28</f>
        <v>Min</v>
      </c>
      <c r="AP32" s="2" t="n">
        <f aca="false">TEs!T28</f>
        <v>28.1454545454545</v>
      </c>
      <c r="AQ32" s="2" t="n">
        <f aca="false">AP32-calcs!$E$12</f>
        <v>-33.230303030303</v>
      </c>
      <c r="AR32" s="0" t="str">
        <f aca="false">PKs!A17</f>
        <v>Paul Edinger</v>
      </c>
      <c r="AS32" s="1" t="str">
        <f aca="false">PKs!B17</f>
        <v>Chi</v>
      </c>
      <c r="AT32" s="2" t="n">
        <f aca="false">PKs!W17</f>
        <v>70.4739583333333</v>
      </c>
      <c r="AU32" s="2" t="n">
        <f aca="false">AT32-calcs!$E$13</f>
        <v>-48.0165315390976</v>
      </c>
      <c r="AV32" s="0" t="str">
        <f aca="false">Defs!A32</f>
        <v>Cincinnati Bengals </v>
      </c>
      <c r="AW32" s="1" t="n">
        <f aca="false">Defs!I32</f>
        <v>-10.8</v>
      </c>
      <c r="AX32" s="2" t="n">
        <f aca="false">AW32-calcs!$E$14</f>
        <v>-72.02</v>
      </c>
      <c r="AY32" s="1" t="n">
        <v>30</v>
      </c>
      <c r="AZ32" s="0" t="str">
        <f aca="false">TEs!A4</f>
        <v>Wesley Walls</v>
      </c>
      <c r="BA32" s="1" t="str">
        <f aca="false">TEs!B4</f>
        <v>Car</v>
      </c>
      <c r="BB32" s="1" t="str">
        <f aca="false">IF($I$30=0,"WR","TE")</f>
        <v>TE</v>
      </c>
      <c r="BC32" s="2" t="n">
        <f aca="false">TEs!T4-calcs!$E$12</f>
        <v>50.0833333333333</v>
      </c>
    </row>
    <row r="33" customFormat="false" ht="12.75" hidden="false" customHeight="false" outlineLevel="0" collapsed="false">
      <c r="B33" s="23" t="s">
        <v>64</v>
      </c>
      <c r="C33" s="37"/>
      <c r="D33" s="48" t="n">
        <v>6</v>
      </c>
      <c r="E33" s="33" t="n">
        <v>6</v>
      </c>
      <c r="F33" s="33" t="n">
        <v>6</v>
      </c>
      <c r="AA33" s="1" t="n">
        <v>31</v>
      </c>
      <c r="AB33" s="0" t="str">
        <f aca="false">QBs!A36</f>
        <v>Moses Moreno</v>
      </c>
      <c r="AC33" s="1" t="str">
        <f aca="false">QBs!B36</f>
        <v>SD</v>
      </c>
      <c r="AD33" s="2" t="n">
        <f aca="false">QBs!AL36</f>
        <v>129.133333333333</v>
      </c>
      <c r="AE33" s="2" t="n">
        <f aca="false">AD33-calcs!$E$9</f>
        <v>-159.19146212895</v>
      </c>
      <c r="AF33" s="0" t="str">
        <f aca="false">RBs!A32</f>
        <v>Shaun Alexander</v>
      </c>
      <c r="AG33" s="1" t="str">
        <f aca="false">RBs!B32</f>
        <v>Sea</v>
      </c>
      <c r="AH33" s="2" t="n">
        <f aca="false">RBs!AJ32</f>
        <v>115.578671328671</v>
      </c>
      <c r="AI33" s="2" t="n">
        <f aca="false">AH33-calcs!$E$10</f>
        <v>-31.8932634032635</v>
      </c>
      <c r="AJ33" s="0" t="str">
        <f aca="false">WRs!A33</f>
        <v>Tony Martin</v>
      </c>
      <c r="AK33" s="1" t="str">
        <f aca="false">WRs!B33</f>
        <v>Mia</v>
      </c>
      <c r="AL33" s="2" t="n">
        <f aca="false">WRs!AJ33</f>
        <v>152.885714285714</v>
      </c>
      <c r="AM33" s="2" t="n">
        <f aca="false">AL33-calcs!$E$11</f>
        <v>7.74990147783251</v>
      </c>
      <c r="AN33" s="0" t="str">
        <f aca="false">TEs!A33</f>
        <v>Kyle Brady</v>
      </c>
      <c r="AO33" s="1" t="str">
        <f aca="false">TEs!B33</f>
        <v>Jac</v>
      </c>
      <c r="AP33" s="2" t="n">
        <f aca="false">TEs!T33</f>
        <v>27.6727272727273</v>
      </c>
      <c r="AQ33" s="2" t="n">
        <f aca="false">AP33-calcs!$E$12</f>
        <v>-33.7030303030303</v>
      </c>
      <c r="AR33" s="0" t="str">
        <f aca="false">PKs!A33</f>
        <v>Phil Dawson</v>
      </c>
      <c r="AS33" s="1" t="str">
        <f aca="false">PKs!B33</f>
        <v>Cle</v>
      </c>
      <c r="AT33" s="2" t="n">
        <f aca="false">PKs!W33</f>
        <v>69.4583333333333</v>
      </c>
      <c r="AU33" s="2" t="n">
        <f aca="false">AT33-calcs!$E$13</f>
        <v>-49.0321565390976</v>
      </c>
      <c r="AV33" s="0" t="str">
        <f aca="false">Defs!A33</f>
        <v>Cleveland Browns</v>
      </c>
      <c r="AW33" s="1" t="n">
        <f aca="false">Defs!I33</f>
        <v>-13.96</v>
      </c>
      <c r="AX33" s="2" t="n">
        <f aca="false">AW33-calcs!$E$14</f>
        <v>-75.18</v>
      </c>
      <c r="AY33" s="1" t="n">
        <v>31</v>
      </c>
      <c r="AZ33" s="0" t="str">
        <f aca="false">RBs!A16</f>
        <v>Charlie Garner</v>
      </c>
      <c r="BA33" s="1" t="str">
        <f aca="false">RBs!B16</f>
        <v>SF</v>
      </c>
      <c r="BB33" s="1" t="s">
        <v>9</v>
      </c>
      <c r="BC33" s="2" t="n">
        <f aca="false">RBs!AJ16-calcs!$E$10</f>
        <v>49.8329603729603</v>
      </c>
    </row>
    <row r="34" customFormat="false" ht="12.75" hidden="false" customHeight="false" outlineLevel="0" collapsed="false">
      <c r="B34" s="23" t="s">
        <v>65</v>
      </c>
      <c r="C34" s="37"/>
      <c r="D34" s="48" t="n">
        <v>7</v>
      </c>
      <c r="E34" s="33" t="n">
        <v>7</v>
      </c>
      <c r="F34" s="33" t="n">
        <v>7</v>
      </c>
      <c r="AA34" s="1" t="n">
        <v>32</v>
      </c>
      <c r="AB34" s="0" t="str">
        <f aca="false">QBs!A33</f>
        <v>Jim Harbaugh</v>
      </c>
      <c r="AC34" s="1" t="str">
        <f aca="false">QBs!B33</f>
        <v>SD</v>
      </c>
      <c r="AD34" s="2" t="n">
        <f aca="false">QBs!AL33</f>
        <v>126.960259259259</v>
      </c>
      <c r="AE34" s="2" t="n">
        <f aca="false">AD34-calcs!$E$9</f>
        <v>-161.364536203024</v>
      </c>
      <c r="AF34" s="0" t="str">
        <f aca="false">RBs!A36</f>
        <v>Kimble Anders</v>
      </c>
      <c r="AG34" s="1" t="str">
        <f aca="false">RBs!B36</f>
        <v>KC</v>
      </c>
      <c r="AH34" s="2" t="n">
        <f aca="false">RBs!AJ36</f>
        <v>113.818671328671</v>
      </c>
      <c r="AI34" s="2" t="n">
        <f aca="false">AH34-calcs!$E$10</f>
        <v>-33.6532634032635</v>
      </c>
      <c r="AJ34" s="0" t="str">
        <f aca="false">WRs!A34</f>
        <v>Tim Dwight</v>
      </c>
      <c r="AK34" s="1" t="str">
        <f aca="false">WRs!B34</f>
        <v>Atl</v>
      </c>
      <c r="AL34" s="2" t="n">
        <f aca="false">WRs!AJ34</f>
        <v>150.842857142857</v>
      </c>
      <c r="AM34" s="2" t="n">
        <f aca="false">AL34-calcs!$E$11</f>
        <v>5.70704433497537</v>
      </c>
      <c r="AN34" s="0" t="str">
        <f aca="false">TEs!A34</f>
        <v>Terry Hardy</v>
      </c>
      <c r="AO34" s="1" t="str">
        <f aca="false">TEs!B34</f>
        <v>Ari</v>
      </c>
      <c r="AP34" s="2" t="n">
        <f aca="false">TEs!T34</f>
        <v>26.8727272727273</v>
      </c>
      <c r="AQ34" s="2" t="n">
        <f aca="false">AP34-calcs!$E$12</f>
        <v>-34.5030303030303</v>
      </c>
      <c r="AY34" s="1" t="n">
        <v>32</v>
      </c>
      <c r="AZ34" s="0" t="str">
        <f aca="false">WRs!A13</f>
        <v>Michael Westbrook</v>
      </c>
      <c r="BA34" s="1" t="str">
        <f aca="false">WRs!B13</f>
        <v>Was</v>
      </c>
      <c r="BB34" s="1" t="s">
        <v>18</v>
      </c>
      <c r="BC34" s="2" t="n">
        <f aca="false">WRs!AJ13-calcs!$E$11</f>
        <v>48.6486699507389</v>
      </c>
    </row>
    <row r="35" customFormat="false" ht="12.75" hidden="false" customHeight="false" outlineLevel="0" collapsed="false">
      <c r="B35" s="23" t="s">
        <v>66</v>
      </c>
      <c r="C35" s="37"/>
      <c r="D35" s="48" t="n">
        <v>8</v>
      </c>
      <c r="E35" s="33" t="n">
        <v>8</v>
      </c>
      <c r="F35" s="33" t="n">
        <v>8</v>
      </c>
      <c r="AA35" s="1" t="n">
        <v>33</v>
      </c>
      <c r="AB35" s="0" t="str">
        <f aca="false">QBs!A34</f>
        <v>Jay Fiedler</v>
      </c>
      <c r="AC35" s="1" t="str">
        <f aca="false">QBs!B34</f>
        <v>Mia</v>
      </c>
      <c r="AD35" s="2" t="n">
        <f aca="false">QBs!AL34</f>
        <v>117.346296296296</v>
      </c>
      <c r="AE35" s="2" t="n">
        <f aca="false">AD35-calcs!$E$9</f>
        <v>-170.978499165987</v>
      </c>
      <c r="AF35" s="0" t="str">
        <f aca="false">RBs!A35</f>
        <v>Fred Beasley</v>
      </c>
      <c r="AG35" s="1" t="str">
        <f aca="false">RBs!B35</f>
        <v>SF</v>
      </c>
      <c r="AH35" s="2" t="n">
        <f aca="false">RBs!AJ35</f>
        <v>113.581118881119</v>
      </c>
      <c r="AI35" s="2" t="n">
        <f aca="false">AH35-calcs!$E$10</f>
        <v>-33.8908158508159</v>
      </c>
      <c r="AJ35" s="0" t="str">
        <f aca="false">WRs!A41</f>
        <v>Derrick Alexander</v>
      </c>
      <c r="AK35" s="1" t="str">
        <f aca="false">WRs!B41</f>
        <v>KC</v>
      </c>
      <c r="AL35" s="2" t="n">
        <f aca="false">WRs!AJ41</f>
        <v>146.885714285714</v>
      </c>
      <c r="AM35" s="2" t="n">
        <f aca="false">AL35-calcs!$E$11</f>
        <v>1.74990147783251</v>
      </c>
      <c r="AN35" s="0" t="str">
        <f aca="false">TEs!A55</f>
        <v>Marco Battaglia</v>
      </c>
      <c r="AO35" s="1" t="str">
        <f aca="false">TEs!B55</f>
        <v>Cin</v>
      </c>
      <c r="AP35" s="2" t="n">
        <f aca="false">TEs!T55</f>
        <v>26.2727272727273</v>
      </c>
      <c r="AQ35" s="2" t="n">
        <f aca="false">AP35-calcs!$E$12</f>
        <v>-35.1030303030303</v>
      </c>
      <c r="AY35" s="1" t="n">
        <v>33</v>
      </c>
      <c r="AZ35" s="0" t="str">
        <f aca="false">WRs!A12</f>
        <v>Cris Carter</v>
      </c>
      <c r="BA35" s="1" t="str">
        <f aca="false">WRs!B12</f>
        <v>Min</v>
      </c>
      <c r="BB35" s="1" t="s">
        <v>18</v>
      </c>
      <c r="BC35" s="2" t="n">
        <f aca="false">WRs!AJ12-calcs!$E$11</f>
        <v>46.6520023181687</v>
      </c>
    </row>
    <row r="36" customFormat="false" ht="12.75" hidden="false" customHeight="false" outlineLevel="0" collapsed="false">
      <c r="B36" s="23" t="s">
        <v>67</v>
      </c>
      <c r="C36" s="37"/>
      <c r="D36" s="48" t="n">
        <v>9</v>
      </c>
      <c r="E36" s="33" t="n">
        <v>9</v>
      </c>
      <c r="F36" s="33" t="n">
        <v>9</v>
      </c>
      <c r="H36" s="9"/>
      <c r="AA36" s="1" t="n">
        <v>34</v>
      </c>
      <c r="AB36" s="0" t="str">
        <f aca="false">QBs!A35</f>
        <v>Scott Mitchell</v>
      </c>
      <c r="AC36" s="1" t="str">
        <f aca="false">QBs!B35</f>
        <v>Cin</v>
      </c>
      <c r="AD36" s="2" t="n">
        <f aca="false">QBs!AL35</f>
        <v>89.7222222222222</v>
      </c>
      <c r="AE36" s="2" t="n">
        <f aca="false">AD36-calcs!$E$9</f>
        <v>-198.602573240061</v>
      </c>
      <c r="AF36" s="0" t="str">
        <f aca="false">RBs!A31</f>
        <v>Thomas Jones</v>
      </c>
      <c r="AG36" s="1" t="str">
        <f aca="false">RBs!B31</f>
        <v>Ari</v>
      </c>
      <c r="AH36" s="2" t="n">
        <f aca="false">RBs!AJ31</f>
        <v>113.354895104895</v>
      </c>
      <c r="AI36" s="2" t="n">
        <f aca="false">AH36-calcs!$E$10</f>
        <v>-34.1170396270397</v>
      </c>
      <c r="AJ36" s="0" t="str">
        <f aca="false">WRs!A36</f>
        <v>Ike Hilliard</v>
      </c>
      <c r="AK36" s="1" t="str">
        <f aca="false">WRs!B36</f>
        <v>NYG</v>
      </c>
      <c r="AL36" s="2" t="n">
        <f aca="false">WRs!AJ36</f>
        <v>146.128907563025</v>
      </c>
      <c r="AM36" s="2" t="n">
        <f aca="false">AL36-calcs!$E$11</f>
        <v>0.993094755143488</v>
      </c>
      <c r="AN36" s="0" t="str">
        <f aca="false">TEs!A36</f>
        <v>Mark Campbell</v>
      </c>
      <c r="AO36" s="1" t="str">
        <f aca="false">TEs!B36</f>
        <v>Cle</v>
      </c>
      <c r="AP36" s="2" t="n">
        <f aca="false">TEs!T36</f>
        <v>24.8727272727273</v>
      </c>
      <c r="AQ36" s="2" t="n">
        <f aca="false">AP36-calcs!$E$12</f>
        <v>-36.5030303030303</v>
      </c>
      <c r="AY36" s="1" t="n">
        <v>34</v>
      </c>
      <c r="AZ36" s="0" t="str">
        <f aca="false">RBs!A17</f>
        <v>Curtis Enis</v>
      </c>
      <c r="BA36" s="1" t="str">
        <f aca="false">RBs!B17</f>
        <v>Chi</v>
      </c>
      <c r="BB36" s="1" t="s">
        <v>9</v>
      </c>
      <c r="BC36" s="2" t="n">
        <f aca="false">RBs!AJ17-calcs!$E$10</f>
        <v>46.0091841491841</v>
      </c>
    </row>
    <row r="37" customFormat="false" ht="12.75" hidden="false" customHeight="false" outlineLevel="0" collapsed="false">
      <c r="B37" s="23" t="s">
        <v>68</v>
      </c>
      <c r="C37" s="37"/>
      <c r="D37" s="48" t="n">
        <v>10</v>
      </c>
      <c r="E37" s="33" t="n">
        <v>10</v>
      </c>
      <c r="F37" s="33" t="n">
        <v>10</v>
      </c>
      <c r="H37" s="9"/>
      <c r="AA37" s="1" t="n">
        <v>35</v>
      </c>
      <c r="AB37" s="0" t="str">
        <f aca="false">QBs!A37</f>
        <v>Kent Graham</v>
      </c>
      <c r="AC37" s="1" t="str">
        <f aca="false">QBs!B37</f>
        <v>Pit</v>
      </c>
      <c r="AD37" s="2" t="n">
        <f aca="false">QBs!AL37</f>
        <v>80.7741481481482</v>
      </c>
      <c r="AE37" s="2" t="n">
        <f aca="false">AD37-calcs!$E$9</f>
        <v>-207.550647314136</v>
      </c>
      <c r="AF37" s="0" t="str">
        <f aca="false">RBs!A37</f>
        <v>Napoleon Kaufman</v>
      </c>
      <c r="AG37" s="1" t="str">
        <f aca="false">RBs!B37</f>
        <v>Oak</v>
      </c>
      <c r="AH37" s="2" t="n">
        <f aca="false">RBs!AJ37</f>
        <v>111.928671328671</v>
      </c>
      <c r="AI37" s="2" t="n">
        <f aca="false">AH37-calcs!$E$10</f>
        <v>-35.5432634032635</v>
      </c>
      <c r="AJ37" s="0" t="str">
        <f aca="false">WRs!A32</f>
        <v>Wayne Chrebet</v>
      </c>
      <c r="AK37" s="1" t="str">
        <f aca="false">WRs!B32</f>
        <v>NYJ</v>
      </c>
      <c r="AL37" s="2" t="n">
        <f aca="false">WRs!AJ32</f>
        <v>145.435862068966</v>
      </c>
      <c r="AM37" s="2" t="n">
        <f aca="false">AL37-calcs!$E$11</f>
        <v>0.300049261083728</v>
      </c>
      <c r="AN37" s="0" t="str">
        <f aca="false">TEs!A37</f>
        <v>Eric Bjornson</v>
      </c>
      <c r="AO37" s="1" t="str">
        <f aca="false">TEs!B37</f>
        <v>NE</v>
      </c>
      <c r="AP37" s="2" t="n">
        <f aca="false">TEs!T37</f>
        <v>24.8727272727273</v>
      </c>
      <c r="AQ37" s="2" t="n">
        <f aca="false">AP37-calcs!$E$12</f>
        <v>-36.5030303030303</v>
      </c>
      <c r="AY37" s="1" t="n">
        <v>35</v>
      </c>
      <c r="AZ37" s="0" t="str">
        <f aca="false">WRs!A15</f>
        <v>Germane Crowell</v>
      </c>
      <c r="BA37" s="1" t="str">
        <f aca="false">WRs!B15</f>
        <v>Det</v>
      </c>
      <c r="BB37" s="1" t="s">
        <v>18</v>
      </c>
      <c r="BC37" s="2" t="n">
        <f aca="false">WRs!AJ15-calcs!$E$11</f>
        <v>44.5570443349754</v>
      </c>
    </row>
    <row r="38" customFormat="false" ht="12.75" hidden="false" customHeight="false" outlineLevel="0" collapsed="false">
      <c r="B38" s="23" t="s">
        <v>69</v>
      </c>
      <c r="C38" s="37"/>
      <c r="D38" s="48" t="n">
        <v>12</v>
      </c>
      <c r="E38" s="33" t="n">
        <v>12</v>
      </c>
      <c r="F38" s="33" t="n">
        <v>12</v>
      </c>
      <c r="H38" s="9"/>
      <c r="AA38" s="1" t="n">
        <v>36</v>
      </c>
      <c r="AB38" s="0" t="str">
        <f aca="false">QBs!A38</f>
        <v>Danny Kanell</v>
      </c>
      <c r="AC38" s="1" t="str">
        <f aca="false">QBs!B38</f>
        <v>Atl</v>
      </c>
      <c r="AD38" s="2" t="n">
        <f aca="false">QBs!AL38</f>
        <v>67.4231481481481</v>
      </c>
      <c r="AE38" s="2" t="n">
        <f aca="false">AD38-calcs!$E$9</f>
        <v>-220.901647314136</v>
      </c>
      <c r="AF38" s="0" t="str">
        <f aca="false">RBs!A39</f>
        <v>Richard Huntley</v>
      </c>
      <c r="AG38" s="1" t="str">
        <f aca="false">RBs!B39</f>
        <v>Pit</v>
      </c>
      <c r="AH38" s="2" t="n">
        <f aca="false">RBs!AJ39</f>
        <v>107.278671328671</v>
      </c>
      <c r="AI38" s="2" t="n">
        <f aca="false">AH38-calcs!$E$10</f>
        <v>-40.1932634032635</v>
      </c>
      <c r="AJ38" s="0" t="str">
        <f aca="false">WRs!A39</f>
        <v>Peerless Price</v>
      </c>
      <c r="AK38" s="1" t="str">
        <f aca="false">WRs!B39</f>
        <v>Buf</v>
      </c>
      <c r="AL38" s="2" t="n">
        <f aca="false">WRs!AJ39</f>
        <v>144.485714285714</v>
      </c>
      <c r="AM38" s="2" t="n">
        <f aca="false">AL38-calcs!$E$11</f>
        <v>-0.650098522167468</v>
      </c>
      <c r="AN38" s="0" t="str">
        <f aca="false">TEs!A38</f>
        <v>Mark Bruener</v>
      </c>
      <c r="AO38" s="1" t="str">
        <f aca="false">TEs!B38</f>
        <v>Pit</v>
      </c>
      <c r="AP38" s="2" t="n">
        <f aca="false">TEs!T38</f>
        <v>24.2727272727273</v>
      </c>
      <c r="AQ38" s="2" t="n">
        <f aca="false">AP38-calcs!$E$12</f>
        <v>-37.1030303030303</v>
      </c>
      <c r="AY38" s="1" t="n">
        <v>36</v>
      </c>
      <c r="AZ38" s="0" t="str">
        <f aca="false">WRs!A16</f>
        <v>Amani Toomer</v>
      </c>
      <c r="BA38" s="1" t="str">
        <f aca="false">WRs!B16</f>
        <v>NYG</v>
      </c>
      <c r="BB38" s="1" t="s">
        <v>18</v>
      </c>
      <c r="BC38" s="2" t="n">
        <f aca="false">WRs!AJ16-calcs!$E$11</f>
        <v>40.2470443349754</v>
      </c>
    </row>
    <row r="39" customFormat="false" ht="13.5" hidden="false" customHeight="false" outlineLevel="0" collapsed="false">
      <c r="B39" s="49" t="s">
        <v>70</v>
      </c>
      <c r="C39" s="43"/>
      <c r="D39" s="50" t="n">
        <v>3</v>
      </c>
      <c r="E39" s="35" t="n">
        <v>3</v>
      </c>
      <c r="F39" s="35" t="n">
        <v>3</v>
      </c>
      <c r="AA39" s="1" t="n">
        <v>37</v>
      </c>
      <c r="AB39" s="0" t="str">
        <f aca="false">QBs!A40</f>
        <v>Trent Dilfer</v>
      </c>
      <c r="AC39" s="1" t="str">
        <f aca="false">QBs!B40</f>
        <v>Bal</v>
      </c>
      <c r="AD39" s="2" t="n">
        <f aca="false">QBs!AL40</f>
        <v>58.8601851851852</v>
      </c>
      <c r="AE39" s="2" t="n">
        <f aca="false">AD39-calcs!$E$9</f>
        <v>-229.464610277099</v>
      </c>
      <c r="AF39" s="0" t="str">
        <f aca="false">RBs!A33</f>
        <v>Corey Dillon</v>
      </c>
      <c r="AG39" s="1" t="str">
        <f aca="false">RBs!B33</f>
        <v>Cin</v>
      </c>
      <c r="AH39" s="2" t="n">
        <f aca="false">RBs!AJ33</f>
        <v>106.004895104895</v>
      </c>
      <c r="AI39" s="2" t="n">
        <f aca="false">AH39-calcs!$E$10</f>
        <v>-41.4670396270397</v>
      </c>
      <c r="AJ39" s="0" t="str">
        <f aca="false">WRs!A38</f>
        <v>Rod Smith</v>
      </c>
      <c r="AK39" s="1" t="str">
        <f aca="false">WRs!B38</f>
        <v>Den</v>
      </c>
      <c r="AL39" s="2" t="n">
        <f aca="false">WRs!AJ38</f>
        <v>143.085862068966</v>
      </c>
      <c r="AM39" s="2" t="n">
        <f aca="false">AL39-calcs!$E$11</f>
        <v>-2.04995073891624</v>
      </c>
      <c r="AN39" s="0" t="str">
        <f aca="false">TEs!A39</f>
        <v>Reggie Kelly</v>
      </c>
      <c r="AO39" s="1" t="str">
        <f aca="false">TEs!B39</f>
        <v>Atl</v>
      </c>
      <c r="AP39" s="2" t="n">
        <f aca="false">TEs!T39</f>
        <v>23.3727272727273</v>
      </c>
      <c r="AQ39" s="2" t="n">
        <f aca="false">AP39-calcs!$E$12</f>
        <v>-38.0030303030303</v>
      </c>
      <c r="AY39" s="1" t="n">
        <v>37</v>
      </c>
      <c r="AZ39" s="0" t="str">
        <f aca="false">QBs!A10</f>
        <v>Brad Johnson</v>
      </c>
      <c r="BA39" s="1" t="str">
        <f aca="false">QBs!B10</f>
        <v>Was</v>
      </c>
      <c r="BB39" s="1" t="s">
        <v>13</v>
      </c>
      <c r="BC39" s="2" t="n">
        <f aca="false">QBs!AL10-calcs!$E$9</f>
        <v>36.7028574302782</v>
      </c>
    </row>
    <row r="40" customFormat="false" ht="13.5" hidden="false" customHeight="false" outlineLevel="0" collapsed="false">
      <c r="B40" s="51" t="s">
        <v>71</v>
      </c>
      <c r="C40" s="52" t="n">
        <v>-1</v>
      </c>
      <c r="D40" s="52" t="n">
        <v>-1</v>
      </c>
      <c r="E40" s="52" t="n">
        <v>-1</v>
      </c>
      <c r="F40" s="52" t="n">
        <v>-1</v>
      </c>
      <c r="AA40" s="1" t="n">
        <v>38</v>
      </c>
      <c r="AB40" s="0" t="str">
        <f aca="false">QBs!A44</f>
        <v>Jim Miller</v>
      </c>
      <c r="AC40" s="1" t="str">
        <f aca="false">QBs!B44</f>
        <v>Chi</v>
      </c>
      <c r="AD40" s="2" t="n">
        <f aca="false">QBs!AL44</f>
        <v>52.5481481481481</v>
      </c>
      <c r="AE40" s="2" t="n">
        <f aca="false">AD40-calcs!$E$9</f>
        <v>-235.776647314136</v>
      </c>
      <c r="AF40" s="0" t="str">
        <f aca="false">RBs!A53</f>
        <v>Priest Holmes</v>
      </c>
      <c r="AG40" s="1" t="str">
        <f aca="false">RBs!B53</f>
        <v>Bal</v>
      </c>
      <c r="AH40" s="2" t="n">
        <f aca="false">RBs!AJ53</f>
        <v>103.128671328671</v>
      </c>
      <c r="AI40" s="2" t="n">
        <f aca="false">AH40-calcs!$E$10</f>
        <v>-44.3432634032635</v>
      </c>
      <c r="AJ40" s="0" t="str">
        <f aca="false">WRs!A40</f>
        <v>Bill Schroeder</v>
      </c>
      <c r="AK40" s="1" t="str">
        <f aca="false">WRs!B40</f>
        <v>GB</v>
      </c>
      <c r="AL40" s="2" t="n">
        <f aca="false">WRs!AJ40</f>
        <v>142.67268907563</v>
      </c>
      <c r="AM40" s="2" t="n">
        <f aca="false">AL40-calcs!$E$11</f>
        <v>-2.46312373225152</v>
      </c>
      <c r="AN40" s="0" t="str">
        <f aca="false">TEs!A40</f>
        <v>Ernie Conwell</v>
      </c>
      <c r="AO40" s="1" t="str">
        <f aca="false">TEs!B40</f>
        <v>StL</v>
      </c>
      <c r="AP40" s="2" t="n">
        <f aca="false">TEs!T40</f>
        <v>23.3727272727273</v>
      </c>
      <c r="AQ40" s="2" t="n">
        <f aca="false">AP40-calcs!$E$12</f>
        <v>-38.0030303030303</v>
      </c>
      <c r="AY40" s="1" t="n">
        <v>38</v>
      </c>
      <c r="AZ40" s="0" t="str">
        <f aca="false">WRs!A21</f>
        <v>Tim Brown</v>
      </c>
      <c r="BA40" s="1" t="str">
        <f aca="false">WRs!B21</f>
        <v>Oak</v>
      </c>
      <c r="BB40" s="1" t="s">
        <v>18</v>
      </c>
      <c r="BC40" s="2" t="n">
        <f aca="false">WRs!AJ21-calcs!$E$11</f>
        <v>36.6986699507389</v>
      </c>
    </row>
    <row r="41" customFormat="false" ht="12.75" hidden="false" customHeight="false" outlineLevel="0" collapsed="false">
      <c r="AA41" s="1" t="n">
        <v>39</v>
      </c>
      <c r="AB41" s="0" t="str">
        <f aca="false">QBs!A42</f>
        <v>Mike Tomczak</v>
      </c>
      <c r="AC41" s="1" t="str">
        <f aca="false">QBs!B42</f>
        <v>Det</v>
      </c>
      <c r="AD41" s="2" t="n">
        <f aca="false">QBs!AL42</f>
        <v>51.7481481481482</v>
      </c>
      <c r="AE41" s="2" t="n">
        <f aca="false">AD41-calcs!$E$9</f>
        <v>-236.576647314136</v>
      </c>
      <c r="AF41" s="0" t="str">
        <f aca="false">RBs!A40</f>
        <v>Jonathan Linton</v>
      </c>
      <c r="AG41" s="1" t="str">
        <f aca="false">RBs!B40</f>
        <v>Buf</v>
      </c>
      <c r="AH41" s="2" t="n">
        <f aca="false">RBs!AJ40</f>
        <v>101.078671328671</v>
      </c>
      <c r="AI41" s="2" t="n">
        <f aca="false">AH41-calcs!$E$10</f>
        <v>-46.3932634032635</v>
      </c>
      <c r="AJ41" s="0" t="str">
        <f aca="false">WRs!A37</f>
        <v>Bobby Engram</v>
      </c>
      <c r="AK41" s="1" t="str">
        <f aca="false">WRs!B37</f>
        <v>Chi</v>
      </c>
      <c r="AL41" s="2" t="n">
        <f aca="false">WRs!AJ37</f>
        <v>142.268907563025</v>
      </c>
      <c r="AM41" s="2" t="n">
        <f aca="false">AL41-calcs!$E$11</f>
        <v>-2.86690524485653</v>
      </c>
      <c r="AN41" s="0" t="str">
        <f aca="false">TEs!A41</f>
        <v>Ryan Wetnight</v>
      </c>
      <c r="AO41" s="1" t="str">
        <f aca="false">TEs!B41</f>
        <v>Chi</v>
      </c>
      <c r="AP41" s="2" t="n">
        <f aca="false">TEs!T41</f>
        <v>22.8727272727273</v>
      </c>
      <c r="AQ41" s="2" t="n">
        <f aca="false">AP41-calcs!$E$12</f>
        <v>-38.5030303030303</v>
      </c>
      <c r="AY41" s="1" t="n">
        <v>39</v>
      </c>
      <c r="AZ41" s="0" t="str">
        <f aca="false">QBs!A9</f>
        <v>Jeff Garcia</v>
      </c>
      <c r="BA41" s="1" t="str">
        <f aca="false">QBs!B9</f>
        <v>SF</v>
      </c>
      <c r="BB41" s="1" t="s">
        <v>13</v>
      </c>
      <c r="BC41" s="2" t="n">
        <f aca="false">QBs!AL9-calcs!$E$9</f>
        <v>36.260125886031</v>
      </c>
    </row>
    <row r="42" customFormat="false" ht="12.75" hidden="false" customHeight="false" outlineLevel="0" collapsed="false">
      <c r="C42" s="9"/>
      <c r="AA42" s="1" t="n">
        <v>40</v>
      </c>
      <c r="AB42" s="0" t="str">
        <f aca="false">QBs!A41</f>
        <v>Bubby Brister</v>
      </c>
      <c r="AC42" s="1" t="str">
        <f aca="false">QBs!B41</f>
        <v>Min</v>
      </c>
      <c r="AD42" s="2" t="n">
        <f aca="false">QBs!AL41</f>
        <v>49.1481481481481</v>
      </c>
      <c r="AE42" s="2" t="n">
        <f aca="false">AD42-calcs!$E$9</f>
        <v>-239.176647314136</v>
      </c>
      <c r="AF42" s="0" t="str">
        <f aca="false">RBs!A44</f>
        <v>Chris Warren</v>
      </c>
      <c r="AG42" s="1" t="str">
        <f aca="false">RBs!B44</f>
        <v>Dal</v>
      </c>
      <c r="AH42" s="2" t="n">
        <f aca="false">RBs!AJ44</f>
        <v>93.9286713286713</v>
      </c>
      <c r="AI42" s="2" t="n">
        <f aca="false">AH42-calcs!$E$10</f>
        <v>-53.5432634032635</v>
      </c>
      <c r="AJ42" s="0" t="str">
        <f aca="false">WRs!A49</f>
        <v>Sean Dawkins</v>
      </c>
      <c r="AK42" s="1" t="str">
        <f aca="false">WRs!B49</f>
        <v>Sea</v>
      </c>
      <c r="AL42" s="2" t="n">
        <f aca="false">WRs!AJ49</f>
        <v>134.97268907563</v>
      </c>
      <c r="AM42" s="2" t="n">
        <f aca="false">AL42-calcs!$E$11</f>
        <v>-10.1631237322515</v>
      </c>
      <c r="AN42" s="0" t="str">
        <f aca="false">TEs!A42</f>
        <v>Dwayne Carswell</v>
      </c>
      <c r="AO42" s="1" t="str">
        <f aca="false">TEs!B42</f>
        <v>Den</v>
      </c>
      <c r="AP42" s="2" t="n">
        <f aca="false">TEs!T42</f>
        <v>21.5727272727273</v>
      </c>
      <c r="AQ42" s="2" t="n">
        <f aca="false">AP42-calcs!$E$12</f>
        <v>-39.8030303030303</v>
      </c>
      <c r="AY42" s="1" t="n">
        <v>40</v>
      </c>
      <c r="AZ42" s="0" t="str">
        <f aca="false">WRs!A19</f>
        <v>Ed McCaffrey</v>
      </c>
      <c r="BA42" s="1" t="str">
        <f aca="false">WRs!B19</f>
        <v>Den</v>
      </c>
      <c r="BB42" s="1" t="s">
        <v>18</v>
      </c>
      <c r="BC42" s="2" t="n">
        <f aca="false">WRs!AJ19-calcs!$E$11</f>
        <v>36.1486699507389</v>
      </c>
    </row>
    <row r="43" customFormat="false" ht="12.75" hidden="false" customHeight="false" outlineLevel="0" collapsed="false">
      <c r="C43" s="9"/>
      <c r="AA43" s="1" t="n">
        <v>41</v>
      </c>
      <c r="AB43" s="0" t="str">
        <f aca="false">QBs!A43</f>
        <v>Doug Flutie</v>
      </c>
      <c r="AC43" s="1" t="str">
        <f aca="false">QBs!B43</f>
        <v>Buf</v>
      </c>
      <c r="AD43" s="2" t="n">
        <f aca="false">QBs!AL43</f>
        <v>45.2040740740741</v>
      </c>
      <c r="AE43" s="2" t="n">
        <f aca="false">AD43-calcs!$E$9</f>
        <v>-243.12072138821</v>
      </c>
      <c r="AF43" s="0" t="str">
        <f aca="false">RBs!A41</f>
        <v>Mike Cloud</v>
      </c>
      <c r="AG43" s="1" t="str">
        <f aca="false">RBs!B41</f>
        <v>KC</v>
      </c>
      <c r="AH43" s="2" t="n">
        <f aca="false">RBs!AJ41</f>
        <v>91.3024475524476</v>
      </c>
      <c r="AI43" s="2" t="n">
        <f aca="false">AH43-calcs!$E$10</f>
        <v>-56.1694871794872</v>
      </c>
      <c r="AJ43" s="0" t="str">
        <f aca="false">WRs!A44</f>
        <v>Qadry Ismail</v>
      </c>
      <c r="AK43" s="1" t="str">
        <f aca="false">WRs!B44</f>
        <v>Bal</v>
      </c>
      <c r="AL43" s="2" t="n">
        <f aca="false">WRs!AJ44</f>
        <v>133.72268907563</v>
      </c>
      <c r="AM43" s="2" t="n">
        <f aca="false">AL43-calcs!$E$11</f>
        <v>-11.4131237322515</v>
      </c>
      <c r="AN43" s="0" t="str">
        <f aca="false">TEs!A43</f>
        <v>Rod Rutledge</v>
      </c>
      <c r="AO43" s="1" t="str">
        <f aca="false">TEs!B43</f>
        <v>NE</v>
      </c>
      <c r="AP43" s="2" t="n">
        <f aca="false">TEs!T43</f>
        <v>20.9727272727273</v>
      </c>
      <c r="AQ43" s="2" t="n">
        <f aca="false">AP43-calcs!$E$12</f>
        <v>-40.4030303030303</v>
      </c>
      <c r="AY43" s="1" t="n">
        <v>41</v>
      </c>
      <c r="AZ43" s="0" t="str">
        <f aca="false">WRs!A18</f>
        <v>Muhsin Muhammad</v>
      </c>
      <c r="BA43" s="1" t="str">
        <f aca="false">WRs!B18</f>
        <v>Car</v>
      </c>
      <c r="BB43" s="1" t="s">
        <v>18</v>
      </c>
      <c r="BC43" s="2" t="n">
        <f aca="false">WRs!AJ18-calcs!$E$11</f>
        <v>35.6386699507389</v>
      </c>
    </row>
    <row r="44" customFormat="false" ht="12.75" hidden="false" customHeight="false" outlineLevel="0" collapsed="false">
      <c r="AA44" s="1" t="n">
        <v>42</v>
      </c>
      <c r="AB44" s="0" t="str">
        <f aca="false">QBs!A46</f>
        <v>Dave Brown</v>
      </c>
      <c r="AC44" s="1" t="str">
        <f aca="false">QBs!B46</f>
        <v>Ari</v>
      </c>
      <c r="AD44" s="2" t="n">
        <f aca="false">QBs!AL46</f>
        <v>42.0861111111111</v>
      </c>
      <c r="AE44" s="2" t="n">
        <f aca="false">AD44-calcs!$E$9</f>
        <v>-246.238684351173</v>
      </c>
      <c r="AF44" s="0" t="str">
        <f aca="false">RBs!A42</f>
        <v>Tiki Barber</v>
      </c>
      <c r="AG44" s="1" t="str">
        <f aca="false">RBs!B42</f>
        <v>NYG</v>
      </c>
      <c r="AH44" s="2" t="n">
        <f aca="false">RBs!AJ42</f>
        <v>88.3162237762238</v>
      </c>
      <c r="AI44" s="2" t="n">
        <f aca="false">AH44-calcs!$E$10</f>
        <v>-59.155710955711</v>
      </c>
      <c r="AJ44" s="0" t="str">
        <f aca="false">WRs!A42</f>
        <v>Jerry Rice</v>
      </c>
      <c r="AK44" s="1" t="str">
        <f aca="false">WRs!B42</f>
        <v>SF</v>
      </c>
      <c r="AL44" s="2" t="n">
        <f aca="false">WRs!AJ42</f>
        <v>131.446551724138</v>
      </c>
      <c r="AM44" s="2" t="n">
        <f aca="false">AL44-calcs!$E$11</f>
        <v>-13.6892610837438</v>
      </c>
      <c r="AN44" s="0" t="str">
        <f aca="false">TEs!A45</f>
        <v>James Whalen</v>
      </c>
      <c r="AO44" s="1" t="str">
        <f aca="false">TEs!B45</f>
        <v>TB</v>
      </c>
      <c r="AP44" s="2" t="n">
        <f aca="false">TEs!T45</f>
        <v>18.8727272727273</v>
      </c>
      <c r="AQ44" s="2" t="n">
        <f aca="false">AP44-calcs!$E$12</f>
        <v>-42.5030303030303</v>
      </c>
      <c r="AY44" s="1" t="n">
        <v>42</v>
      </c>
      <c r="AZ44" s="0" t="str">
        <f aca="false">WRs!A24</f>
        <v>Albert Connell</v>
      </c>
      <c r="BA44" s="1" t="str">
        <f aca="false">WRs!B24</f>
        <v>Was</v>
      </c>
      <c r="BB44" s="1" t="s">
        <v>18</v>
      </c>
      <c r="BC44" s="2" t="n">
        <f aca="false">WRs!AJ24-calcs!$E$11</f>
        <v>35.0641871921183</v>
      </c>
    </row>
    <row r="45" customFormat="false" ht="12.75" hidden="false" customHeight="false" outlineLevel="0" collapsed="false">
      <c r="AA45" s="1" t="n">
        <v>43</v>
      </c>
      <c r="AB45" s="0" t="str">
        <f aca="false">QBs!A39</f>
        <v>Ryan Leaf</v>
      </c>
      <c r="AC45" s="1" t="str">
        <f aca="false">QBs!B39</f>
        <v>SD</v>
      </c>
      <c r="AD45" s="2" t="n">
        <f aca="false">QBs!AL39</f>
        <v>37.8240740740741</v>
      </c>
      <c r="AE45" s="2" t="n">
        <f aca="false">AD45-calcs!$E$9</f>
        <v>-250.50072138821</v>
      </c>
      <c r="AF45" s="0" t="str">
        <f aca="false">RBs!A38</f>
        <v>Natrone Means</v>
      </c>
      <c r="AG45" s="1" t="str">
        <f aca="false">RBs!B38</f>
        <v>Car</v>
      </c>
      <c r="AH45" s="2" t="n">
        <f aca="false">RBs!AJ38</f>
        <v>87.4811188811189</v>
      </c>
      <c r="AI45" s="2" t="n">
        <f aca="false">AH45-calcs!$E$10</f>
        <v>-59.9908158508159</v>
      </c>
      <c r="AJ45" s="0" t="str">
        <f aca="false">WRs!A45</f>
        <v>Johnnie Morton</v>
      </c>
      <c r="AK45" s="1" t="str">
        <f aca="false">WRs!B45</f>
        <v>Det</v>
      </c>
      <c r="AL45" s="2" t="n">
        <f aca="false">WRs!AJ45</f>
        <v>130.99512605042</v>
      </c>
      <c r="AM45" s="2" t="n">
        <f aca="false">AL45-calcs!$E$11</f>
        <v>-14.1406867574616</v>
      </c>
      <c r="AN45" s="0" t="str">
        <f aca="false">TEs!A46</f>
        <v>Tyrone Davis</v>
      </c>
      <c r="AO45" s="1" t="str">
        <f aca="false">TEs!B46</f>
        <v>GB</v>
      </c>
      <c r="AP45" s="2" t="n">
        <f aca="false">TEs!T46</f>
        <v>18.6727272727273</v>
      </c>
      <c r="AQ45" s="2" t="n">
        <f aca="false">AP45-calcs!$E$12</f>
        <v>-42.7030303030303</v>
      </c>
      <c r="AY45" s="1" t="n">
        <v>43</v>
      </c>
      <c r="AZ45" s="0" t="str">
        <f aca="false">WRs!A26</f>
        <v>Torry Holt</v>
      </c>
      <c r="BA45" s="1" t="str">
        <f aca="false">WRs!B26</f>
        <v>StL</v>
      </c>
      <c r="BB45" s="1" t="s">
        <v>18</v>
      </c>
      <c r="BC45" s="2" t="n">
        <f aca="false">WRs!AJ26-calcs!$E$11</f>
        <v>34.268472906404</v>
      </c>
    </row>
    <row r="46" customFormat="false" ht="12.75" hidden="false" customHeight="false" outlineLevel="0" collapsed="false">
      <c r="AA46" s="1" t="n">
        <v>44</v>
      </c>
      <c r="AB46" s="0" t="str">
        <f aca="false">QBs!A45</f>
        <v>Ray Lucas</v>
      </c>
      <c r="AC46" s="1" t="str">
        <f aca="false">QBs!B45</f>
        <v>NYJ</v>
      </c>
      <c r="AD46" s="2" t="n">
        <f aca="false">QBs!AL45</f>
        <v>34.482037037037</v>
      </c>
      <c r="AE46" s="2" t="n">
        <f aca="false">AD46-calcs!$E$9</f>
        <v>-253.842758425247</v>
      </c>
      <c r="AF46" s="0" t="str">
        <f aca="false">RBs!A46</f>
        <v>J.R. Redmond</v>
      </c>
      <c r="AG46" s="1" t="str">
        <f aca="false">RBs!B46</f>
        <v>NE</v>
      </c>
      <c r="AH46" s="2" t="n">
        <f aca="false">RBs!AJ46</f>
        <v>84.8024475524476</v>
      </c>
      <c r="AI46" s="2" t="n">
        <f aca="false">AH46-calcs!$E$10</f>
        <v>-62.6694871794872</v>
      </c>
      <c r="AJ46" s="0" t="str">
        <f aca="false">WRs!A46</f>
        <v>Oronde Gadsden</v>
      </c>
      <c r="AK46" s="1" t="str">
        <f aca="false">WRs!B46</f>
        <v>Mia</v>
      </c>
      <c r="AL46" s="2" t="n">
        <f aca="false">WRs!AJ46</f>
        <v>125.568907563025</v>
      </c>
      <c r="AM46" s="2" t="n">
        <f aca="false">AL46-calcs!$E$11</f>
        <v>-19.5669052448565</v>
      </c>
      <c r="AN46" s="0" t="str">
        <f aca="false">TEs!A47</f>
        <v>Fred Baxter</v>
      </c>
      <c r="AO46" s="1" t="str">
        <f aca="false">TEs!B47</f>
        <v>NYJ</v>
      </c>
      <c r="AP46" s="2" t="n">
        <f aca="false">TEs!T47</f>
        <v>18.2727272727273</v>
      </c>
      <c r="AQ46" s="2" t="n">
        <f aca="false">AP46-calcs!$E$12</f>
        <v>-43.1030303030303</v>
      </c>
      <c r="AY46" s="1" t="n">
        <v>44</v>
      </c>
      <c r="AZ46" s="0" t="str">
        <f aca="false">RBs!A22</f>
        <v>Ricky Watters</v>
      </c>
      <c r="BA46" s="1" t="str">
        <f aca="false">RBs!B22</f>
        <v>Sea</v>
      </c>
      <c r="BB46" s="1" t="s">
        <v>9</v>
      </c>
      <c r="BC46" s="2" t="n">
        <f aca="false">RBs!AJ22-calcs!$E$10</f>
        <v>30.9091841491841</v>
      </c>
    </row>
    <row r="47" customFormat="false" ht="12.75" hidden="false" customHeight="false" outlineLevel="0" collapsed="false">
      <c r="AA47" s="1" t="n">
        <v>45</v>
      </c>
      <c r="AB47" s="0" t="str">
        <f aca="false">QBs!A48</f>
        <v>Jeff Lewis</v>
      </c>
      <c r="AC47" s="1" t="str">
        <f aca="false">QBs!B48</f>
        <v>Car</v>
      </c>
      <c r="AD47" s="2" t="n">
        <f aca="false">QBs!AL48</f>
        <v>31.9490740740741</v>
      </c>
      <c r="AE47" s="2" t="n">
        <f aca="false">AD47-calcs!$E$9</f>
        <v>-256.37572138821</v>
      </c>
      <c r="AF47" s="0" t="str">
        <f aca="false">RBs!A47</f>
        <v>Larry Centers</v>
      </c>
      <c r="AG47" s="1" t="str">
        <f aca="false">RBs!B47</f>
        <v>Was</v>
      </c>
      <c r="AH47" s="2" t="n">
        <f aca="false">RBs!AJ47</f>
        <v>84.2</v>
      </c>
      <c r="AI47" s="2" t="n">
        <f aca="false">AH47-calcs!$E$10</f>
        <v>-63.2719347319348</v>
      </c>
      <c r="AJ47" s="0" t="str">
        <f aca="false">WRs!A48</f>
        <v>Jake Reed</v>
      </c>
      <c r="AK47" s="1" t="str">
        <f aca="false">WRs!B48</f>
        <v>NO</v>
      </c>
      <c r="AL47" s="2" t="n">
        <f aca="false">WRs!AJ48</f>
        <v>125.488907563025</v>
      </c>
      <c r="AM47" s="2" t="n">
        <f aca="false">AL47-calcs!$E$11</f>
        <v>-19.6469052448566</v>
      </c>
      <c r="AN47" s="0" t="str">
        <f aca="false">TEs!A48</f>
        <v>Reggie Davis</v>
      </c>
      <c r="AO47" s="1" t="str">
        <f aca="false">TEs!B48</f>
        <v>SD</v>
      </c>
      <c r="AP47" s="2" t="n">
        <f aca="false">TEs!T48</f>
        <v>18.2727272727273</v>
      </c>
      <c r="AQ47" s="2" t="n">
        <f aca="false">AP47-calcs!$E$12</f>
        <v>-43.1030303030303</v>
      </c>
      <c r="AY47" s="1" t="n">
        <v>45</v>
      </c>
      <c r="AZ47" s="0" t="str">
        <f aca="false">QBs!A11</f>
        <v>Jeff Blake</v>
      </c>
      <c r="BA47" s="1" t="str">
        <f aca="false">QBs!B11</f>
        <v>NO</v>
      </c>
      <c r="BB47" s="1" t="s">
        <v>13</v>
      </c>
      <c r="BC47" s="2" t="n">
        <f aca="false">QBs!AL11-calcs!$E$9</f>
        <v>30.6427004054849</v>
      </c>
    </row>
    <row r="48" customFormat="false" ht="12.75" hidden="false" customHeight="false" outlineLevel="0" collapsed="false">
      <c r="AA48" s="1" t="n">
        <v>46</v>
      </c>
      <c r="AB48" s="0" t="str">
        <f aca="false">QBs!A47</f>
        <v>Gus Frerotte</v>
      </c>
      <c r="AC48" s="1" t="str">
        <f aca="false">QBs!B47</f>
        <v>Den</v>
      </c>
      <c r="AD48" s="2" t="n">
        <f aca="false">QBs!AL47</f>
        <v>28.6361111111111</v>
      </c>
      <c r="AE48" s="2" t="n">
        <f aca="false">AD48-calcs!$E$9</f>
        <v>-259.688684351173</v>
      </c>
      <c r="AF48" s="0" t="str">
        <f aca="false">RBs!A45</f>
        <v>Olandis Gary</v>
      </c>
      <c r="AG48" s="1" t="str">
        <f aca="false">RBs!B45</f>
        <v>Den</v>
      </c>
      <c r="AH48" s="2" t="n">
        <f aca="false">RBs!AJ45</f>
        <v>82.3286713286713</v>
      </c>
      <c r="AI48" s="2" t="n">
        <f aca="false">AH48-calcs!$E$10</f>
        <v>-65.1432634032635</v>
      </c>
      <c r="AJ48" s="0" t="str">
        <f aca="false">WRs!A56</f>
        <v>Terrence Wilkins</v>
      </c>
      <c r="AK48" s="1" t="str">
        <f aca="false">WRs!B56</f>
        <v>Ind</v>
      </c>
      <c r="AL48" s="2" t="n">
        <f aca="false">WRs!AJ56</f>
        <v>117.72268907563</v>
      </c>
      <c r="AM48" s="2" t="n">
        <f aca="false">AL48-calcs!$E$11</f>
        <v>-27.4131237322515</v>
      </c>
      <c r="AN48" s="0" t="str">
        <f aca="false">TEs!A49</f>
        <v>Chad Lewis</v>
      </c>
      <c r="AO48" s="1" t="str">
        <f aca="false">TEs!B49</f>
        <v>Phi</v>
      </c>
      <c r="AP48" s="2" t="n">
        <f aca="false">TEs!T49</f>
        <v>17.8727272727273</v>
      </c>
      <c r="AQ48" s="2" t="n">
        <f aca="false">AP48-calcs!$E$12</f>
        <v>-43.5030303030303</v>
      </c>
      <c r="AY48" s="1" t="n">
        <v>46</v>
      </c>
      <c r="AZ48" s="0" t="str">
        <f aca="false">WRs!A20</f>
        <v>Terrell Owens</v>
      </c>
      <c r="BA48" s="1" t="str">
        <f aca="false">WRs!B20</f>
        <v>SF</v>
      </c>
      <c r="BB48" s="1" t="s">
        <v>18</v>
      </c>
      <c r="BC48" s="2" t="n">
        <f aca="false">WRs!AJ20-calcs!$E$11</f>
        <v>27.5944392929586</v>
      </c>
    </row>
    <row r="49" customFormat="false" ht="12.75" hidden="false" customHeight="false" outlineLevel="0" collapsed="false">
      <c r="AA49" s="1" t="n">
        <v>47</v>
      </c>
      <c r="AB49" s="0" t="str">
        <f aca="false">QBs!A49</f>
        <v>Randall Cunningham</v>
      </c>
      <c r="AC49" s="1" t="str">
        <f aca="false">QBs!B49</f>
        <v>Dal</v>
      </c>
      <c r="AD49" s="2" t="n">
        <f aca="false">QBs!AL49</f>
        <v>27.2840740740741</v>
      </c>
      <c r="AE49" s="2" t="n">
        <f aca="false">AD49-calcs!$E$9</f>
        <v>-261.04072138821</v>
      </c>
      <c r="AF49" s="0" t="str">
        <f aca="false">RBs!A48</f>
        <v>Donnell Bennett</v>
      </c>
      <c r="AG49" s="1" t="str">
        <f aca="false">RBs!B48</f>
        <v>KC</v>
      </c>
      <c r="AH49" s="2" t="n">
        <f aca="false">RBs!AJ48</f>
        <v>75.4811188811189</v>
      </c>
      <c r="AI49" s="2" t="n">
        <f aca="false">AH49-calcs!$E$10</f>
        <v>-71.9908158508159</v>
      </c>
      <c r="AJ49" s="0" t="str">
        <f aca="false">WRs!A60</f>
        <v>Jacquez Green</v>
      </c>
      <c r="AK49" s="1" t="str">
        <f aca="false">WRs!B60</f>
        <v>TB</v>
      </c>
      <c r="AL49" s="2" t="n">
        <f aca="false">WRs!AJ60</f>
        <v>115.76512605042</v>
      </c>
      <c r="AM49" s="2" t="n">
        <f aca="false">AL49-calcs!$E$11</f>
        <v>-29.3706867574616</v>
      </c>
      <c r="AN49" s="0" t="str">
        <f aca="false">TEs!A50</f>
        <v>Troy Drayton</v>
      </c>
      <c r="AO49" s="1" t="str">
        <f aca="false">TEs!B50</f>
        <v>KC</v>
      </c>
      <c r="AP49" s="2" t="n">
        <f aca="false">TEs!T50</f>
        <v>15.8727272727273</v>
      </c>
      <c r="AQ49" s="2" t="n">
        <f aca="false">AP49-calcs!$E$12</f>
        <v>-45.5030303030303</v>
      </c>
      <c r="AY49" s="1" t="n">
        <v>47</v>
      </c>
      <c r="AZ49" s="0" t="str">
        <f aca="false">Defs!A3</f>
        <v>St. Louis Rams</v>
      </c>
      <c r="BB49" s="1" t="s">
        <v>8</v>
      </c>
      <c r="BC49" s="2" t="n">
        <f aca="false">Defs!I3-calcs!$E$14</f>
        <v>26.1</v>
      </c>
    </row>
    <row r="50" customFormat="false" ht="12.75" hidden="false" customHeight="false" outlineLevel="0" collapsed="false">
      <c r="AA50" s="1" t="n">
        <v>48</v>
      </c>
      <c r="AB50" s="0" t="str">
        <f aca="false">QBs!A50</f>
        <v>Jonathan Quinn</v>
      </c>
      <c r="AC50" s="1" t="str">
        <f aca="false">QBs!B50</f>
        <v>Jac</v>
      </c>
      <c r="AD50" s="2" t="n">
        <f aca="false">QBs!AL50</f>
        <v>27.1240740740741</v>
      </c>
      <c r="AE50" s="2" t="n">
        <f aca="false">AD50-calcs!$E$9</f>
        <v>-261.20072138821</v>
      </c>
      <c r="AF50" s="0" t="str">
        <f aca="false">RBs!A50</f>
        <v>Terrell Fletcher</v>
      </c>
      <c r="AG50" s="1" t="str">
        <f aca="false">RBs!B50</f>
        <v>SD</v>
      </c>
      <c r="AH50" s="2" t="n">
        <f aca="false">RBs!AJ50</f>
        <v>73.1724475524475</v>
      </c>
      <c r="AI50" s="2" t="n">
        <f aca="false">AH50-calcs!$E$10</f>
        <v>-74.2994871794872</v>
      </c>
      <c r="AJ50" s="0" t="str">
        <f aca="false">WRs!A54</f>
        <v>Az-Zahir Hakim</v>
      </c>
      <c r="AK50" s="1" t="str">
        <f aca="false">WRs!B54</f>
        <v>StL</v>
      </c>
      <c r="AL50" s="2" t="n">
        <f aca="false">WRs!AJ54</f>
        <v>114.885714285714</v>
      </c>
      <c r="AM50" s="2" t="n">
        <f aca="false">AL50-calcs!$E$11</f>
        <v>-30.2500985221675</v>
      </c>
      <c r="AN50" s="0" t="str">
        <f aca="false">TEs!A51</f>
        <v>Bobby Collins</v>
      </c>
      <c r="AO50" s="1" t="str">
        <f aca="false">TEs!B51</f>
        <v>Buf</v>
      </c>
      <c r="AP50" s="2" t="n">
        <f aca="false">TEs!T51</f>
        <v>12.9</v>
      </c>
      <c r="AQ50" s="2" t="n">
        <f aca="false">AP50-calcs!$E$12</f>
        <v>-48.4757575757576</v>
      </c>
      <c r="AY50" s="1" t="n">
        <v>48</v>
      </c>
      <c r="AZ50" s="0" t="str">
        <f aca="false">TEs!A7</f>
        <v>Shannon Sharpe</v>
      </c>
      <c r="BA50" s="1" t="str">
        <f aca="false">TEs!B7</f>
        <v>Bal</v>
      </c>
      <c r="BB50" s="1" t="str">
        <f aca="false">IF($I$30=0,"WR","TE")</f>
        <v>TE</v>
      </c>
      <c r="BC50" s="2" t="n">
        <f aca="false">TEs!T7-calcs!$E$12</f>
        <v>26.0751515151515</v>
      </c>
    </row>
    <row r="51" customFormat="false" ht="12.75" hidden="false" customHeight="false" outlineLevel="0" collapsed="false">
      <c r="AA51" s="1" t="n">
        <v>49</v>
      </c>
      <c r="AB51" s="0" t="str">
        <f aca="false">QBs!A54</f>
        <v>Jeff George</v>
      </c>
      <c r="AC51" s="1" t="str">
        <f aca="false">QBs!B54</f>
        <v>Was</v>
      </c>
      <c r="AD51" s="2" t="n">
        <f aca="false">QBs!AL54</f>
        <v>24.1240740740741</v>
      </c>
      <c r="AE51" s="2" t="n">
        <f aca="false">AD51-calcs!$E$9</f>
        <v>-264.20072138821</v>
      </c>
      <c r="AF51" s="0" t="str">
        <f aca="false">RBs!A52</f>
        <v>Robert Holcombe</v>
      </c>
      <c r="AG51" s="1" t="str">
        <f aca="false">RBs!B52</f>
        <v>StL</v>
      </c>
      <c r="AH51" s="2" t="n">
        <f aca="false">RBs!AJ52</f>
        <v>71.8048951048951</v>
      </c>
      <c r="AI51" s="2" t="n">
        <f aca="false">AH51-calcs!$E$10</f>
        <v>-75.6670396270397</v>
      </c>
      <c r="AJ51" s="0" t="str">
        <f aca="false">WRs!A57</f>
        <v>Charles Johnson</v>
      </c>
      <c r="AK51" s="1" t="str">
        <f aca="false">WRs!B57</f>
        <v>Phi</v>
      </c>
      <c r="AL51" s="2" t="n">
        <f aca="false">WRs!AJ57</f>
        <v>114.668907563025</v>
      </c>
      <c r="AM51" s="2" t="n">
        <f aca="false">AL51-calcs!$E$11</f>
        <v>-30.4669052448565</v>
      </c>
      <c r="AN51" s="0" t="str">
        <f aca="false">TEs!A44</f>
        <v>Jeremy Brigham</v>
      </c>
      <c r="AO51" s="1" t="str">
        <f aca="false">TEs!B44</f>
        <v>Oak</v>
      </c>
      <c r="AP51" s="2" t="n">
        <f aca="false">TEs!T44</f>
        <v>12.5</v>
      </c>
      <c r="AQ51" s="2" t="n">
        <f aca="false">AP51-calcs!$E$12</f>
        <v>-48.8757575757576</v>
      </c>
      <c r="AY51" s="1" t="n">
        <v>49</v>
      </c>
      <c r="AZ51" s="0" t="str">
        <f aca="false">TEs!A6</f>
        <v>Freddie Jones</v>
      </c>
      <c r="BA51" s="1" t="str">
        <f aca="false">TEs!B6</f>
        <v>SD</v>
      </c>
      <c r="BB51" s="1" t="str">
        <f aca="false">IF($I$30=0,"WR","TE")</f>
        <v>TE</v>
      </c>
      <c r="BC51" s="2" t="n">
        <f aca="false">TEs!T6-calcs!$E$12</f>
        <v>25.9151515151515</v>
      </c>
    </row>
    <row r="52" customFormat="false" ht="12.75" hidden="false" customHeight="false" outlineLevel="0" collapsed="false">
      <c r="AA52" s="1" t="n">
        <v>50</v>
      </c>
      <c r="AB52" s="0" t="str">
        <f aca="false">QBs!A51</f>
        <v>Warren Moon</v>
      </c>
      <c r="AC52" s="1" t="str">
        <f aca="false">QBs!B51</f>
        <v>KC</v>
      </c>
      <c r="AD52" s="2" t="n">
        <f aca="false">QBs!AL51</f>
        <v>23.139537037037</v>
      </c>
      <c r="AE52" s="2" t="n">
        <f aca="false">AD52-calcs!$E$9</f>
        <v>-265.185258425247</v>
      </c>
      <c r="AF52" s="0" t="str">
        <f aca="false">RBs!A51</f>
        <v>Stanley Pritchett</v>
      </c>
      <c r="AG52" s="1" t="str">
        <f aca="false">RBs!B51</f>
        <v>Phi</v>
      </c>
      <c r="AH52" s="2" t="n">
        <f aca="false">RBs!AJ51</f>
        <v>71.1262237762238</v>
      </c>
      <c r="AI52" s="2" t="n">
        <f aca="false">AH52-calcs!$E$10</f>
        <v>-76.345710955711</v>
      </c>
      <c r="AJ52" s="0" t="str">
        <f aca="false">WRs!A47</f>
        <v>Shawn Jefferson</v>
      </c>
      <c r="AK52" s="1" t="str">
        <f aca="false">WRs!B47</f>
        <v>Atl</v>
      </c>
      <c r="AL52" s="2" t="n">
        <f aca="false">WRs!AJ47</f>
        <v>114.268907563025</v>
      </c>
      <c r="AM52" s="2" t="n">
        <f aca="false">AL52-calcs!$E$11</f>
        <v>-30.8669052448566</v>
      </c>
      <c r="AN52" s="0" t="str">
        <f aca="false">TEs!A52</f>
        <v>Alonzo Mayes</v>
      </c>
      <c r="AO52" s="1" t="str">
        <f aca="false">TEs!B52</f>
        <v>Chi</v>
      </c>
      <c r="AP52" s="2" t="n">
        <f aca="false">TEs!T52</f>
        <v>12.36</v>
      </c>
      <c r="AQ52" s="2" t="n">
        <f aca="false">AP52-calcs!$E$12</f>
        <v>-49.0157575757576</v>
      </c>
      <c r="AY52" s="1" t="n">
        <v>50</v>
      </c>
      <c r="AZ52" s="0" t="str">
        <f aca="false">RBs!A23</f>
        <v>Jamal Anderson</v>
      </c>
      <c r="BA52" s="1" t="str">
        <f aca="false">RBs!B23</f>
        <v>Atl</v>
      </c>
      <c r="BB52" s="1" t="s">
        <v>9</v>
      </c>
      <c r="BC52" s="2" t="n">
        <f aca="false">RBs!AJ23-calcs!$E$10</f>
        <v>25.0616317016317</v>
      </c>
    </row>
    <row r="53" customFormat="false" ht="12.75" hidden="false" customHeight="false" outlineLevel="0" collapsed="false">
      <c r="AA53" s="1" t="n">
        <v>51</v>
      </c>
      <c r="AB53" s="0" t="str">
        <f aca="false">QBs!A52</f>
        <v>Neil O'Donnell</v>
      </c>
      <c r="AC53" s="1" t="str">
        <f aca="false">QBs!B52</f>
        <v>Ten</v>
      </c>
      <c r="AD53" s="2" t="n">
        <f aca="false">QBs!AL52</f>
        <v>22.9640740740741</v>
      </c>
      <c r="AE53" s="2" t="n">
        <f aca="false">AD53-calcs!$E$9</f>
        <v>-265.36072138821</v>
      </c>
      <c r="AF53" s="0" t="str">
        <f aca="false">RBs!A111</f>
        <v>Brandon Bennett</v>
      </c>
      <c r="AG53" s="1" t="str">
        <f aca="false">RBs!B111</f>
        <v>Cin</v>
      </c>
      <c r="AH53" s="2" t="n">
        <f aca="false">RBs!AJ111</f>
        <v>70.0524475524476</v>
      </c>
      <c r="AI53" s="2" t="n">
        <f aca="false">AH53-calcs!$E$10</f>
        <v>-77.4194871794872</v>
      </c>
      <c r="AJ53" s="0" t="str">
        <f aca="false">WRs!A50</f>
        <v>David Boston</v>
      </c>
      <c r="AK53" s="1" t="str">
        <f aca="false">WRs!B50</f>
        <v>Ari</v>
      </c>
      <c r="AL53" s="2" t="n">
        <f aca="false">WRs!AJ50</f>
        <v>109.668907563025</v>
      </c>
      <c r="AM53" s="2" t="n">
        <f aca="false">AL53-calcs!$E$11</f>
        <v>-35.4669052448566</v>
      </c>
      <c r="AN53" s="0" t="str">
        <f aca="false">TEs!A53</f>
        <v>Hunter Goodwin</v>
      </c>
      <c r="AO53" s="1" t="str">
        <f aca="false">TEs!B53</f>
        <v>Mia</v>
      </c>
      <c r="AP53" s="2" t="n">
        <f aca="false">TEs!T53</f>
        <v>12</v>
      </c>
      <c r="AQ53" s="2" t="n">
        <f aca="false">AP53-calcs!$E$12</f>
        <v>-49.3757575757576</v>
      </c>
      <c r="AY53" s="1" t="n">
        <v>51</v>
      </c>
      <c r="AZ53" s="0" t="str">
        <f aca="false">WRs!A29</f>
        <v>Raghib Ismail</v>
      </c>
      <c r="BA53" s="1" t="str">
        <f aca="false">WRs!B29</f>
        <v>Dal</v>
      </c>
      <c r="BB53" s="1" t="s">
        <v>18</v>
      </c>
      <c r="BC53" s="2" t="n">
        <f aca="false">WRs!AJ29-calcs!$E$11</f>
        <v>25.0270443349754</v>
      </c>
    </row>
    <row r="54" customFormat="false" ht="12.75" hidden="false" customHeight="false" outlineLevel="0" collapsed="false">
      <c r="AA54" s="1" t="n">
        <v>52</v>
      </c>
      <c r="AB54" s="0" t="str">
        <f aca="false">QBs!A53</f>
        <v>Jason Garrett</v>
      </c>
      <c r="AC54" s="1" t="str">
        <f aca="false">QBs!B53</f>
        <v>NYG</v>
      </c>
      <c r="AD54" s="2" t="n">
        <f aca="false">QBs!AL53</f>
        <v>22.5240740740741</v>
      </c>
      <c r="AE54" s="2" t="n">
        <f aca="false">AD54-calcs!$E$9</f>
        <v>-265.80072138821</v>
      </c>
      <c r="AF54" s="0" t="str">
        <f aca="false">RBs!A65</f>
        <v>Kevin Faulk</v>
      </c>
      <c r="AG54" s="1" t="str">
        <f aca="false">RBs!B65</f>
        <v>NE</v>
      </c>
      <c r="AH54" s="2" t="n">
        <f aca="false">RBs!AJ65</f>
        <v>65.8762237762238</v>
      </c>
      <c r="AI54" s="2" t="n">
        <f aca="false">AH54-calcs!$E$10</f>
        <v>-81.595710955711</v>
      </c>
      <c r="AJ54" s="0" t="str">
        <f aca="false">WRs!A59</f>
        <v>Jeff Graham</v>
      </c>
      <c r="AK54" s="1" t="str">
        <f aca="false">WRs!B59</f>
        <v>SD</v>
      </c>
      <c r="AL54" s="2" t="n">
        <f aca="false">WRs!AJ59</f>
        <v>108.41512605042</v>
      </c>
      <c r="AM54" s="2" t="n">
        <f aca="false">AL54-calcs!$E$11</f>
        <v>-36.7206867574616</v>
      </c>
      <c r="AN54" s="0" t="str">
        <f aca="false">TEs!A54</f>
        <v>Jason Gavadza</v>
      </c>
      <c r="AO54" s="1" t="str">
        <f aca="false">TEs!B54</f>
        <v>Pit</v>
      </c>
      <c r="AP54" s="2" t="n">
        <f aca="false">TEs!T54</f>
        <v>12</v>
      </c>
      <c r="AQ54" s="2" t="n">
        <f aca="false">AP54-calcs!$E$12</f>
        <v>-49.3757575757576</v>
      </c>
      <c r="AY54" s="1" t="n">
        <v>52</v>
      </c>
      <c r="AZ54" s="0" t="str">
        <f aca="false">WRs!A28</f>
        <v>Joey Galloway</v>
      </c>
      <c r="BA54" s="1" t="str">
        <f aca="false">WRs!B28</f>
        <v>Dal</v>
      </c>
      <c r="BB54" s="1" t="s">
        <v>18</v>
      </c>
      <c r="BC54" s="2" t="n">
        <f aca="false">WRs!AJ28-calcs!$E$11</f>
        <v>25.0141871921183</v>
      </c>
    </row>
    <row r="55" customFormat="false" ht="12.75" hidden="false" customHeight="false" outlineLevel="0" collapsed="false">
      <c r="AA55" s="1" t="n">
        <v>53</v>
      </c>
      <c r="AB55" s="0" t="str">
        <f aca="false">QBs!A55</f>
        <v>Billy Joe Tolliver</v>
      </c>
      <c r="AC55" s="1" t="str">
        <f aca="false">QBs!B55</f>
        <v>NO</v>
      </c>
      <c r="AD55" s="2" t="n">
        <f aca="false">QBs!AL55</f>
        <v>19.222037037037</v>
      </c>
      <c r="AE55" s="2" t="n">
        <f aca="false">AD55-calcs!$E$9</f>
        <v>-269.102758425247</v>
      </c>
      <c r="AF55" s="0" t="str">
        <f aca="false">RBs!A57</f>
        <v>Ron Rivers</v>
      </c>
      <c r="AG55" s="1" t="str">
        <f aca="false">RBs!B57</f>
        <v>Atl</v>
      </c>
      <c r="AH55" s="2" t="n">
        <f aca="false">RBs!AJ57</f>
        <v>65.3524475524476</v>
      </c>
      <c r="AI55" s="2" t="n">
        <f aca="false">AH55-calcs!$E$10</f>
        <v>-82.1194871794872</v>
      </c>
      <c r="AJ55" s="0" t="str">
        <f aca="false">WRs!A58</f>
        <v>Kevin Dyson</v>
      </c>
      <c r="AK55" s="1" t="str">
        <f aca="false">WRs!B58</f>
        <v>Ten</v>
      </c>
      <c r="AL55" s="2" t="n">
        <f aca="false">WRs!AJ58</f>
        <v>107.868907563025</v>
      </c>
      <c r="AM55" s="2" t="n">
        <f aca="false">AL55-calcs!$E$11</f>
        <v>-37.2669052448565</v>
      </c>
      <c r="AN55" s="0" t="str">
        <f aca="false">TEs!A56</f>
        <v>Erron Kinney</v>
      </c>
      <c r="AO55" s="1" t="str">
        <f aca="false">TEs!B56</f>
        <v>Ten</v>
      </c>
      <c r="AP55" s="2" t="n">
        <f aca="false">TEs!T56</f>
        <v>11</v>
      </c>
      <c r="AQ55" s="2" t="n">
        <f aca="false">AP55-calcs!$E$12</f>
        <v>-50.3757575757576</v>
      </c>
      <c r="AY55" s="1" t="n">
        <v>53</v>
      </c>
      <c r="AZ55" s="0" t="str">
        <f aca="false">RBs!A21</f>
        <v>Jerome Bettis</v>
      </c>
      <c r="BA55" s="1" t="str">
        <f aca="false">RBs!B21</f>
        <v>Pit</v>
      </c>
      <c r="BB55" s="1" t="s">
        <v>9</v>
      </c>
      <c r="BC55" s="2" t="n">
        <f aca="false">RBs!AJ21-calcs!$E$10</f>
        <v>25.0116317016317</v>
      </c>
    </row>
    <row r="56" customFormat="false" ht="12.75" hidden="false" customHeight="false" outlineLevel="0" collapsed="false">
      <c r="AA56" s="1" t="n">
        <v>54</v>
      </c>
      <c r="AB56" s="0" t="str">
        <f aca="false">QBs!A57</f>
        <v>Matt Hasselbeck</v>
      </c>
      <c r="AC56" s="1" t="str">
        <f aca="false">QBs!B57</f>
        <v>GB</v>
      </c>
      <c r="AD56" s="2" t="n">
        <f aca="false">QBs!AL57</f>
        <v>18.962037037037</v>
      </c>
      <c r="AE56" s="2" t="n">
        <f aca="false">AD56-calcs!$E$9</f>
        <v>-269.362758425247</v>
      </c>
      <c r="AF56" s="0" t="str">
        <f aca="false">RBs!A55</f>
        <v>Adrian Murrell</v>
      </c>
      <c r="AG56" s="1" t="str">
        <f aca="false">RBs!B55</f>
        <v>Was</v>
      </c>
      <c r="AH56" s="2" t="n">
        <f aca="false">RBs!AJ55</f>
        <v>61.7524475524476</v>
      </c>
      <c r="AI56" s="2" t="n">
        <f aca="false">AH56-calcs!$E$10</f>
        <v>-85.7194871794872</v>
      </c>
      <c r="AJ56" s="0" t="str">
        <f aca="false">WRs!A51</f>
        <v>Curtis Conway</v>
      </c>
      <c r="AK56" s="1" t="str">
        <f aca="false">WRs!B51</f>
        <v>SD</v>
      </c>
      <c r="AL56" s="2" t="n">
        <f aca="false">WRs!AJ51</f>
        <v>107.45512605042</v>
      </c>
      <c r="AM56" s="2" t="n">
        <f aca="false">AL56-calcs!$E$11</f>
        <v>-37.6806867574616</v>
      </c>
      <c r="AN56" s="0" t="str">
        <f aca="false">TEs!A57</f>
        <v>James Jenkins</v>
      </c>
      <c r="AO56" s="1" t="str">
        <f aca="false">TEs!B57</f>
        <v>Was</v>
      </c>
      <c r="AP56" s="2" t="n">
        <f aca="false">TEs!T57</f>
        <v>11</v>
      </c>
      <c r="AQ56" s="2" t="n">
        <f aca="false">AP56-calcs!$E$12</f>
        <v>-50.3757575757576</v>
      </c>
      <c r="AY56" s="1" t="n">
        <v>54</v>
      </c>
      <c r="AZ56" s="0" t="str">
        <f aca="false">TEs!A8</f>
        <v>Jay Riemersma</v>
      </c>
      <c r="BA56" s="1" t="str">
        <f aca="false">TEs!B8</f>
        <v>Buf</v>
      </c>
      <c r="BB56" s="1" t="str">
        <f aca="false">IF($I$30=0,"WR","TE")</f>
        <v>TE</v>
      </c>
      <c r="BC56" s="2" t="n">
        <f aca="false">TEs!T8-calcs!$E$12</f>
        <v>24.9878787878788</v>
      </c>
    </row>
    <row r="57" customFormat="false" ht="12.75" hidden="false" customHeight="false" outlineLevel="0" collapsed="false">
      <c r="AA57" s="1" t="n">
        <v>55</v>
      </c>
      <c r="AB57" s="0" t="str">
        <f aca="false">QBs!A58</f>
        <v>Doug Pederson</v>
      </c>
      <c r="AC57" s="1" t="str">
        <f aca="false">QBs!B58</f>
        <v>Phi</v>
      </c>
      <c r="AD57" s="2" t="n">
        <f aca="false">QBs!AL58</f>
        <v>18.427037037037</v>
      </c>
      <c r="AE57" s="2" t="n">
        <f aca="false">AD57-calcs!$E$9</f>
        <v>-269.897758425247</v>
      </c>
      <c r="AF57" s="0" t="str">
        <f aca="false">RBs!A59</f>
        <v>Rob Konrad</v>
      </c>
      <c r="AG57" s="1" t="str">
        <f aca="false">RBs!B59</f>
        <v>Mia</v>
      </c>
      <c r="AH57" s="2" t="n">
        <f aca="false">RBs!AJ59</f>
        <v>59.8286713286713</v>
      </c>
      <c r="AI57" s="2" t="n">
        <f aca="false">AH57-calcs!$E$10</f>
        <v>-87.6432634032634</v>
      </c>
      <c r="AJ57" s="0" t="str">
        <f aca="false">WRs!A52</f>
        <v>Darrin Chiaverini</v>
      </c>
      <c r="AK57" s="1" t="str">
        <f aca="false">WRs!B52</f>
        <v>Cle</v>
      </c>
      <c r="AL57" s="2" t="n">
        <f aca="false">WRs!AJ52</f>
        <v>105.41512605042</v>
      </c>
      <c r="AM57" s="2" t="n">
        <f aca="false">AL57-calcs!$E$11</f>
        <v>-39.7206867574616</v>
      </c>
      <c r="AN57" s="0" t="str">
        <f aca="false">TEs!A58</f>
        <v>Carlester Crumpler</v>
      </c>
      <c r="AO57" s="1" t="str">
        <f aca="false">TEs!B58</f>
        <v>Min</v>
      </c>
      <c r="AP57" s="2" t="n">
        <f aca="false">TEs!T58</f>
        <v>10.9</v>
      </c>
      <c r="AQ57" s="2" t="n">
        <f aca="false">AP57-calcs!$E$12</f>
        <v>-50.4757575757576</v>
      </c>
      <c r="AY57" s="1" t="n">
        <v>55</v>
      </c>
      <c r="AZ57" s="0" t="str">
        <f aca="false">RBs!A19</f>
        <v>Mike Alstott</v>
      </c>
      <c r="BA57" s="1" t="str">
        <f aca="false">RBs!B19</f>
        <v>TB</v>
      </c>
      <c r="BB57" s="1" t="s">
        <v>9</v>
      </c>
      <c r="BC57" s="2" t="n">
        <f aca="false">RBs!AJ19-calcs!$E$10</f>
        <v>24.8878554778555</v>
      </c>
    </row>
    <row r="58" customFormat="false" ht="12.75" hidden="false" customHeight="false" outlineLevel="0" collapsed="false">
      <c r="AA58" s="1" t="n">
        <v>56</v>
      </c>
      <c r="AB58" s="0" t="str">
        <f aca="false">QBs!A59</f>
        <v>Eric Zeier</v>
      </c>
      <c r="AC58" s="1" t="str">
        <f aca="false">QBs!B59</f>
        <v>TB</v>
      </c>
      <c r="AD58" s="2" t="n">
        <f aca="false">QBs!AL59</f>
        <v>18.162037037037</v>
      </c>
      <c r="AE58" s="2" t="n">
        <f aca="false">AD58-calcs!$E$9</f>
        <v>-270.162758425247</v>
      </c>
      <c r="AF58" s="0" t="str">
        <f aca="false">RBs!A56</f>
        <v>Tony Richardson</v>
      </c>
      <c r="AG58" s="1" t="str">
        <f aca="false">RBs!B56</f>
        <v>KC</v>
      </c>
      <c r="AH58" s="2" t="n">
        <f aca="false">RBs!AJ56</f>
        <v>59.4524475524476</v>
      </c>
      <c r="AI58" s="2" t="n">
        <f aca="false">AH58-calcs!$E$10</f>
        <v>-88.0194871794872</v>
      </c>
      <c r="AJ58" s="0" t="str">
        <f aca="false">WRs!A53</f>
        <v>Troy Edwards</v>
      </c>
      <c r="AK58" s="1" t="str">
        <f aca="false">WRs!B53</f>
        <v>Pit</v>
      </c>
      <c r="AL58" s="2" t="n">
        <f aca="false">WRs!AJ53</f>
        <v>104.81512605042</v>
      </c>
      <c r="AM58" s="2" t="n">
        <f aca="false">AL58-calcs!$E$11</f>
        <v>-40.3206867574616</v>
      </c>
      <c r="AN58" s="0" t="str">
        <f aca="false">TEs!A59</f>
        <v>Aaron Shea</v>
      </c>
      <c r="AO58" s="1" t="str">
        <f aca="false">TEs!B59</f>
        <v>Cle</v>
      </c>
      <c r="AP58" s="2" t="n">
        <f aca="false">TEs!T59</f>
        <v>8.8</v>
      </c>
      <c r="AQ58" s="2" t="n">
        <f aca="false">AP58-calcs!$E$12</f>
        <v>-52.5757575757576</v>
      </c>
      <c r="AY58" s="1" t="n">
        <v>56</v>
      </c>
      <c r="AZ58" s="0" t="str">
        <f aca="false">TEs!A5</f>
        <v>Frank Wycheck</v>
      </c>
      <c r="BA58" s="1" t="str">
        <f aca="false">TEs!B5</f>
        <v>Ten</v>
      </c>
      <c r="BB58" s="1" t="str">
        <f aca="false">IF($I$30=0,"WR","TE")</f>
        <v>TE</v>
      </c>
      <c r="BC58" s="2" t="n">
        <f aca="false">TEs!T5-calcs!$E$12</f>
        <v>24.7424242424242</v>
      </c>
    </row>
    <row r="59" customFormat="false" ht="12.75" hidden="false" customHeight="false" outlineLevel="0" collapsed="false">
      <c r="AA59" s="1" t="n">
        <v>57</v>
      </c>
      <c r="AB59" s="0" t="str">
        <f aca="false">QBs!A64</f>
        <v>Bobby Hoying</v>
      </c>
      <c r="AC59" s="1" t="str">
        <f aca="false">QBs!B64</f>
        <v>Oak</v>
      </c>
      <c r="AD59" s="2" t="n">
        <f aca="false">QBs!AL64</f>
        <v>17.937037037037</v>
      </c>
      <c r="AE59" s="2" t="n">
        <f aca="false">AD59-calcs!$E$9</f>
        <v>-270.387758425247</v>
      </c>
      <c r="AF59" s="0" t="str">
        <f aca="false">RBs!A58</f>
        <v>James Allen</v>
      </c>
      <c r="AG59" s="1" t="str">
        <f aca="false">RBs!B58</f>
        <v>Chi</v>
      </c>
      <c r="AH59" s="2" t="n">
        <f aca="false">RBs!AJ58</f>
        <v>58.5762237762238</v>
      </c>
      <c r="AI59" s="2" t="n">
        <f aca="false">AH59-calcs!$E$10</f>
        <v>-88.895710955711</v>
      </c>
      <c r="AJ59" s="0" t="str">
        <f aca="false">WRs!A61</f>
        <v>Herman Moore</v>
      </c>
      <c r="AK59" s="1" t="str">
        <f aca="false">WRs!B61</f>
        <v>Det</v>
      </c>
      <c r="AL59" s="2" t="n">
        <f aca="false">WRs!AJ61</f>
        <v>100.46512605042</v>
      </c>
      <c r="AM59" s="2" t="n">
        <f aca="false">AL59-calcs!$E$11</f>
        <v>-44.6706867574616</v>
      </c>
      <c r="AN59" s="0" t="str">
        <f aca="false">TEs!A60</f>
        <v>Itula Mili</v>
      </c>
      <c r="AO59" s="1" t="str">
        <f aca="false">TEs!B60</f>
        <v>Sea</v>
      </c>
      <c r="AP59" s="2" t="n">
        <f aca="false">TEs!T60</f>
        <v>8</v>
      </c>
      <c r="AQ59" s="2" t="n">
        <f aca="false">AP59-calcs!$E$12</f>
        <v>-53.3757575757576</v>
      </c>
      <c r="AY59" s="1" t="n">
        <v>57</v>
      </c>
      <c r="AZ59" s="0" t="str">
        <f aca="false">Defs!A4</f>
        <v>Washington Redskins </v>
      </c>
      <c r="BB59" s="1" t="s">
        <v>8</v>
      </c>
      <c r="BC59" s="2" t="n">
        <f aca="false">Defs!I4-calcs!$E$14</f>
        <v>23.76</v>
      </c>
    </row>
    <row r="60" customFormat="false" ht="12.75" hidden="false" customHeight="false" outlineLevel="0" collapsed="false">
      <c r="AA60" s="1" t="n">
        <v>58</v>
      </c>
      <c r="AB60" s="0" t="str">
        <f aca="false">QBs!A60</f>
        <v>Trent Green</v>
      </c>
      <c r="AC60" s="1" t="str">
        <f aca="false">QBs!B60</f>
        <v>StL</v>
      </c>
      <c r="AD60" s="2" t="n">
        <f aca="false">QBs!AL60</f>
        <v>15.722037037037</v>
      </c>
      <c r="AE60" s="2" t="n">
        <f aca="false">AD60-calcs!$E$9</f>
        <v>-272.602758425247</v>
      </c>
      <c r="AF60" s="0" t="str">
        <f aca="false">RBs!A61</f>
        <v>Shawn Bryson</v>
      </c>
      <c r="AG60" s="1" t="str">
        <f aca="false">RBs!B61</f>
        <v>Buf</v>
      </c>
      <c r="AH60" s="2" t="n">
        <f aca="false">RBs!AJ61</f>
        <v>57.8286713286713</v>
      </c>
      <c r="AI60" s="2" t="n">
        <f aca="false">AH60-calcs!$E$10</f>
        <v>-89.6432634032634</v>
      </c>
      <c r="AJ60" s="0" t="str">
        <f aca="false">WRs!A55</f>
        <v>Carl Pickens</v>
      </c>
      <c r="AK60" s="1" t="str">
        <f aca="false">WRs!B55</f>
        <v>Ten</v>
      </c>
      <c r="AL60" s="2" t="n">
        <f aca="false">WRs!AJ55</f>
        <v>97.4189075630252</v>
      </c>
      <c r="AM60" s="2" t="n">
        <f aca="false">AL60-calcs!$E$11</f>
        <v>-47.7169052448566</v>
      </c>
      <c r="AN60" s="0" t="str">
        <f aca="false">TEs!A61</f>
        <v>Ed Perry</v>
      </c>
      <c r="AO60" s="1" t="str">
        <f aca="false">TEs!B61</f>
        <v>Mia</v>
      </c>
      <c r="AP60" s="2" t="n">
        <f aca="false">TEs!T61</f>
        <v>7.9</v>
      </c>
      <c r="AQ60" s="2" t="n">
        <f aca="false">AP60-calcs!$E$12</f>
        <v>-53.4757575757576</v>
      </c>
      <c r="AY60" s="1" t="n">
        <v>58</v>
      </c>
      <c r="AZ60" s="0" t="str">
        <f aca="false">TEs!A9</f>
        <v>Rickey Dudley</v>
      </c>
      <c r="BA60" s="1" t="str">
        <f aca="false">TEs!B9</f>
        <v>Oak</v>
      </c>
      <c r="BB60" s="1" t="str">
        <f aca="false">IF($I$30=0,"WR","TE")</f>
        <v>TE</v>
      </c>
      <c r="BC60" s="2" t="n">
        <f aca="false">TEs!T9-calcs!$E$12</f>
        <v>23.7378787878788</v>
      </c>
    </row>
    <row r="61" customFormat="false" ht="12.75" hidden="false" customHeight="false" outlineLevel="0" collapsed="false">
      <c r="AA61" s="1" t="n">
        <v>59</v>
      </c>
      <c r="AB61" s="0" t="str">
        <f aca="false">QBs!A61</f>
        <v>Ty Detmer</v>
      </c>
      <c r="AC61" s="1" t="str">
        <f aca="false">QBs!B61</f>
        <v>Cle</v>
      </c>
      <c r="AD61" s="2" t="n">
        <f aca="false">QBs!AL61</f>
        <v>15.462037037037</v>
      </c>
      <c r="AE61" s="2" t="n">
        <f aca="false">AD61-calcs!$E$9</f>
        <v>-272.862758425247</v>
      </c>
      <c r="AF61" s="0" t="str">
        <f aca="false">RBs!A60</f>
        <v>Byron Hanspard</v>
      </c>
      <c r="AG61" s="1" t="str">
        <f aca="false">RBs!B60</f>
        <v>Atl</v>
      </c>
      <c r="AH61" s="2" t="n">
        <f aca="false">RBs!AJ60</f>
        <v>56.4762237762238</v>
      </c>
      <c r="AI61" s="2" t="n">
        <f aca="false">AH61-calcs!$E$10</f>
        <v>-90.995710955711</v>
      </c>
      <c r="AJ61" s="0" t="str">
        <f aca="false">WRs!A80</f>
        <v>Jermaine Lewis</v>
      </c>
      <c r="AK61" s="1" t="str">
        <f aca="false">WRs!B80</f>
        <v>Bal</v>
      </c>
      <c r="AL61" s="2" t="n">
        <f aca="false">WRs!AJ80</f>
        <v>92.5651260504202</v>
      </c>
      <c r="AM61" s="2" t="n">
        <f aca="false">AL61-calcs!$E$11</f>
        <v>-52.5706867574616</v>
      </c>
      <c r="AN61" s="0" t="str">
        <f aca="false">TEs!A62</f>
        <v>Brian Kinchen</v>
      </c>
      <c r="AO61" s="1" t="str">
        <f aca="false">TEs!B62</f>
        <v>Car</v>
      </c>
      <c r="AP61" s="2" t="n">
        <f aca="false">TEs!T62</f>
        <v>7.2</v>
      </c>
      <c r="AQ61" s="2" t="n">
        <f aca="false">AP61-calcs!$E$12</f>
        <v>-54.1757575757576</v>
      </c>
      <c r="AY61" s="1" t="n">
        <v>59</v>
      </c>
      <c r="AZ61" s="0" t="str">
        <f aca="false">QBs!A13</f>
        <v>Steve Beuerlein</v>
      </c>
      <c r="BA61" s="1" t="str">
        <f aca="false">QBs!B13</f>
        <v>Car</v>
      </c>
      <c r="BB61" s="1" t="s">
        <v>13</v>
      </c>
      <c r="BC61" s="2" t="n">
        <f aca="false">QBs!AL13-calcs!$E$9</f>
        <v>23.4767775714242</v>
      </c>
    </row>
    <row r="62" customFormat="false" ht="12.75" hidden="false" customHeight="false" outlineLevel="0" collapsed="false">
      <c r="AA62" s="1" t="n">
        <v>60</v>
      </c>
      <c r="AB62" s="0" t="str">
        <f aca="false">QBs!A56</f>
        <v>Giovanni Carmazzi</v>
      </c>
      <c r="AC62" s="1" t="str">
        <f aca="false">QBs!B56</f>
        <v>SF</v>
      </c>
      <c r="AD62" s="2" t="n">
        <f aca="false">QBs!AL56</f>
        <v>15.162037037037</v>
      </c>
      <c r="AE62" s="2" t="n">
        <f aca="false">AD62-calcs!$E$9</f>
        <v>-273.162758425247</v>
      </c>
      <c r="AF62" s="0" t="str">
        <f aca="false">RBs!A62</f>
        <v>Terry Kirby</v>
      </c>
      <c r="AG62" s="1" t="str">
        <f aca="false">RBs!B62</f>
        <v>Cle</v>
      </c>
      <c r="AH62" s="2" t="n">
        <f aca="false">RBs!AJ62</f>
        <v>56.0762237762238</v>
      </c>
      <c r="AI62" s="2" t="n">
        <f aca="false">AH62-calcs!$E$10</f>
        <v>-91.395710955711</v>
      </c>
      <c r="AJ62" s="0" t="str">
        <f aca="false">WRs!A64</f>
        <v>Torrance Small</v>
      </c>
      <c r="AK62" s="1" t="str">
        <f aca="false">WRs!B64</f>
        <v>Phi</v>
      </c>
      <c r="AL62" s="2" t="n">
        <f aca="false">WRs!AJ64</f>
        <v>92.3613445378151</v>
      </c>
      <c r="AM62" s="2" t="n">
        <f aca="false">AL62-calcs!$E$11</f>
        <v>-52.7744682700666</v>
      </c>
      <c r="AN62" s="0" t="str">
        <f aca="false">TEs!A63</f>
        <v>Howard Cross</v>
      </c>
      <c r="AO62" s="1" t="str">
        <f aca="false">TEs!B63</f>
        <v>NYG</v>
      </c>
      <c r="AP62" s="2" t="n">
        <f aca="false">TEs!T63</f>
        <v>6.7</v>
      </c>
      <c r="AQ62" s="2" t="n">
        <f aca="false">AP62-calcs!$E$12</f>
        <v>-54.6757575757576</v>
      </c>
      <c r="AY62" s="1" t="n">
        <v>60</v>
      </c>
      <c r="AZ62" s="0" t="str">
        <f aca="false">Defs!A5</f>
        <v>Baltimore Ravens </v>
      </c>
      <c r="BB62" s="1" t="s">
        <v>8</v>
      </c>
      <c r="BC62" s="2" t="n">
        <f aca="false">Defs!I5-calcs!$E$14</f>
        <v>22.78</v>
      </c>
    </row>
    <row r="63" customFormat="false" ht="12.75" hidden="false" customHeight="false" outlineLevel="0" collapsed="false">
      <c r="AA63" s="1" t="n">
        <v>61</v>
      </c>
      <c r="AB63" s="0" t="str">
        <f aca="false">QBs!A62</f>
        <v>Glenn Foley</v>
      </c>
      <c r="AC63" s="1" t="str">
        <f aca="false">QBs!B62</f>
        <v>Sea</v>
      </c>
      <c r="AD63" s="2" t="n">
        <f aca="false">QBs!AL62</f>
        <v>14.902037037037</v>
      </c>
      <c r="AE63" s="2" t="n">
        <f aca="false">AD63-calcs!$E$9</f>
        <v>-273.422758425247</v>
      </c>
      <c r="AF63" s="0" t="str">
        <f aca="false">RBs!A63</f>
        <v>Thurman Thomas</v>
      </c>
      <c r="AG63" s="1" t="str">
        <f aca="false">RBs!B63</f>
        <v>Mia</v>
      </c>
      <c r="AH63" s="2" t="n">
        <f aca="false">RBs!AJ63</f>
        <v>55.5262237762238</v>
      </c>
      <c r="AI63" s="2" t="n">
        <f aca="false">AH63-calcs!$E$10</f>
        <v>-91.945710955711</v>
      </c>
      <c r="AJ63" s="0" t="str">
        <f aca="false">WRs!A70</f>
        <v>Keith Poole</v>
      </c>
      <c r="AK63" s="1" t="str">
        <f aca="false">WRs!B70</f>
        <v>NO</v>
      </c>
      <c r="AL63" s="2" t="n">
        <f aca="false">WRs!AJ70</f>
        <v>90.7113445378151</v>
      </c>
      <c r="AM63" s="2" t="n">
        <f aca="false">AL63-calcs!$E$11</f>
        <v>-54.4244682700666</v>
      </c>
      <c r="AN63" s="0" t="str">
        <f aca="false">TEs!A64</f>
        <v>Shonn Bell</v>
      </c>
      <c r="AO63" s="1" t="str">
        <f aca="false">TEs!B64</f>
        <v>SF</v>
      </c>
      <c r="AP63" s="2" t="n">
        <f aca="false">TEs!T64</f>
        <v>5.5</v>
      </c>
      <c r="AQ63" s="2" t="n">
        <f aca="false">AP63-calcs!$E$12</f>
        <v>-55.8757575757576</v>
      </c>
      <c r="AY63" s="1" t="n">
        <v>61</v>
      </c>
      <c r="AZ63" s="0" t="str">
        <f aca="false">WRs!A31</f>
        <v>Peter Warrick</v>
      </c>
      <c r="BA63" s="1" t="str">
        <f aca="false">WRs!B31</f>
        <v>Cin</v>
      </c>
      <c r="BB63" s="1" t="s">
        <v>18</v>
      </c>
      <c r="BC63" s="2" t="n">
        <f aca="false">WRs!AJ31-calcs!$E$11</f>
        <v>22.6868762677485</v>
      </c>
    </row>
    <row r="64" customFormat="false" ht="12.75" hidden="false" customHeight="false" outlineLevel="0" collapsed="false">
      <c r="AA64" s="1" t="n">
        <v>62</v>
      </c>
      <c r="AB64" s="0" t="str">
        <f aca="false">QBs!A63</f>
        <v>John Friesz</v>
      </c>
      <c r="AC64" s="1" t="str">
        <f aca="false">QBs!B63</f>
        <v>NE</v>
      </c>
      <c r="AD64" s="2" t="n">
        <f aca="false">QBs!AL63</f>
        <v>14.412037037037</v>
      </c>
      <c r="AE64" s="2" t="n">
        <f aca="false">AD64-calcs!$E$9</f>
        <v>-273.912758425247</v>
      </c>
      <c r="AF64" s="0" t="str">
        <f aca="false">RBs!A73</f>
        <v>Curtis Keaton</v>
      </c>
      <c r="AG64" s="1" t="str">
        <f aca="false">RBs!B73</f>
        <v>Cin</v>
      </c>
      <c r="AH64" s="2" t="n">
        <f aca="false">RBs!AJ73</f>
        <v>52.9762237762238</v>
      </c>
      <c r="AI64" s="2" t="n">
        <f aca="false">AH64-calcs!$E$10</f>
        <v>-94.495710955711</v>
      </c>
      <c r="AJ64" s="0" t="str">
        <f aca="false">WRs!A66</f>
        <v>Frank Sanders</v>
      </c>
      <c r="AK64" s="1" t="str">
        <f aca="false">WRs!B66</f>
        <v>Ari</v>
      </c>
      <c r="AL64" s="2" t="n">
        <f aca="false">WRs!AJ66</f>
        <v>89.8613445378151</v>
      </c>
      <c r="AM64" s="2" t="n">
        <f aca="false">AL64-calcs!$E$11</f>
        <v>-55.2744682700666</v>
      </c>
      <c r="AN64" s="0" t="str">
        <f aca="false">TEs!A65</f>
        <v>Walter Rasby</v>
      </c>
      <c r="AO64" s="1" t="str">
        <f aca="false">TEs!B65</f>
        <v>Det</v>
      </c>
      <c r="AP64" s="2" t="n">
        <f aca="false">TEs!T65</f>
        <v>4.5</v>
      </c>
      <c r="AQ64" s="2" t="n">
        <f aca="false">AP64-calcs!$E$12</f>
        <v>-56.8757575757576</v>
      </c>
      <c r="AY64" s="1" t="n">
        <v>62</v>
      </c>
      <c r="AZ64" s="0" t="str">
        <f aca="false">WRs!A17</f>
        <v>Keyshawn Johnson</v>
      </c>
      <c r="BA64" s="1" t="str">
        <f aca="false">WRs!B17</f>
        <v>TB</v>
      </c>
      <c r="BB64" s="1" t="s">
        <v>18</v>
      </c>
      <c r="BC64" s="2" t="n">
        <f aca="false">WRs!AJ17-calcs!$E$11</f>
        <v>22.5186699507389</v>
      </c>
    </row>
    <row r="65" customFormat="false" ht="12.75" hidden="false" customHeight="false" outlineLevel="0" collapsed="false">
      <c r="AA65" s="1" t="n">
        <v>63</v>
      </c>
      <c r="AB65" s="0" t="str">
        <f aca="false">QBs!A65</f>
        <v>Kelly Holcomb</v>
      </c>
      <c r="AC65" s="1" t="str">
        <f aca="false">QBs!B65</f>
        <v>Ind</v>
      </c>
      <c r="AD65" s="2" t="n">
        <f aca="false">QBs!AL65</f>
        <v>3.6</v>
      </c>
      <c r="AE65" s="2" t="n">
        <f aca="false">AD65-calcs!$E$9</f>
        <v>-284.724795462284</v>
      </c>
      <c r="AF65" s="0" t="str">
        <f aca="false">RBs!A64</f>
        <v>Karim Abdul-Jabbar</v>
      </c>
      <c r="AG65" s="1" t="str">
        <f aca="false">RBs!B64</f>
        <v>Ind</v>
      </c>
      <c r="AH65" s="2" t="n">
        <f aca="false">RBs!AJ64</f>
        <v>50.2524475524476</v>
      </c>
      <c r="AI65" s="2" t="n">
        <f aca="false">AH65-calcs!$E$10</f>
        <v>-97.2194871794872</v>
      </c>
      <c r="AJ65" s="0" t="str">
        <f aca="false">WRs!A68</f>
        <v>Corey Bradford</v>
      </c>
      <c r="AK65" s="1" t="str">
        <f aca="false">WRs!B68</f>
        <v>GB</v>
      </c>
      <c r="AL65" s="2" t="n">
        <f aca="false">WRs!AJ68</f>
        <v>88.6151260504202</v>
      </c>
      <c r="AM65" s="2" t="n">
        <f aca="false">AL65-calcs!$E$11</f>
        <v>-56.5206867574616</v>
      </c>
      <c r="AN65" s="0" t="str">
        <f aca="false">TEs!A19</f>
        <v>Cam Cleeland</v>
      </c>
      <c r="AO65" s="1" t="str">
        <f aca="false">TEs!B19</f>
        <v>NO</v>
      </c>
      <c r="AP65" s="2" t="n">
        <f aca="false">TEs!T19</f>
        <v>0</v>
      </c>
      <c r="AQ65" s="2" t="n">
        <f aca="false">AP65-calcs!$E$12</f>
        <v>-61.3757575757576</v>
      </c>
      <c r="AY65" s="1" t="n">
        <v>63</v>
      </c>
      <c r="AZ65" s="0" t="str">
        <f aca="false">WRs!A30</f>
        <v>Patrick Jeffers</v>
      </c>
      <c r="BA65" s="1" t="str">
        <f aca="false">WRs!B30</f>
        <v>Car</v>
      </c>
      <c r="BB65" s="1" t="s">
        <v>18</v>
      </c>
      <c r="BC65" s="2" t="n">
        <f aca="false">WRs!AJ30-calcs!$E$11</f>
        <v>22.0070443349754</v>
      </c>
    </row>
    <row r="66" customFormat="false" ht="12.75" hidden="false" customHeight="false" outlineLevel="0" collapsed="false">
      <c r="AA66" s="1" t="n">
        <v>64</v>
      </c>
      <c r="AF66" s="0" t="str">
        <f aca="false">RBs!A54</f>
        <v>Chris Howard</v>
      </c>
      <c r="AG66" s="1" t="str">
        <f aca="false">RBs!B54</f>
        <v>Jac</v>
      </c>
      <c r="AH66" s="2" t="n">
        <f aca="false">RBs!AJ54</f>
        <v>48.0524475524476</v>
      </c>
      <c r="AI66" s="2" t="n">
        <f aca="false">AH66-calcs!$E$10</f>
        <v>-99.4194871794872</v>
      </c>
      <c r="AJ66" s="0" t="str">
        <f aca="false">WRs!A75</f>
        <v>Donald Hayes</v>
      </c>
      <c r="AK66" s="1" t="str">
        <f aca="false">WRs!B75</f>
        <v>Car</v>
      </c>
      <c r="AL66" s="2" t="n">
        <f aca="false">WRs!AJ75</f>
        <v>88.3613445378151</v>
      </c>
      <c r="AM66" s="2" t="n">
        <f aca="false">AL66-calcs!$E$11</f>
        <v>-56.7744682700666</v>
      </c>
      <c r="AY66" s="1" t="n">
        <v>64</v>
      </c>
      <c r="AZ66" s="0" t="str">
        <f aca="false">WRs!A23</f>
        <v>Rob Moore</v>
      </c>
      <c r="BA66" s="1" t="str">
        <f aca="false">WRs!B23</f>
        <v>Ari</v>
      </c>
      <c r="BB66" s="1" t="s">
        <v>18</v>
      </c>
      <c r="BC66" s="2" t="n">
        <f aca="false">WRs!AJ23-calcs!$E$11</f>
        <v>21.6193596059114</v>
      </c>
    </row>
    <row r="67" customFormat="false" ht="12.75" hidden="false" customHeight="false" outlineLevel="0" collapsed="false">
      <c r="AA67" s="1" t="n">
        <v>65</v>
      </c>
      <c r="AF67" s="0" t="str">
        <f aca="false">RBs!A67</f>
        <v>Trung Canidate</v>
      </c>
      <c r="AG67" s="1" t="str">
        <f aca="false">RBs!B67</f>
        <v>StL</v>
      </c>
      <c r="AH67" s="2" t="n">
        <f aca="false">RBs!AJ67</f>
        <v>46.7524475524476</v>
      </c>
      <c r="AI67" s="2" t="n">
        <f aca="false">AH67-calcs!$E$10</f>
        <v>-100.719487179487</v>
      </c>
      <c r="AJ67" s="0" t="str">
        <f aca="false">WRs!A67</f>
        <v>Dedric Ward</v>
      </c>
      <c r="AK67" s="1" t="str">
        <f aca="false">WRs!B67</f>
        <v>NYJ</v>
      </c>
      <c r="AL67" s="2" t="n">
        <f aca="false">WRs!AJ67</f>
        <v>88.1613445378151</v>
      </c>
      <c r="AM67" s="2" t="n">
        <f aca="false">AL67-calcs!$E$11</f>
        <v>-56.9744682700666</v>
      </c>
      <c r="AY67" s="1" t="n">
        <v>65</v>
      </c>
      <c r="AZ67" s="0" t="str">
        <f aca="false">QBs!A8</f>
        <v>Rich Gannon</v>
      </c>
      <c r="BA67" s="1" t="str">
        <f aca="false">QBs!B8</f>
        <v>Oak</v>
      </c>
      <c r="BB67" s="1" t="s">
        <v>13</v>
      </c>
      <c r="BC67" s="2" t="n">
        <f aca="false">QBs!AL8-calcs!$E$9</f>
        <v>21.600512808393</v>
      </c>
    </row>
    <row r="68" customFormat="false" ht="12.75" hidden="false" customHeight="false" outlineLevel="0" collapsed="false">
      <c r="AA68" s="1" t="n">
        <v>66</v>
      </c>
      <c r="AF68" s="0" t="str">
        <f aca="false">RBs!A71</f>
        <v>William Floyd</v>
      </c>
      <c r="AG68" s="1" t="str">
        <f aca="false">RBs!B71</f>
        <v>Car</v>
      </c>
      <c r="AH68" s="2" t="n">
        <f aca="false">RBs!AJ71</f>
        <v>45.0524475524475</v>
      </c>
      <c r="AI68" s="2" t="n">
        <f aca="false">AH68-calcs!$E$10</f>
        <v>-102.419487179487</v>
      </c>
      <c r="AJ68" s="0" t="str">
        <f aca="false">WRs!A65</f>
        <v>James Jett</v>
      </c>
      <c r="AK68" s="1" t="str">
        <f aca="false">WRs!B65</f>
        <v>Oak</v>
      </c>
      <c r="AL68" s="2" t="n">
        <f aca="false">WRs!AJ65</f>
        <v>87.8214285714286</v>
      </c>
      <c r="AM68" s="2" t="n">
        <f aca="false">AL68-calcs!$E$11</f>
        <v>-57.3143842364532</v>
      </c>
      <c r="AY68" s="1" t="n">
        <v>66</v>
      </c>
      <c r="AZ68" s="0" t="str">
        <f aca="false">WRs!A14</f>
        <v>Derrick Mayes</v>
      </c>
      <c r="BA68" s="1" t="str">
        <f aca="false">WRs!B14</f>
        <v>Sea</v>
      </c>
      <c r="BB68" s="1" t="s">
        <v>18</v>
      </c>
      <c r="BC68" s="2" t="n">
        <f aca="false">WRs!AJ14-calcs!$E$11</f>
        <v>20.4193596059114</v>
      </c>
    </row>
    <row r="69" customFormat="false" ht="12.75" hidden="false" customHeight="false" outlineLevel="0" collapsed="false">
      <c r="AA69" s="1" t="n">
        <v>67</v>
      </c>
      <c r="AF69" s="0" t="str">
        <f aca="false">RBs!A68</f>
        <v>Bernie Parmalee</v>
      </c>
      <c r="AG69" s="1" t="str">
        <f aca="false">RBs!B68</f>
        <v>NYJ</v>
      </c>
      <c r="AH69" s="2" t="n">
        <f aca="false">RBs!AJ68</f>
        <v>44.7762237762238</v>
      </c>
      <c r="AI69" s="2" t="n">
        <f aca="false">AH69-calcs!$E$10</f>
        <v>-102.695710955711</v>
      </c>
      <c r="AJ69" s="0" t="str">
        <f aca="false">WRs!A74</f>
        <v>Tony Simmons</v>
      </c>
      <c r="AK69" s="1" t="str">
        <f aca="false">WRs!B74</f>
        <v>NE</v>
      </c>
      <c r="AL69" s="2" t="n">
        <f aca="false">WRs!AJ74</f>
        <v>86.0714285714286</v>
      </c>
      <c r="AM69" s="2" t="n">
        <f aca="false">AL69-calcs!$E$11</f>
        <v>-59.0643842364532</v>
      </c>
      <c r="AY69" s="1" t="n">
        <v>67</v>
      </c>
      <c r="AZ69" s="0" t="str">
        <f aca="false">RBs!A27</f>
        <v>Tim Biakabutuka</v>
      </c>
      <c r="BA69" s="1" t="str">
        <f aca="false">RBs!B27</f>
        <v>Car</v>
      </c>
      <c r="BB69" s="1" t="s">
        <v>9</v>
      </c>
      <c r="BC69" s="2" t="n">
        <f aca="false">RBs!AJ27-calcs!$E$10</f>
        <v>20.3329603729604</v>
      </c>
    </row>
    <row r="70" customFormat="false" ht="12.75" hidden="false" customHeight="false" outlineLevel="0" collapsed="false">
      <c r="AA70" s="1" t="n">
        <v>68</v>
      </c>
      <c r="AF70" s="0" t="str">
        <f aca="false">RBs!A72</f>
        <v>Sedrick Irvin</v>
      </c>
      <c r="AG70" s="1" t="str">
        <f aca="false">RBs!B72</f>
        <v>Det</v>
      </c>
      <c r="AH70" s="2" t="n">
        <f aca="false">RBs!AJ72</f>
        <v>43.1762237762238</v>
      </c>
      <c r="AI70" s="2" t="n">
        <f aca="false">AH70-calcs!$E$10</f>
        <v>-104.295710955711</v>
      </c>
      <c r="AJ70" s="0" t="str">
        <f aca="false">WRs!A72</f>
        <v>Kevin Lockett</v>
      </c>
      <c r="AK70" s="1" t="str">
        <f aca="false">WRs!B72</f>
        <v>KC</v>
      </c>
      <c r="AL70" s="2" t="n">
        <f aca="false">WRs!AJ72</f>
        <v>83.8613445378151</v>
      </c>
      <c r="AM70" s="2" t="n">
        <f aca="false">AL70-calcs!$E$11</f>
        <v>-61.2744682700666</v>
      </c>
      <c r="AY70" s="1" t="n">
        <v>68</v>
      </c>
      <c r="AZ70" s="0" t="str">
        <f aca="false">RBs!A24</f>
        <v>Errict Rhett</v>
      </c>
      <c r="BA70" s="1" t="str">
        <f aca="false">RBs!B24</f>
        <v>Cle</v>
      </c>
      <c r="BB70" s="1" t="s">
        <v>9</v>
      </c>
      <c r="BC70" s="2" t="n">
        <f aca="false">RBs!AJ24-calcs!$E$10</f>
        <v>17.6616317016317</v>
      </c>
    </row>
    <row r="71" customFormat="false" ht="12.75" hidden="false" customHeight="false" outlineLevel="0" collapsed="false">
      <c r="AA71" s="1" t="n">
        <v>69</v>
      </c>
      <c r="AF71" s="0" t="str">
        <f aca="false">RBs!A74</f>
        <v>Terry Jackson</v>
      </c>
      <c r="AG71" s="1" t="str">
        <f aca="false">RBs!B74</f>
        <v>SF</v>
      </c>
      <c r="AH71" s="2" t="n">
        <f aca="false">RBs!AJ74</f>
        <v>41.4762237762238</v>
      </c>
      <c r="AI71" s="2" t="n">
        <f aca="false">AH71-calcs!$E$10</f>
        <v>-105.995710955711</v>
      </c>
      <c r="AJ71" s="0" t="str">
        <f aca="false">WRs!A73</f>
        <v>O.J. McDuffie</v>
      </c>
      <c r="AK71" s="1" t="str">
        <f aca="false">WRs!B73</f>
        <v>Mia</v>
      </c>
      <c r="AL71" s="2" t="n">
        <f aca="false">WRs!AJ73</f>
        <v>81.1113445378151</v>
      </c>
      <c r="AM71" s="2" t="n">
        <f aca="false">AL71-calcs!$E$11</f>
        <v>-64.0244682700667</v>
      </c>
      <c r="AY71" s="1" t="n">
        <v>69</v>
      </c>
      <c r="AZ71" s="0" t="str">
        <f aca="false">WRs!A25</f>
        <v>Terance Mathis</v>
      </c>
      <c r="BA71" s="1" t="str">
        <f aca="false">WRs!B25</f>
        <v>Atl</v>
      </c>
      <c r="BB71" s="1" t="s">
        <v>18</v>
      </c>
      <c r="BC71" s="2" t="n">
        <f aca="false">WRs!AJ25-calcs!$E$11</f>
        <v>16.8444392929586</v>
      </c>
    </row>
    <row r="72" customFormat="false" ht="12.75" hidden="false" customHeight="false" outlineLevel="0" collapsed="false">
      <c r="AA72" s="1" t="n">
        <v>70</v>
      </c>
      <c r="AF72" s="0" t="str">
        <f aca="false">RBs!A66</f>
        <v>Lamar Smith</v>
      </c>
      <c r="AG72" s="1" t="str">
        <f aca="false">RBs!B66</f>
        <v>Mia</v>
      </c>
      <c r="AH72" s="2" t="n">
        <f aca="false">RBs!AJ66</f>
        <v>40.5262237762238</v>
      </c>
      <c r="AI72" s="2" t="n">
        <f aca="false">AH72-calcs!$E$10</f>
        <v>-106.945710955711</v>
      </c>
      <c r="AJ72" s="0" t="str">
        <f aca="false">WRs!A109</f>
        <v>Craig Yeast</v>
      </c>
      <c r="AK72" s="1" t="str">
        <f aca="false">WRs!B109</f>
        <v>Cin</v>
      </c>
      <c r="AL72" s="2" t="n">
        <f aca="false">WRs!AJ109</f>
        <v>80.8613445378151</v>
      </c>
      <c r="AM72" s="2" t="n">
        <f aca="false">AL72-calcs!$E$11</f>
        <v>-64.2744682700666</v>
      </c>
      <c r="AY72" s="1" t="n">
        <v>70</v>
      </c>
      <c r="AZ72" s="0" t="str">
        <f aca="false">TEs!A10</f>
        <v>Pete Mitchell</v>
      </c>
      <c r="BA72" s="1" t="str">
        <f aca="false">TEs!B10</f>
        <v>NYG</v>
      </c>
      <c r="BB72" s="1" t="str">
        <f aca="false">IF($I$30=0,"WR","TE")</f>
        <v>TE</v>
      </c>
      <c r="BC72" s="2" t="n">
        <f aca="false">TEs!T10-calcs!$E$12</f>
        <v>16.4651515151515</v>
      </c>
    </row>
    <row r="73" customFormat="false" ht="12.75" hidden="false" customHeight="false" outlineLevel="0" collapsed="false">
      <c r="AA73" s="1" t="n">
        <v>71</v>
      </c>
      <c r="AF73" s="0" t="str">
        <f aca="false">RBs!A75</f>
        <v>Mario Bates</v>
      </c>
      <c r="AG73" s="1" t="str">
        <f aca="false">RBs!B75</f>
        <v>Ari</v>
      </c>
      <c r="AH73" s="2" t="n">
        <f aca="false">RBs!AJ75</f>
        <v>40.4486713286713</v>
      </c>
      <c r="AI73" s="2" t="n">
        <f aca="false">AH73-calcs!$E$10</f>
        <v>-107.023263403263</v>
      </c>
      <c r="AJ73" s="0" t="str">
        <f aca="false">WRs!A63</f>
        <v>Yancey Thigpen</v>
      </c>
      <c r="AK73" s="1" t="str">
        <f aca="false">WRs!B63</f>
        <v>Ten</v>
      </c>
      <c r="AL73" s="2" t="n">
        <f aca="false">WRs!AJ63</f>
        <v>77.8613445378151</v>
      </c>
      <c r="AM73" s="2" t="n">
        <f aca="false">AL73-calcs!$E$11</f>
        <v>-67.2744682700667</v>
      </c>
      <c r="AY73" s="1" t="n">
        <v>71</v>
      </c>
      <c r="AZ73" s="0" t="str">
        <f aca="false">QBs!A12</f>
        <v>Mark Brunell</v>
      </c>
      <c r="BA73" s="1" t="str">
        <f aca="false">QBs!B12</f>
        <v>Jac</v>
      </c>
      <c r="BB73" s="1" t="s">
        <v>13</v>
      </c>
      <c r="BC73" s="2" t="n">
        <f aca="false">QBs!AL12-calcs!$E$9</f>
        <v>15.6599113046336</v>
      </c>
    </row>
    <row r="74" customFormat="false" ht="12.75" hidden="false" customHeight="false" outlineLevel="0" collapsed="false">
      <c r="AA74" s="1" t="n">
        <v>72</v>
      </c>
      <c r="AF74" s="0" t="str">
        <f aca="false">RBs!A77</f>
        <v>William Henderson</v>
      </c>
      <c r="AG74" s="1" t="str">
        <f aca="false">RBs!B77</f>
        <v>GB</v>
      </c>
      <c r="AH74" s="2" t="n">
        <f aca="false">RBs!AJ77</f>
        <v>40.2262237762238</v>
      </c>
      <c r="AI74" s="2" t="n">
        <f aca="false">AH74-calcs!$E$10</f>
        <v>-107.245710955711</v>
      </c>
      <c r="AJ74" s="0" t="str">
        <f aca="false">WRs!A71</f>
        <v>Marty Booker</v>
      </c>
      <c r="AK74" s="1" t="str">
        <f aca="false">WRs!B71</f>
        <v>Chi</v>
      </c>
      <c r="AL74" s="2" t="n">
        <f aca="false">WRs!AJ71</f>
        <v>74.9113445378151</v>
      </c>
      <c r="AM74" s="2" t="n">
        <f aca="false">AL74-calcs!$E$11</f>
        <v>-70.2244682700667</v>
      </c>
      <c r="AY74" s="1" t="n">
        <v>72</v>
      </c>
      <c r="AZ74" s="0" t="str">
        <f aca="false">PKs!A3</f>
        <v>Mike Vanderjagt</v>
      </c>
      <c r="BA74" s="1" t="str">
        <f aca="false">PKs!B3</f>
        <v>Ind</v>
      </c>
      <c r="BB74" s="1" t="s">
        <v>24</v>
      </c>
      <c r="BC74" s="2" t="n">
        <f aca="false">PKs!W3-calcs!$E$13</f>
        <v>14.8062519822057</v>
      </c>
    </row>
    <row r="75" customFormat="false" ht="12.75" hidden="false" customHeight="false" outlineLevel="0" collapsed="false">
      <c r="AA75" s="1" t="n">
        <v>73</v>
      </c>
      <c r="AF75" s="0" t="str">
        <f aca="false">RBs!A76</f>
        <v>Charles Evans</v>
      </c>
      <c r="AG75" s="1" t="str">
        <f aca="false">RBs!B76</f>
        <v>Bal</v>
      </c>
      <c r="AH75" s="2" t="n">
        <f aca="false">RBs!AJ76</f>
        <v>40.2262237762238</v>
      </c>
      <c r="AI75" s="2" t="n">
        <f aca="false">AH75-calcs!$E$10</f>
        <v>-107.245710955711</v>
      </c>
      <c r="AJ75" s="0" t="str">
        <f aca="false">WRs!A62</f>
        <v>Justin Armour</v>
      </c>
      <c r="AK75" s="1" t="str">
        <f aca="false">WRs!B62</f>
        <v>Sea</v>
      </c>
      <c r="AL75" s="2" t="n">
        <f aca="false">WRs!AJ62</f>
        <v>72.6113445378151</v>
      </c>
      <c r="AM75" s="2" t="n">
        <f aca="false">AL75-calcs!$E$11</f>
        <v>-72.5244682700666</v>
      </c>
      <c r="AY75" s="1" t="n">
        <v>73</v>
      </c>
      <c r="AZ75" s="0" t="str">
        <f aca="false">RBs!A25</f>
        <v>Tyrone Wheatley</v>
      </c>
      <c r="BA75" s="1" t="str">
        <f aca="false">RBs!B25</f>
        <v>Oak</v>
      </c>
      <c r="BB75" s="1" t="s">
        <v>9</v>
      </c>
      <c r="BC75" s="2" t="n">
        <f aca="false">RBs!AJ25-calcs!$E$10</f>
        <v>14.285407925408</v>
      </c>
    </row>
    <row r="76" customFormat="false" ht="12.75" hidden="false" customHeight="false" outlineLevel="0" collapsed="false">
      <c r="AA76" s="1" t="n">
        <v>74</v>
      </c>
      <c r="AF76" s="0" t="str">
        <f aca="false">RBs!A69</f>
        <v>Richie Anderson</v>
      </c>
      <c r="AG76" s="1" t="str">
        <f aca="false">RBs!B69</f>
        <v>NYJ</v>
      </c>
      <c r="AH76" s="2" t="n">
        <f aca="false">RBs!AJ69</f>
        <v>40.1</v>
      </c>
      <c r="AI76" s="2" t="n">
        <f aca="false">AH76-calcs!$E$10</f>
        <v>-107.371934731935</v>
      </c>
      <c r="AJ76" s="0" t="str">
        <f aca="false">WRs!A69</f>
        <v>R. Jay Soward</v>
      </c>
      <c r="AK76" s="1" t="str">
        <f aca="false">WRs!B69</f>
        <v>Jac</v>
      </c>
      <c r="AL76" s="2" t="n">
        <f aca="false">WRs!AJ69</f>
        <v>70.9575630252101</v>
      </c>
      <c r="AM76" s="2" t="n">
        <f aca="false">AL76-calcs!$E$11</f>
        <v>-74.1782497826717</v>
      </c>
      <c r="AY76" s="1" t="n">
        <v>74</v>
      </c>
      <c r="AZ76" s="0" t="str">
        <f aca="false">WRs!A27</f>
        <v>Plaxico Burress</v>
      </c>
      <c r="BA76" s="1" t="str">
        <f aca="false">WRs!B27</f>
        <v>Pit</v>
      </c>
      <c r="BB76" s="1" t="s">
        <v>18</v>
      </c>
      <c r="BC76" s="2" t="n">
        <f aca="false">WRs!AJ27-calcs!$E$11</f>
        <v>12.6406577803535</v>
      </c>
    </row>
    <row r="77" customFormat="false" ht="12.75" hidden="false" customHeight="false" outlineLevel="0" collapsed="false">
      <c r="AA77" s="1" t="n">
        <v>75</v>
      </c>
      <c r="AF77" s="0" t="str">
        <f aca="false">RBs!A78</f>
        <v>Jon Ritchie</v>
      </c>
      <c r="AG77" s="1" t="str">
        <f aca="false">RBs!B78</f>
        <v>Oak</v>
      </c>
      <c r="AH77" s="2" t="n">
        <f aca="false">RBs!AJ78</f>
        <v>39.16</v>
      </c>
      <c r="AI77" s="2" t="n">
        <f aca="false">AH77-calcs!$E$10</f>
        <v>-108.311934731935</v>
      </c>
      <c r="AJ77" s="0" t="str">
        <f aca="false">WRs!A78</f>
        <v>Dennis Northcutt</v>
      </c>
      <c r="AK77" s="1" t="str">
        <f aca="false">WRs!B78</f>
        <v>Cle</v>
      </c>
      <c r="AL77" s="2" t="n">
        <f aca="false">WRs!AJ78</f>
        <v>70.3613445378151</v>
      </c>
      <c r="AM77" s="2" t="n">
        <f aca="false">AL77-calcs!$E$11</f>
        <v>-74.7744682700666</v>
      </c>
      <c r="AY77" s="1" t="n">
        <v>75</v>
      </c>
      <c r="AZ77" s="0" t="str">
        <f aca="false">Defs!A9</f>
        <v>Tampa Bay Buccaneers</v>
      </c>
      <c r="BB77" s="1" t="s">
        <v>8</v>
      </c>
      <c r="BC77" s="2" t="n">
        <f aca="false">Defs!I9-calcs!$E$14</f>
        <v>10.94</v>
      </c>
    </row>
    <row r="78" customFormat="false" ht="12.75" hidden="false" customHeight="false" outlineLevel="0" collapsed="false">
      <c r="AA78" s="1" t="n">
        <v>76</v>
      </c>
      <c r="AF78" s="0" t="str">
        <f aca="false">RBs!A79</f>
        <v>Cory Schlesinger</v>
      </c>
      <c r="AG78" s="1" t="str">
        <f aca="false">RBs!B79</f>
        <v>Det</v>
      </c>
      <c r="AH78" s="2" t="n">
        <f aca="false">RBs!AJ79</f>
        <v>37.8762237762238</v>
      </c>
      <c r="AI78" s="2" t="n">
        <f aca="false">AH78-calcs!$E$10</f>
        <v>-109.595710955711</v>
      </c>
      <c r="AJ78" s="0" t="str">
        <f aca="false">WRs!A76</f>
        <v>Vincent Brisby</v>
      </c>
      <c r="AK78" s="1" t="str">
        <f aca="false">WRs!B76</f>
        <v>NE</v>
      </c>
      <c r="AL78" s="2" t="n">
        <f aca="false">WRs!AJ76</f>
        <v>68.5075630252101</v>
      </c>
      <c r="AM78" s="2" t="n">
        <f aca="false">AL78-calcs!$E$11</f>
        <v>-76.6282497826717</v>
      </c>
      <c r="AY78" s="1" t="n">
        <v>76</v>
      </c>
      <c r="AZ78" s="0" t="str">
        <f aca="false">Defs!A7</f>
        <v>Jacksonville Jaguars</v>
      </c>
      <c r="BB78" s="1" t="s">
        <v>8</v>
      </c>
      <c r="BC78" s="2" t="n">
        <f aca="false">Defs!I7-calcs!$E$14</f>
        <v>10.32</v>
      </c>
    </row>
    <row r="79" customFormat="false" ht="12.75" hidden="false" customHeight="false" outlineLevel="0" collapsed="false">
      <c r="AA79" s="1" t="n">
        <v>77</v>
      </c>
      <c r="AF79" s="0" t="str">
        <f aca="false">RBs!A80</f>
        <v>Aaron Craver</v>
      </c>
      <c r="AG79" s="1" t="str">
        <f aca="false">RBs!B80</f>
        <v>NO</v>
      </c>
      <c r="AH79" s="2" t="n">
        <f aca="false">RBs!AJ80</f>
        <v>33.6762237762238</v>
      </c>
      <c r="AI79" s="2" t="n">
        <f aca="false">AH79-calcs!$E$10</f>
        <v>-113.795710955711</v>
      </c>
      <c r="AJ79" s="0" t="str">
        <f aca="false">WRs!A81</f>
        <v>Mathew Hatchette</v>
      </c>
      <c r="AK79" s="1" t="str">
        <f aca="false">WRs!B81</f>
        <v>Min</v>
      </c>
      <c r="AL79" s="2" t="n">
        <f aca="false">WRs!AJ81</f>
        <v>67.4075630252101</v>
      </c>
      <c r="AM79" s="2" t="n">
        <f aca="false">AL79-calcs!$E$11</f>
        <v>-77.7282497826717</v>
      </c>
      <c r="AY79" s="1" t="n">
        <v>77</v>
      </c>
      <c r="AZ79" s="0" t="str">
        <f aca="false">WRs!A43</f>
        <v>Joe Horn</v>
      </c>
      <c r="BA79" s="1" t="str">
        <f aca="false">WRs!B43</f>
        <v>NO</v>
      </c>
      <c r="BB79" s="1" t="s">
        <v>18</v>
      </c>
      <c r="BC79" s="2" t="n">
        <f aca="false">WRs!AJ43-calcs!$E$11</f>
        <v>9.00687626774848</v>
      </c>
    </row>
    <row r="80" customFormat="false" ht="12.75" hidden="false" customHeight="false" outlineLevel="0" collapsed="false">
      <c r="AA80" s="1" t="n">
        <v>78</v>
      </c>
      <c r="AF80" s="0" t="str">
        <f aca="false">RBs!A84</f>
        <v>Marc Edwards</v>
      </c>
      <c r="AG80" s="1" t="str">
        <f aca="false">RBs!B84</f>
        <v>Cle</v>
      </c>
      <c r="AH80" s="2" t="n">
        <f aca="false">RBs!AJ84</f>
        <v>33.55</v>
      </c>
      <c r="AI80" s="2" t="n">
        <f aca="false">AH80-calcs!$E$10</f>
        <v>-113.921934731935</v>
      </c>
      <c r="AJ80" s="0" t="str">
        <f aca="false">WRs!A82</f>
        <v>Andre Reed</v>
      </c>
      <c r="AK80" s="1" t="str">
        <f aca="false">WRs!B82</f>
        <v>Den</v>
      </c>
      <c r="AL80" s="2" t="n">
        <f aca="false">WRs!AJ82</f>
        <v>66.4613445378151</v>
      </c>
      <c r="AM80" s="2" t="n">
        <f aca="false">AL80-calcs!$E$11</f>
        <v>-78.6744682700666</v>
      </c>
      <c r="AY80" s="1" t="n">
        <v>78</v>
      </c>
      <c r="AZ80" s="0" t="str">
        <f aca="false">WRs!A35</f>
        <v>Keenan McCardell</v>
      </c>
      <c r="BA80" s="1" t="str">
        <f aca="false">WRs!B35</f>
        <v>Jac</v>
      </c>
      <c r="BB80" s="1" t="s">
        <v>18</v>
      </c>
      <c r="BC80" s="2" t="n">
        <f aca="false">WRs!AJ35-calcs!$E$11</f>
        <v>8.9868762677485</v>
      </c>
    </row>
    <row r="81" customFormat="false" ht="12.75" hidden="false" customHeight="false" outlineLevel="0" collapsed="false">
      <c r="AA81" s="1" t="n">
        <v>79</v>
      </c>
      <c r="AF81" s="0" t="str">
        <f aca="false">RBs!A82</f>
        <v>Robert Chancey</v>
      </c>
      <c r="AG81" s="1" t="str">
        <f aca="false">RBs!B82</f>
        <v>SD</v>
      </c>
      <c r="AH81" s="2" t="n">
        <f aca="false">RBs!AJ82</f>
        <v>32.2762237762238</v>
      </c>
      <c r="AI81" s="2" t="n">
        <f aca="false">AH81-calcs!$E$10</f>
        <v>-115.195710955711</v>
      </c>
      <c r="AJ81" s="0" t="str">
        <f aca="false">WRs!A83</f>
        <v>J.J. Stokes</v>
      </c>
      <c r="AK81" s="1" t="str">
        <f aca="false">WRs!B83</f>
        <v>SF</v>
      </c>
      <c r="AL81" s="2" t="n">
        <f aca="false">WRs!AJ83</f>
        <v>66.4613445378151</v>
      </c>
      <c r="AM81" s="2" t="n">
        <f aca="false">AL81-calcs!$E$11</f>
        <v>-78.6744682700666</v>
      </c>
      <c r="AY81" s="1" t="n">
        <v>79</v>
      </c>
      <c r="AZ81" s="0" t="str">
        <f aca="false">TEs!A11</f>
        <v>Bubba Franks</v>
      </c>
      <c r="BA81" s="1" t="str">
        <f aca="false">TEs!B11</f>
        <v>GB</v>
      </c>
      <c r="BB81" s="1" t="str">
        <f aca="false">IF($I$30=0,"WR","TE")</f>
        <v>TE</v>
      </c>
      <c r="BC81" s="2" t="n">
        <f aca="false">TEs!T11-calcs!$E$12</f>
        <v>8.11515151515152</v>
      </c>
    </row>
    <row r="82" customFormat="false" ht="12.75" hidden="false" customHeight="false" outlineLevel="0" collapsed="false">
      <c r="AA82" s="1" t="n">
        <v>80</v>
      </c>
      <c r="AF82" s="0" t="str">
        <f aca="false">RBs!A70</f>
        <v>Moe Williams</v>
      </c>
      <c r="AG82" s="1" t="str">
        <f aca="false">RBs!B70</f>
        <v>Min</v>
      </c>
      <c r="AH82" s="2" t="n">
        <f aca="false">RBs!AJ70</f>
        <v>31.6762237762238</v>
      </c>
      <c r="AI82" s="2" t="n">
        <f aca="false">AH82-calcs!$E$10</f>
        <v>-115.795710955711</v>
      </c>
      <c r="AJ82" s="0" t="str">
        <f aca="false">WRs!A84</f>
        <v>Hines Ward</v>
      </c>
      <c r="AK82" s="1" t="str">
        <f aca="false">WRs!B84</f>
        <v>Pit</v>
      </c>
      <c r="AL82" s="2" t="n">
        <f aca="false">WRs!AJ84</f>
        <v>65.9613445378151</v>
      </c>
      <c r="AM82" s="2" t="n">
        <f aca="false">AL82-calcs!$E$11</f>
        <v>-79.1744682700666</v>
      </c>
      <c r="AY82" s="1" t="n">
        <v>80</v>
      </c>
      <c r="AZ82" s="0" t="str">
        <f aca="false">QBs!A14</f>
        <v>Tim Couch</v>
      </c>
      <c r="BA82" s="1" t="str">
        <f aca="false">QBs!B14</f>
        <v>Cle</v>
      </c>
      <c r="BB82" s="1" t="s">
        <v>13</v>
      </c>
      <c r="BC82" s="2" t="n">
        <f aca="false">QBs!AL14-calcs!$E$9</f>
        <v>7.96670040548486</v>
      </c>
    </row>
    <row r="83" customFormat="false" ht="12.75" hidden="false" customHeight="false" outlineLevel="0" collapsed="false">
      <c r="AA83" s="1" t="n">
        <v>81</v>
      </c>
      <c r="AF83" s="0" t="str">
        <f aca="false">RBs!A83</f>
        <v>Sean Bennett</v>
      </c>
      <c r="AG83" s="1" t="str">
        <f aca="false">RBs!B83</f>
        <v>NYG</v>
      </c>
      <c r="AH83" s="2" t="n">
        <f aca="false">RBs!AJ83</f>
        <v>31.5362237762238</v>
      </c>
      <c r="AI83" s="2" t="n">
        <f aca="false">AH83-calcs!$E$10</f>
        <v>-115.935710955711</v>
      </c>
      <c r="AJ83" s="0" t="str">
        <f aca="false">WRs!A91</f>
        <v>Ron Dugans</v>
      </c>
      <c r="AK83" s="1" t="str">
        <f aca="false">WRs!B91</f>
        <v>Cin</v>
      </c>
      <c r="AL83" s="2" t="n">
        <f aca="false">WRs!AJ91</f>
        <v>64.9075630252101</v>
      </c>
      <c r="AM83" s="2" t="n">
        <f aca="false">AL83-calcs!$E$11</f>
        <v>-80.2282497826717</v>
      </c>
      <c r="AY83" s="1" t="n">
        <v>81</v>
      </c>
      <c r="AZ83" s="0" t="str">
        <f aca="false">WRs!A33</f>
        <v>Tony Martin</v>
      </c>
      <c r="BA83" s="1" t="str">
        <f aca="false">WRs!B33</f>
        <v>Mia</v>
      </c>
      <c r="BB83" s="1" t="s">
        <v>18</v>
      </c>
      <c r="BC83" s="2" t="n">
        <f aca="false">WRs!AJ33-calcs!$E$11</f>
        <v>7.74990147783251</v>
      </c>
    </row>
    <row r="84" customFormat="false" ht="12.75" hidden="false" customHeight="false" outlineLevel="0" collapsed="false">
      <c r="AA84" s="1" t="n">
        <v>82</v>
      </c>
      <c r="AF84" s="0" t="str">
        <f aca="false">RBs!A85</f>
        <v>Nick Williams</v>
      </c>
      <c r="AG84" s="1" t="str">
        <f aca="false">RBs!B85</f>
        <v>Cin</v>
      </c>
      <c r="AH84" s="2" t="n">
        <f aca="false">RBs!AJ85</f>
        <v>31.3524475524476</v>
      </c>
      <c r="AI84" s="2" t="n">
        <f aca="false">AH84-calcs!$E$10</f>
        <v>-116.119487179487</v>
      </c>
      <c r="AJ84" s="0" t="str">
        <f aca="false">WRs!A85</f>
        <v>Joe Jurevicious</v>
      </c>
      <c r="AK84" s="1" t="str">
        <f aca="false">WRs!B85</f>
        <v>NYG</v>
      </c>
      <c r="AL84" s="2" t="n">
        <f aca="false">WRs!AJ85</f>
        <v>59.9075630252101</v>
      </c>
      <c r="AM84" s="2" t="n">
        <f aca="false">AL84-calcs!$E$11</f>
        <v>-85.2282497826717</v>
      </c>
      <c r="AY84" s="1" t="n">
        <v>82</v>
      </c>
      <c r="AZ84" s="0" t="str">
        <f aca="false">PKs!A5</f>
        <v>Brett Conway</v>
      </c>
      <c r="BA84" s="1" t="str">
        <f aca="false">PKs!B5</f>
        <v>Was</v>
      </c>
      <c r="BB84" s="1" t="s">
        <v>24</v>
      </c>
      <c r="BC84" s="2" t="n">
        <f aca="false">PKs!W5-calcs!$E$13</f>
        <v>6.61273203307135</v>
      </c>
    </row>
    <row r="85" customFormat="false" ht="12.75" hidden="false" customHeight="false" outlineLevel="0" collapsed="false">
      <c r="AA85" s="1" t="n">
        <v>83</v>
      </c>
      <c r="AF85" s="0" t="str">
        <f aca="false">RBs!A86</f>
        <v>Travis Prentice</v>
      </c>
      <c r="AG85" s="1" t="str">
        <f aca="false">RBs!B86</f>
        <v>Cle</v>
      </c>
      <c r="AH85" s="2" t="n">
        <f aca="false">RBs!AJ86</f>
        <v>29.9762237762238</v>
      </c>
      <c r="AI85" s="2" t="n">
        <f aca="false">AH85-calcs!$E$10</f>
        <v>-117.495710955711</v>
      </c>
      <c r="AJ85" s="0" t="str">
        <f aca="false">WRs!A88</f>
        <v>Andre Rison</v>
      </c>
      <c r="AK85" s="1" t="str">
        <f aca="false">WRs!B88</f>
        <v>KC</v>
      </c>
      <c r="AL85" s="2" t="n">
        <f aca="false">WRs!AJ88</f>
        <v>59.3075630252101</v>
      </c>
      <c r="AM85" s="2" t="n">
        <f aca="false">AL85-calcs!$E$11</f>
        <v>-85.8282497826717</v>
      </c>
      <c r="AY85" s="1" t="n">
        <v>83</v>
      </c>
      <c r="AZ85" s="0" t="str">
        <f aca="false">RBs!A26</f>
        <v>Warrick Dunn</v>
      </c>
      <c r="BA85" s="1" t="str">
        <f aca="false">RBs!B26</f>
        <v>TB</v>
      </c>
      <c r="BB85" s="1" t="s">
        <v>9</v>
      </c>
      <c r="BC85" s="2" t="n">
        <f aca="false">RBs!AJ26-calcs!$E$10</f>
        <v>6.48051282051276</v>
      </c>
    </row>
    <row r="86" customFormat="false" ht="12.75" hidden="false" customHeight="false" outlineLevel="0" collapsed="false">
      <c r="AA86" s="1" t="n">
        <v>84</v>
      </c>
      <c r="AF86" s="0" t="str">
        <f aca="false">RBs!A87</f>
        <v>Ahman Green</v>
      </c>
      <c r="AG86" s="1" t="str">
        <f aca="false">RBs!B87</f>
        <v>GB</v>
      </c>
      <c r="AH86" s="2" t="n">
        <f aca="false">RBs!AJ87</f>
        <v>29.3762237762238</v>
      </c>
      <c r="AI86" s="2" t="n">
        <f aca="false">AH86-calcs!$E$10</f>
        <v>-118.095710955711</v>
      </c>
      <c r="AJ86" s="0" t="str">
        <f aca="false">WRs!A89</f>
        <v>Jerry Porter</v>
      </c>
      <c r="AK86" s="1" t="str">
        <f aca="false">WRs!B89</f>
        <v>Oak</v>
      </c>
      <c r="AL86" s="2" t="n">
        <f aca="false">WRs!AJ89</f>
        <v>55.4075630252101</v>
      </c>
      <c r="AM86" s="2" t="n">
        <f aca="false">AL86-calcs!$E$11</f>
        <v>-89.7282497826717</v>
      </c>
      <c r="AY86" s="1" t="n">
        <v>84</v>
      </c>
      <c r="AZ86" s="0" t="str">
        <f aca="false">QBs!A16</f>
        <v>Brian Griese</v>
      </c>
      <c r="BA86" s="1" t="str">
        <f aca="false">QBs!B16</f>
        <v>Den</v>
      </c>
      <c r="BB86" s="1" t="s">
        <v>13</v>
      </c>
      <c r="BC86" s="2" t="n">
        <f aca="false">QBs!AL16-calcs!$E$9</f>
        <v>6.27046296468262</v>
      </c>
    </row>
    <row r="87" customFormat="false" ht="12.75" hidden="false" customHeight="false" outlineLevel="0" collapsed="false">
      <c r="AA87" s="1" t="n">
        <v>85</v>
      </c>
      <c r="AF87" s="0" t="str">
        <f aca="false">RBs!A88</f>
        <v>Eric Bieniemy</v>
      </c>
      <c r="AG87" s="1" t="str">
        <f aca="false">RBs!B88</f>
        <v>Phi</v>
      </c>
      <c r="AH87" s="2" t="n">
        <f aca="false">RBs!AJ88</f>
        <v>28.8762237762238</v>
      </c>
      <c r="AI87" s="2" t="n">
        <f aca="false">AH87-calcs!$E$10</f>
        <v>-118.595710955711</v>
      </c>
      <c r="AJ87" s="0" t="str">
        <f aca="false">WRs!A86</f>
        <v>Laveranues Coles</v>
      </c>
      <c r="AK87" s="1" t="str">
        <f aca="false">WRs!B86</f>
        <v>NYJ</v>
      </c>
      <c r="AL87" s="2" t="n">
        <f aca="false">WRs!AJ86</f>
        <v>53.9075630252101</v>
      </c>
      <c r="AM87" s="2" t="n">
        <f aca="false">AL87-calcs!$E$11</f>
        <v>-91.2282497826717</v>
      </c>
      <c r="AY87" s="1" t="n">
        <v>85</v>
      </c>
      <c r="AZ87" s="0" t="str">
        <f aca="false">WRs!A34</f>
        <v>Tim Dwight</v>
      </c>
      <c r="BA87" s="1" t="str">
        <f aca="false">WRs!B34</f>
        <v>Atl</v>
      </c>
      <c r="BB87" s="1" t="s">
        <v>18</v>
      </c>
      <c r="BC87" s="2" t="n">
        <f aca="false">WRs!AJ34-calcs!$E$11</f>
        <v>5.70704433497537</v>
      </c>
    </row>
    <row r="88" customFormat="false" ht="12.75" hidden="false" customHeight="false" outlineLevel="0" collapsed="false">
      <c r="AA88" s="1" t="n">
        <v>86</v>
      </c>
      <c r="AF88" s="0" t="str">
        <f aca="false">RBs!A89</f>
        <v>Rodney Thomas</v>
      </c>
      <c r="AG88" s="1" t="str">
        <f aca="false">RBs!B89</f>
        <v>Ten</v>
      </c>
      <c r="AH88" s="2" t="n">
        <f aca="false">RBs!AJ89</f>
        <v>28.7762237762238</v>
      </c>
      <c r="AI88" s="2" t="n">
        <f aca="false">AH88-calcs!$E$10</f>
        <v>-118.695710955711</v>
      </c>
      <c r="AJ88" s="0" t="str">
        <f aca="false">WRs!A92</f>
        <v>Troy Brown</v>
      </c>
      <c r="AK88" s="1" t="str">
        <f aca="false">WRs!B92</f>
        <v>NE</v>
      </c>
      <c r="AL88" s="2" t="n">
        <f aca="false">WRs!AJ92</f>
        <v>53.0075630252101</v>
      </c>
      <c r="AM88" s="2" t="n">
        <f aca="false">AL88-calcs!$E$11</f>
        <v>-92.1282497826717</v>
      </c>
      <c r="AY88" s="1" t="n">
        <v>86</v>
      </c>
      <c r="AZ88" s="0" t="str">
        <f aca="false">PKs!A6</f>
        <v>Jason Elam</v>
      </c>
      <c r="BA88" s="1" t="str">
        <f aca="false">PKs!B6</f>
        <v>Den</v>
      </c>
      <c r="BB88" s="1" t="s">
        <v>24</v>
      </c>
      <c r="BC88" s="2" t="n">
        <f aca="false">PKs!W6-calcs!$E$13</f>
        <v>5.6303531784458</v>
      </c>
    </row>
    <row r="89" customFormat="false" ht="12.75" hidden="false" customHeight="false" outlineLevel="0" collapsed="false">
      <c r="AA89" s="1" t="n">
        <v>87</v>
      </c>
      <c r="AF89" s="0" t="str">
        <f aca="false">RBs!A90</f>
        <v>Zack Crockett</v>
      </c>
      <c r="AG89" s="1" t="str">
        <f aca="false">RBs!B90</f>
        <v>Oak</v>
      </c>
      <c r="AH89" s="2" t="n">
        <f aca="false">RBs!AJ90</f>
        <v>28.7524475524476</v>
      </c>
      <c r="AI89" s="2" t="n">
        <f aca="false">AH89-calcs!$E$10</f>
        <v>-118.719487179487</v>
      </c>
      <c r="AJ89" s="0" t="str">
        <f aca="false">WRs!A87</f>
        <v>Chris Sanders</v>
      </c>
      <c r="AK89" s="1" t="str">
        <f aca="false">WRs!B87</f>
        <v>Ten</v>
      </c>
      <c r="AL89" s="2" t="n">
        <f aca="false">WRs!AJ87</f>
        <v>50.9075630252101</v>
      </c>
      <c r="AM89" s="2" t="n">
        <f aca="false">AL89-calcs!$E$11</f>
        <v>-94.2282497826717</v>
      </c>
      <c r="AY89" s="1" t="n">
        <v>87</v>
      </c>
      <c r="AZ89" s="0" t="str">
        <f aca="false">PKs!A4</f>
        <v>Mike Hollis</v>
      </c>
      <c r="BA89" s="1" t="str">
        <f aca="false">PKs!B4</f>
        <v>Jac</v>
      </c>
      <c r="BB89" s="1" t="s">
        <v>24</v>
      </c>
      <c r="BC89" s="2" t="n">
        <f aca="false">PKs!W4-calcs!$E$13</f>
        <v>5.24553769649138</v>
      </c>
    </row>
    <row r="90" customFormat="false" ht="12.75" hidden="false" customHeight="false" outlineLevel="0" collapsed="false">
      <c r="AA90" s="1" t="n">
        <v>88</v>
      </c>
      <c r="AF90" s="0" t="str">
        <f aca="false">RBs!A91</f>
        <v>Reggie Brown</v>
      </c>
      <c r="AG90" s="1" t="str">
        <f aca="false">RBs!B91</f>
        <v>Sea</v>
      </c>
      <c r="AH90" s="2" t="n">
        <f aca="false">RBs!AJ91</f>
        <v>27.25</v>
      </c>
      <c r="AI90" s="2" t="n">
        <f aca="false">AH90-calcs!$E$10</f>
        <v>-120.221934731935</v>
      </c>
      <c r="AJ90" s="0" t="str">
        <f aca="false">WRs!A95</f>
        <v>Trevor Gaylor</v>
      </c>
      <c r="AK90" s="1" t="str">
        <f aca="false">WRs!B95</f>
        <v>SD</v>
      </c>
      <c r="AL90" s="2" t="n">
        <f aca="false">WRs!AJ95</f>
        <v>50.9075630252101</v>
      </c>
      <c r="AM90" s="2" t="n">
        <f aca="false">AL90-calcs!$E$11</f>
        <v>-94.2282497826717</v>
      </c>
      <c r="AY90" s="1" t="n">
        <v>88</v>
      </c>
      <c r="AZ90" s="0" t="str">
        <f aca="false">Defs!A6</f>
        <v>Tennessee Titans </v>
      </c>
      <c r="BB90" s="1" t="s">
        <v>8</v>
      </c>
      <c r="BC90" s="2" t="n">
        <f aca="false">Defs!I6-calcs!$E$14</f>
        <v>5.06</v>
      </c>
    </row>
    <row r="91" customFormat="false" ht="12.75" hidden="false" customHeight="false" outlineLevel="0" collapsed="false">
      <c r="AA91" s="1" t="n">
        <v>89</v>
      </c>
      <c r="AF91" s="0" t="str">
        <f aca="false">RBs!A102</f>
        <v>Stacey Mack</v>
      </c>
      <c r="AG91" s="1" t="str">
        <f aca="false">RBs!B102</f>
        <v>Jac</v>
      </c>
      <c r="AH91" s="2" t="n">
        <f aca="false">RBs!AJ102</f>
        <v>25.9762237762238</v>
      </c>
      <c r="AI91" s="2" t="n">
        <f aca="false">AH91-calcs!$E$10</f>
        <v>-121.495710955711</v>
      </c>
      <c r="AJ91" s="0" t="str">
        <f aca="false">WRs!A94</f>
        <v>Jeremey McDaniel</v>
      </c>
      <c r="AK91" s="1" t="str">
        <f aca="false">WRs!B94</f>
        <v>Buf</v>
      </c>
      <c r="AL91" s="2" t="n">
        <f aca="false">WRs!AJ94</f>
        <v>49.453781512605</v>
      </c>
      <c r="AM91" s="2" t="n">
        <f aca="false">AL91-calcs!$E$11</f>
        <v>-95.6820312952767</v>
      </c>
      <c r="AY91" s="1" t="n">
        <v>89</v>
      </c>
      <c r="AZ91" s="0" t="str">
        <f aca="false">Defs!A8</f>
        <v>Seattle Seahawks </v>
      </c>
      <c r="BB91" s="1" t="s">
        <v>8</v>
      </c>
      <c r="BC91" s="2" t="n">
        <f aca="false">Defs!I8-calcs!$E$14</f>
        <v>4</v>
      </c>
    </row>
    <row r="92" customFormat="false" ht="12.75" hidden="false" customHeight="false" outlineLevel="0" collapsed="false">
      <c r="AA92" s="1" t="n">
        <v>90</v>
      </c>
      <c r="AF92" s="0" t="str">
        <f aca="false">RBs!A92</f>
        <v>Howard Griffith</v>
      </c>
      <c r="AG92" s="1" t="str">
        <f aca="false">RBs!B92</f>
        <v>Den</v>
      </c>
      <c r="AH92" s="2" t="n">
        <f aca="false">RBs!AJ92</f>
        <v>25.4</v>
      </c>
      <c r="AI92" s="2" t="n">
        <f aca="false">AH92-calcs!$E$10</f>
        <v>-122.071934731935</v>
      </c>
      <c r="AJ92" s="0" t="str">
        <f aca="false">WRs!A93</f>
        <v>Jerome Pathon</v>
      </c>
      <c r="AK92" s="1" t="str">
        <f aca="false">WRs!B93</f>
        <v>Ind</v>
      </c>
      <c r="AL92" s="2" t="n">
        <f aca="false">WRs!AJ93</f>
        <v>45.903781512605</v>
      </c>
      <c r="AM92" s="2" t="n">
        <f aca="false">AL92-calcs!$E$11</f>
        <v>-99.2320312952767</v>
      </c>
      <c r="AY92" s="1" t="n">
        <v>90</v>
      </c>
      <c r="AZ92" s="0" t="str">
        <f aca="false">QBs!A15</f>
        <v>Daunte Culpepper</v>
      </c>
      <c r="BA92" s="1" t="str">
        <f aca="false">QBs!B15</f>
        <v>Min</v>
      </c>
      <c r="BB92" s="1" t="s">
        <v>13</v>
      </c>
      <c r="BC92" s="2" t="n">
        <f aca="false">QBs!AL15-calcs!$E$9</f>
        <v>3.79236243245322</v>
      </c>
    </row>
    <row r="93" customFormat="false" ht="12.75" hidden="false" customHeight="false" outlineLevel="0" collapsed="false">
      <c r="AA93" s="1" t="n">
        <v>91</v>
      </c>
      <c r="AF93" s="0" t="str">
        <f aca="false">RBs!A81</f>
        <v>Doug Chapman</v>
      </c>
      <c r="AG93" s="1" t="str">
        <f aca="false">RBs!B81</f>
        <v>Min</v>
      </c>
      <c r="AH93" s="2" t="n">
        <f aca="false">RBs!AJ81</f>
        <v>24.6762237762238</v>
      </c>
      <c r="AI93" s="2" t="n">
        <f aca="false">AH93-calcs!$E$10</f>
        <v>-122.795710955711</v>
      </c>
      <c r="AJ93" s="0" t="str">
        <f aca="false">WRs!A96</f>
        <v>Windrell Hayes</v>
      </c>
      <c r="AK93" s="1" t="str">
        <f aca="false">WRs!B96</f>
        <v>NYJ</v>
      </c>
      <c r="AL93" s="2" t="n">
        <f aca="false">WRs!AJ96</f>
        <v>44.9075630252101</v>
      </c>
      <c r="AM93" s="2" t="n">
        <f aca="false">AL93-calcs!$E$11</f>
        <v>-100.228249782672</v>
      </c>
      <c r="AY93" s="1" t="n">
        <v>91</v>
      </c>
      <c r="AZ93" s="0" t="str">
        <f aca="false">PKs!A8</f>
        <v>Todd Peterson</v>
      </c>
      <c r="BA93" s="1" t="str">
        <f aca="false">PKs!B8</f>
        <v>Sea</v>
      </c>
      <c r="BB93" s="1" t="s">
        <v>24</v>
      </c>
      <c r="BC93" s="2" t="n">
        <f aca="false">PKs!W8-calcs!$E$13</f>
        <v>2.64797432382025</v>
      </c>
    </row>
    <row r="94" customFormat="false" ht="12.75" hidden="false" customHeight="false" outlineLevel="0" collapsed="false">
      <c r="AA94" s="1" t="n">
        <v>92</v>
      </c>
      <c r="AF94" s="0" t="str">
        <f aca="false">RBs!A93</f>
        <v>Bob Christian</v>
      </c>
      <c r="AG94" s="1" t="str">
        <f aca="false">RBs!B93</f>
        <v>Atl</v>
      </c>
      <c r="AH94" s="2" t="n">
        <f aca="false">RBs!AJ93</f>
        <v>24.5262237762238</v>
      </c>
      <c r="AI94" s="2" t="n">
        <f aca="false">AH94-calcs!$E$10</f>
        <v>-122.945710955711</v>
      </c>
      <c r="AJ94" s="0" t="str">
        <f aca="false">WRs!A97</f>
        <v>Lamar Thomas</v>
      </c>
      <c r="AK94" s="1" t="str">
        <f aca="false">WRs!B97</f>
        <v>Mia</v>
      </c>
      <c r="AL94" s="2" t="n">
        <f aca="false">WRs!AJ97</f>
        <v>43.7075630252101</v>
      </c>
      <c r="AM94" s="2" t="n">
        <f aca="false">AL94-calcs!$E$11</f>
        <v>-101.428249782672</v>
      </c>
      <c r="AY94" s="1" t="n">
        <v>92</v>
      </c>
      <c r="AZ94" s="0" t="str">
        <f aca="false">PKs!A7</f>
        <v>Jeff Wilkins</v>
      </c>
      <c r="BA94" s="1" t="str">
        <f aca="false">PKs!B7</f>
        <v>StL</v>
      </c>
      <c r="BB94" s="1" t="s">
        <v>24</v>
      </c>
      <c r="BC94" s="2" t="n">
        <f aca="false">PKs!W7-calcs!$E$13</f>
        <v>1.83125198220566</v>
      </c>
    </row>
    <row r="95" customFormat="false" ht="12.75" hidden="false" customHeight="false" outlineLevel="0" collapsed="false">
      <c r="AA95" s="1" t="n">
        <v>93</v>
      </c>
      <c r="AF95" s="0" t="str">
        <f aca="false">RBs!A94</f>
        <v>Fred McCrary</v>
      </c>
      <c r="AG95" s="1" t="str">
        <f aca="false">RBs!B94</f>
        <v>SD</v>
      </c>
      <c r="AH95" s="2" t="n">
        <f aca="false">RBs!AJ94</f>
        <v>24.3</v>
      </c>
      <c r="AI95" s="2" t="n">
        <f aca="false">AH95-calcs!$E$10</f>
        <v>-123.171934731935</v>
      </c>
      <c r="AJ95" s="0" t="str">
        <f aca="false">WRs!A100</f>
        <v>Bert Emanuel</v>
      </c>
      <c r="AK95" s="1" t="str">
        <f aca="false">WRs!B100</f>
        <v>Mia</v>
      </c>
      <c r="AL95" s="2" t="n">
        <f aca="false">WRs!AJ100</f>
        <v>40.9075630252101</v>
      </c>
      <c r="AM95" s="2" t="n">
        <f aca="false">AL95-calcs!$E$11</f>
        <v>-104.228249782672</v>
      </c>
      <c r="AY95" s="1" t="n">
        <v>93</v>
      </c>
      <c r="AZ95" s="0" t="str">
        <f aca="false">WRs!A41</f>
        <v>Derrick Alexander</v>
      </c>
      <c r="BA95" s="1" t="str">
        <f aca="false">WRs!B41</f>
        <v>KC</v>
      </c>
      <c r="BB95" s="1" t="s">
        <v>18</v>
      </c>
      <c r="BC95" s="2" t="n">
        <f aca="false">WRs!AJ41-calcs!$E$11</f>
        <v>1.74990147783251</v>
      </c>
    </row>
    <row r="96" customFormat="false" ht="12.75" hidden="false" customHeight="false" outlineLevel="0" collapsed="false">
      <c r="AA96" s="1" t="n">
        <v>94</v>
      </c>
      <c r="AF96" s="0" t="str">
        <f aca="false">RBs!A95</f>
        <v>Wilmont Perry</v>
      </c>
      <c r="AG96" s="1" t="str">
        <f aca="false">RBs!B95</f>
        <v>NO</v>
      </c>
      <c r="AH96" s="2" t="n">
        <f aca="false">RBs!AJ95</f>
        <v>23.3762237762238</v>
      </c>
      <c r="AI96" s="2" t="n">
        <f aca="false">AH96-calcs!$E$10</f>
        <v>-124.095710955711</v>
      </c>
      <c r="AJ96" s="0" t="str">
        <f aca="false">WRs!A98</f>
        <v>E.G. Green</v>
      </c>
      <c r="AK96" s="1" t="str">
        <f aca="false">WRs!B98</f>
        <v>Ind</v>
      </c>
      <c r="AL96" s="2" t="n">
        <f aca="false">WRs!AJ98</f>
        <v>39.703781512605</v>
      </c>
      <c r="AM96" s="2" t="n">
        <f aca="false">AL96-calcs!$E$11</f>
        <v>-105.432031295277</v>
      </c>
      <c r="AY96" s="1" t="n">
        <v>94</v>
      </c>
      <c r="AZ96" s="0" t="str">
        <f aca="false">RBs!A28</f>
        <v>J.J. Johnson</v>
      </c>
      <c r="BA96" s="1" t="str">
        <f aca="false">RBs!B28</f>
        <v>Mia</v>
      </c>
      <c r="BB96" s="1" t="s">
        <v>9</v>
      </c>
      <c r="BC96" s="2" t="n">
        <f aca="false">RBs!AJ28-calcs!$E$10</f>
        <v>1.6854079254079</v>
      </c>
    </row>
    <row r="97" customFormat="false" ht="12.75" hidden="false" customHeight="false" outlineLevel="0" collapsed="false">
      <c r="AA97" s="1" t="n">
        <v>95</v>
      </c>
      <c r="AF97" s="0" t="str">
        <f aca="false">RBs!A96</f>
        <v>Skip Hicks</v>
      </c>
      <c r="AG97" s="1" t="str">
        <f aca="false">RBs!B96</f>
        <v>Was</v>
      </c>
      <c r="AH97" s="2" t="n">
        <f aca="false">RBs!AJ96</f>
        <v>21.8262237762238</v>
      </c>
      <c r="AI97" s="2" t="n">
        <f aca="false">AH97-calcs!$E$10</f>
        <v>-125.645710955711</v>
      </c>
      <c r="AJ97" s="0" t="str">
        <f aca="false">WRs!A101</f>
        <v>Jajuan Dawson</v>
      </c>
      <c r="AK97" s="1" t="str">
        <f aca="false">WRs!B101</f>
        <v>Cle</v>
      </c>
      <c r="AL97" s="2" t="n">
        <f aca="false">WRs!AJ101</f>
        <v>38.253781512605</v>
      </c>
      <c r="AM97" s="2" t="n">
        <f aca="false">AL97-calcs!$E$11</f>
        <v>-106.882031295277</v>
      </c>
      <c r="AY97" s="1" t="n">
        <v>95</v>
      </c>
      <c r="AZ97" s="0" t="str">
        <f aca="false">PKs!A11</f>
        <v>Sebastian Janikowski</v>
      </c>
      <c r="BA97" s="1" t="str">
        <f aca="false">PKs!B11</f>
        <v>Oak</v>
      </c>
      <c r="BB97" s="1" t="s">
        <v>24</v>
      </c>
      <c r="BC97" s="2" t="n">
        <f aca="false">PKs!W11-calcs!$E$13</f>
        <v>1.64797432382025</v>
      </c>
    </row>
    <row r="98" customFormat="false" ht="12.75" hidden="false" customHeight="false" outlineLevel="0" collapsed="false">
      <c r="AA98" s="1" t="n">
        <v>96</v>
      </c>
      <c r="AF98" s="0" t="str">
        <f aca="false">RBs!A97</f>
        <v>Joe Montgomery</v>
      </c>
      <c r="AG98" s="1" t="str">
        <f aca="false">RBs!B97</f>
        <v>NYG</v>
      </c>
      <c r="AH98" s="2" t="n">
        <f aca="false">RBs!AJ97</f>
        <v>18.3262237762238</v>
      </c>
      <c r="AI98" s="2" t="n">
        <f aca="false">AH98-calcs!$E$10</f>
        <v>-129.145710955711</v>
      </c>
      <c r="AJ98" s="0" t="str">
        <f aca="false">WRs!A105</f>
        <v>Irving Fryar</v>
      </c>
      <c r="AK98" s="1" t="str">
        <f aca="false">WRs!B105</f>
        <v>Was</v>
      </c>
      <c r="AL98" s="2" t="n">
        <f aca="false">WRs!AJ105</f>
        <v>38.1075630252101</v>
      </c>
      <c r="AM98" s="2" t="n">
        <f aca="false">AL98-calcs!$E$11</f>
        <v>-107.028249782672</v>
      </c>
      <c r="AY98" s="1" t="n">
        <v>96</v>
      </c>
      <c r="AZ98" s="0" t="str">
        <f aca="false">PKs!A10</f>
        <v>Martin Gramatica</v>
      </c>
      <c r="BA98" s="1" t="str">
        <f aca="false">PKs!B10</f>
        <v>TB</v>
      </c>
      <c r="BB98" s="1" t="s">
        <v>24</v>
      </c>
      <c r="BC98" s="2" t="n">
        <f aca="false">PKs!W10-calcs!$E$13</f>
        <v>1.6303531784458</v>
      </c>
    </row>
    <row r="99" customFormat="false" ht="12.75" hidden="false" customHeight="false" outlineLevel="0" collapsed="false">
      <c r="AA99" s="1" t="n">
        <v>97</v>
      </c>
      <c r="AF99" s="0" t="str">
        <f aca="false">RBs!A98</f>
        <v>Tony Carter</v>
      </c>
      <c r="AG99" s="1" t="str">
        <f aca="false">RBs!B98</f>
        <v>NE</v>
      </c>
      <c r="AH99" s="2" t="n">
        <f aca="false">RBs!AJ98</f>
        <v>15.76</v>
      </c>
      <c r="AI99" s="2" t="n">
        <f aca="false">AH99-calcs!$E$10</f>
        <v>-131.711934731935</v>
      </c>
      <c r="AJ99" s="0" t="str">
        <f aca="false">WRs!A103</f>
        <v>Sylvester Morris</v>
      </c>
      <c r="AK99" s="1" t="str">
        <f aca="false">WRs!B103</f>
        <v>KC</v>
      </c>
      <c r="AL99" s="2" t="n">
        <f aca="false">WRs!AJ103</f>
        <v>37.453781512605</v>
      </c>
      <c r="AM99" s="2" t="n">
        <f aca="false">AL99-calcs!$E$11</f>
        <v>-107.682031295277</v>
      </c>
      <c r="AY99" s="1" t="n">
        <v>97</v>
      </c>
      <c r="AZ99" s="0" t="str">
        <f aca="false">WRs!A36</f>
        <v>Ike Hilliard</v>
      </c>
      <c r="BA99" s="1" t="str">
        <f aca="false">WRs!B36</f>
        <v>NYG</v>
      </c>
      <c r="BB99" s="1" t="s">
        <v>18</v>
      </c>
      <c r="BC99" s="2" t="n">
        <f aca="false">WRs!AJ36-calcs!$E$11</f>
        <v>0.993094755143488</v>
      </c>
    </row>
    <row r="100" customFormat="false" ht="12.75" hidden="false" customHeight="false" outlineLevel="0" collapsed="false">
      <c r="AA100" s="1" t="n">
        <v>98</v>
      </c>
      <c r="AF100" s="0" t="str">
        <f aca="false">RBs!A105</f>
        <v>Jay Graham</v>
      </c>
      <c r="AG100" s="1" t="str">
        <f aca="false">RBs!B105</f>
        <v>Bal</v>
      </c>
      <c r="AH100" s="2" t="n">
        <f aca="false">RBs!AJ105</f>
        <v>14.25</v>
      </c>
      <c r="AI100" s="2" t="n">
        <f aca="false">AH100-calcs!$E$10</f>
        <v>-133.221934731935</v>
      </c>
      <c r="AJ100" s="0" t="str">
        <f aca="false">WRs!A104</f>
        <v>Reidel Anthony</v>
      </c>
      <c r="AK100" s="1" t="str">
        <f aca="false">WRs!B104</f>
        <v>TB</v>
      </c>
      <c r="AL100" s="2" t="n">
        <f aca="false">WRs!AJ104</f>
        <v>37.453781512605</v>
      </c>
      <c r="AM100" s="2" t="n">
        <f aca="false">AL100-calcs!$E$11</f>
        <v>-107.682031295277</v>
      </c>
      <c r="AY100" s="1" t="n">
        <v>98</v>
      </c>
      <c r="AZ100" s="0" t="str">
        <f aca="false">WRs!A32</f>
        <v>Wayne Chrebet</v>
      </c>
      <c r="BA100" s="1" t="str">
        <f aca="false">WRs!B32</f>
        <v>NYJ</v>
      </c>
      <c r="BB100" s="1" t="s">
        <v>18</v>
      </c>
      <c r="BC100" s="2" t="n">
        <f aca="false">WRs!AJ32-calcs!$E$11</f>
        <v>0.300049261083728</v>
      </c>
    </row>
    <row r="101" customFormat="false" ht="12.75" hidden="false" customHeight="false" outlineLevel="0" collapsed="false">
      <c r="AA101" s="1" t="n">
        <v>99</v>
      </c>
      <c r="AF101" s="0" t="str">
        <f aca="false">RBs!A49</f>
        <v>Michael Basnight</v>
      </c>
      <c r="AG101" s="1" t="str">
        <f aca="false">RBs!B49</f>
        <v>Cin</v>
      </c>
      <c r="AH101" s="2" t="n">
        <f aca="false">RBs!AJ49</f>
        <v>14</v>
      </c>
      <c r="AI101" s="2" t="n">
        <f aca="false">AH101-calcs!$E$10</f>
        <v>-133.471934731935</v>
      </c>
      <c r="AJ101" s="0" t="str">
        <f aca="false">WRs!A106</f>
        <v>Na Brown</v>
      </c>
      <c r="AK101" s="1" t="str">
        <f aca="false">WRs!B106</f>
        <v>Phi</v>
      </c>
      <c r="AL101" s="2" t="n">
        <f aca="false">WRs!AJ106</f>
        <v>34.953781512605</v>
      </c>
      <c r="AM101" s="2" t="n">
        <f aca="false">AL101-calcs!$E$11</f>
        <v>-110.182031295277</v>
      </c>
      <c r="AY101" s="1" t="n">
        <v>99</v>
      </c>
      <c r="AZ101" s="0" t="str">
        <f aca="false">TEs!A13</f>
        <v>Stephen Alexander</v>
      </c>
      <c r="BA101" s="1" t="str">
        <f aca="false">TEs!B13</f>
        <v>Was</v>
      </c>
      <c r="BB101" s="1" t="str">
        <f aca="false">IF($I$30=0,"WR","TE")</f>
        <v>TE</v>
      </c>
      <c r="BC101" s="2" t="n">
        <f aca="false">TEs!T13-calcs!$E$12</f>
        <v>0.282424242424248</v>
      </c>
    </row>
    <row r="102" customFormat="false" ht="12.75" hidden="false" customHeight="false" outlineLevel="0" collapsed="false">
      <c r="AA102" s="1" t="n">
        <v>100</v>
      </c>
      <c r="AF102" s="0" t="str">
        <f aca="false">RBs!A99</f>
        <v>Frank Murphy</v>
      </c>
      <c r="AG102" s="1" t="str">
        <f aca="false">RBs!B99</f>
        <v>Chi</v>
      </c>
      <c r="AH102" s="2" t="n">
        <f aca="false">RBs!AJ99</f>
        <v>11</v>
      </c>
      <c r="AI102" s="2" t="n">
        <f aca="false">AH102-calcs!$E$10</f>
        <v>-136.471934731935</v>
      </c>
      <c r="AJ102" s="0" t="str">
        <f aca="false">WRs!A99</f>
        <v>Charlie Jones</v>
      </c>
      <c r="AK102" s="1" t="str">
        <f aca="false">WRs!B99</f>
        <v>SD</v>
      </c>
      <c r="AL102" s="2" t="n">
        <f aca="false">WRs!AJ99</f>
        <v>34.453781512605</v>
      </c>
      <c r="AM102" s="2" t="n">
        <f aca="false">AL102-calcs!$E$11</f>
        <v>-110.682031295277</v>
      </c>
      <c r="AY102" s="1" t="n">
        <v>100</v>
      </c>
      <c r="AZ102" s="0" t="str">
        <f aca="false">WRs!A39</f>
        <v>Peerless Price</v>
      </c>
      <c r="BA102" s="1" t="str">
        <f aca="false">WRs!B39</f>
        <v>Buf</v>
      </c>
      <c r="BB102" s="1" t="s">
        <v>18</v>
      </c>
      <c r="BC102" s="2" t="n">
        <f aca="false">WRs!AJ39-calcs!$E$11</f>
        <v>-0.650098522167468</v>
      </c>
    </row>
    <row r="103" customFormat="false" ht="12.75" hidden="false" customHeight="false" outlineLevel="0" collapsed="false">
      <c r="AA103" s="1" t="n">
        <v>101</v>
      </c>
      <c r="AF103" s="0" t="str">
        <f aca="false">RBs!A100</f>
        <v>Daimon Shelton</v>
      </c>
      <c r="AG103" s="1" t="str">
        <f aca="false">RBs!B100</f>
        <v>Jac</v>
      </c>
      <c r="AH103" s="2" t="n">
        <f aca="false">RBs!AJ100</f>
        <v>10.45</v>
      </c>
      <c r="AI103" s="2" t="n">
        <f aca="false">AH103-calcs!$E$10</f>
        <v>-137.021934731935</v>
      </c>
      <c r="AJ103" s="0" t="str">
        <f aca="false">WRs!A107</f>
        <v>James McKnight</v>
      </c>
      <c r="AK103" s="1" t="str">
        <f aca="false">WRs!B107</f>
        <v>Dal</v>
      </c>
      <c r="AL103" s="2" t="n">
        <f aca="false">WRs!AJ107</f>
        <v>34.453781512605</v>
      </c>
      <c r="AM103" s="2" t="n">
        <f aca="false">AL103-calcs!$E$11</f>
        <v>-110.682031295277</v>
      </c>
      <c r="AY103" s="1" t="n">
        <v>101</v>
      </c>
      <c r="AZ103" s="0" t="str">
        <f aca="false">QBs!A19</f>
        <v>Troy Aikman</v>
      </c>
      <c r="BA103" s="1" t="str">
        <f aca="false">QBs!B19</f>
        <v>Dal</v>
      </c>
      <c r="BB103" s="1" t="s">
        <v>13</v>
      </c>
      <c r="BC103" s="2" t="n">
        <f aca="false">QBs!AL19-calcs!$E$9</f>
        <v>-1.5958741139691</v>
      </c>
    </row>
    <row r="104" customFormat="false" ht="12.75" hidden="false" customHeight="false" outlineLevel="0" collapsed="false">
      <c r="AA104" s="1" t="n">
        <v>102</v>
      </c>
      <c r="AF104" s="0" t="str">
        <f aca="false">RBs!A101</f>
        <v>Jon Witman</v>
      </c>
      <c r="AG104" s="1" t="str">
        <f aca="false">RBs!B101</f>
        <v>Pit</v>
      </c>
      <c r="AH104" s="2" t="n">
        <f aca="false">RBs!AJ101</f>
        <v>9.8</v>
      </c>
      <c r="AI104" s="2" t="n">
        <f aca="false">AH104-calcs!$E$10</f>
        <v>-137.671934731935</v>
      </c>
      <c r="AJ104" s="0" t="str">
        <f aca="false">WRs!A77</f>
        <v>Pat Johnson</v>
      </c>
      <c r="AK104" s="1" t="str">
        <f aca="false">WRs!B77</f>
        <v>Bal</v>
      </c>
      <c r="AL104" s="2" t="n">
        <f aca="false">WRs!AJ77</f>
        <v>34.253781512605</v>
      </c>
      <c r="AM104" s="2" t="n">
        <f aca="false">AL104-calcs!$E$11</f>
        <v>-110.882031295277</v>
      </c>
      <c r="AY104" s="1" t="n">
        <v>102</v>
      </c>
      <c r="AZ104" s="0" t="str">
        <f aca="false">Defs!A11</f>
        <v>Miami Dolphins </v>
      </c>
      <c r="BB104" s="1" t="s">
        <v>8</v>
      </c>
      <c r="BC104" s="2" t="n">
        <f aca="false">Defs!I11-calcs!$E$14</f>
        <v>-1.84</v>
      </c>
    </row>
    <row r="105" customFormat="false" ht="12.75" hidden="false" customHeight="false" outlineLevel="0" collapsed="false">
      <c r="AA105" s="1" t="n">
        <v>103</v>
      </c>
      <c r="AF105" s="0" t="str">
        <f aca="false">RBs!A103</f>
        <v>Keith Elias</v>
      </c>
      <c r="AG105" s="1" t="str">
        <f aca="false">RBs!B103</f>
        <v>Ind</v>
      </c>
      <c r="AH105" s="2" t="n">
        <f aca="false">RBs!AJ103</f>
        <v>9.35</v>
      </c>
      <c r="AI105" s="2" t="n">
        <f aca="false">AH105-calcs!$E$10</f>
        <v>-138.121934731935</v>
      </c>
      <c r="AJ105" s="0" t="str">
        <f aca="false">WRs!A110</f>
        <v>Willie Jackson</v>
      </c>
      <c r="AK105" s="1" t="str">
        <f aca="false">WRs!B110</f>
        <v>NO</v>
      </c>
      <c r="AL105" s="2" t="n">
        <f aca="false">WRs!AJ110</f>
        <v>33.453781512605</v>
      </c>
      <c r="AM105" s="2" t="n">
        <f aca="false">AL105-calcs!$E$11</f>
        <v>-111.682031295277</v>
      </c>
      <c r="AY105" s="1" t="n">
        <v>103</v>
      </c>
      <c r="AZ105" s="0" t="str">
        <f aca="false">WRs!A38</f>
        <v>Rod Smith</v>
      </c>
      <c r="BA105" s="1" t="str">
        <f aca="false">WRs!B38</f>
        <v>Den</v>
      </c>
      <c r="BB105" s="1" t="s">
        <v>18</v>
      </c>
      <c r="BC105" s="2" t="n">
        <f aca="false">WRs!AJ38-calcs!$E$11</f>
        <v>-2.04995073891624</v>
      </c>
    </row>
    <row r="106" customFormat="false" ht="12.75" hidden="false" customHeight="false" outlineLevel="0" collapsed="false">
      <c r="AA106" s="1" t="n">
        <v>104</v>
      </c>
      <c r="AF106" s="0" t="str">
        <f aca="false">RBs!A104</f>
        <v>Joel Mackovicka</v>
      </c>
      <c r="AG106" s="1" t="str">
        <f aca="false">RBs!B104</f>
        <v>Ari</v>
      </c>
      <c r="AH106" s="2" t="n">
        <f aca="false">RBs!AJ104</f>
        <v>9</v>
      </c>
      <c r="AI106" s="2" t="n">
        <f aca="false">AH106-calcs!$E$10</f>
        <v>-138.471934731935</v>
      </c>
      <c r="AJ106" s="0" t="str">
        <f aca="false">WRs!A102</f>
        <v>Chris Brazzell</v>
      </c>
      <c r="AK106" s="1" t="str">
        <f aca="false">WRs!B102</f>
        <v>Dal</v>
      </c>
      <c r="AL106" s="2" t="n">
        <f aca="false">WRs!AJ102</f>
        <v>31.453781512605</v>
      </c>
      <c r="AM106" s="2" t="n">
        <f aca="false">AL106-calcs!$E$11</f>
        <v>-113.682031295277</v>
      </c>
      <c r="AY106" s="1" t="n">
        <v>104</v>
      </c>
      <c r="AZ106" s="0" t="str">
        <f aca="false">TEs!A14</f>
        <v>David Sloan</v>
      </c>
      <c r="BA106" s="1" t="str">
        <f aca="false">TEs!B14</f>
        <v>Det</v>
      </c>
      <c r="BB106" s="1" t="str">
        <f aca="false">IF($I$30=0,"WR","TE")</f>
        <v>TE</v>
      </c>
      <c r="BC106" s="2" t="n">
        <f aca="false">TEs!T14-calcs!$E$12</f>
        <v>-2.35757575757575</v>
      </c>
    </row>
    <row r="107" customFormat="false" ht="12.75" hidden="false" customHeight="false" outlineLevel="0" collapsed="false">
      <c r="AA107" s="1" t="n">
        <v>105</v>
      </c>
      <c r="AF107" s="0" t="str">
        <f aca="false">RBs!A106</f>
        <v>Rabih Abdullah</v>
      </c>
      <c r="AG107" s="1" t="str">
        <f aca="false">RBs!B106</f>
        <v>TB</v>
      </c>
      <c r="AH107" s="2" t="n">
        <f aca="false">RBs!AJ106</f>
        <v>6.65</v>
      </c>
      <c r="AI107" s="2" t="n">
        <f aca="false">AH107-calcs!$E$10</f>
        <v>-140.821934731935</v>
      </c>
      <c r="AJ107" s="0" t="str">
        <f aca="false">WRs!A113</f>
        <v>Dez White</v>
      </c>
      <c r="AK107" s="1" t="str">
        <f aca="false">WRs!B113</f>
        <v>Chi</v>
      </c>
      <c r="AL107" s="2" t="n">
        <f aca="false">WRs!AJ113</f>
        <v>31.453781512605</v>
      </c>
      <c r="AM107" s="2" t="n">
        <f aca="false">AL107-calcs!$E$11</f>
        <v>-113.682031295277</v>
      </c>
      <c r="AY107" s="1" t="n">
        <v>105</v>
      </c>
      <c r="AZ107" s="0" t="str">
        <f aca="false">PKs!A14</f>
        <v>Olindo Mare</v>
      </c>
      <c r="BA107" s="1" t="str">
        <f aca="false">PKs!B14</f>
        <v>Mia</v>
      </c>
      <c r="BB107" s="1" t="s">
        <v>24</v>
      </c>
      <c r="BC107" s="2" t="n">
        <f aca="false">PKs!W14-calcs!$E$13</f>
        <v>-2.3696468215542</v>
      </c>
    </row>
    <row r="108" customFormat="false" ht="12.75" hidden="false" customHeight="false" outlineLevel="0" collapsed="false">
      <c r="AA108" s="1" t="n">
        <v>106</v>
      </c>
      <c r="AF108" s="0" t="str">
        <f aca="false">RBs!A107</f>
        <v>Reuben Droughns</v>
      </c>
      <c r="AG108" s="1" t="str">
        <f aca="false">RBs!B107</f>
        <v>Det</v>
      </c>
      <c r="AH108" s="2" t="n">
        <f aca="false">RBs!AJ107</f>
        <v>6.48</v>
      </c>
      <c r="AI108" s="2" t="n">
        <f aca="false">AH108-calcs!$E$10</f>
        <v>-140.991934731935</v>
      </c>
      <c r="AJ108" s="0" t="str">
        <f aca="false">WRs!A114</f>
        <v>Jason Tucker</v>
      </c>
      <c r="AK108" s="1" t="str">
        <f aca="false">WRs!B114</f>
        <v>Dal</v>
      </c>
      <c r="AL108" s="2" t="n">
        <f aca="false">WRs!AJ114</f>
        <v>31.453781512605</v>
      </c>
      <c r="AM108" s="2" t="n">
        <f aca="false">AL108-calcs!$E$11</f>
        <v>-113.682031295277</v>
      </c>
      <c r="AY108" s="1" t="n">
        <v>106</v>
      </c>
      <c r="AZ108" s="0" t="str">
        <f aca="false">WRs!A40</f>
        <v>Bill Schroeder</v>
      </c>
      <c r="BA108" s="1" t="str">
        <f aca="false">WRs!B40</f>
        <v>GB</v>
      </c>
      <c r="BB108" s="1" t="s">
        <v>18</v>
      </c>
      <c r="BC108" s="2" t="n">
        <f aca="false">WRs!AJ40-calcs!$E$11</f>
        <v>-2.46312373225152</v>
      </c>
    </row>
    <row r="109" customFormat="false" ht="12.75" hidden="false" customHeight="false" outlineLevel="0" collapsed="false">
      <c r="AA109" s="1" t="n">
        <v>107</v>
      </c>
      <c r="AF109" s="0" t="str">
        <f aca="false">RBs!A108</f>
        <v>Amos Zereoue</v>
      </c>
      <c r="AG109" s="1" t="str">
        <f aca="false">RBs!B108</f>
        <v>Pit</v>
      </c>
      <c r="AH109" s="2" t="n">
        <f aca="false">RBs!AJ108</f>
        <v>6.2</v>
      </c>
      <c r="AI109" s="2" t="n">
        <f aca="false">AH109-calcs!$E$10</f>
        <v>-141.271934731935</v>
      </c>
      <c r="AJ109" s="0" t="str">
        <f aca="false">WRs!A115</f>
        <v>Macey Brooks</v>
      </c>
      <c r="AK109" s="1" t="str">
        <f aca="false">WRs!B115</f>
        <v>Chi</v>
      </c>
      <c r="AL109" s="2" t="n">
        <f aca="false">WRs!AJ115</f>
        <v>31.4075630252101</v>
      </c>
      <c r="AM109" s="2" t="n">
        <f aca="false">AL109-calcs!$E$11</f>
        <v>-113.728249782672</v>
      </c>
      <c r="AY109" s="1" t="n">
        <v>107</v>
      </c>
      <c r="AZ109" s="0" t="str">
        <f aca="false">Defs!A10</f>
        <v>Oakland Raiders </v>
      </c>
      <c r="BB109" s="1" t="s">
        <v>8</v>
      </c>
      <c r="BC109" s="2" t="n">
        <f aca="false">Defs!I10-calcs!$E$14</f>
        <v>-2.62</v>
      </c>
    </row>
    <row r="110" customFormat="false" ht="12.75" hidden="false" customHeight="false" outlineLevel="0" collapsed="false">
      <c r="AA110" s="1" t="n">
        <v>108</v>
      </c>
      <c r="AF110" s="0" t="str">
        <f aca="false">RBs!A109</f>
        <v>Lorenzo Neal</v>
      </c>
      <c r="AG110" s="1" t="str">
        <f aca="false">RBs!B109</f>
        <v>Ten</v>
      </c>
      <c r="AH110" s="2" t="n">
        <f aca="false">RBs!AJ109</f>
        <v>5.95</v>
      </c>
      <c r="AI110" s="2" t="n">
        <f aca="false">AH110-calcs!$E$10</f>
        <v>-141.521934731935</v>
      </c>
      <c r="AJ110" s="0" t="str">
        <f aca="false">WRs!A116</f>
        <v>Ricky Proehl</v>
      </c>
      <c r="AK110" s="1" t="str">
        <f aca="false">WRs!B116</f>
        <v>StL</v>
      </c>
      <c r="AL110" s="2" t="n">
        <f aca="false">WRs!AJ116</f>
        <v>29.453781512605</v>
      </c>
      <c r="AM110" s="2" t="n">
        <f aca="false">AL110-calcs!$E$11</f>
        <v>-115.682031295277</v>
      </c>
      <c r="AY110" s="1" t="n">
        <v>108</v>
      </c>
      <c r="AZ110" s="0" t="str">
        <f aca="false">QBs!A21</f>
        <v>Elvis Grbac</v>
      </c>
      <c r="BA110" s="1" t="str">
        <f aca="false">QBs!B21</f>
        <v>KC</v>
      </c>
      <c r="BB110" s="1" t="s">
        <v>13</v>
      </c>
      <c r="BC110" s="2" t="n">
        <f aca="false">QBs!AL21-calcs!$E$9</f>
        <v>-2.76243182592003</v>
      </c>
    </row>
    <row r="111" customFormat="false" ht="12.75" hidden="false" customHeight="false" outlineLevel="0" collapsed="false">
      <c r="AA111" s="1" t="n">
        <v>109</v>
      </c>
      <c r="AI111" s="2"/>
      <c r="AJ111" s="0" t="str">
        <f aca="false">WRs!A79</f>
        <v>Darrell Jackson</v>
      </c>
      <c r="AK111" s="1" t="str">
        <f aca="false">WRs!B79</f>
        <v>Sea</v>
      </c>
      <c r="AL111" s="2" t="n">
        <f aca="false">WRs!AJ79</f>
        <v>27.703781512605</v>
      </c>
      <c r="AM111" s="2" t="n">
        <f aca="false">AL111-calcs!$E$11</f>
        <v>-117.432031295277</v>
      </c>
      <c r="AY111" s="1" t="n">
        <v>109</v>
      </c>
      <c r="AZ111" s="0" t="str">
        <f aca="false">WRs!A37</f>
        <v>Bobby Engram</v>
      </c>
      <c r="BA111" s="1" t="str">
        <f aca="false">WRs!B37</f>
        <v>Chi</v>
      </c>
      <c r="BB111" s="1" t="s">
        <v>18</v>
      </c>
      <c r="BC111" s="2" t="n">
        <f aca="false">WRs!AJ37-calcs!$E$11</f>
        <v>-2.86690524485653</v>
      </c>
    </row>
    <row r="112" customFormat="false" ht="12.75" hidden="false" customHeight="false" outlineLevel="0" collapsed="false">
      <c r="AA112" s="1" t="n">
        <v>110</v>
      </c>
      <c r="AJ112" s="0" t="str">
        <f aca="false">WRs!A90</f>
        <v>Travis Taylor</v>
      </c>
      <c r="AK112" s="1" t="str">
        <f aca="false">WRs!B90</f>
        <v>Bal</v>
      </c>
      <c r="AL112" s="2" t="n">
        <f aca="false">WRs!AJ90</f>
        <v>27.5537815126051</v>
      </c>
      <c r="AM112" s="2" t="n">
        <f aca="false">AL112-calcs!$E$11</f>
        <v>-117.582031295277</v>
      </c>
      <c r="AY112" s="1" t="n">
        <v>110</v>
      </c>
      <c r="AZ112" s="0" t="str">
        <f aca="false">TEs!A15</f>
        <v>Ben Coates</v>
      </c>
      <c r="BA112" s="1" t="str">
        <f aca="false">TEs!B15</f>
        <v>Bal</v>
      </c>
      <c r="BB112" s="1" t="str">
        <f aca="false">IF($I$30=0,"WR","TE")</f>
        <v>TE</v>
      </c>
      <c r="BC112" s="2" t="n">
        <f aca="false">TEs!T15-calcs!$E$12</f>
        <v>-2.95757575757575</v>
      </c>
    </row>
    <row r="113" customFormat="false" ht="12.75" hidden="false" customHeight="false" outlineLevel="0" collapsed="false">
      <c r="AA113" s="1" t="n">
        <v>111</v>
      </c>
      <c r="AJ113" s="0" t="str">
        <f aca="false">WRs!A117</f>
        <v>Eddie Kennison</v>
      </c>
      <c r="AK113" s="1" t="str">
        <f aca="false">WRs!B117</f>
        <v>Chi</v>
      </c>
      <c r="AL113" s="2" t="n">
        <f aca="false">WRs!AJ117</f>
        <v>26.953781512605</v>
      </c>
      <c r="AM113" s="2" t="n">
        <f aca="false">AL113-calcs!$E$11</f>
        <v>-118.182031295277</v>
      </c>
      <c r="AY113" s="1" t="n">
        <v>111</v>
      </c>
      <c r="AZ113" s="0" t="str">
        <f aca="false">Defs!A20</f>
        <v>Carolina Panthers </v>
      </c>
      <c r="BB113" s="1" t="s">
        <v>8</v>
      </c>
      <c r="BC113" s="2" t="n">
        <f aca="false">Defs!I20-calcs!$E$14</f>
        <v>-3.22</v>
      </c>
    </row>
    <row r="114" customFormat="false" ht="12.75" hidden="false" customHeight="false" outlineLevel="0" collapsed="false">
      <c r="AA114" s="1" t="n">
        <v>112</v>
      </c>
      <c r="AJ114" s="0" t="str">
        <f aca="false">WRs!A118</f>
        <v>Avion Black</v>
      </c>
      <c r="AK114" s="1" t="str">
        <f aca="false">WRs!B118</f>
        <v>Buf</v>
      </c>
      <c r="AL114" s="2" t="n">
        <f aca="false">WRs!AJ118</f>
        <v>26.6537815126051</v>
      </c>
      <c r="AM114" s="2" t="n">
        <f aca="false">AL114-calcs!$E$11</f>
        <v>-118.482031295277</v>
      </c>
      <c r="AY114" s="1" t="n">
        <v>112</v>
      </c>
      <c r="AZ114" s="0" t="str">
        <f aca="false">PKs!A12</f>
        <v>Ryan Longwell</v>
      </c>
      <c r="BA114" s="1" t="str">
        <f aca="false">PKs!B12</f>
        <v>GB</v>
      </c>
      <c r="BB114" s="1" t="s">
        <v>24</v>
      </c>
      <c r="BC114" s="2" t="n">
        <f aca="false">PKs!W12-calcs!$E$13</f>
        <v>-3.46160516065149</v>
      </c>
    </row>
    <row r="115" customFormat="false" ht="12.75" hidden="false" customHeight="false" outlineLevel="0" collapsed="false">
      <c r="AA115" s="1" t="n">
        <v>113</v>
      </c>
      <c r="AJ115" s="0" t="str">
        <f aca="false">WRs!A119</f>
        <v>Courtney Hawkins</v>
      </c>
      <c r="AK115" s="1" t="str">
        <f aca="false">WRs!B119</f>
        <v>Pit</v>
      </c>
      <c r="AL115" s="2" t="n">
        <f aca="false">WRs!AJ119</f>
        <v>25.453781512605</v>
      </c>
      <c r="AM115" s="2" t="n">
        <f aca="false">AL115-calcs!$E$11</f>
        <v>-119.682031295277</v>
      </c>
      <c r="AY115" s="1" t="n">
        <v>113</v>
      </c>
      <c r="AZ115" s="0" t="str">
        <f aca="false">QBs!A22</f>
        <v>Drew Bledsoe</v>
      </c>
      <c r="BA115" s="1" t="str">
        <f aca="false">QBs!B22</f>
        <v>NE</v>
      </c>
      <c r="BB115" s="1" t="s">
        <v>13</v>
      </c>
      <c r="BC115" s="2" t="n">
        <f aca="false">QBs!AL22-calcs!$E$9</f>
        <v>-4.67458885071346</v>
      </c>
    </row>
    <row r="116" customFormat="false" ht="12.75" hidden="false" customHeight="false" outlineLevel="0" collapsed="false">
      <c r="AA116" s="1" t="n">
        <v>114</v>
      </c>
      <c r="AJ116" s="0" t="str">
        <f aca="false">WRs!A120</f>
        <v>Danny Farmer</v>
      </c>
      <c r="AK116" s="1" t="str">
        <f aca="false">WRs!B120</f>
        <v>Pit</v>
      </c>
      <c r="AL116" s="2" t="n">
        <f aca="false">WRs!AJ120</f>
        <v>25.453781512605</v>
      </c>
      <c r="AM116" s="2" t="n">
        <f aca="false">AL116-calcs!$E$11</f>
        <v>-119.682031295277</v>
      </c>
      <c r="AY116" s="1" t="n">
        <v>114</v>
      </c>
      <c r="AZ116" s="0" t="str">
        <f aca="false">PKs!A16</f>
        <v>Jason Hanson</v>
      </c>
      <c r="BA116" s="1" t="str">
        <f aca="false">PKs!B16</f>
        <v>Det</v>
      </c>
      <c r="BB116" s="1" t="s">
        <v>24</v>
      </c>
      <c r="BC116" s="2" t="n">
        <f aca="false">PKs!W16-calcs!$E$13</f>
        <v>-5.38726796692865</v>
      </c>
    </row>
    <row r="117" customFormat="false" ht="12.75" hidden="false" customHeight="false" outlineLevel="0" collapsed="false">
      <c r="AA117" s="1" t="n">
        <v>115</v>
      </c>
      <c r="AJ117" s="0" t="str">
        <f aca="false">WRs!A108</f>
        <v>Brett Bech</v>
      </c>
      <c r="AK117" s="1" t="str">
        <f aca="false">WRs!B108</f>
        <v>NO</v>
      </c>
      <c r="AL117" s="2" t="n">
        <f aca="false">WRs!AJ108</f>
        <v>24.953781512605</v>
      </c>
      <c r="AM117" s="2" t="n">
        <f aca="false">AL117-calcs!$E$11</f>
        <v>-120.182031295277</v>
      </c>
      <c r="AY117" s="1" t="n">
        <v>115</v>
      </c>
      <c r="AZ117" s="0" t="str">
        <f aca="false">TEs!A16</f>
        <v>Marcus Pollard</v>
      </c>
      <c r="BA117" s="1" t="str">
        <f aca="false">TEs!B16</f>
        <v>Ind</v>
      </c>
      <c r="BB117" s="1" t="str">
        <f aca="false">IF($I$30=0,"WR","TE")</f>
        <v>TE</v>
      </c>
      <c r="BC117" s="2" t="n">
        <f aca="false">TEs!T16-calcs!$E$12</f>
        <v>-5.75757575757576</v>
      </c>
    </row>
    <row r="118" customFormat="false" ht="12.75" hidden="false" customHeight="false" outlineLevel="0" collapsed="false">
      <c r="AA118" s="1" t="n">
        <v>116</v>
      </c>
      <c r="AJ118" s="0" t="str">
        <f aca="false">WRs!A121</f>
        <v>Tai Streets</v>
      </c>
      <c r="AK118" s="1" t="str">
        <f aca="false">WRs!B121</f>
        <v>SF</v>
      </c>
      <c r="AL118" s="2" t="n">
        <f aca="false">WRs!AJ121</f>
        <v>23.703781512605</v>
      </c>
      <c r="AM118" s="2" t="n">
        <f aca="false">AL118-calcs!$E$11</f>
        <v>-121.432031295277</v>
      </c>
      <c r="AY118" s="1" t="n">
        <v>116</v>
      </c>
      <c r="AZ118" s="0" t="str">
        <f aca="false">TEs!A17</f>
        <v>Greg Clark</v>
      </c>
      <c r="BA118" s="1" t="str">
        <f aca="false">TEs!B17</f>
        <v>SF</v>
      </c>
      <c r="BB118" s="1" t="str">
        <f aca="false">IF($I$30=0,"WR","TE")</f>
        <v>TE</v>
      </c>
      <c r="BC118" s="2" t="n">
        <f aca="false">TEs!T17-calcs!$E$12</f>
        <v>-6.43030303030303</v>
      </c>
    </row>
    <row r="119" customFormat="false" ht="12.75" hidden="false" customHeight="false" outlineLevel="0" collapsed="false">
      <c r="AA119" s="1" t="n">
        <v>117</v>
      </c>
      <c r="AJ119" s="0" t="str">
        <f aca="false">WRs!A123</f>
        <v>Jim Turner</v>
      </c>
      <c r="AK119" s="1" t="str">
        <f aca="false">WRs!B123</f>
        <v>Car</v>
      </c>
      <c r="AL119" s="2" t="n">
        <f aca="false">WRs!AJ123</f>
        <v>20.453781512605</v>
      </c>
      <c r="AM119" s="2" t="n">
        <f aca="false">AL119-calcs!$E$11</f>
        <v>-124.682031295277</v>
      </c>
      <c r="AY119" s="1" t="n">
        <v>117</v>
      </c>
      <c r="AZ119" s="0" t="str">
        <f aca="false">TEs!A22</f>
        <v>Tony McGee</v>
      </c>
      <c r="BA119" s="1" t="str">
        <f aca="false">TEs!B22</f>
        <v>Cin</v>
      </c>
      <c r="BB119" s="1" t="str">
        <f aca="false">IF($I$30=0,"WR","TE")</f>
        <v>TE</v>
      </c>
      <c r="BC119" s="2" t="n">
        <f aca="false">TEs!T22-calcs!$E$12</f>
        <v>-7.13030303030303</v>
      </c>
    </row>
    <row r="120" customFormat="false" ht="12.75" hidden="false" customHeight="false" outlineLevel="0" collapsed="false">
      <c r="AA120" s="1" t="n">
        <v>118</v>
      </c>
      <c r="AJ120" s="0" t="str">
        <f aca="false">WRs!A124</f>
        <v>Yatil Green</v>
      </c>
      <c r="AK120" s="1" t="str">
        <f aca="false">WRs!B124</f>
        <v>NYJ</v>
      </c>
      <c r="AL120" s="2" t="n">
        <f aca="false">WRs!AJ124</f>
        <v>20.453781512605</v>
      </c>
      <c r="AM120" s="2" t="n">
        <f aca="false">AL120-calcs!$E$11</f>
        <v>-124.682031295277</v>
      </c>
      <c r="AY120" s="1" t="n">
        <v>118</v>
      </c>
      <c r="AZ120" s="0" t="str">
        <f aca="false">QBs!A17</f>
        <v>Jon Kitna</v>
      </c>
      <c r="BA120" s="1" t="str">
        <f aca="false">QBs!B17</f>
        <v>Sea</v>
      </c>
      <c r="BB120" s="1" t="s">
        <v>13</v>
      </c>
      <c r="BC120" s="2" t="n">
        <f aca="false">QBs!AL17-calcs!$E$9</f>
        <v>-7.92548719160703</v>
      </c>
    </row>
    <row r="121" customFormat="false" ht="12.75" hidden="false" customHeight="false" outlineLevel="0" collapsed="false">
      <c r="AA121" s="1" t="n">
        <v>119</v>
      </c>
      <c r="AJ121" s="0" t="str">
        <f aca="false">WRs!A125</f>
        <v>Todd Pinkston</v>
      </c>
      <c r="AK121" s="1" t="str">
        <f aca="false">WRs!B125</f>
        <v>Phi</v>
      </c>
      <c r="AL121" s="2" t="n">
        <f aca="false">WRs!AJ125</f>
        <v>18</v>
      </c>
      <c r="AM121" s="2" t="n">
        <f aca="false">AL121-calcs!$E$11</f>
        <v>-127.135812807882</v>
      </c>
      <c r="AY121" s="1" t="n">
        <v>119</v>
      </c>
      <c r="AZ121" s="0" t="str">
        <f aca="false">TEs!A12</f>
        <v>Ken Dilger</v>
      </c>
      <c r="BA121" s="1" t="str">
        <f aca="false">TEs!B12</f>
        <v>Ind</v>
      </c>
      <c r="BB121" s="1" t="str">
        <f aca="false">IF($I$30=0,"WR","TE")</f>
        <v>TE</v>
      </c>
      <c r="BC121" s="2" t="n">
        <f aca="false">TEs!T12-calcs!$E$12</f>
        <v>-8.59030303030303</v>
      </c>
    </row>
    <row r="122" customFormat="false" ht="12.75" hidden="false" customHeight="false" outlineLevel="0" collapsed="false">
      <c r="AA122" s="1" t="n">
        <v>120</v>
      </c>
      <c r="AJ122" s="0" t="str">
        <f aca="false">WRs!A127</f>
        <v>D'Wayne Bates</v>
      </c>
      <c r="AK122" s="1" t="str">
        <f aca="false">WRs!B127</f>
        <v>Chi</v>
      </c>
      <c r="AL122" s="2" t="n">
        <f aca="false">WRs!AJ127</f>
        <v>17.453781512605</v>
      </c>
      <c r="AM122" s="2" t="n">
        <f aca="false">AL122-calcs!$E$11</f>
        <v>-127.682031295277</v>
      </c>
      <c r="AY122" s="1" t="n">
        <v>120</v>
      </c>
      <c r="AZ122" s="0" t="str">
        <f aca="false">Defs!A12</f>
        <v>Philadelphia Eagles </v>
      </c>
      <c r="BB122" s="1" t="s">
        <v>8</v>
      </c>
      <c r="BC122" s="2" t="n">
        <f aca="false">Defs!I12-calcs!$E$14</f>
        <v>-8.86</v>
      </c>
    </row>
    <row r="123" customFormat="false" ht="12.75" hidden="false" customHeight="false" outlineLevel="0" collapsed="false">
      <c r="AA123" s="1" t="n">
        <v>121</v>
      </c>
      <c r="AJ123" s="0" t="str">
        <f aca="false">WRs!A128</f>
        <v>Brian Stablein</v>
      </c>
      <c r="AK123" s="1" t="str">
        <f aca="false">WRs!B128</f>
        <v>Det</v>
      </c>
      <c r="AL123" s="2" t="n">
        <f aca="false">WRs!AJ128</f>
        <v>17.443781512605</v>
      </c>
      <c r="AM123" s="2" t="n">
        <f aca="false">AL123-calcs!$E$11</f>
        <v>-127.692031295277</v>
      </c>
      <c r="AY123" s="1" t="n">
        <v>121</v>
      </c>
      <c r="AZ123" s="0" t="str">
        <f aca="false">QBs!A18</f>
        <v>Kerry Collins</v>
      </c>
      <c r="BA123" s="1" t="str">
        <f aca="false">QBs!B18</f>
        <v>NYG</v>
      </c>
      <c r="BB123" s="1" t="s">
        <v>13</v>
      </c>
      <c r="BC123" s="2" t="n">
        <f aca="false">QBs!AL18-calcs!$E$9</f>
        <v>-9.43952579936234</v>
      </c>
    </row>
    <row r="124" customFormat="false" ht="12.75" hidden="false" customHeight="false" outlineLevel="0" collapsed="false">
      <c r="AA124" s="1" t="n">
        <v>122</v>
      </c>
      <c r="AJ124" s="0" t="str">
        <f aca="false">WRs!A112</f>
        <v>Isaac Byrd</v>
      </c>
      <c r="AK124" s="1" t="str">
        <f aca="false">WRs!B112</f>
        <v>Ten</v>
      </c>
      <c r="AL124" s="2" t="n">
        <f aca="false">WRs!AJ112</f>
        <v>16.6</v>
      </c>
      <c r="AM124" s="2" t="n">
        <f aca="false">AL124-calcs!$E$11</f>
        <v>-128.535812807882</v>
      </c>
      <c r="AY124" s="1" t="n">
        <v>122</v>
      </c>
      <c r="AZ124" s="0" t="str">
        <f aca="false">PKs!A26</f>
        <v>John Kasay</v>
      </c>
      <c r="BA124" s="1" t="str">
        <f aca="false">PKs!B26</f>
        <v>Car</v>
      </c>
      <c r="BB124" s="1" t="s">
        <v>24</v>
      </c>
      <c r="BC124" s="2" t="n">
        <f aca="false">PKs!W26-calcs!$E$13</f>
        <v>-9.45775254842643</v>
      </c>
    </row>
    <row r="125" customFormat="false" ht="12.75" hidden="false" customHeight="false" outlineLevel="0" collapsed="false">
      <c r="AA125" s="1" t="n">
        <v>123</v>
      </c>
      <c r="AJ125" s="0" t="str">
        <f aca="false">WRs!A126</f>
        <v>James Thrash</v>
      </c>
      <c r="AK125" s="1" t="str">
        <f aca="false">WRs!B126</f>
        <v>Was</v>
      </c>
      <c r="AL125" s="2" t="n">
        <f aca="false">WRs!AJ126</f>
        <v>16.2</v>
      </c>
      <c r="AM125" s="2" t="n">
        <f aca="false">AL125-calcs!$E$11</f>
        <v>-128.935812807882</v>
      </c>
      <c r="AY125" s="1" t="n">
        <v>123</v>
      </c>
      <c r="AZ125" s="0" t="str">
        <f aca="false">PKs!A15</f>
        <v>John Hall</v>
      </c>
      <c r="BA125" s="1" t="str">
        <f aca="false">PKs!B15</f>
        <v>NYJ</v>
      </c>
      <c r="BB125" s="1" t="s">
        <v>24</v>
      </c>
      <c r="BC125" s="2" t="n">
        <f aca="false">PKs!W15-calcs!$E$13</f>
        <v>-9.46160516065149</v>
      </c>
    </row>
    <row r="126" customFormat="false" ht="12.75" hidden="false" customHeight="false" outlineLevel="0" collapsed="false">
      <c r="AA126" s="1" t="n">
        <v>124</v>
      </c>
      <c r="AJ126" s="0" t="str">
        <f aca="false">WRs!A129</f>
        <v>Eugene Baker</v>
      </c>
      <c r="AK126" s="1" t="str">
        <f aca="false">WRs!B129</f>
        <v>Atl</v>
      </c>
      <c r="AL126" s="2" t="n">
        <f aca="false">WRs!AJ129</f>
        <v>14.5</v>
      </c>
      <c r="AM126" s="2" t="n">
        <f aca="false">AL126-calcs!$E$11</f>
        <v>-130.635812807882</v>
      </c>
      <c r="AY126" s="1" t="n">
        <v>124</v>
      </c>
      <c r="AZ126" s="0" t="str">
        <f aca="false">TEs!A18</f>
        <v>Christian Fauria</v>
      </c>
      <c r="BA126" s="1" t="str">
        <f aca="false">TEs!B18</f>
        <v>Sea</v>
      </c>
      <c r="BB126" s="1" t="str">
        <f aca="false">IF($I$30=0,"WR","TE")</f>
        <v>TE</v>
      </c>
      <c r="BC126" s="2" t="n">
        <f aca="false">TEs!T18-calcs!$E$12</f>
        <v>-9.83030303030303</v>
      </c>
    </row>
    <row r="127" customFormat="false" ht="12.75" hidden="false" customHeight="false" outlineLevel="0" collapsed="false">
      <c r="AA127" s="1" t="n">
        <v>125</v>
      </c>
      <c r="AJ127" s="0" t="str">
        <f aca="false">WRs!A130</f>
        <v>Reggie Barlow</v>
      </c>
      <c r="AK127" s="1" t="str">
        <f aca="false">WRs!B130</f>
        <v>Jac</v>
      </c>
      <c r="AL127" s="2" t="n">
        <f aca="false">WRs!AJ130</f>
        <v>13.7</v>
      </c>
      <c r="AM127" s="2" t="n">
        <f aca="false">AL127-calcs!$E$11</f>
        <v>-131.435812807882</v>
      </c>
      <c r="AY127" s="1" t="n">
        <v>125</v>
      </c>
      <c r="AZ127" s="0" t="str">
        <f aca="false">WRs!A49</f>
        <v>Sean Dawkins</v>
      </c>
      <c r="BA127" s="1" t="str">
        <f aca="false">WRs!B49</f>
        <v>Sea</v>
      </c>
      <c r="BB127" s="1" t="s">
        <v>18</v>
      </c>
      <c r="BC127" s="2" t="n">
        <f aca="false">WRs!AJ49-calcs!$E$11</f>
        <v>-10.1631237322515</v>
      </c>
    </row>
    <row r="128" customFormat="false" ht="12.75" hidden="false" customHeight="false" outlineLevel="0" collapsed="false">
      <c r="AA128" s="1" t="n">
        <v>126</v>
      </c>
      <c r="AJ128" s="0" t="str">
        <f aca="false">WRs!A122</f>
        <v>Terry Mickens</v>
      </c>
      <c r="AK128" s="1" t="str">
        <f aca="false">WRs!B122</f>
        <v>Oak</v>
      </c>
      <c r="AL128" s="2" t="n">
        <f aca="false">WRs!AJ122</f>
        <v>13.6</v>
      </c>
      <c r="AM128" s="2" t="n">
        <f aca="false">AL128-calcs!$E$11</f>
        <v>-131.535812807882</v>
      </c>
      <c r="AY128" s="1" t="n">
        <v>126</v>
      </c>
      <c r="AZ128" s="0" t="str">
        <f aca="false">PKs!A20</f>
        <v>Matt Stover</v>
      </c>
      <c r="BA128" s="1" t="str">
        <f aca="false">PKs!B20</f>
        <v>Bal</v>
      </c>
      <c r="BB128" s="1" t="s">
        <v>24</v>
      </c>
      <c r="BC128" s="2" t="n">
        <f aca="false">PKs!W20-calcs!$E$13</f>
        <v>-10.1687480177943</v>
      </c>
    </row>
    <row r="129" customFormat="false" ht="12.75" hidden="false" customHeight="false" outlineLevel="0" collapsed="false">
      <c r="AA129" s="1" t="n">
        <v>127</v>
      </c>
      <c r="AJ129" s="0" t="str">
        <f aca="false">WRs!A131</f>
        <v>Mikhael Ricks</v>
      </c>
      <c r="AK129" s="1" t="str">
        <f aca="false">WRs!B131</f>
        <v>SD</v>
      </c>
      <c r="AL129" s="2" t="n">
        <f aca="false">WRs!AJ131</f>
        <v>12.6</v>
      </c>
      <c r="AM129" s="2" t="n">
        <f aca="false">AL129-calcs!$E$11</f>
        <v>-132.535812807882</v>
      </c>
      <c r="AY129" s="1" t="n">
        <v>127</v>
      </c>
      <c r="AZ129" s="0" t="str">
        <f aca="false">TEs!A21</f>
        <v>Luther Broughton</v>
      </c>
      <c r="BA129" s="1" t="str">
        <f aca="false">TEs!B21</f>
        <v>Phi</v>
      </c>
      <c r="BB129" s="1" t="str">
        <f aca="false">IF($I$30=0,"WR","TE")</f>
        <v>TE</v>
      </c>
      <c r="BC129" s="2" t="n">
        <f aca="false">TEs!T21-calcs!$E$12</f>
        <v>-10.7575757575758</v>
      </c>
    </row>
    <row r="130" customFormat="false" ht="12.75" hidden="false" customHeight="false" outlineLevel="0" collapsed="false">
      <c r="AA130" s="1" t="n">
        <v>128</v>
      </c>
      <c r="AJ130" s="0" t="str">
        <f aca="false">WRs!A132</f>
        <v>Andy McCullough</v>
      </c>
      <c r="AK130" s="1" t="str">
        <f aca="false">WRs!B132</f>
        <v>Ari</v>
      </c>
      <c r="AL130" s="2" t="n">
        <f aca="false">WRs!AJ132</f>
        <v>12</v>
      </c>
      <c r="AM130" s="2" t="n">
        <f aca="false">AL130-calcs!$E$11</f>
        <v>-133.135812807882</v>
      </c>
      <c r="AY130" s="1" t="n">
        <v>128</v>
      </c>
      <c r="AZ130" s="0" t="str">
        <f aca="false">Defs!A17</f>
        <v>Chicago Bears </v>
      </c>
      <c r="BB130" s="1" t="s">
        <v>8</v>
      </c>
      <c r="BC130" s="2" t="n">
        <f aca="false">Defs!I17-calcs!$E$14</f>
        <v>-10.92</v>
      </c>
    </row>
    <row r="131" customFormat="false" ht="12.75" hidden="false" customHeight="false" outlineLevel="0" collapsed="false">
      <c r="AA131" s="1" t="n">
        <v>129</v>
      </c>
      <c r="AJ131" s="0" t="str">
        <f aca="false">WRs!A133</f>
        <v>Wane McGarity</v>
      </c>
      <c r="AK131" s="1" t="str">
        <f aca="false">WRs!B133</f>
        <v>Dal</v>
      </c>
      <c r="AL131" s="2" t="n">
        <f aca="false">WRs!AJ133</f>
        <v>12</v>
      </c>
      <c r="AM131" s="2" t="n">
        <f aca="false">AL131-calcs!$E$11</f>
        <v>-133.135812807882</v>
      </c>
      <c r="AY131" s="1" t="n">
        <v>129</v>
      </c>
      <c r="AZ131" s="0" t="str">
        <f aca="false">Defs!A14</f>
        <v>Kansas City Chiefs</v>
      </c>
      <c r="BB131" s="1" t="s">
        <v>8</v>
      </c>
      <c r="BC131" s="2" t="n">
        <f aca="false">Defs!I14-calcs!$E$14</f>
        <v>-11</v>
      </c>
    </row>
    <row r="132" customFormat="false" ht="12.75" hidden="false" customHeight="false" outlineLevel="0" collapsed="false">
      <c r="AA132" s="1" t="n">
        <v>130</v>
      </c>
      <c r="AJ132" s="0" t="str">
        <f aca="false">WRs!A134</f>
        <v>Chris Cole</v>
      </c>
      <c r="AK132" s="1" t="str">
        <f aca="false">WRs!B134</f>
        <v>Den</v>
      </c>
      <c r="AL132" s="2" t="n">
        <f aca="false">WRs!AJ134</f>
        <v>12</v>
      </c>
      <c r="AM132" s="2" t="n">
        <f aca="false">AL132-calcs!$E$11</f>
        <v>-133.135812807882</v>
      </c>
      <c r="AY132" s="1" t="n">
        <v>130</v>
      </c>
      <c r="AZ132" s="0" t="str">
        <f aca="false">WRs!A44</f>
        <v>Qadry Ismail</v>
      </c>
      <c r="BA132" s="1" t="str">
        <f aca="false">WRs!B44</f>
        <v>Bal</v>
      </c>
      <c r="BB132" s="1" t="s">
        <v>18</v>
      </c>
      <c r="BC132" s="2" t="n">
        <f aca="false">WRs!AJ44-calcs!$E$11</f>
        <v>-11.4131237322515</v>
      </c>
    </row>
    <row r="133" customFormat="false" ht="12.75" hidden="false" customHeight="false" outlineLevel="0" collapsed="false">
      <c r="AA133" s="1" t="n">
        <v>131</v>
      </c>
      <c r="AJ133" s="0" t="str">
        <f aca="false">WRs!A135</f>
        <v>Anthony Lucas</v>
      </c>
      <c r="AK133" s="1" t="str">
        <f aca="false">WRs!B135</f>
        <v>GB</v>
      </c>
      <c r="AL133" s="2" t="n">
        <f aca="false">WRs!AJ135</f>
        <v>12</v>
      </c>
      <c r="AM133" s="2" t="n">
        <f aca="false">AL133-calcs!$E$11</f>
        <v>-133.135812807882</v>
      </c>
      <c r="AY133" s="1" t="n">
        <v>131</v>
      </c>
      <c r="AZ133" s="0" t="str">
        <f aca="false">TEs!A20</f>
        <v>Byron Chamberlain</v>
      </c>
      <c r="BA133" s="1" t="str">
        <f aca="false">TEs!B20</f>
        <v>Den</v>
      </c>
      <c r="BB133" s="1" t="str">
        <f aca="false">IF($I$30=0,"WR","TE")</f>
        <v>TE</v>
      </c>
      <c r="BC133" s="2" t="n">
        <f aca="false">TEs!T20-calcs!$E$12</f>
        <v>-11.630303030303</v>
      </c>
    </row>
    <row r="134" customFormat="false" ht="12.75" hidden="false" customHeight="false" outlineLevel="0" collapsed="false">
      <c r="AA134" s="1" t="n">
        <v>132</v>
      </c>
      <c r="AJ134" s="0" t="str">
        <f aca="false">WRs!A136</f>
        <v>Chris Walsh</v>
      </c>
      <c r="AK134" s="1" t="str">
        <f aca="false">WRs!B136</f>
        <v>Min</v>
      </c>
      <c r="AL134" s="2" t="n">
        <f aca="false">WRs!AJ136</f>
        <v>11</v>
      </c>
      <c r="AM134" s="2" t="n">
        <f aca="false">AL134-calcs!$E$11</f>
        <v>-134.135812807882</v>
      </c>
      <c r="AY134" s="1" t="n">
        <v>132</v>
      </c>
      <c r="AZ134" s="0" t="str">
        <f aca="false">PKs!A9</f>
        <v>Steve Christie</v>
      </c>
      <c r="BA134" s="1" t="str">
        <f aca="false">PKs!B9</f>
        <v>Buf</v>
      </c>
      <c r="BB134" s="1" t="s">
        <v>24</v>
      </c>
      <c r="BC134" s="2" t="n">
        <f aca="false">PKs!W9-calcs!$E$13</f>
        <v>-11.9384065390976</v>
      </c>
    </row>
    <row r="135" customFormat="false" ht="12.75" hidden="false" customHeight="false" outlineLevel="0" collapsed="false">
      <c r="AA135" s="1" t="n">
        <v>133</v>
      </c>
      <c r="AJ135" s="0" t="str">
        <f aca="false">WRs!A137</f>
        <v>Karl Williams</v>
      </c>
      <c r="AK135" s="1" t="str">
        <f aca="false">WRs!B137</f>
        <v>TB</v>
      </c>
      <c r="AL135" s="2" t="n">
        <f aca="false">WRs!AJ137</f>
        <v>11</v>
      </c>
      <c r="AM135" s="2" t="n">
        <f aca="false">AL135-calcs!$E$11</f>
        <v>-134.135812807882</v>
      </c>
      <c r="AY135" s="1" t="n">
        <v>133</v>
      </c>
      <c r="AZ135" s="0" t="str">
        <f aca="false">PKs!A23</f>
        <v>Kris Brown</v>
      </c>
      <c r="BA135" s="1" t="str">
        <f aca="false">PKs!B23</f>
        <v>Pit</v>
      </c>
      <c r="BB135" s="1" t="s">
        <v>24</v>
      </c>
      <c r="BC135" s="2" t="n">
        <f aca="false">PKs!W23-calcs!$E$13</f>
        <v>-12.4225102576775</v>
      </c>
    </row>
    <row r="136" customFormat="false" ht="12.75" hidden="false" customHeight="false" outlineLevel="0" collapsed="false">
      <c r="AA136" s="1" t="n">
        <v>134</v>
      </c>
      <c r="AJ136" s="0" t="str">
        <f aca="false">WRs!A111</f>
        <v>Karsten Bailey</v>
      </c>
      <c r="AK136" s="1" t="str">
        <f aca="false">WRs!B111</f>
        <v>Sea</v>
      </c>
      <c r="AL136" s="2" t="n">
        <f aca="false">WRs!AJ111</f>
        <v>6.25</v>
      </c>
      <c r="AM136" s="2" t="n">
        <f aca="false">AL136-calcs!$E$11</f>
        <v>-138.885812807882</v>
      </c>
      <c r="AY136" s="1" t="n">
        <v>134</v>
      </c>
      <c r="AZ136" s="0" t="str">
        <f aca="false">PKs!A13</f>
        <v>Al Del Greco</v>
      </c>
      <c r="BA136" s="1" t="str">
        <f aca="false">PKs!B13</f>
        <v>Ten</v>
      </c>
      <c r="BB136" s="1" t="s">
        <v>24</v>
      </c>
      <c r="BC136" s="2" t="n">
        <f aca="false">PKs!W13-calcs!$E$13</f>
        <v>-13.4462190390976</v>
      </c>
    </row>
    <row r="137" customFormat="false" ht="12.75" hidden="false" customHeight="false" outlineLevel="0" collapsed="false">
      <c r="AA137" s="1" t="n">
        <v>135</v>
      </c>
      <c r="AJ137" s="0" t="str">
        <f aca="false">WRs!A138</f>
        <v>Brian Alford</v>
      </c>
      <c r="AK137" s="1" t="str">
        <f aca="false">WRs!B138</f>
        <v>NYG</v>
      </c>
      <c r="AL137" s="2" t="n">
        <f aca="false">WRs!AJ138</f>
        <v>4.7</v>
      </c>
      <c r="AM137" s="2" t="n">
        <f aca="false">AL137-calcs!$E$11</f>
        <v>-140.435812807882</v>
      </c>
      <c r="AY137" s="1" t="n">
        <v>135</v>
      </c>
      <c r="AZ137" s="0" t="str">
        <f aca="false">PKs!A19</f>
        <v>John Carney</v>
      </c>
      <c r="BA137" s="1" t="str">
        <f aca="false">PKs!B19</f>
        <v>SD</v>
      </c>
      <c r="BB137" s="1" t="s">
        <v>24</v>
      </c>
      <c r="BC137" s="2" t="n">
        <f aca="false">PKs!W19-calcs!$E$13</f>
        <v>-13.4616051606515</v>
      </c>
    </row>
    <row r="138" customFormat="false" ht="12.75" hidden="false" customHeight="false" outlineLevel="0" collapsed="false">
      <c r="AA138" s="1" t="n">
        <v>136</v>
      </c>
      <c r="AJ138" s="0" t="str">
        <f aca="false">WRs!A22</f>
        <v>Darnay Scott</v>
      </c>
      <c r="AK138" s="1" t="str">
        <f aca="false">WRs!B22</f>
        <v>Cin</v>
      </c>
      <c r="AL138" s="2" t="n">
        <f aca="false">WRs!AJ22</f>
        <v>0</v>
      </c>
      <c r="AM138" s="2" t="n">
        <f aca="false">AL138-calcs!$E$11</f>
        <v>-145.135812807882</v>
      </c>
      <c r="AY138" s="1" t="n">
        <v>136</v>
      </c>
      <c r="AZ138" s="0" t="str">
        <f aca="false">Defs!A13</f>
        <v>Denver Broncos </v>
      </c>
      <c r="BB138" s="1" t="s">
        <v>8</v>
      </c>
      <c r="BC138" s="2" t="n">
        <f aca="false">Defs!I13-calcs!$E$14</f>
        <v>-13.58</v>
      </c>
    </row>
    <row r="139" customFormat="false" ht="12.75" hidden="false" customHeight="false" outlineLevel="0" collapsed="false">
      <c r="AA139" s="1" t="n">
        <v>137</v>
      </c>
      <c r="AY139" s="1" t="n">
        <v>137</v>
      </c>
      <c r="AZ139" s="0" t="str">
        <f aca="false">WRs!A42</f>
        <v>Jerry Rice</v>
      </c>
      <c r="BA139" s="1" t="str">
        <f aca="false">WRs!B42</f>
        <v>SF</v>
      </c>
      <c r="BB139" s="1" t="s">
        <v>18</v>
      </c>
      <c r="BC139" s="2" t="n">
        <f aca="false">WRs!AJ42-calcs!$E$11</f>
        <v>-13.6892610837438</v>
      </c>
    </row>
    <row r="140" customFormat="false" ht="12.75" hidden="false" customHeight="false" outlineLevel="0" collapsed="false">
      <c r="AA140" s="1" t="n">
        <v>138</v>
      </c>
      <c r="AY140" s="1" t="n">
        <v>138</v>
      </c>
      <c r="AZ140" s="0" t="str">
        <f aca="false">PKs!A22</f>
        <v>Pete Stoyanovich</v>
      </c>
      <c r="BA140" s="1" t="str">
        <f aca="false">PKs!B22</f>
        <v>KC</v>
      </c>
      <c r="BB140" s="1" t="s">
        <v>24</v>
      </c>
      <c r="BC140" s="2" t="n">
        <f aca="false">PKs!W22-calcs!$E$13</f>
        <v>-14.0223194463658</v>
      </c>
    </row>
    <row r="141" customFormat="false" ht="12.75" hidden="false" customHeight="false" outlineLevel="0" collapsed="false">
      <c r="AA141" s="1" t="n">
        <v>139</v>
      </c>
      <c r="AY141" s="1" t="n">
        <v>139</v>
      </c>
      <c r="AZ141" s="0" t="str">
        <f aca="false">WRs!A45</f>
        <v>Johnnie Morton</v>
      </c>
      <c r="BA141" s="1" t="str">
        <f aca="false">WRs!B45</f>
        <v>Det</v>
      </c>
      <c r="BB141" s="1" t="s">
        <v>18</v>
      </c>
      <c r="BC141" s="2" t="n">
        <f aca="false">WRs!AJ45-calcs!$E$11</f>
        <v>-14.1406867574616</v>
      </c>
    </row>
    <row r="142" customFormat="false" ht="12.75" hidden="false" customHeight="false" outlineLevel="0" collapsed="false">
      <c r="AA142" s="1" t="n">
        <v>140</v>
      </c>
      <c r="AY142" s="1" t="n">
        <v>140</v>
      </c>
      <c r="AZ142" s="0" t="str">
        <f aca="false">RBs!A29</f>
        <v>Jermaine Fazande</v>
      </c>
      <c r="BA142" s="1" t="str">
        <f aca="false">RBs!B29</f>
        <v>SD</v>
      </c>
      <c r="BB142" s="1" t="s">
        <v>9</v>
      </c>
      <c r="BC142" s="2" t="n">
        <f aca="false">RBs!AJ29-calcs!$E$10</f>
        <v>-14.4645920745921</v>
      </c>
    </row>
    <row r="143" customFormat="false" ht="12.75" hidden="false" customHeight="false" outlineLevel="0" collapsed="false">
      <c r="AA143" s="1" t="n">
        <v>141</v>
      </c>
      <c r="AY143" s="1" t="n">
        <v>141</v>
      </c>
      <c r="AZ143" s="0" t="str">
        <f aca="false">TEs!A35</f>
        <v>Andrew Glover</v>
      </c>
      <c r="BA143" s="1" t="str">
        <f aca="false">TEs!B35</f>
        <v>NO</v>
      </c>
      <c r="BB143" s="1" t="str">
        <f aca="false">IF($I$30=0,"WR","TE")</f>
        <v>TE</v>
      </c>
      <c r="BC143" s="2" t="n">
        <f aca="false">TEs!T35-calcs!$E$12</f>
        <v>-15.880303030303</v>
      </c>
    </row>
    <row r="144" customFormat="false" ht="12.75" hidden="false" customHeight="false" outlineLevel="0" collapsed="false">
      <c r="AA144" s="1" t="n">
        <v>142</v>
      </c>
      <c r="AY144" s="1" t="n">
        <v>142</v>
      </c>
      <c r="AZ144" s="0" t="str">
        <f aca="false">RBs!A20</f>
        <v>Jamal Lewis</v>
      </c>
      <c r="BA144" s="1" t="str">
        <f aca="false">RBs!B20</f>
        <v>Bal</v>
      </c>
      <c r="BB144" s="1" t="s">
        <v>9</v>
      </c>
      <c r="BC144" s="2" t="n">
        <f aca="false">RBs!AJ20-calcs!$E$10</f>
        <v>-15.9708158508159</v>
      </c>
    </row>
    <row r="145" customFormat="false" ht="12.75" hidden="false" customHeight="false" outlineLevel="0" collapsed="false">
      <c r="AA145" s="1" t="n">
        <v>143</v>
      </c>
      <c r="AY145" s="1" t="n">
        <v>143</v>
      </c>
      <c r="AZ145" s="0" t="str">
        <f aca="false">TEs!A24</f>
        <v>OJ Santiago</v>
      </c>
      <c r="BA145" s="1" t="str">
        <f aca="false">TEs!B24</f>
        <v>Atl</v>
      </c>
      <c r="BB145" s="1" t="str">
        <f aca="false">IF($I$30=0,"WR","TE")</f>
        <v>TE</v>
      </c>
      <c r="BC145" s="2" t="n">
        <f aca="false">TEs!T24-calcs!$E$12</f>
        <v>-16.380303030303</v>
      </c>
    </row>
    <row r="146" customFormat="false" ht="12.75" hidden="false" customHeight="false" outlineLevel="0" collapsed="false">
      <c r="AA146" s="1" t="n">
        <v>144</v>
      </c>
      <c r="AY146" s="1" t="n">
        <v>144</v>
      </c>
      <c r="AZ146" s="0" t="str">
        <f aca="false">TEs!A32</f>
        <v>Jackie Harris</v>
      </c>
      <c r="BA146" s="1" t="str">
        <f aca="false">TEs!B32</f>
        <v>Dal</v>
      </c>
      <c r="BB146" s="1" t="str">
        <f aca="false">IF($I$30=0,"WR","TE")</f>
        <v>TE</v>
      </c>
      <c r="BC146" s="2" t="n">
        <f aca="false">TEs!T32-calcs!$E$12</f>
        <v>-16.430303030303</v>
      </c>
    </row>
    <row r="147" customFormat="false" ht="12.75" hidden="false" customHeight="false" outlineLevel="0" collapsed="false">
      <c r="AA147" s="1" t="n">
        <v>145</v>
      </c>
      <c r="AY147" s="1" t="n">
        <v>145</v>
      </c>
      <c r="AZ147" s="0" t="str">
        <f aca="false">Defs!A16</f>
        <v>Green Bay Packers</v>
      </c>
      <c r="BB147" s="1" t="s">
        <v>8</v>
      </c>
      <c r="BC147" s="2" t="n">
        <f aca="false">Defs!I16-calcs!$E$14</f>
        <v>-16.62</v>
      </c>
    </row>
    <row r="148" customFormat="false" ht="12.75" hidden="false" customHeight="false" outlineLevel="0" collapsed="false">
      <c r="AA148" s="1" t="n">
        <v>146</v>
      </c>
      <c r="AY148" s="1" t="n">
        <v>146</v>
      </c>
      <c r="AZ148" s="0" t="str">
        <f aca="false">Defs!A18</f>
        <v>New England Patriots</v>
      </c>
      <c r="BB148" s="1" t="s">
        <v>8</v>
      </c>
      <c r="BC148" s="2" t="n">
        <f aca="false">Defs!I18-calcs!$E$14</f>
        <v>-17</v>
      </c>
    </row>
    <row r="149" customFormat="false" ht="12.75" hidden="false" customHeight="false" outlineLevel="0" collapsed="false">
      <c r="AA149" s="1" t="n">
        <v>147</v>
      </c>
      <c r="AY149" s="1" t="n">
        <v>147</v>
      </c>
      <c r="AZ149" s="0" t="str">
        <f aca="false">PKs!A25</f>
        <v>Wade Richey</v>
      </c>
      <c r="BA149" s="1" t="str">
        <f aca="false">PKs!B25</f>
        <v>SF</v>
      </c>
      <c r="BB149" s="1" t="s">
        <v>24</v>
      </c>
      <c r="BC149" s="2" t="n">
        <f aca="false">PKs!W25-calcs!$E$13</f>
        <v>-17.0223194463658</v>
      </c>
    </row>
    <row r="150" customFormat="false" ht="12.75" hidden="false" customHeight="false" outlineLevel="0" collapsed="false">
      <c r="AA150" s="1" t="n">
        <v>148</v>
      </c>
      <c r="AY150" s="1" t="n">
        <v>148</v>
      </c>
      <c r="AZ150" s="0" t="str">
        <f aca="false">QBs!A20</f>
        <v>Donovan McNabb</v>
      </c>
      <c r="BA150" s="1" t="str">
        <f aca="false">QBs!B20</f>
        <v>Phi</v>
      </c>
      <c r="BB150" s="1" t="s">
        <v>13</v>
      </c>
      <c r="BC150" s="2" t="n">
        <f aca="false">QBs!AL20-calcs!$E$9</f>
        <v>-17.9843894472461</v>
      </c>
    </row>
    <row r="151" customFormat="false" ht="12.75" hidden="false" customHeight="false" outlineLevel="0" collapsed="false">
      <c r="AA151" s="1" t="n">
        <v>149</v>
      </c>
      <c r="AY151" s="1" t="n">
        <v>149</v>
      </c>
      <c r="AZ151" s="0" t="str">
        <f aca="false">QBs!A23</f>
        <v>Rob Johnson</v>
      </c>
      <c r="BA151" s="1" t="str">
        <f aca="false">QBs!B23</f>
        <v>Buf</v>
      </c>
      <c r="BB151" s="1" t="s">
        <v>13</v>
      </c>
      <c r="BC151" s="2" t="n">
        <f aca="false">QBs!AL23-calcs!$E$9</f>
        <v>-18.4559383194266</v>
      </c>
    </row>
    <row r="152" customFormat="false" ht="12.75" hidden="false" customHeight="false" outlineLevel="0" collapsed="false">
      <c r="AA152" s="1" t="n">
        <v>150</v>
      </c>
      <c r="AY152" s="1" t="n">
        <v>150</v>
      </c>
      <c r="AZ152" s="0" t="str">
        <f aca="false">WRs!A46</f>
        <v>Oronde Gadsden</v>
      </c>
      <c r="BA152" s="1" t="str">
        <f aca="false">WRs!B46</f>
        <v>Mia</v>
      </c>
      <c r="BB152" s="1" t="s">
        <v>18</v>
      </c>
      <c r="BC152" s="2" t="n">
        <f aca="false">WRs!AJ46-calcs!$E$11</f>
        <v>-19.5669052448565</v>
      </c>
    </row>
    <row r="153" customFormat="false" ht="12.75" hidden="false" customHeight="false" outlineLevel="0" collapsed="false">
      <c r="AY153" s="1" t="n">
        <v>151</v>
      </c>
      <c r="AZ153" s="0" t="str">
        <f aca="false">WRs!A48</f>
        <v>Jake Reed</v>
      </c>
      <c r="BA153" s="1" t="str">
        <f aca="false">WRs!B48</f>
        <v>NO</v>
      </c>
      <c r="BB153" s="1" t="s">
        <v>18</v>
      </c>
      <c r="BC153" s="2" t="n">
        <f aca="false">WRs!AJ48-calcs!$E$11</f>
        <v>-19.6469052448566</v>
      </c>
    </row>
    <row r="154" customFormat="false" ht="12.75" hidden="false" customHeight="false" outlineLevel="0" collapsed="false">
      <c r="AY154" s="1" t="n">
        <v>152</v>
      </c>
      <c r="AZ154" s="0" t="str">
        <f aca="false">PKs!A27</f>
        <v>Doug Brien</v>
      </c>
      <c r="BA154" s="1" t="str">
        <f aca="false">PKs!B27</f>
        <v>NO</v>
      </c>
      <c r="BB154" s="1" t="s">
        <v>24</v>
      </c>
      <c r="BC154" s="2" t="n">
        <f aca="false">PKs!W27-calcs!$E$13</f>
        <v>-20.8758908749372</v>
      </c>
    </row>
    <row r="155" customFormat="false" ht="12.75" hidden="false" customHeight="false" outlineLevel="0" collapsed="false">
      <c r="AY155" s="1" t="n">
        <v>153</v>
      </c>
      <c r="AZ155" s="0" t="str">
        <f aca="false">PKs!A18</f>
        <v>Gary Anderson</v>
      </c>
      <c r="BA155" s="1" t="str">
        <f aca="false">PKs!B18</f>
        <v>Min</v>
      </c>
      <c r="BB155" s="1" t="s">
        <v>24</v>
      </c>
      <c r="BC155" s="2" t="n">
        <f aca="false">PKs!W18-calcs!$E$13</f>
        <v>-20.9696565390976</v>
      </c>
    </row>
    <row r="156" customFormat="false" ht="12.75" hidden="false" customHeight="false" outlineLevel="0" collapsed="false">
      <c r="AY156" s="1" t="n">
        <v>154</v>
      </c>
      <c r="AZ156" s="0" t="str">
        <f aca="false">QBs!A27</f>
        <v>Tony Banks</v>
      </c>
      <c r="BA156" s="1" t="str">
        <f aca="false">QBs!B27</f>
        <v>Bal</v>
      </c>
      <c r="BB156" s="1" t="s">
        <v>13</v>
      </c>
      <c r="BC156" s="2" t="n">
        <f aca="false">QBs!AL27-calcs!$E$9</f>
        <v>-21.1985888507135</v>
      </c>
    </row>
    <row r="157" customFormat="false" ht="12.75" hidden="false" customHeight="false" outlineLevel="0" collapsed="false">
      <c r="AY157" s="1" t="n">
        <v>155</v>
      </c>
      <c r="AZ157" s="0" t="str">
        <f aca="false">RBs!A30</f>
        <v>Raymont Harris</v>
      </c>
      <c r="BA157" s="1" t="str">
        <f aca="false">RBs!B30</f>
        <v>NE</v>
      </c>
      <c r="BB157" s="1" t="s">
        <v>9</v>
      </c>
      <c r="BC157" s="2" t="n">
        <f aca="false">RBs!AJ30-calcs!$E$10</f>
        <v>-21.5645920745921</v>
      </c>
    </row>
    <row r="158" customFormat="false" ht="12.75" hidden="false" customHeight="false" outlineLevel="0" collapsed="false">
      <c r="AY158" s="1" t="n">
        <v>156</v>
      </c>
      <c r="AZ158" s="0" t="str">
        <f aca="false">PKs!A28</f>
        <v>Cary Blanchard</v>
      </c>
      <c r="BA158" s="1" t="str">
        <f aca="false">PKs!B28</f>
        <v>Ari</v>
      </c>
      <c r="BB158" s="1" t="s">
        <v>24</v>
      </c>
      <c r="BC158" s="2" t="n">
        <f aca="false">PKs!W28-calcs!$E$13</f>
        <v>-21.8758908749372</v>
      </c>
    </row>
    <row r="159" customFormat="false" ht="12.75" hidden="false" customHeight="false" outlineLevel="0" collapsed="false">
      <c r="AY159" s="1" t="n">
        <v>157</v>
      </c>
      <c r="AZ159" s="0" t="str">
        <f aca="false">Defs!A15</f>
        <v>New Orleans Saints</v>
      </c>
      <c r="BB159" s="1" t="s">
        <v>8</v>
      </c>
      <c r="BC159" s="2" t="n">
        <f aca="false">Defs!I15-calcs!$E$14</f>
        <v>-22.1</v>
      </c>
    </row>
    <row r="160" customFormat="false" ht="12.75" hidden="false" customHeight="false" outlineLevel="0" collapsed="false">
      <c r="AY160" s="1" t="n">
        <v>158</v>
      </c>
      <c r="AZ160" s="0" t="str">
        <f aca="false">TEs!A25</f>
        <v>Roland Williams</v>
      </c>
      <c r="BA160" s="1" t="str">
        <f aca="false">TEs!B25</f>
        <v>StL</v>
      </c>
      <c r="BB160" s="1" t="str">
        <f aca="false">IF($I$30=0,"WR","TE")</f>
        <v>TE</v>
      </c>
      <c r="BC160" s="2" t="n">
        <f aca="false">TEs!T25-calcs!$E$12</f>
        <v>-22.7575757575758</v>
      </c>
    </row>
    <row r="161" customFormat="false" ht="12.75" hidden="false" customHeight="false" outlineLevel="0" collapsed="false">
      <c r="AY161" s="1" t="n">
        <v>159</v>
      </c>
      <c r="AZ161" s="0" t="str">
        <f aca="false">PKs!A24</f>
        <v>Eddie Murray</v>
      </c>
      <c r="BA161" s="1" t="str">
        <f aca="false">PKs!B24</f>
        <v>Dal</v>
      </c>
      <c r="BB161" s="1" t="s">
        <v>24</v>
      </c>
      <c r="BC161" s="2" t="n">
        <f aca="false">PKs!W24-calcs!$E$13</f>
        <v>-23.9852815390976</v>
      </c>
    </row>
    <row r="162" customFormat="false" ht="12.75" hidden="false" customHeight="false" outlineLevel="0" collapsed="false">
      <c r="AY162" s="1" t="n">
        <v>160</v>
      </c>
      <c r="AZ162" s="0" t="str">
        <f aca="false">TEs!A27</f>
        <v>Anthony Becht</v>
      </c>
      <c r="BA162" s="1" t="str">
        <f aca="false">TEs!B27</f>
        <v>NYJ</v>
      </c>
      <c r="BB162" s="1" t="str">
        <f aca="false">IF($I$30=0,"WR","TE")</f>
        <v>TE</v>
      </c>
      <c r="BC162" s="2" t="n">
        <f aca="false">TEs!T27-calcs!$E$12</f>
        <v>-24.430303030303</v>
      </c>
    </row>
    <row r="163" customFormat="false" ht="12.75" hidden="false" customHeight="false" outlineLevel="0" collapsed="false">
      <c r="AY163" s="1" t="n">
        <v>161</v>
      </c>
      <c r="AZ163" s="0" t="str">
        <f aca="false">RBs!A43</f>
        <v>Michael Pittman</v>
      </c>
      <c r="BA163" s="1" t="str">
        <f aca="false">RBs!B43</f>
        <v>Ari</v>
      </c>
      <c r="BB163" s="1" t="s">
        <v>9</v>
      </c>
      <c r="BC163" s="2" t="n">
        <f aca="false">RBs!AJ43-calcs!$E$10</f>
        <v>-24.5432634032634</v>
      </c>
    </row>
    <row r="164" customFormat="false" ht="12.75" hidden="false" customHeight="false" outlineLevel="0" collapsed="false">
      <c r="AY164" s="1" t="n">
        <v>162</v>
      </c>
      <c r="AZ164" s="0" t="str">
        <f aca="false">TEs!A26</f>
        <v>Billy Miller</v>
      </c>
      <c r="BA164" s="1" t="str">
        <f aca="false">TEs!B26</f>
        <v>Den</v>
      </c>
      <c r="BB164" s="1" t="str">
        <f aca="false">IF($I$30=0,"WR","TE")</f>
        <v>TE</v>
      </c>
      <c r="BC164" s="2" t="n">
        <f aca="false">TEs!T26-calcs!$E$12</f>
        <v>-25.0030303030303</v>
      </c>
    </row>
    <row r="165" customFormat="false" ht="12.75" hidden="false" customHeight="false" outlineLevel="0" collapsed="false">
      <c r="AY165" s="1" t="n">
        <v>163</v>
      </c>
      <c r="AZ165" s="0" t="str">
        <f aca="false">TEs!A23</f>
        <v>David LaFleur</v>
      </c>
      <c r="BA165" s="1" t="str">
        <f aca="false">TEs!B23</f>
        <v>Dal</v>
      </c>
      <c r="BB165" s="1" t="str">
        <f aca="false">IF($I$30=0,"WR","TE")</f>
        <v>TE</v>
      </c>
      <c r="BC165" s="2" t="n">
        <f aca="false">TEs!T23-calcs!$E$12</f>
        <v>-25.130303030303</v>
      </c>
    </row>
    <row r="166" customFormat="false" ht="12.75" hidden="false" customHeight="false" outlineLevel="0" collapsed="false">
      <c r="AY166" s="1" t="n">
        <v>164</v>
      </c>
      <c r="AZ166" s="0" t="str">
        <f aca="false">Defs!A22</f>
        <v>San Diego Chargers</v>
      </c>
      <c r="BB166" s="1" t="s">
        <v>8</v>
      </c>
      <c r="BC166" s="2" t="n">
        <f aca="false">Defs!I22-calcs!$E$14</f>
        <v>-26</v>
      </c>
    </row>
    <row r="167" customFormat="false" ht="12.75" hidden="false" customHeight="false" outlineLevel="0" collapsed="false">
      <c r="AY167" s="1" t="n">
        <v>165</v>
      </c>
      <c r="AZ167" s="0" t="str">
        <f aca="false">RBs!A34</f>
        <v>Antowain Smith</v>
      </c>
      <c r="BA167" s="1" t="str">
        <f aca="false">RBs!B34</f>
        <v>Buf</v>
      </c>
      <c r="BB167" s="1" t="s">
        <v>9</v>
      </c>
      <c r="BC167" s="2" t="n">
        <f aca="false">RBs!AJ34-calcs!$E$10</f>
        <v>-26.2908158508159</v>
      </c>
    </row>
    <row r="168" customFormat="false" ht="12.75" hidden="false" customHeight="false" outlineLevel="0" collapsed="false">
      <c r="AY168" s="1" t="n">
        <v>166</v>
      </c>
      <c r="AZ168" s="0" t="str">
        <f aca="false">TEs!A29</f>
        <v>Damon Jones</v>
      </c>
      <c r="BA168" s="1" t="str">
        <f aca="false">TEs!B29</f>
        <v>Jac</v>
      </c>
      <c r="BB168" s="1" t="str">
        <f aca="false">IF($I$30=0,"WR","TE")</f>
        <v>TE</v>
      </c>
      <c r="BC168" s="2" t="n">
        <f aca="false">TEs!T29-calcs!$E$12</f>
        <v>-26.390303030303</v>
      </c>
    </row>
    <row r="169" customFormat="false" ht="12.75" hidden="false" customHeight="false" outlineLevel="0" collapsed="false">
      <c r="AY169" s="1" t="n">
        <v>167</v>
      </c>
      <c r="AZ169" s="0" t="str">
        <f aca="false">PKs!A31</f>
        <v>David Akers</v>
      </c>
      <c r="BA169" s="1" t="str">
        <f aca="false">PKs!B31</f>
        <v>Phi</v>
      </c>
      <c r="BB169" s="1" t="s">
        <v>24</v>
      </c>
      <c r="BC169" s="2" t="n">
        <f aca="false">PKs!W31-calcs!$E$13</f>
        <v>-26.4929948391753</v>
      </c>
    </row>
    <row r="170" customFormat="false" ht="12.75" hidden="false" customHeight="false" outlineLevel="0" collapsed="false">
      <c r="AY170" s="1" t="n">
        <v>168</v>
      </c>
      <c r="AZ170" s="0" t="str">
        <f aca="false">Defs!A23</f>
        <v>Pittsburgh Steelers </v>
      </c>
      <c r="BB170" s="1" t="s">
        <v>8</v>
      </c>
      <c r="BC170" s="2" t="n">
        <f aca="false">Defs!I23-calcs!$E$14</f>
        <v>-26.68</v>
      </c>
    </row>
    <row r="171" customFormat="false" ht="12.75" hidden="false" customHeight="false" outlineLevel="0" collapsed="false">
      <c r="AY171" s="1" t="n">
        <v>169</v>
      </c>
      <c r="AZ171" s="0" t="str">
        <f aca="false">PKs!A21</f>
        <v>Adam Vinatieri</v>
      </c>
      <c r="BA171" s="1" t="str">
        <f aca="false">PKs!B21</f>
        <v>NE</v>
      </c>
      <c r="BB171" s="1" t="s">
        <v>24</v>
      </c>
      <c r="BC171" s="2" t="n">
        <f aca="false">PKs!W21-calcs!$E$13</f>
        <v>-26.9696565390976</v>
      </c>
    </row>
    <row r="172" customFormat="false" ht="12.75" hidden="false" customHeight="false" outlineLevel="0" collapsed="false">
      <c r="AY172" s="1" t="n">
        <v>170</v>
      </c>
      <c r="AZ172" s="0" t="str">
        <f aca="false">WRs!A56</f>
        <v>Terrence Wilkins</v>
      </c>
      <c r="BA172" s="1" t="str">
        <f aca="false">WRs!B56</f>
        <v>Ind</v>
      </c>
      <c r="BB172" s="1" t="s">
        <v>18</v>
      </c>
      <c r="BC172" s="2" t="n">
        <f aca="false">WRs!AJ56-calcs!$E$11</f>
        <v>-27.4131237322515</v>
      </c>
    </row>
    <row r="173" customFormat="false" ht="12.75" hidden="false" customHeight="false" outlineLevel="0" collapsed="false">
      <c r="AY173" s="1" t="n">
        <v>171</v>
      </c>
      <c r="AZ173" s="0" t="str">
        <f aca="false">Defs!A19</f>
        <v>Detroit Lions </v>
      </c>
      <c r="BB173" s="1" t="s">
        <v>8</v>
      </c>
      <c r="BC173" s="2" t="n">
        <f aca="false">Defs!I19-calcs!$E$14</f>
        <v>-28.64</v>
      </c>
    </row>
    <row r="174" customFormat="false" ht="12.75" hidden="false" customHeight="false" outlineLevel="0" collapsed="false">
      <c r="AY174" s="1" t="n">
        <v>172</v>
      </c>
      <c r="AZ174" s="0" t="str">
        <f aca="false">WRs!A60</f>
        <v>Jacquez Green</v>
      </c>
      <c r="BA174" s="1" t="str">
        <f aca="false">WRs!B60</f>
        <v>TB</v>
      </c>
      <c r="BB174" s="1" t="s">
        <v>18</v>
      </c>
      <c r="BC174" s="2" t="n">
        <f aca="false">WRs!AJ60-calcs!$E$11</f>
        <v>-29.3706867574616</v>
      </c>
    </row>
    <row r="175" customFormat="false" ht="12.75" hidden="false" customHeight="false" outlineLevel="0" collapsed="false">
      <c r="AY175" s="1" t="n">
        <v>173</v>
      </c>
      <c r="AZ175" s="0" t="str">
        <f aca="false">Defs!A27</f>
        <v>New York Jets</v>
      </c>
      <c r="BB175" s="1" t="s">
        <v>8</v>
      </c>
      <c r="BC175" s="2" t="n">
        <f aca="false">Defs!I27-calcs!$E$14</f>
        <v>-29.4</v>
      </c>
    </row>
    <row r="176" customFormat="false" ht="12.75" hidden="false" customHeight="false" outlineLevel="0" collapsed="false">
      <c r="AY176" s="1" t="n">
        <v>174</v>
      </c>
      <c r="AZ176" s="0" t="str">
        <f aca="false">WRs!A54</f>
        <v>Az-Zahir Hakim</v>
      </c>
      <c r="BA176" s="1" t="str">
        <f aca="false">WRs!B54</f>
        <v>StL</v>
      </c>
      <c r="BB176" s="1" t="s">
        <v>18</v>
      </c>
      <c r="BC176" s="2" t="n">
        <f aca="false">WRs!AJ54-calcs!$E$11</f>
        <v>-30.2500985221675</v>
      </c>
    </row>
    <row r="177" customFormat="false" ht="12.75" hidden="false" customHeight="false" outlineLevel="0" collapsed="false">
      <c r="AY177" s="1" t="n">
        <v>175</v>
      </c>
      <c r="AZ177" s="0" t="str">
        <f aca="false">WRs!A57</f>
        <v>Charles Johnson</v>
      </c>
      <c r="BA177" s="1" t="str">
        <f aca="false">WRs!B57</f>
        <v>Phi</v>
      </c>
      <c r="BB177" s="1" t="s">
        <v>18</v>
      </c>
      <c r="BC177" s="2" t="n">
        <f aca="false">WRs!AJ57-calcs!$E$11</f>
        <v>-30.4669052448565</v>
      </c>
    </row>
    <row r="178" customFormat="false" ht="12.75" hidden="false" customHeight="false" outlineLevel="0" collapsed="false">
      <c r="AY178" s="1" t="n">
        <v>176</v>
      </c>
      <c r="AZ178" s="0" t="str">
        <f aca="false">Defs!A21</f>
        <v>New York Giants</v>
      </c>
      <c r="BB178" s="1" t="s">
        <v>8</v>
      </c>
      <c r="BC178" s="2" t="n">
        <f aca="false">Defs!I21-calcs!$E$14</f>
        <v>-30.54</v>
      </c>
    </row>
    <row r="179" customFormat="false" ht="12.75" hidden="false" customHeight="false" outlineLevel="0" collapsed="false">
      <c r="AY179" s="1" t="n">
        <v>177</v>
      </c>
      <c r="AZ179" s="0" t="str">
        <f aca="false">WRs!A47</f>
        <v>Shawn Jefferson</v>
      </c>
      <c r="BA179" s="1" t="str">
        <f aca="false">WRs!B47</f>
        <v>Atl</v>
      </c>
      <c r="BB179" s="1" t="s">
        <v>18</v>
      </c>
      <c r="BC179" s="2" t="n">
        <f aca="false">WRs!AJ47-calcs!$E$11</f>
        <v>-30.8669052448566</v>
      </c>
    </row>
    <row r="180" customFormat="false" ht="12.75" hidden="false" customHeight="false" outlineLevel="0" collapsed="false">
      <c r="AY180" s="1" t="n">
        <v>178</v>
      </c>
      <c r="AZ180" s="0" t="str">
        <f aca="false">PKs!A29</f>
        <v>Brad Daluiso</v>
      </c>
      <c r="BA180" s="1" t="str">
        <f aca="false">PKs!B29</f>
        <v>NYG</v>
      </c>
      <c r="BB180" s="1" t="s">
        <v>24</v>
      </c>
      <c r="BC180" s="2" t="n">
        <f aca="false">PKs!W29-calcs!$E$13</f>
        <v>-30.9852815390976</v>
      </c>
    </row>
    <row r="181" customFormat="false" ht="12.75" hidden="false" customHeight="false" outlineLevel="0" collapsed="false">
      <c r="AY181" s="1" t="n">
        <v>179</v>
      </c>
      <c r="AZ181" s="0" t="str">
        <f aca="false">TEs!A31</f>
        <v>Dave Moore</v>
      </c>
      <c r="BA181" s="1" t="str">
        <f aca="false">TEs!B31</f>
        <v>TB</v>
      </c>
      <c r="BB181" s="1" t="str">
        <f aca="false">IF($I$30=0,"WR","TE")</f>
        <v>TE</v>
      </c>
      <c r="BC181" s="2" t="n">
        <f aca="false">TEs!T31-calcs!$E$12</f>
        <v>-31.130303030303</v>
      </c>
    </row>
    <row r="182" customFormat="false" ht="12.75" hidden="false" customHeight="false" outlineLevel="0" collapsed="false">
      <c r="AY182" s="1" t="n">
        <v>180</v>
      </c>
      <c r="AZ182" s="0" t="str">
        <f aca="false">TEs!A30</f>
        <v>Chris Gedney</v>
      </c>
      <c r="BA182" s="1" t="str">
        <f aca="false">TEs!B30</f>
        <v>Ari</v>
      </c>
      <c r="BB182" s="1" t="str">
        <f aca="false">IF($I$30=0,"WR","TE")</f>
        <v>TE</v>
      </c>
      <c r="BC182" s="2" t="n">
        <f aca="false">TEs!T30-calcs!$E$12</f>
        <v>-31.5030303030303</v>
      </c>
    </row>
    <row r="183" customFormat="false" ht="12.75" hidden="false" customHeight="false" outlineLevel="0" collapsed="false">
      <c r="AY183" s="1" t="n">
        <v>181</v>
      </c>
      <c r="AZ183" s="0" t="str">
        <f aca="false">RBs!A32</f>
        <v>Shaun Alexander</v>
      </c>
      <c r="BA183" s="1" t="str">
        <f aca="false">RBs!B32</f>
        <v>Sea</v>
      </c>
      <c r="BB183" s="1" t="s">
        <v>9</v>
      </c>
      <c r="BC183" s="2" t="n">
        <f aca="false">RBs!AJ32-calcs!$E$10</f>
        <v>-31.8932634032635</v>
      </c>
    </row>
    <row r="184" customFormat="false" ht="12.75" hidden="false" customHeight="false" outlineLevel="0" collapsed="false">
      <c r="AY184" s="1" t="n">
        <v>182</v>
      </c>
      <c r="AZ184" s="0" t="str">
        <f aca="false">QBs!A29</f>
        <v>Charlie Batch</v>
      </c>
      <c r="BA184" s="1" t="str">
        <f aca="false">QBs!B29</f>
        <v>Det</v>
      </c>
      <c r="BB184" s="1" t="s">
        <v>13</v>
      </c>
      <c r="BC184" s="2" t="n">
        <f aca="false">QBs!AL29-calcs!$E$9</f>
        <v>-31.9645257993624</v>
      </c>
    </row>
    <row r="185" customFormat="false" ht="12.75" hidden="false" customHeight="false" outlineLevel="0" collapsed="false">
      <c r="AY185" s="1" t="n">
        <v>183</v>
      </c>
      <c r="AZ185" s="0" t="str">
        <f aca="false">QBs!A25</f>
        <v>Jake Plummer</v>
      </c>
      <c r="BA185" s="1" t="str">
        <f aca="false">QBs!B25</f>
        <v>Ari</v>
      </c>
      <c r="BB185" s="1" t="s">
        <v>13</v>
      </c>
      <c r="BC185" s="2" t="n">
        <f aca="false">QBs!AL25-calcs!$E$9</f>
        <v>-32.3002390713062</v>
      </c>
    </row>
    <row r="186" customFormat="false" ht="12.75" hidden="false" customHeight="false" outlineLevel="0" collapsed="false">
      <c r="AY186" s="1" t="n">
        <v>184</v>
      </c>
      <c r="AZ186" s="0" t="str">
        <f aca="false">TEs!A28</f>
        <v>Jimmy Kleinsasser</v>
      </c>
      <c r="BA186" s="1" t="str">
        <f aca="false">TEs!B28</f>
        <v>Min</v>
      </c>
      <c r="BB186" s="1" t="str">
        <f aca="false">IF($I$30=0,"WR","TE")</f>
        <v>TE</v>
      </c>
      <c r="BC186" s="2" t="n">
        <f aca="false">TEs!T28-calcs!$E$12</f>
        <v>-33.230303030303</v>
      </c>
    </row>
    <row r="187" customFormat="false" ht="12.75" hidden="false" customHeight="false" outlineLevel="0" collapsed="false">
      <c r="AY187" s="1" t="n">
        <v>185</v>
      </c>
      <c r="AZ187" s="0" t="str">
        <f aca="false">PKs!A30</f>
        <v>Morten Andersen</v>
      </c>
      <c r="BA187" s="1" t="str">
        <f aca="false">PKs!B30</f>
        <v>Atl</v>
      </c>
      <c r="BB187" s="1" t="s">
        <v>24</v>
      </c>
      <c r="BC187" s="2" t="n">
        <f aca="false">PKs!W30-calcs!$E$13</f>
        <v>-33.5087190390976</v>
      </c>
    </row>
    <row r="188" customFormat="false" ht="12.75" hidden="false" customHeight="false" outlineLevel="0" collapsed="false">
      <c r="AY188" s="1" t="n">
        <v>186</v>
      </c>
      <c r="AZ188" s="0" t="str">
        <f aca="false">RBs!A36</f>
        <v>Kimble Anders</v>
      </c>
      <c r="BA188" s="1" t="str">
        <f aca="false">RBs!B36</f>
        <v>KC</v>
      </c>
      <c r="BB188" s="1" t="s">
        <v>9</v>
      </c>
      <c r="BC188" s="2" t="n">
        <f aca="false">RBs!AJ36-calcs!$E$10</f>
        <v>-33.6532634032635</v>
      </c>
    </row>
    <row r="189" customFormat="false" ht="12.75" hidden="false" customHeight="false" outlineLevel="0" collapsed="false">
      <c r="AY189" s="1" t="n">
        <v>187</v>
      </c>
      <c r="AZ189" s="0" t="str">
        <f aca="false">TEs!A33</f>
        <v>Kyle Brady</v>
      </c>
      <c r="BA189" s="1" t="str">
        <f aca="false">TEs!B33</f>
        <v>Jac</v>
      </c>
      <c r="BB189" s="1" t="str">
        <f aca="false">IF($I$30=0,"WR","TE")</f>
        <v>TE</v>
      </c>
      <c r="BC189" s="2" t="n">
        <f aca="false">TEs!T33-calcs!$E$12</f>
        <v>-33.7030303030303</v>
      </c>
    </row>
    <row r="190" customFormat="false" ht="12.75" hidden="false" customHeight="false" outlineLevel="0" collapsed="false">
      <c r="AY190" s="1" t="n">
        <v>188</v>
      </c>
      <c r="AZ190" s="0" t="str">
        <f aca="false">RBs!A35</f>
        <v>Fred Beasley</v>
      </c>
      <c r="BA190" s="1" t="str">
        <f aca="false">RBs!B35</f>
        <v>SF</v>
      </c>
      <c r="BB190" s="1" t="s">
        <v>9</v>
      </c>
      <c r="BC190" s="2" t="n">
        <f aca="false">RBs!AJ35-calcs!$E$10</f>
        <v>-33.8908158508159</v>
      </c>
    </row>
    <row r="191" customFormat="false" ht="12.75" hidden="false" customHeight="false" outlineLevel="0" collapsed="false">
      <c r="AY191" s="1" t="n">
        <v>189</v>
      </c>
      <c r="AZ191" s="0" t="str">
        <f aca="false">RBs!A31</f>
        <v>Thomas Jones</v>
      </c>
      <c r="BA191" s="1" t="str">
        <f aca="false">RBs!B31</f>
        <v>Ari</v>
      </c>
      <c r="BB191" s="1" t="s">
        <v>9</v>
      </c>
      <c r="BC191" s="2" t="n">
        <f aca="false">RBs!AJ31-calcs!$E$10</f>
        <v>-34.1170396270397</v>
      </c>
    </row>
    <row r="192" customFormat="false" ht="12.75" hidden="false" customHeight="false" outlineLevel="0" collapsed="false">
      <c r="AY192" s="1" t="n">
        <v>190</v>
      </c>
      <c r="AZ192" s="0" t="str">
        <f aca="false">TEs!A34</f>
        <v>Terry Hardy</v>
      </c>
      <c r="BA192" s="1" t="str">
        <f aca="false">TEs!B34</f>
        <v>Ari</v>
      </c>
      <c r="BB192" s="1" t="str">
        <f aca="false">IF($I$30=0,"WR","TE")</f>
        <v>TE</v>
      </c>
      <c r="BC192" s="2" t="n">
        <f aca="false">TEs!T34-calcs!$E$12</f>
        <v>-34.5030303030303</v>
      </c>
    </row>
    <row r="193" customFormat="false" ht="12.75" hidden="false" customHeight="false" outlineLevel="0" collapsed="false">
      <c r="AY193" s="1" t="n">
        <v>191</v>
      </c>
      <c r="AZ193" s="0" t="str">
        <f aca="false">Defs!A24</f>
        <v>Dallas Cowboys </v>
      </c>
      <c r="BB193" s="1" t="s">
        <v>8</v>
      </c>
      <c r="BC193" s="2" t="n">
        <f aca="false">Defs!I24-calcs!$E$14</f>
        <v>-34.7</v>
      </c>
    </row>
    <row r="194" customFormat="false" ht="12.75" hidden="false" customHeight="false" outlineLevel="0" collapsed="false">
      <c r="AY194" s="1" t="n">
        <v>192</v>
      </c>
      <c r="AZ194" s="0" t="str">
        <f aca="false">TEs!A55</f>
        <v>Marco Battaglia</v>
      </c>
      <c r="BA194" s="1" t="str">
        <f aca="false">TEs!B55</f>
        <v>Cin</v>
      </c>
      <c r="BB194" s="1" t="str">
        <f aca="false">IF($I$30=0,"WR","TE")</f>
        <v>TE</v>
      </c>
      <c r="BC194" s="2" t="n">
        <f aca="false">TEs!T55-calcs!$E$12</f>
        <v>-35.1030303030303</v>
      </c>
    </row>
    <row r="195" customFormat="false" ht="12.75" hidden="false" customHeight="false" outlineLevel="0" collapsed="false">
      <c r="AY195" s="1" t="n">
        <v>193</v>
      </c>
      <c r="AZ195" s="0" t="str">
        <f aca="false">WRs!A50</f>
        <v>David Boston</v>
      </c>
      <c r="BA195" s="1" t="str">
        <f aca="false">WRs!B50</f>
        <v>Ari</v>
      </c>
      <c r="BB195" s="1" t="s">
        <v>18</v>
      </c>
      <c r="BC195" s="2" t="n">
        <f aca="false">WRs!AJ50-calcs!$E$11</f>
        <v>-35.4669052448566</v>
      </c>
    </row>
    <row r="196" customFormat="false" ht="12.75" hidden="false" customHeight="false" outlineLevel="0" collapsed="false">
      <c r="AY196" s="1" t="n">
        <v>194</v>
      </c>
      <c r="AZ196" s="0" t="str">
        <f aca="false">Defs!A28</f>
        <v>Minnesota Vikings </v>
      </c>
      <c r="BB196" s="1" t="s">
        <v>8</v>
      </c>
      <c r="BC196" s="2" t="n">
        <f aca="false">Defs!I28-calcs!$E$14</f>
        <v>-35.54</v>
      </c>
    </row>
    <row r="197" customFormat="false" ht="12.75" hidden="false" customHeight="false" outlineLevel="0" collapsed="false">
      <c r="AY197" s="1" t="n">
        <v>195</v>
      </c>
      <c r="AZ197" s="0" t="str">
        <f aca="false">RBs!A37</f>
        <v>Napoleon Kaufman</v>
      </c>
      <c r="BA197" s="1" t="str">
        <f aca="false">RBs!B37</f>
        <v>Oak</v>
      </c>
      <c r="BB197" s="1" t="s">
        <v>9</v>
      </c>
      <c r="BC197" s="2" t="n">
        <f aca="false">RBs!AJ37-calcs!$E$10</f>
        <v>-35.5432634032635</v>
      </c>
    </row>
    <row r="198" customFormat="false" ht="12.75" hidden="false" customHeight="false" outlineLevel="0" collapsed="false">
      <c r="AY198" s="1" t="n">
        <v>196</v>
      </c>
      <c r="AZ198" s="0" t="str">
        <f aca="false">TEs!A36</f>
        <v>Mark Campbell</v>
      </c>
      <c r="BA198" s="1" t="str">
        <f aca="false">TEs!B36</f>
        <v>Cle</v>
      </c>
      <c r="BB198" s="1" t="str">
        <f aca="false">IF($I$30=0,"WR","TE")</f>
        <v>TE</v>
      </c>
      <c r="BC198" s="2" t="n">
        <f aca="false">TEs!T36-calcs!$E$12</f>
        <v>-36.5030303030303</v>
      </c>
    </row>
    <row r="199" customFormat="false" ht="12.75" hidden="false" customHeight="false" outlineLevel="0" collapsed="false">
      <c r="AY199" s="1" t="n">
        <v>197</v>
      </c>
      <c r="AZ199" s="0" t="str">
        <f aca="false">TEs!A37</f>
        <v>Eric Bjornson</v>
      </c>
      <c r="BA199" s="1" t="str">
        <f aca="false">TEs!B37</f>
        <v>NE</v>
      </c>
      <c r="BB199" s="1" t="str">
        <f aca="false">IF($I$30=0,"WR","TE")</f>
        <v>TE</v>
      </c>
      <c r="BC199" s="2" t="n">
        <f aca="false">TEs!T37-calcs!$E$12</f>
        <v>-36.5030303030303</v>
      </c>
    </row>
    <row r="200" customFormat="false" ht="12.75" hidden="false" customHeight="false" outlineLevel="0" collapsed="false">
      <c r="AY200" s="1" t="n">
        <v>198</v>
      </c>
      <c r="AZ200" s="0" t="str">
        <f aca="false">WRs!A59</f>
        <v>Jeff Graham</v>
      </c>
      <c r="BA200" s="1" t="str">
        <f aca="false">WRs!B59</f>
        <v>SD</v>
      </c>
      <c r="BB200" s="1" t="s">
        <v>18</v>
      </c>
      <c r="BC200" s="2" t="n">
        <f aca="false">WRs!AJ59-calcs!$E$11</f>
        <v>-36.7206867574616</v>
      </c>
    </row>
    <row r="201" customFormat="false" ht="12.75" hidden="false" customHeight="false" outlineLevel="0" collapsed="false">
      <c r="AY201" s="1" t="n">
        <v>199</v>
      </c>
      <c r="AZ201" s="0" t="str">
        <f aca="false">TEs!A38</f>
        <v>Mark Bruener</v>
      </c>
      <c r="BA201" s="1" t="str">
        <f aca="false">TEs!B38</f>
        <v>Pit</v>
      </c>
      <c r="BB201" s="1" t="str">
        <f aca="false">IF($I$30=0,"WR","TE")</f>
        <v>TE</v>
      </c>
      <c r="BC201" s="2" t="n">
        <f aca="false">TEs!T38-calcs!$E$12</f>
        <v>-37.1030303030303</v>
      </c>
    </row>
    <row r="202" customFormat="false" ht="12.75" hidden="false" customHeight="false" outlineLevel="0" collapsed="false">
      <c r="AY202" s="1" t="n">
        <v>200</v>
      </c>
      <c r="AZ202" s="0" t="str">
        <f aca="false">WRs!A58</f>
        <v>Kevin Dyson</v>
      </c>
      <c r="BA202" s="1" t="str">
        <f aca="false">WRs!B58</f>
        <v>Ten</v>
      </c>
      <c r="BB202" s="1" t="s">
        <v>18</v>
      </c>
      <c r="BC202" s="2" t="n">
        <f aca="false">WRs!AJ58-calcs!$E$11</f>
        <v>-37.2669052448565</v>
      </c>
    </row>
    <row r="203" customFormat="false" ht="12.75" hidden="false" customHeight="false" outlineLevel="0" collapsed="false">
      <c r="AY203" s="1" t="n">
        <v>201</v>
      </c>
      <c r="AZ203" s="0" t="str">
        <f aca="false">WRs!A51</f>
        <v>Curtis Conway</v>
      </c>
      <c r="BA203" s="1" t="str">
        <f aca="false">WRs!B51</f>
        <v>SD</v>
      </c>
      <c r="BB203" s="1" t="s">
        <v>18</v>
      </c>
      <c r="BC203" s="2" t="n">
        <f aca="false">WRs!AJ51-calcs!$E$11</f>
        <v>-37.6806867574616</v>
      </c>
    </row>
    <row r="204" customFormat="false" ht="12.75" hidden="false" customHeight="false" outlineLevel="0" collapsed="false">
      <c r="AY204" s="1" t="n">
        <v>202</v>
      </c>
      <c r="AZ204" s="0" t="str">
        <f aca="false">TEs!A39</f>
        <v>Reggie Kelly</v>
      </c>
      <c r="BA204" s="1" t="str">
        <f aca="false">TEs!B39</f>
        <v>Atl</v>
      </c>
      <c r="BB204" s="1" t="str">
        <f aca="false">IF($I$30=0,"WR","TE")</f>
        <v>TE</v>
      </c>
      <c r="BC204" s="2" t="n">
        <f aca="false">TEs!T39-calcs!$E$12</f>
        <v>-38.0030303030303</v>
      </c>
    </row>
    <row r="205" customFormat="false" ht="12.75" hidden="false" customHeight="false" outlineLevel="0" collapsed="false">
      <c r="AY205" s="1" t="n">
        <v>203</v>
      </c>
      <c r="AZ205" s="0" t="str">
        <f aca="false">TEs!A40</f>
        <v>Ernie Conwell</v>
      </c>
      <c r="BA205" s="1" t="str">
        <f aca="false">TEs!B40</f>
        <v>StL</v>
      </c>
      <c r="BB205" s="1" t="str">
        <f aca="false">IF($I$30=0,"WR","TE")</f>
        <v>TE</v>
      </c>
      <c r="BC205" s="2" t="n">
        <f aca="false">TEs!T40-calcs!$E$12</f>
        <v>-38.0030303030303</v>
      </c>
    </row>
    <row r="206" customFormat="false" ht="12.75" hidden="false" customHeight="false" outlineLevel="0" collapsed="false">
      <c r="AY206" s="1" t="n">
        <v>204</v>
      </c>
      <c r="AZ206" s="0" t="str">
        <f aca="false">PKs!A32</f>
        <v>Neil Rackers</v>
      </c>
      <c r="BA206" s="1" t="str">
        <f aca="false">PKs!B32</f>
        <v>Cin</v>
      </c>
      <c r="BB206" s="1" t="s">
        <v>24</v>
      </c>
      <c r="BC206" s="2" t="n">
        <f aca="false">PKs!W32-calcs!$E$13</f>
        <v>-38.4930940390976</v>
      </c>
    </row>
    <row r="207" customFormat="false" ht="12.75" hidden="false" customHeight="false" outlineLevel="0" collapsed="false">
      <c r="AY207" s="1" t="n">
        <v>205</v>
      </c>
      <c r="AZ207" s="0" t="str">
        <f aca="false">TEs!A41</f>
        <v>Ryan Wetnight</v>
      </c>
      <c r="BA207" s="1" t="str">
        <f aca="false">TEs!B41</f>
        <v>Chi</v>
      </c>
      <c r="BB207" s="1" t="str">
        <f aca="false">IF($I$30=0,"WR","TE")</f>
        <v>TE</v>
      </c>
      <c r="BC207" s="2" t="n">
        <f aca="false">TEs!T41-calcs!$E$12</f>
        <v>-38.5030303030303</v>
      </c>
    </row>
    <row r="208" customFormat="false" ht="12.75" hidden="false" customHeight="false" outlineLevel="0" collapsed="false">
      <c r="AY208" s="1" t="n">
        <v>206</v>
      </c>
      <c r="AZ208" s="0" t="str">
        <f aca="false">WRs!A52</f>
        <v>Darrin Chiaverini</v>
      </c>
      <c r="BA208" s="1" t="str">
        <f aca="false">WRs!B52</f>
        <v>Cle</v>
      </c>
      <c r="BB208" s="1" t="s">
        <v>18</v>
      </c>
      <c r="BC208" s="2" t="n">
        <f aca="false">WRs!AJ52-calcs!$E$11</f>
        <v>-39.7206867574616</v>
      </c>
    </row>
    <row r="209" customFormat="false" ht="12.75" hidden="false" customHeight="false" outlineLevel="0" collapsed="false">
      <c r="AY209" s="1" t="n">
        <v>207</v>
      </c>
      <c r="AZ209" s="0" t="str">
        <f aca="false">TEs!A42</f>
        <v>Dwayne Carswell</v>
      </c>
      <c r="BA209" s="1" t="str">
        <f aca="false">TEs!B42</f>
        <v>Den</v>
      </c>
      <c r="BB209" s="1" t="str">
        <f aca="false">IF($I$30=0,"WR","TE")</f>
        <v>TE</v>
      </c>
      <c r="BC209" s="2" t="n">
        <f aca="false">TEs!T42-calcs!$E$12</f>
        <v>-39.8030303030303</v>
      </c>
    </row>
    <row r="210" customFormat="false" ht="12.75" hidden="false" customHeight="false" outlineLevel="0" collapsed="false">
      <c r="AY210" s="1" t="n">
        <v>208</v>
      </c>
      <c r="AZ210" s="0" t="str">
        <f aca="false">QBs!A28</f>
        <v>Chris Chandler</v>
      </c>
      <c r="BA210" s="1" t="str">
        <f aca="false">QBs!B28</f>
        <v>Atl</v>
      </c>
      <c r="BB210" s="1" t="s">
        <v>13</v>
      </c>
      <c r="BC210" s="2" t="n">
        <f aca="false">QBs!AL28-calcs!$E$9</f>
        <v>-40.1356375675469</v>
      </c>
    </row>
    <row r="211" customFormat="false" ht="12.75" hidden="false" customHeight="false" outlineLevel="0" collapsed="false">
      <c r="AY211" s="1" t="n">
        <v>209</v>
      </c>
      <c r="AZ211" s="0" t="str">
        <f aca="false">RBs!A39</f>
        <v>Richard Huntley</v>
      </c>
      <c r="BA211" s="1" t="str">
        <f aca="false">RBs!B39</f>
        <v>Pit</v>
      </c>
      <c r="BB211" s="1" t="s">
        <v>9</v>
      </c>
      <c r="BC211" s="2" t="n">
        <f aca="false">RBs!AJ39-calcs!$E$10</f>
        <v>-40.1932634032635</v>
      </c>
    </row>
    <row r="212" customFormat="false" ht="12.75" hidden="false" customHeight="false" outlineLevel="0" collapsed="false">
      <c r="AY212" s="1" t="n">
        <v>210</v>
      </c>
      <c r="AZ212" s="0" t="str">
        <f aca="false">WRs!A53</f>
        <v>Troy Edwards</v>
      </c>
      <c r="BA212" s="1" t="str">
        <f aca="false">WRs!B53</f>
        <v>Pit</v>
      </c>
      <c r="BB212" s="1" t="s">
        <v>18</v>
      </c>
      <c r="BC212" s="2" t="n">
        <f aca="false">WRs!AJ53-calcs!$E$11</f>
        <v>-40.3206867574616</v>
      </c>
    </row>
    <row r="213" customFormat="false" ht="12.75" hidden="false" customHeight="false" outlineLevel="0" collapsed="false">
      <c r="AY213" s="1" t="n">
        <v>211</v>
      </c>
      <c r="AZ213" s="0" t="str">
        <f aca="false">TEs!A43</f>
        <v>Rod Rutledge</v>
      </c>
      <c r="BA213" s="1" t="str">
        <f aca="false">TEs!B43</f>
        <v>NE</v>
      </c>
      <c r="BB213" s="1" t="str">
        <f aca="false">IF($I$30=0,"WR","TE")</f>
        <v>TE</v>
      </c>
      <c r="BC213" s="2" t="n">
        <f aca="false">TEs!T43-calcs!$E$12</f>
        <v>-40.4030303030303</v>
      </c>
    </row>
    <row r="214" customFormat="false" ht="12.75" hidden="false" customHeight="false" outlineLevel="0" collapsed="false">
      <c r="AY214" s="1" t="n">
        <v>212</v>
      </c>
      <c r="AZ214" s="0" t="str">
        <f aca="false">Defs!A30</f>
        <v>Buffalo Bills </v>
      </c>
      <c r="BB214" s="1" t="s">
        <v>8</v>
      </c>
      <c r="BC214" s="2" t="n">
        <f aca="false">Defs!I30-calcs!$E$14</f>
        <v>-41</v>
      </c>
    </row>
    <row r="215" customFormat="false" ht="12.75" hidden="false" customHeight="false" outlineLevel="0" collapsed="false">
      <c r="AY215" s="1" t="n">
        <v>213</v>
      </c>
      <c r="AZ215" s="0" t="str">
        <f aca="false">RBs!A33</f>
        <v>Corey Dillon</v>
      </c>
      <c r="BA215" s="1" t="str">
        <f aca="false">RBs!B33</f>
        <v>Cin</v>
      </c>
      <c r="BB215" s="1" t="s">
        <v>9</v>
      </c>
      <c r="BC215" s="2" t="n">
        <f aca="false">RBs!AJ33-calcs!$E$10</f>
        <v>-41.4670396270397</v>
      </c>
    </row>
    <row r="216" customFormat="false" ht="12.75" hidden="false" customHeight="false" outlineLevel="0" collapsed="false">
      <c r="AY216" s="1" t="n">
        <v>214</v>
      </c>
      <c r="AZ216" s="0" t="str">
        <f aca="false">TEs!A45</f>
        <v>James Whalen</v>
      </c>
      <c r="BA216" s="1" t="str">
        <f aca="false">TEs!B45</f>
        <v>TB</v>
      </c>
      <c r="BB216" s="1" t="str">
        <f aca="false">IF($I$30=0,"WR","TE")</f>
        <v>TE</v>
      </c>
      <c r="BC216" s="2" t="n">
        <f aca="false">TEs!T45-calcs!$E$12</f>
        <v>-42.5030303030303</v>
      </c>
    </row>
    <row r="217" customFormat="false" ht="12.75" hidden="false" customHeight="false" outlineLevel="0" collapsed="false">
      <c r="AY217" s="1" t="n">
        <v>215</v>
      </c>
      <c r="AZ217" s="0" t="str">
        <f aca="false">TEs!A46</f>
        <v>Tyrone Davis</v>
      </c>
      <c r="BA217" s="1" t="str">
        <f aca="false">TEs!B46</f>
        <v>GB</v>
      </c>
      <c r="BB217" s="1" t="str">
        <f aca="false">IF($I$30=0,"WR","TE")</f>
        <v>TE</v>
      </c>
      <c r="BC217" s="2" t="n">
        <f aca="false">TEs!T46-calcs!$E$12</f>
        <v>-42.7030303030303</v>
      </c>
    </row>
    <row r="218" customFormat="false" ht="12.75" hidden="false" customHeight="false" outlineLevel="0" collapsed="false">
      <c r="AY218" s="1" t="n">
        <v>216</v>
      </c>
      <c r="AZ218" s="0" t="str">
        <f aca="false">Defs!A29</f>
        <v>Arizona Cardinals</v>
      </c>
      <c r="BB218" s="1" t="s">
        <v>8</v>
      </c>
      <c r="BC218" s="2" t="n">
        <f aca="false">Defs!I29-calcs!$E$14</f>
        <v>-42.94</v>
      </c>
    </row>
    <row r="219" customFormat="false" ht="12.75" hidden="false" customHeight="false" outlineLevel="0" collapsed="false">
      <c r="AY219" s="1" t="n">
        <v>217</v>
      </c>
      <c r="AZ219" s="0" t="str">
        <f aca="false">TEs!A47</f>
        <v>Fred Baxter</v>
      </c>
      <c r="BA219" s="1" t="str">
        <f aca="false">TEs!B47</f>
        <v>NYJ</v>
      </c>
      <c r="BB219" s="1" t="str">
        <f aca="false">IF($I$30=0,"WR","TE")</f>
        <v>TE</v>
      </c>
      <c r="BC219" s="2" t="n">
        <f aca="false">TEs!T47-calcs!$E$12</f>
        <v>-43.1030303030303</v>
      </c>
    </row>
    <row r="220" customFormat="false" ht="12.75" hidden="false" customHeight="false" outlineLevel="0" collapsed="false">
      <c r="AY220" s="1" t="n">
        <v>218</v>
      </c>
      <c r="AZ220" s="0" t="str">
        <f aca="false">TEs!A48</f>
        <v>Reggie Davis</v>
      </c>
      <c r="BA220" s="1" t="str">
        <f aca="false">TEs!B48</f>
        <v>SD</v>
      </c>
      <c r="BB220" s="1" t="str">
        <f aca="false">IF($I$30=0,"WR","TE")</f>
        <v>TE</v>
      </c>
      <c r="BC220" s="2" t="n">
        <f aca="false">TEs!T48-calcs!$E$12</f>
        <v>-43.1030303030303</v>
      </c>
    </row>
    <row r="221" customFormat="false" ht="12.75" hidden="false" customHeight="false" outlineLevel="0" collapsed="false">
      <c r="AY221" s="1" t="n">
        <v>219</v>
      </c>
      <c r="AZ221" s="0" t="str">
        <f aca="false">QBs!A24</f>
        <v>Vinny Testaverde</v>
      </c>
      <c r="BA221" s="1" t="str">
        <f aca="false">QBs!B24</f>
        <v>NYJ</v>
      </c>
      <c r="BB221" s="1" t="s">
        <v>13</v>
      </c>
      <c r="BC221" s="2" t="n">
        <f aca="false">QBs!AL24-calcs!$E$9</f>
        <v>-43.2559383194266</v>
      </c>
    </row>
    <row r="222" customFormat="false" ht="12.75" hidden="false" customHeight="false" outlineLevel="0" collapsed="false">
      <c r="AY222" s="1" t="n">
        <v>220</v>
      </c>
      <c r="AZ222" s="0" t="str">
        <f aca="false">TEs!A49</f>
        <v>Chad Lewis</v>
      </c>
      <c r="BA222" s="1" t="str">
        <f aca="false">TEs!B49</f>
        <v>Phi</v>
      </c>
      <c r="BB222" s="1" t="str">
        <f aca="false">IF($I$30=0,"WR","TE")</f>
        <v>TE</v>
      </c>
      <c r="BC222" s="2" t="n">
        <f aca="false">TEs!T49-calcs!$E$12</f>
        <v>-43.5030303030303</v>
      </c>
    </row>
    <row r="223" customFormat="false" ht="12.75" hidden="false" customHeight="false" outlineLevel="0" collapsed="false">
      <c r="AY223" s="1" t="n">
        <v>221</v>
      </c>
      <c r="AZ223" s="0" t="str">
        <f aca="false">RBs!A53</f>
        <v>Priest Holmes</v>
      </c>
      <c r="BA223" s="1" t="str">
        <f aca="false">RBs!B53</f>
        <v>Bal</v>
      </c>
      <c r="BB223" s="1" t="s">
        <v>9</v>
      </c>
      <c r="BC223" s="2" t="n">
        <f aca="false">RBs!AJ53-calcs!$E$10</f>
        <v>-44.3432634032635</v>
      </c>
    </row>
    <row r="224" customFormat="false" ht="12.75" hidden="false" customHeight="false" outlineLevel="0" collapsed="false">
      <c r="AY224" s="1" t="n">
        <v>222</v>
      </c>
      <c r="AZ224" s="0" t="str">
        <f aca="false">WRs!A61</f>
        <v>Herman Moore</v>
      </c>
      <c r="BA224" s="1" t="str">
        <f aca="false">WRs!B61</f>
        <v>Det</v>
      </c>
      <c r="BB224" s="1" t="s">
        <v>18</v>
      </c>
      <c r="BC224" s="2" t="n">
        <f aca="false">WRs!AJ61-calcs!$E$11</f>
        <v>-44.6706867574616</v>
      </c>
    </row>
    <row r="225" customFormat="false" ht="12.75" hidden="false" customHeight="false" outlineLevel="0" collapsed="false">
      <c r="AY225" s="1" t="n">
        <v>223</v>
      </c>
      <c r="AZ225" s="0" t="str">
        <f aca="false">TEs!A50</f>
        <v>Troy Drayton</v>
      </c>
      <c r="BA225" s="1" t="str">
        <f aca="false">TEs!B50</f>
        <v>KC</v>
      </c>
      <c r="BB225" s="1" t="str">
        <f aca="false">IF($I$30=0,"WR","TE")</f>
        <v>TE</v>
      </c>
      <c r="BC225" s="2" t="n">
        <f aca="false">TEs!T50-calcs!$E$12</f>
        <v>-45.5030303030303</v>
      </c>
    </row>
    <row r="226" customFormat="false" ht="12.75" hidden="false" customHeight="false" outlineLevel="0" collapsed="false">
      <c r="AY226" s="1" t="n">
        <v>224</v>
      </c>
      <c r="AZ226" s="0" t="str">
        <f aca="false">Defs!A26</f>
        <v>Indianapolis Colts </v>
      </c>
      <c r="BB226" s="1" t="s">
        <v>8</v>
      </c>
      <c r="BC226" s="2" t="n">
        <f aca="false">Defs!I26-calcs!$E$14</f>
        <v>-45.78</v>
      </c>
    </row>
    <row r="227" customFormat="false" ht="12.75" hidden="false" customHeight="false" outlineLevel="0" collapsed="false">
      <c r="AY227" s="1" t="n">
        <v>225</v>
      </c>
      <c r="AZ227" s="0" t="str">
        <f aca="false">QBs!A26</f>
        <v>Shaun King</v>
      </c>
      <c r="BA227" s="1" t="str">
        <f aca="false">QBs!B26</f>
        <v>TB</v>
      </c>
      <c r="BB227" s="1" t="s">
        <v>13</v>
      </c>
      <c r="BC227" s="2" t="n">
        <f aca="false">QBs!AL26-calcs!$E$9</f>
        <v>-46.0150886953664</v>
      </c>
    </row>
    <row r="228" customFormat="false" ht="12.75" hidden="false" customHeight="false" outlineLevel="0" collapsed="false">
      <c r="AY228" s="1" t="n">
        <v>226</v>
      </c>
      <c r="AZ228" s="0" t="str">
        <f aca="false">RBs!A40</f>
        <v>Jonathan Linton</v>
      </c>
      <c r="BA228" s="1" t="str">
        <f aca="false">RBs!B40</f>
        <v>Buf</v>
      </c>
      <c r="BB228" s="1" t="s">
        <v>9</v>
      </c>
      <c r="BC228" s="2" t="n">
        <f aca="false">RBs!AJ40-calcs!$E$10</f>
        <v>-46.3932634032635</v>
      </c>
    </row>
    <row r="229" customFormat="false" ht="12.75" hidden="false" customHeight="false" outlineLevel="0" collapsed="false">
      <c r="AY229" s="1" t="n">
        <v>227</v>
      </c>
      <c r="AZ229" s="0" t="str">
        <f aca="false">WRs!A55</f>
        <v>Carl Pickens</v>
      </c>
      <c r="BA229" s="1" t="str">
        <f aca="false">WRs!B55</f>
        <v>Ten</v>
      </c>
      <c r="BB229" s="1" t="s">
        <v>18</v>
      </c>
      <c r="BC229" s="2" t="n">
        <f aca="false">WRs!AJ55-calcs!$E$11</f>
        <v>-47.7169052448566</v>
      </c>
    </row>
    <row r="230" customFormat="false" ht="12.75" hidden="false" customHeight="false" outlineLevel="0" collapsed="false">
      <c r="AY230" s="1" t="n">
        <v>228</v>
      </c>
      <c r="AZ230" s="0" t="str">
        <f aca="false">PKs!A17</f>
        <v>Paul Edinger</v>
      </c>
      <c r="BA230" s="1" t="str">
        <f aca="false">PKs!B17</f>
        <v>Chi</v>
      </c>
      <c r="BB230" s="1" t="s">
        <v>24</v>
      </c>
      <c r="BC230" s="2" t="n">
        <f aca="false">PKs!W17-calcs!$E$13</f>
        <v>-48.0165315390976</v>
      </c>
    </row>
    <row r="231" customFormat="false" ht="12.75" hidden="false" customHeight="false" outlineLevel="0" collapsed="false">
      <c r="AY231" s="1" t="n">
        <v>229</v>
      </c>
      <c r="AZ231" s="0" t="str">
        <f aca="false">TEs!A51</f>
        <v>Bobby Collins</v>
      </c>
      <c r="BA231" s="1" t="str">
        <f aca="false">TEs!B51</f>
        <v>Buf</v>
      </c>
      <c r="BB231" s="1" t="str">
        <f aca="false">IF($I$30=0,"WR","TE")</f>
        <v>TE</v>
      </c>
      <c r="BC231" s="2" t="n">
        <f aca="false">TEs!T51-calcs!$E$12</f>
        <v>-48.4757575757576</v>
      </c>
    </row>
    <row r="232" customFormat="false" ht="12.75" hidden="false" customHeight="false" outlineLevel="0" collapsed="false">
      <c r="AY232" s="1" t="n">
        <v>230</v>
      </c>
      <c r="AZ232" s="0" t="str">
        <f aca="false">TEs!A44</f>
        <v>Jeremy Brigham</v>
      </c>
      <c r="BA232" s="1" t="str">
        <f aca="false">TEs!B44</f>
        <v>Oak</v>
      </c>
      <c r="BB232" s="1" t="str">
        <f aca="false">IF($I$30=0,"WR","TE")</f>
        <v>TE</v>
      </c>
      <c r="BC232" s="2" t="n">
        <f aca="false">TEs!T44-calcs!$E$12</f>
        <v>-48.8757575757576</v>
      </c>
    </row>
    <row r="233" customFormat="false" ht="12.75" hidden="false" customHeight="false" outlineLevel="0" collapsed="false">
      <c r="AY233" s="1" t="n">
        <v>231</v>
      </c>
      <c r="AZ233" s="0" t="str">
        <f aca="false">TEs!A52</f>
        <v>Alonzo Mayes</v>
      </c>
      <c r="BA233" s="1" t="str">
        <f aca="false">TEs!B52</f>
        <v>Chi</v>
      </c>
      <c r="BB233" s="1" t="str">
        <f aca="false">IF($I$30=0,"WR","TE")</f>
        <v>TE</v>
      </c>
      <c r="BC233" s="2" t="n">
        <f aca="false">TEs!T52-calcs!$E$12</f>
        <v>-49.0157575757576</v>
      </c>
    </row>
    <row r="234" customFormat="false" ht="12.75" hidden="false" customHeight="false" outlineLevel="0" collapsed="false">
      <c r="AY234" s="1" t="n">
        <v>232</v>
      </c>
      <c r="AZ234" s="0" t="str">
        <f aca="false">PKs!A33</f>
        <v>Phil Dawson</v>
      </c>
      <c r="BA234" s="1" t="str">
        <f aca="false">PKs!B33</f>
        <v>Cle</v>
      </c>
      <c r="BB234" s="1" t="s">
        <v>24</v>
      </c>
      <c r="BC234" s="2" t="n">
        <f aca="false">PKs!W33-calcs!$E$13</f>
        <v>-49.0321565390976</v>
      </c>
    </row>
    <row r="235" customFormat="false" ht="12.75" hidden="false" customHeight="false" outlineLevel="0" collapsed="false">
      <c r="AY235" s="1" t="n">
        <v>233</v>
      </c>
      <c r="AZ235" s="0" t="str">
        <f aca="false">TEs!A53</f>
        <v>Hunter Goodwin</v>
      </c>
      <c r="BA235" s="1" t="str">
        <f aca="false">TEs!B53</f>
        <v>Mia</v>
      </c>
      <c r="BB235" s="1" t="str">
        <f aca="false">IF($I$30=0,"WR","TE")</f>
        <v>TE</v>
      </c>
      <c r="BC235" s="2" t="n">
        <f aca="false">TEs!T53-calcs!$E$12</f>
        <v>-49.3757575757576</v>
      </c>
    </row>
    <row r="236" customFormat="false" ht="12.75" hidden="false" customHeight="false" outlineLevel="0" collapsed="false">
      <c r="AY236" s="1" t="n">
        <v>234</v>
      </c>
      <c r="AZ236" s="0" t="str">
        <f aca="false">TEs!A54</f>
        <v>Jason Gavadza</v>
      </c>
      <c r="BA236" s="1" t="str">
        <f aca="false">TEs!B54</f>
        <v>Pit</v>
      </c>
      <c r="BB236" s="1" t="str">
        <f aca="false">IF($I$30=0,"WR","TE")</f>
        <v>TE</v>
      </c>
      <c r="BC236" s="2" t="n">
        <f aca="false">TEs!T54-calcs!$E$12</f>
        <v>-49.3757575757576</v>
      </c>
    </row>
    <row r="237" customFormat="false" ht="12.75" hidden="false" customHeight="false" outlineLevel="0" collapsed="false">
      <c r="AY237" s="1" t="n">
        <v>235</v>
      </c>
      <c r="AZ237" s="0" t="str">
        <f aca="false">Defs!A25</f>
        <v>San Francisco 49ers</v>
      </c>
      <c r="BB237" s="1" t="s">
        <v>8</v>
      </c>
      <c r="BC237" s="2" t="n">
        <f aca="false">Defs!I25-calcs!$E$14</f>
        <v>-49.46</v>
      </c>
    </row>
    <row r="238" customFormat="false" ht="12.75" hidden="false" customHeight="false" outlineLevel="0" collapsed="false">
      <c r="AY238" s="1" t="n">
        <v>236</v>
      </c>
      <c r="AZ238" s="0" t="str">
        <f aca="false">TEs!A56</f>
        <v>Erron Kinney</v>
      </c>
      <c r="BA238" s="1" t="str">
        <f aca="false">TEs!B56</f>
        <v>Ten</v>
      </c>
      <c r="BB238" s="1" t="str">
        <f aca="false">IF($I$30=0,"WR","TE")</f>
        <v>TE</v>
      </c>
      <c r="BC238" s="2" t="n">
        <f aca="false">TEs!T56-calcs!$E$12</f>
        <v>-50.3757575757576</v>
      </c>
    </row>
    <row r="239" customFormat="false" ht="12.75" hidden="false" customHeight="false" outlineLevel="0" collapsed="false">
      <c r="AY239" s="1" t="n">
        <v>237</v>
      </c>
      <c r="AZ239" s="0" t="str">
        <f aca="false">TEs!A57</f>
        <v>James Jenkins</v>
      </c>
      <c r="BA239" s="1" t="str">
        <f aca="false">TEs!B57</f>
        <v>Was</v>
      </c>
      <c r="BB239" s="1" t="str">
        <f aca="false">IF($I$30=0,"WR","TE")</f>
        <v>TE</v>
      </c>
      <c r="BC239" s="2" t="n">
        <f aca="false">TEs!T57-calcs!$E$12</f>
        <v>-50.3757575757576</v>
      </c>
    </row>
    <row r="240" customFormat="false" ht="12.75" hidden="false" customHeight="false" outlineLevel="0" collapsed="false">
      <c r="AY240" s="1" t="n">
        <v>238</v>
      </c>
      <c r="AZ240" s="0" t="str">
        <f aca="false">TEs!A58</f>
        <v>Carlester Crumpler</v>
      </c>
      <c r="BA240" s="1" t="str">
        <f aca="false">TEs!B58</f>
        <v>Min</v>
      </c>
      <c r="BB240" s="1" t="str">
        <f aca="false">IF($I$30=0,"WR","TE")</f>
        <v>TE</v>
      </c>
      <c r="BC240" s="2" t="n">
        <f aca="false">TEs!T58-calcs!$E$12</f>
        <v>-50.4757575757576</v>
      </c>
    </row>
    <row r="241" customFormat="false" ht="12.75" hidden="false" customHeight="false" outlineLevel="0" collapsed="false">
      <c r="AY241" s="1" t="n">
        <v>239</v>
      </c>
      <c r="AZ241" s="0" t="str">
        <f aca="false">WRs!A80</f>
        <v>Jermaine Lewis</v>
      </c>
      <c r="BA241" s="1" t="str">
        <f aca="false">WRs!B80</f>
        <v>Bal</v>
      </c>
      <c r="BB241" s="1" t="s">
        <v>18</v>
      </c>
      <c r="BC241" s="2" t="n">
        <f aca="false">WRs!AJ80-calcs!$E$11</f>
        <v>-52.5706867574616</v>
      </c>
    </row>
    <row r="242" customFormat="false" ht="12.75" hidden="false" customHeight="false" outlineLevel="0" collapsed="false">
      <c r="AY242" s="1" t="n">
        <v>240</v>
      </c>
      <c r="AZ242" s="0" t="str">
        <f aca="false">TEs!A59</f>
        <v>Aaron Shea</v>
      </c>
      <c r="BA242" s="1" t="str">
        <f aca="false">TEs!B59</f>
        <v>Cle</v>
      </c>
      <c r="BB242" s="1" t="str">
        <f aca="false">IF($I$30=0,"WR","TE")</f>
        <v>TE</v>
      </c>
      <c r="BC242" s="2" t="n">
        <f aca="false">TEs!T59-calcs!$E$12</f>
        <v>-52.5757575757576</v>
      </c>
    </row>
    <row r="243" customFormat="false" ht="12.75" hidden="false" customHeight="false" outlineLevel="0" collapsed="false">
      <c r="AY243" s="1" t="n">
        <v>241</v>
      </c>
      <c r="AZ243" s="0" t="str">
        <f aca="false">WRs!A64</f>
        <v>Torrance Small</v>
      </c>
      <c r="BA243" s="1" t="str">
        <f aca="false">WRs!B64</f>
        <v>Phi</v>
      </c>
      <c r="BB243" s="1" t="s">
        <v>18</v>
      </c>
      <c r="BC243" s="2" t="n">
        <f aca="false">WRs!AJ64-calcs!$E$11</f>
        <v>-52.7744682700666</v>
      </c>
    </row>
    <row r="244" customFormat="false" ht="12.75" hidden="false" customHeight="false" outlineLevel="0" collapsed="false">
      <c r="AY244" s="1" t="n">
        <v>242</v>
      </c>
      <c r="AZ244" s="0" t="str">
        <f aca="false">TEs!A60</f>
        <v>Itula Mili</v>
      </c>
      <c r="BA244" s="1" t="str">
        <f aca="false">TEs!B60</f>
        <v>Sea</v>
      </c>
      <c r="BB244" s="1" t="str">
        <f aca="false">IF($I$30=0,"WR","TE")</f>
        <v>TE</v>
      </c>
      <c r="BC244" s="2" t="n">
        <f aca="false">TEs!T60-calcs!$E$12</f>
        <v>-53.3757575757576</v>
      </c>
    </row>
    <row r="245" customFormat="false" ht="12.75" hidden="false" customHeight="false" outlineLevel="0" collapsed="false">
      <c r="AY245" s="1" t="n">
        <v>243</v>
      </c>
      <c r="AZ245" s="0" t="str">
        <f aca="false">TEs!A61</f>
        <v>Ed Perry</v>
      </c>
      <c r="BA245" s="1" t="str">
        <f aca="false">TEs!B61</f>
        <v>Mia</v>
      </c>
      <c r="BB245" s="1" t="str">
        <f aca="false">IF($I$30=0,"WR","TE")</f>
        <v>TE</v>
      </c>
      <c r="BC245" s="2" t="n">
        <f aca="false">TEs!T61-calcs!$E$12</f>
        <v>-53.4757575757576</v>
      </c>
    </row>
    <row r="246" customFormat="false" ht="12.75" hidden="false" customHeight="false" outlineLevel="0" collapsed="false">
      <c r="AY246" s="1" t="n">
        <v>244</v>
      </c>
      <c r="AZ246" s="0" t="str">
        <f aca="false">RBs!A44</f>
        <v>Chris Warren</v>
      </c>
      <c r="BA246" s="1" t="str">
        <f aca="false">RBs!B44</f>
        <v>Dal</v>
      </c>
      <c r="BB246" s="1" t="s">
        <v>9</v>
      </c>
      <c r="BC246" s="2" t="n">
        <f aca="false">RBs!AJ44-calcs!$E$10</f>
        <v>-53.5432634032635</v>
      </c>
    </row>
    <row r="247" customFormat="false" ht="12.75" hidden="false" customHeight="false" outlineLevel="0" collapsed="false">
      <c r="AY247" s="1" t="n">
        <v>245</v>
      </c>
      <c r="AZ247" s="0" t="str">
        <f aca="false">TEs!A62</f>
        <v>Brian Kinchen</v>
      </c>
      <c r="BA247" s="1" t="str">
        <f aca="false">TEs!B62</f>
        <v>Car</v>
      </c>
      <c r="BB247" s="1" t="str">
        <f aca="false">IF($I$30=0,"WR","TE")</f>
        <v>TE</v>
      </c>
      <c r="BC247" s="2" t="n">
        <f aca="false">TEs!T62-calcs!$E$12</f>
        <v>-54.1757575757576</v>
      </c>
    </row>
    <row r="248" customFormat="false" ht="12.75" hidden="false" customHeight="false" outlineLevel="0" collapsed="false">
      <c r="AY248" s="1" t="n">
        <v>246</v>
      </c>
      <c r="AZ248" s="0" t="str">
        <f aca="false">WRs!A70</f>
        <v>Keith Poole</v>
      </c>
      <c r="BA248" s="1" t="str">
        <f aca="false">WRs!B70</f>
        <v>NO</v>
      </c>
      <c r="BB248" s="1" t="s">
        <v>18</v>
      </c>
      <c r="BC248" s="2" t="n">
        <f aca="false">WRs!AJ70-calcs!$E$11</f>
        <v>-54.4244682700666</v>
      </c>
    </row>
    <row r="249" customFormat="false" ht="12.75" hidden="false" customHeight="false" outlineLevel="0" collapsed="false">
      <c r="AY249" s="1" t="n">
        <v>247</v>
      </c>
      <c r="AZ249" s="0" t="str">
        <f aca="false">TEs!A63</f>
        <v>Howard Cross</v>
      </c>
      <c r="BA249" s="1" t="str">
        <f aca="false">TEs!B63</f>
        <v>NYG</v>
      </c>
      <c r="BB249" s="1" t="str">
        <f aca="false">IF($I$30=0,"WR","TE")</f>
        <v>TE</v>
      </c>
      <c r="BC249" s="2" t="n">
        <f aca="false">TEs!T63-calcs!$E$12</f>
        <v>-54.6757575757576</v>
      </c>
    </row>
    <row r="250" customFormat="false" ht="12.75" hidden="false" customHeight="false" outlineLevel="0" collapsed="false">
      <c r="AY250" s="1" t="n">
        <v>248</v>
      </c>
      <c r="AZ250" s="0" t="str">
        <f aca="false">WRs!A66</f>
        <v>Frank Sanders</v>
      </c>
      <c r="BA250" s="1" t="str">
        <f aca="false">WRs!B66</f>
        <v>Ari</v>
      </c>
      <c r="BB250" s="1" t="s">
        <v>18</v>
      </c>
      <c r="BC250" s="2" t="n">
        <f aca="false">WRs!AJ66-calcs!$E$11</f>
        <v>-55.2744682700666</v>
      </c>
    </row>
    <row r="251" customFormat="false" ht="12.75" hidden="false" customHeight="false" outlineLevel="0" collapsed="false">
      <c r="AY251" s="1" t="n">
        <v>249</v>
      </c>
      <c r="AZ251" s="0" t="str">
        <f aca="false">TEs!A64</f>
        <v>Shonn Bell</v>
      </c>
      <c r="BA251" s="1" t="str">
        <f aca="false">TEs!B64</f>
        <v>SF</v>
      </c>
      <c r="BB251" s="1" t="str">
        <f aca="false">IF($I$30=0,"WR","TE")</f>
        <v>TE</v>
      </c>
      <c r="BC251" s="2" t="n">
        <f aca="false">TEs!T64-calcs!$E$12</f>
        <v>-55.8757575757576</v>
      </c>
    </row>
    <row r="252" customFormat="false" ht="12.75" hidden="false" customHeight="false" outlineLevel="0" collapsed="false">
      <c r="AY252" s="1" t="n">
        <v>250</v>
      </c>
      <c r="AZ252" s="0" t="str">
        <f aca="false">RBs!A41</f>
        <v>Mike Cloud</v>
      </c>
      <c r="BA252" s="1" t="str">
        <f aca="false">RBs!B41</f>
        <v>KC</v>
      </c>
      <c r="BB252" s="1" t="s">
        <v>9</v>
      </c>
      <c r="BC252" s="2" t="n">
        <f aca="false">RBs!AJ41-calcs!$E$10</f>
        <v>-56.1694871794872</v>
      </c>
    </row>
    <row r="253" customFormat="false" ht="12.75" hidden="false" customHeight="false" outlineLevel="0" collapsed="false">
      <c r="AY253" s="1" t="n">
        <v>251</v>
      </c>
      <c r="AZ253" s="0" t="str">
        <f aca="false">WRs!A68</f>
        <v>Corey Bradford</v>
      </c>
      <c r="BA253" s="1" t="str">
        <f aca="false">WRs!B68</f>
        <v>GB</v>
      </c>
      <c r="BB253" s="1" t="s">
        <v>18</v>
      </c>
      <c r="BC253" s="2" t="n">
        <f aca="false">WRs!AJ68-calcs!$E$11</f>
        <v>-56.5206867574616</v>
      </c>
    </row>
    <row r="254" customFormat="false" ht="12.75" hidden="false" customHeight="false" outlineLevel="0" collapsed="false">
      <c r="AY254" s="1" t="n">
        <v>252</v>
      </c>
      <c r="AZ254" s="0" t="str">
        <f aca="false">WRs!A75</f>
        <v>Donald Hayes</v>
      </c>
      <c r="BA254" s="1" t="str">
        <f aca="false">WRs!B75</f>
        <v>Car</v>
      </c>
      <c r="BB254" s="1" t="s">
        <v>18</v>
      </c>
      <c r="BC254" s="2" t="n">
        <f aca="false">WRs!AJ75-calcs!$E$11</f>
        <v>-56.7744682700666</v>
      </c>
    </row>
    <row r="255" customFormat="false" ht="12.75" hidden="false" customHeight="false" outlineLevel="0" collapsed="false">
      <c r="AY255" s="1" t="n">
        <v>253</v>
      </c>
      <c r="AZ255" s="0" t="str">
        <f aca="false">TEs!A65</f>
        <v>Walter Rasby</v>
      </c>
      <c r="BA255" s="1" t="str">
        <f aca="false">TEs!B65</f>
        <v>Det</v>
      </c>
      <c r="BB255" s="1" t="str">
        <f aca="false">IF($I$30=0,"WR","TE")</f>
        <v>TE</v>
      </c>
      <c r="BC255" s="2" t="n">
        <f aca="false">TEs!T65-calcs!$E$12</f>
        <v>-56.8757575757576</v>
      </c>
    </row>
    <row r="256" customFormat="false" ht="12.75" hidden="false" customHeight="false" outlineLevel="0" collapsed="false">
      <c r="AY256" s="1" t="n">
        <v>254</v>
      </c>
      <c r="AZ256" s="0" t="str">
        <f aca="false">WRs!A67</f>
        <v>Dedric Ward</v>
      </c>
      <c r="BA256" s="1" t="str">
        <f aca="false">WRs!B67</f>
        <v>NYJ</v>
      </c>
      <c r="BB256" s="1" t="s">
        <v>18</v>
      </c>
      <c r="BC256" s="2" t="n">
        <f aca="false">WRs!AJ67-calcs!$E$11</f>
        <v>-56.9744682700666</v>
      </c>
    </row>
    <row r="257" customFormat="false" ht="12.75" hidden="false" customHeight="false" outlineLevel="0" collapsed="false">
      <c r="AY257" s="1" t="n">
        <v>255</v>
      </c>
      <c r="AZ257" s="0" t="str">
        <f aca="false">WRs!A65</f>
        <v>James Jett</v>
      </c>
      <c r="BA257" s="1" t="str">
        <f aca="false">WRs!B65</f>
        <v>Oak</v>
      </c>
      <c r="BB257" s="1" t="s">
        <v>18</v>
      </c>
      <c r="BC257" s="2" t="n">
        <f aca="false">WRs!AJ65-calcs!$E$11</f>
        <v>-57.3143842364532</v>
      </c>
    </row>
    <row r="258" customFormat="false" ht="12.75" hidden="false" customHeight="false" outlineLevel="0" collapsed="false">
      <c r="AY258" s="1" t="n">
        <v>256</v>
      </c>
      <c r="AZ258" s="0" t="str">
        <f aca="false">WRs!A74</f>
        <v>Tony Simmons</v>
      </c>
      <c r="BA258" s="1" t="str">
        <f aca="false">WRs!B74</f>
        <v>NE</v>
      </c>
      <c r="BB258" s="1" t="s">
        <v>18</v>
      </c>
      <c r="BC258" s="2" t="n">
        <f aca="false">WRs!AJ74-calcs!$E$11</f>
        <v>-59.0643842364532</v>
      </c>
    </row>
    <row r="259" customFormat="false" ht="12.75" hidden="false" customHeight="false" outlineLevel="0" collapsed="false">
      <c r="AY259" s="1" t="n">
        <v>257</v>
      </c>
      <c r="AZ259" s="0" t="str">
        <f aca="false">RBs!A42</f>
        <v>Tiki Barber</v>
      </c>
      <c r="BA259" s="1" t="str">
        <f aca="false">RBs!B42</f>
        <v>NYG</v>
      </c>
      <c r="BB259" s="1" t="s">
        <v>9</v>
      </c>
      <c r="BC259" s="2" t="n">
        <f aca="false">RBs!AJ42-calcs!$E$10</f>
        <v>-59.155710955711</v>
      </c>
    </row>
    <row r="260" customFormat="false" ht="12.75" hidden="false" customHeight="false" outlineLevel="0" collapsed="false">
      <c r="AY260" s="1" t="n">
        <v>258</v>
      </c>
      <c r="AZ260" s="0" t="str">
        <f aca="false">Defs!A31</f>
        <v>Atlanta Falcons </v>
      </c>
      <c r="BB260" s="1" t="s">
        <v>8</v>
      </c>
      <c r="BC260" s="2" t="n">
        <f aca="false">Defs!I31-calcs!$E$14</f>
        <v>-59.34</v>
      </c>
    </row>
    <row r="261" customFormat="false" ht="12.75" hidden="false" customHeight="false" outlineLevel="0" collapsed="false">
      <c r="AY261" s="1" t="n">
        <v>259</v>
      </c>
      <c r="AZ261" s="0" t="str">
        <f aca="false">RBs!A38</f>
        <v>Natrone Means</v>
      </c>
      <c r="BA261" s="1" t="str">
        <f aca="false">RBs!B38</f>
        <v>Car</v>
      </c>
      <c r="BB261" s="1" t="s">
        <v>9</v>
      </c>
      <c r="BC261" s="2" t="n">
        <f aca="false">RBs!AJ38-calcs!$E$10</f>
        <v>-59.9908158508159</v>
      </c>
    </row>
    <row r="262" customFormat="false" ht="12.75" hidden="false" customHeight="false" outlineLevel="0" collapsed="false">
      <c r="AY262" s="1" t="n">
        <v>260</v>
      </c>
      <c r="AZ262" s="0" t="str">
        <f aca="false">WRs!A72</f>
        <v>Kevin Lockett</v>
      </c>
      <c r="BA262" s="1" t="str">
        <f aca="false">WRs!B72</f>
        <v>KC</v>
      </c>
      <c r="BB262" s="1" t="s">
        <v>18</v>
      </c>
      <c r="BC262" s="2" t="n">
        <f aca="false">WRs!AJ72-calcs!$E$11</f>
        <v>-61.2744682700666</v>
      </c>
    </row>
    <row r="263" customFormat="false" ht="12.75" hidden="false" customHeight="false" outlineLevel="0" collapsed="false">
      <c r="AY263" s="1" t="n">
        <v>261</v>
      </c>
      <c r="AZ263" s="0" t="str">
        <f aca="false">TEs!A19</f>
        <v>Cam Cleeland</v>
      </c>
      <c r="BA263" s="1" t="str">
        <f aca="false">TEs!B19</f>
        <v>NO</v>
      </c>
      <c r="BB263" s="1" t="str">
        <f aca="false">IF($I$30=0,"WR","TE")</f>
        <v>TE</v>
      </c>
      <c r="BC263" s="2" t="n">
        <f aca="false">TEs!T19-calcs!$E$12</f>
        <v>-61.3757575757576</v>
      </c>
    </row>
    <row r="264" customFormat="false" ht="12.75" hidden="false" customHeight="false" outlineLevel="0" collapsed="false">
      <c r="AY264" s="1" t="n">
        <v>262</v>
      </c>
      <c r="AZ264" s="0" t="str">
        <f aca="false">RBs!A46</f>
        <v>J.R. Redmond</v>
      </c>
      <c r="BA264" s="1" t="str">
        <f aca="false">RBs!B46</f>
        <v>NE</v>
      </c>
      <c r="BB264" s="1" t="s">
        <v>9</v>
      </c>
      <c r="BC264" s="2" t="n">
        <f aca="false">RBs!AJ46-calcs!$E$10</f>
        <v>-62.6694871794872</v>
      </c>
    </row>
    <row r="265" customFormat="false" ht="12.75" hidden="false" customHeight="false" outlineLevel="0" collapsed="false">
      <c r="AY265" s="1" t="n">
        <v>263</v>
      </c>
      <c r="AZ265" s="0" t="str">
        <f aca="false">RBs!A47</f>
        <v>Larry Centers</v>
      </c>
      <c r="BA265" s="1" t="str">
        <f aca="false">RBs!B47</f>
        <v>Was</v>
      </c>
      <c r="BB265" s="1" t="s">
        <v>9</v>
      </c>
      <c r="BC265" s="2" t="n">
        <f aca="false">RBs!AJ47-calcs!$E$10</f>
        <v>-63.2719347319348</v>
      </c>
    </row>
    <row r="266" customFormat="false" ht="12.75" hidden="false" customHeight="false" outlineLevel="0" collapsed="false">
      <c r="AY266" s="1" t="n">
        <v>264</v>
      </c>
      <c r="AZ266" s="0" t="str">
        <f aca="false">WRs!A73</f>
        <v>O.J. McDuffie</v>
      </c>
      <c r="BA266" s="1" t="str">
        <f aca="false">WRs!B73</f>
        <v>Mia</v>
      </c>
      <c r="BB266" s="1" t="s">
        <v>18</v>
      </c>
      <c r="BC266" s="2" t="n">
        <f aca="false">WRs!AJ73-calcs!$E$11</f>
        <v>-64.0244682700667</v>
      </c>
    </row>
    <row r="267" customFormat="false" ht="12.75" hidden="false" customHeight="false" outlineLevel="0" collapsed="false">
      <c r="AY267" s="1" t="n">
        <v>265</v>
      </c>
      <c r="AZ267" s="0" t="str">
        <f aca="false">WRs!A109</f>
        <v>Craig Yeast</v>
      </c>
      <c r="BA267" s="1" t="str">
        <f aca="false">WRs!B109</f>
        <v>Cin</v>
      </c>
      <c r="BB267" s="1" t="s">
        <v>18</v>
      </c>
      <c r="BC267" s="2" t="n">
        <f aca="false">WRs!AJ109-calcs!$E$11</f>
        <v>-64.2744682700666</v>
      </c>
    </row>
    <row r="268" customFormat="false" ht="12.75" hidden="false" customHeight="false" outlineLevel="0" collapsed="false">
      <c r="AY268" s="1" t="n">
        <v>266</v>
      </c>
      <c r="AZ268" s="0" t="str">
        <f aca="false">RBs!A45</f>
        <v>Olandis Gary</v>
      </c>
      <c r="BA268" s="1" t="str">
        <f aca="false">RBs!B45</f>
        <v>Den</v>
      </c>
      <c r="BB268" s="1" t="s">
        <v>9</v>
      </c>
      <c r="BC268" s="2" t="n">
        <f aca="false">RBs!AJ45-calcs!$E$10</f>
        <v>-65.1432634032635</v>
      </c>
    </row>
    <row r="269" customFormat="false" ht="12.75" hidden="false" customHeight="false" outlineLevel="0" collapsed="false">
      <c r="AY269" s="1" t="n">
        <v>267</v>
      </c>
      <c r="AZ269" s="0" t="str">
        <f aca="false">WRs!A63</f>
        <v>Yancey Thigpen</v>
      </c>
      <c r="BA269" s="1" t="str">
        <f aca="false">WRs!B63</f>
        <v>Ten</v>
      </c>
      <c r="BB269" s="1" t="s">
        <v>18</v>
      </c>
      <c r="BC269" s="2" t="n">
        <f aca="false">WRs!AJ63-calcs!$E$11</f>
        <v>-67.2744682700667</v>
      </c>
    </row>
    <row r="270" customFormat="false" ht="12.75" hidden="false" customHeight="false" outlineLevel="0" collapsed="false">
      <c r="AY270" s="1" t="n">
        <v>268</v>
      </c>
      <c r="AZ270" s="0" t="str">
        <f aca="false">WRs!A71</f>
        <v>Marty Booker</v>
      </c>
      <c r="BA270" s="1" t="str">
        <f aca="false">WRs!B71</f>
        <v>Chi</v>
      </c>
      <c r="BB270" s="1" t="s">
        <v>18</v>
      </c>
      <c r="BC270" s="2" t="n">
        <f aca="false">WRs!AJ71-calcs!$E$11</f>
        <v>-70.2244682700667</v>
      </c>
    </row>
    <row r="271" customFormat="false" ht="12.75" hidden="false" customHeight="false" outlineLevel="0" collapsed="false">
      <c r="AY271" s="1" t="n">
        <v>269</v>
      </c>
      <c r="AZ271" s="0" t="str">
        <f aca="false">RBs!A48</f>
        <v>Donnell Bennett</v>
      </c>
      <c r="BA271" s="1" t="str">
        <f aca="false">RBs!B48</f>
        <v>KC</v>
      </c>
      <c r="BB271" s="1" t="s">
        <v>9</v>
      </c>
      <c r="BC271" s="2" t="n">
        <f aca="false">RBs!AJ48-calcs!$E$10</f>
        <v>-71.9908158508159</v>
      </c>
    </row>
    <row r="272" customFormat="false" ht="12.75" hidden="false" customHeight="false" outlineLevel="0" collapsed="false">
      <c r="AY272" s="1" t="n">
        <v>270</v>
      </c>
      <c r="AZ272" s="0" t="str">
        <f aca="false">Defs!A32</f>
        <v>Cincinnati Bengals </v>
      </c>
      <c r="BB272" s="1" t="s">
        <v>8</v>
      </c>
      <c r="BC272" s="2" t="n">
        <f aca="false">Defs!I32-calcs!$E$14</f>
        <v>-72.02</v>
      </c>
    </row>
    <row r="273" customFormat="false" ht="12.75" hidden="false" customHeight="false" outlineLevel="0" collapsed="false">
      <c r="AY273" s="1" t="n">
        <v>271</v>
      </c>
      <c r="AZ273" s="0" t="str">
        <f aca="false">WRs!A62</f>
        <v>Justin Armour</v>
      </c>
      <c r="BA273" s="1" t="str">
        <f aca="false">WRs!B62</f>
        <v>Sea</v>
      </c>
      <c r="BB273" s="1" t="s">
        <v>18</v>
      </c>
      <c r="BC273" s="2" t="n">
        <f aca="false">WRs!AJ62-calcs!$E$11</f>
        <v>-72.5244682700666</v>
      </c>
    </row>
    <row r="274" customFormat="false" ht="12.75" hidden="false" customHeight="false" outlineLevel="0" collapsed="false">
      <c r="AY274" s="1" t="n">
        <v>272</v>
      </c>
      <c r="AZ274" s="0" t="str">
        <f aca="false">QBs!A30</f>
        <v>Kordell Stewart</v>
      </c>
      <c r="BA274" s="1" t="str">
        <f aca="false">QBs!B30</f>
        <v>Pit</v>
      </c>
      <c r="BB274" s="1" t="s">
        <v>13</v>
      </c>
      <c r="BC274" s="2" t="n">
        <f aca="false">QBs!AL30-calcs!$E$9</f>
        <v>-73.2546901991258</v>
      </c>
    </row>
    <row r="275" customFormat="false" ht="12.75" hidden="false" customHeight="false" outlineLevel="0" collapsed="false">
      <c r="AY275" s="1" t="n">
        <v>273</v>
      </c>
      <c r="AZ275" s="0" t="str">
        <f aca="false">WRs!A69</f>
        <v>R. Jay Soward</v>
      </c>
      <c r="BA275" s="1" t="str">
        <f aca="false">WRs!B69</f>
        <v>Jac</v>
      </c>
      <c r="BB275" s="1" t="s">
        <v>18</v>
      </c>
      <c r="BC275" s="2" t="n">
        <f aca="false">WRs!AJ69-calcs!$E$11</f>
        <v>-74.1782497826717</v>
      </c>
    </row>
    <row r="276" customFormat="false" ht="12.75" hidden="false" customHeight="false" outlineLevel="0" collapsed="false">
      <c r="AY276" s="1" t="n">
        <v>274</v>
      </c>
      <c r="AZ276" s="0" t="str">
        <f aca="false">RBs!A50</f>
        <v>Terrell Fletcher</v>
      </c>
      <c r="BA276" s="1" t="str">
        <f aca="false">RBs!B50</f>
        <v>SD</v>
      </c>
      <c r="BB276" s="1" t="s">
        <v>9</v>
      </c>
      <c r="BC276" s="2" t="n">
        <f aca="false">RBs!AJ50-calcs!$E$10</f>
        <v>-74.2994871794872</v>
      </c>
    </row>
    <row r="277" customFormat="false" ht="12.75" hidden="false" customHeight="false" outlineLevel="0" collapsed="false">
      <c r="AY277" s="1" t="n">
        <v>275</v>
      </c>
      <c r="AZ277" s="0" t="str">
        <f aca="false">WRs!A78</f>
        <v>Dennis Northcutt</v>
      </c>
      <c r="BA277" s="1" t="str">
        <f aca="false">WRs!B78</f>
        <v>Cle</v>
      </c>
      <c r="BB277" s="1" t="s">
        <v>18</v>
      </c>
      <c r="BC277" s="2" t="n">
        <f aca="false">WRs!AJ78-calcs!$E$11</f>
        <v>-74.7744682700666</v>
      </c>
    </row>
    <row r="278" customFormat="false" ht="12.75" hidden="false" customHeight="false" outlineLevel="0" collapsed="false">
      <c r="AY278" s="1" t="n">
        <v>276</v>
      </c>
      <c r="AZ278" s="0" t="str">
        <f aca="false">Defs!A33</f>
        <v>Cleveland Browns</v>
      </c>
      <c r="BB278" s="1" t="s">
        <v>8</v>
      </c>
      <c r="BC278" s="2" t="n">
        <f aca="false">Defs!I33-calcs!$E$14</f>
        <v>-75.18</v>
      </c>
    </row>
    <row r="279" customFormat="false" ht="12.75" hidden="false" customHeight="false" outlineLevel="0" collapsed="false">
      <c r="AY279" s="1" t="n">
        <v>277</v>
      </c>
      <c r="AZ279" s="0" t="str">
        <f aca="false">RBs!A52</f>
        <v>Robert Holcombe</v>
      </c>
      <c r="BA279" s="1" t="str">
        <f aca="false">RBs!B52</f>
        <v>StL</v>
      </c>
      <c r="BB279" s="1" t="s">
        <v>9</v>
      </c>
      <c r="BC279" s="2" t="n">
        <f aca="false">RBs!AJ52-calcs!$E$10</f>
        <v>-75.6670396270397</v>
      </c>
    </row>
    <row r="280" customFormat="false" ht="12.75" hidden="false" customHeight="false" outlineLevel="0" collapsed="false">
      <c r="AY280" s="1" t="n">
        <v>278</v>
      </c>
      <c r="AZ280" s="0" t="str">
        <f aca="false">RBs!A51</f>
        <v>Stanley Pritchett</v>
      </c>
      <c r="BA280" s="1" t="str">
        <f aca="false">RBs!B51</f>
        <v>Phi</v>
      </c>
      <c r="BB280" s="1" t="s">
        <v>9</v>
      </c>
      <c r="BC280" s="2" t="n">
        <f aca="false">RBs!AJ51-calcs!$E$10</f>
        <v>-76.345710955711</v>
      </c>
    </row>
    <row r="281" customFormat="false" ht="12.75" hidden="false" customHeight="false" outlineLevel="0" collapsed="false">
      <c r="AY281" s="1" t="n">
        <v>279</v>
      </c>
      <c r="AZ281" s="0" t="str">
        <f aca="false">WRs!A76</f>
        <v>Vincent Brisby</v>
      </c>
      <c r="BA281" s="1" t="str">
        <f aca="false">WRs!B76</f>
        <v>NE</v>
      </c>
      <c r="BB281" s="1" t="s">
        <v>18</v>
      </c>
      <c r="BC281" s="2" t="n">
        <f aca="false">WRs!AJ76-calcs!$E$11</f>
        <v>-76.6282497826717</v>
      </c>
    </row>
    <row r="282" customFormat="false" ht="12.75" hidden="false" customHeight="false" outlineLevel="0" collapsed="false">
      <c r="AY282" s="1" t="n">
        <v>280</v>
      </c>
      <c r="AZ282" s="0" t="str">
        <f aca="false">RBs!A111</f>
        <v>Brandon Bennett</v>
      </c>
      <c r="BA282" s="1" t="str">
        <f aca="false">RBs!B111</f>
        <v>Cin</v>
      </c>
      <c r="BB282" s="1" t="s">
        <v>9</v>
      </c>
      <c r="BC282" s="2" t="n">
        <f aca="false">RBs!AJ111-calcs!$E$10</f>
        <v>-77.4194871794872</v>
      </c>
    </row>
    <row r="283" customFormat="false" ht="12.75" hidden="false" customHeight="false" outlineLevel="0" collapsed="false">
      <c r="AY283" s="1" t="n">
        <v>281</v>
      </c>
      <c r="AZ283" s="0" t="str">
        <f aca="false">WRs!A81</f>
        <v>Mathew Hatchette</v>
      </c>
      <c r="BA283" s="1" t="str">
        <f aca="false">WRs!B81</f>
        <v>Min</v>
      </c>
      <c r="BB283" s="1" t="s">
        <v>18</v>
      </c>
      <c r="BC283" s="2" t="n">
        <f aca="false">WRs!AJ81-calcs!$E$11</f>
        <v>-77.7282497826717</v>
      </c>
    </row>
    <row r="284" customFormat="false" ht="12.75" hidden="false" customHeight="false" outlineLevel="0" collapsed="false">
      <c r="AY284" s="1" t="n">
        <v>282</v>
      </c>
      <c r="AZ284" s="0" t="str">
        <f aca="false">WRs!A82</f>
        <v>Andre Reed</v>
      </c>
      <c r="BA284" s="1" t="str">
        <f aca="false">WRs!B82</f>
        <v>Den</v>
      </c>
      <c r="BB284" s="1" t="s">
        <v>18</v>
      </c>
      <c r="BC284" s="2" t="n">
        <f aca="false">WRs!AJ82-calcs!$E$11</f>
        <v>-78.6744682700666</v>
      </c>
    </row>
    <row r="285" customFormat="false" ht="12.75" hidden="false" customHeight="false" outlineLevel="0" collapsed="false">
      <c r="AY285" s="1" t="n">
        <v>283</v>
      </c>
      <c r="AZ285" s="0" t="str">
        <f aca="false">WRs!A83</f>
        <v>J.J. Stokes</v>
      </c>
      <c r="BA285" s="1" t="str">
        <f aca="false">WRs!B83</f>
        <v>SF</v>
      </c>
      <c r="BB285" s="1" t="s">
        <v>18</v>
      </c>
      <c r="BC285" s="2" t="n">
        <f aca="false">WRs!AJ83-calcs!$E$11</f>
        <v>-78.6744682700666</v>
      </c>
    </row>
    <row r="286" customFormat="false" ht="12.75" hidden="false" customHeight="false" outlineLevel="0" collapsed="false">
      <c r="AY286" s="1" t="n">
        <v>284</v>
      </c>
      <c r="AZ286" s="0" t="str">
        <f aca="false">WRs!A84</f>
        <v>Hines Ward</v>
      </c>
      <c r="BA286" s="1" t="str">
        <f aca="false">WRs!B84</f>
        <v>Pit</v>
      </c>
      <c r="BB286" s="1" t="s">
        <v>18</v>
      </c>
      <c r="BC286" s="2" t="n">
        <f aca="false">WRs!AJ84-calcs!$E$11</f>
        <v>-79.1744682700666</v>
      </c>
    </row>
    <row r="287" customFormat="false" ht="12.75" hidden="false" customHeight="false" outlineLevel="0" collapsed="false">
      <c r="AY287" s="1" t="n">
        <v>285</v>
      </c>
      <c r="AZ287" s="0" t="str">
        <f aca="false">WRs!A91</f>
        <v>Ron Dugans</v>
      </c>
      <c r="BA287" s="1" t="str">
        <f aca="false">WRs!B91</f>
        <v>Cin</v>
      </c>
      <c r="BB287" s="1" t="s">
        <v>18</v>
      </c>
      <c r="BC287" s="2" t="n">
        <f aca="false">WRs!AJ91-calcs!$E$11</f>
        <v>-80.2282497826717</v>
      </c>
    </row>
    <row r="288" customFormat="false" ht="12.75" hidden="false" customHeight="false" outlineLevel="0" collapsed="false">
      <c r="AY288" s="1" t="n">
        <v>286</v>
      </c>
      <c r="AZ288" s="0" t="str">
        <f aca="false">RBs!A65</f>
        <v>Kevin Faulk</v>
      </c>
      <c r="BA288" s="1" t="str">
        <f aca="false">RBs!B65</f>
        <v>NE</v>
      </c>
      <c r="BB288" s="1" t="s">
        <v>9</v>
      </c>
      <c r="BC288" s="2" t="n">
        <f aca="false">RBs!AJ65-calcs!$E$10</f>
        <v>-81.595710955711</v>
      </c>
    </row>
    <row r="289" customFormat="false" ht="12.75" hidden="false" customHeight="false" outlineLevel="0" collapsed="false">
      <c r="AY289" s="1" t="n">
        <v>287</v>
      </c>
      <c r="AZ289" s="0" t="str">
        <f aca="false">RBs!A57</f>
        <v>Ron Rivers</v>
      </c>
      <c r="BA289" s="1" t="str">
        <f aca="false">RBs!B57</f>
        <v>Atl</v>
      </c>
      <c r="BB289" s="1" t="s">
        <v>9</v>
      </c>
      <c r="BC289" s="2" t="n">
        <f aca="false">RBs!AJ57-calcs!$E$10</f>
        <v>-82.1194871794872</v>
      </c>
    </row>
    <row r="290" customFormat="false" ht="12.75" hidden="false" customHeight="false" outlineLevel="0" collapsed="false">
      <c r="AY290" s="1" t="n">
        <v>288</v>
      </c>
      <c r="AZ290" s="0" t="str">
        <f aca="false">WRs!A85</f>
        <v>Joe Jurevicious</v>
      </c>
      <c r="BA290" s="1" t="str">
        <f aca="false">WRs!B85</f>
        <v>NYG</v>
      </c>
      <c r="BB290" s="1" t="s">
        <v>18</v>
      </c>
      <c r="BC290" s="2" t="n">
        <f aca="false">WRs!AJ85-calcs!$E$11</f>
        <v>-85.2282497826717</v>
      </c>
    </row>
    <row r="291" customFormat="false" ht="12.75" hidden="false" customHeight="false" outlineLevel="0" collapsed="false">
      <c r="AY291" s="1" t="n">
        <v>289</v>
      </c>
      <c r="AZ291" s="0" t="str">
        <f aca="false">RBs!A55</f>
        <v>Adrian Murrell</v>
      </c>
      <c r="BA291" s="1" t="str">
        <f aca="false">RBs!B55</f>
        <v>Was</v>
      </c>
      <c r="BB291" s="1" t="s">
        <v>9</v>
      </c>
      <c r="BC291" s="2" t="n">
        <f aca="false">RBs!AJ55-calcs!$E$10</f>
        <v>-85.7194871794872</v>
      </c>
    </row>
    <row r="292" customFormat="false" ht="12.75" hidden="false" customHeight="false" outlineLevel="0" collapsed="false">
      <c r="AY292" s="1" t="n">
        <v>290</v>
      </c>
      <c r="AZ292" s="0" t="str">
        <f aca="false">WRs!A88</f>
        <v>Andre Rison</v>
      </c>
      <c r="BA292" s="1" t="str">
        <f aca="false">WRs!B88</f>
        <v>KC</v>
      </c>
      <c r="BB292" s="1" t="s">
        <v>18</v>
      </c>
      <c r="BC292" s="2" t="n">
        <f aca="false">WRs!AJ88-calcs!$E$11</f>
        <v>-85.8282497826717</v>
      </c>
    </row>
    <row r="293" customFormat="false" ht="12.75" hidden="false" customHeight="false" outlineLevel="0" collapsed="false">
      <c r="AY293" s="1" t="n">
        <v>291</v>
      </c>
      <c r="AZ293" s="0" t="str">
        <f aca="false">RBs!A59</f>
        <v>Rob Konrad</v>
      </c>
      <c r="BA293" s="1" t="str">
        <f aca="false">RBs!B59</f>
        <v>Mia</v>
      </c>
      <c r="BB293" s="1" t="s">
        <v>9</v>
      </c>
      <c r="BC293" s="2" t="n">
        <f aca="false">RBs!AJ59-calcs!$E$10</f>
        <v>-87.6432634032634</v>
      </c>
    </row>
    <row r="294" customFormat="false" ht="12.75" hidden="false" customHeight="false" outlineLevel="0" collapsed="false">
      <c r="AY294" s="1" t="n">
        <v>292</v>
      </c>
      <c r="AZ294" s="0" t="str">
        <f aca="false">RBs!A56</f>
        <v>Tony Richardson</v>
      </c>
      <c r="BA294" s="1" t="str">
        <f aca="false">RBs!B56</f>
        <v>KC</v>
      </c>
      <c r="BB294" s="1" t="s">
        <v>9</v>
      </c>
      <c r="BC294" s="2" t="n">
        <f aca="false">RBs!AJ56-calcs!$E$10</f>
        <v>-88.0194871794872</v>
      </c>
    </row>
    <row r="295" customFormat="false" ht="12.75" hidden="false" customHeight="false" outlineLevel="0" collapsed="false">
      <c r="AY295" s="1" t="n">
        <v>293</v>
      </c>
      <c r="AZ295" s="0" t="str">
        <f aca="false">RBs!A58</f>
        <v>James Allen</v>
      </c>
      <c r="BA295" s="1" t="str">
        <f aca="false">RBs!B58</f>
        <v>Chi</v>
      </c>
      <c r="BB295" s="1" t="s">
        <v>9</v>
      </c>
      <c r="BC295" s="2" t="n">
        <f aca="false">RBs!AJ58-calcs!$E$10</f>
        <v>-88.895710955711</v>
      </c>
    </row>
    <row r="296" customFormat="false" ht="12.75" hidden="false" customHeight="false" outlineLevel="0" collapsed="false">
      <c r="AY296" s="1" t="n">
        <v>294</v>
      </c>
      <c r="AZ296" s="0" t="str">
        <f aca="false">RBs!A61</f>
        <v>Shawn Bryson</v>
      </c>
      <c r="BA296" s="1" t="str">
        <f aca="false">RBs!B61</f>
        <v>Buf</v>
      </c>
      <c r="BB296" s="1" t="s">
        <v>9</v>
      </c>
      <c r="BC296" s="2" t="n">
        <f aca="false">RBs!AJ61-calcs!$E$10</f>
        <v>-89.6432634032634</v>
      </c>
    </row>
    <row r="297" customFormat="false" ht="12.75" hidden="false" customHeight="false" outlineLevel="0" collapsed="false">
      <c r="AY297" s="1" t="n">
        <v>295</v>
      </c>
      <c r="AZ297" s="0" t="str">
        <f aca="false">WRs!A89</f>
        <v>Jerry Porter</v>
      </c>
      <c r="BA297" s="1" t="str">
        <f aca="false">WRs!B89</f>
        <v>Oak</v>
      </c>
      <c r="BB297" s="1" t="s">
        <v>18</v>
      </c>
      <c r="BC297" s="2" t="n">
        <f aca="false">WRs!AJ89-calcs!$E$11</f>
        <v>-89.7282497826717</v>
      </c>
    </row>
    <row r="298" customFormat="false" ht="12.75" hidden="false" customHeight="false" outlineLevel="0" collapsed="false">
      <c r="AY298" s="1" t="n">
        <v>296</v>
      </c>
      <c r="AZ298" s="0" t="str">
        <f aca="false">RBs!A60</f>
        <v>Byron Hanspard</v>
      </c>
      <c r="BA298" s="1" t="str">
        <f aca="false">RBs!B60</f>
        <v>Atl</v>
      </c>
      <c r="BB298" s="1" t="s">
        <v>9</v>
      </c>
      <c r="BC298" s="2" t="n">
        <f aca="false">RBs!AJ60-calcs!$E$10</f>
        <v>-90.995710955711</v>
      </c>
    </row>
    <row r="299" customFormat="false" ht="12.75" hidden="false" customHeight="false" outlineLevel="0" collapsed="false">
      <c r="AY299" s="1" t="n">
        <v>297</v>
      </c>
      <c r="AZ299" s="0" t="str">
        <f aca="false">WRs!A86</f>
        <v>Laveranues Coles</v>
      </c>
      <c r="BA299" s="1" t="str">
        <f aca="false">WRs!B86</f>
        <v>NYJ</v>
      </c>
      <c r="BB299" s="1" t="s">
        <v>18</v>
      </c>
      <c r="BC299" s="2" t="n">
        <f aca="false">WRs!AJ86-calcs!$E$11</f>
        <v>-91.2282497826717</v>
      </c>
    </row>
    <row r="300" customFormat="false" ht="12.75" hidden="false" customHeight="false" outlineLevel="0" collapsed="false">
      <c r="AY300" s="1" t="n">
        <v>298</v>
      </c>
      <c r="AZ300" s="0" t="str">
        <f aca="false">RBs!A62</f>
        <v>Terry Kirby</v>
      </c>
      <c r="BA300" s="1" t="str">
        <f aca="false">RBs!B62</f>
        <v>Cle</v>
      </c>
      <c r="BB300" s="1" t="s">
        <v>9</v>
      </c>
      <c r="BC300" s="2" t="n">
        <f aca="false">RBs!AJ62-calcs!$E$10</f>
        <v>-91.395710955711</v>
      </c>
    </row>
    <row r="301" customFormat="false" ht="12.75" hidden="false" customHeight="false" outlineLevel="0" collapsed="false">
      <c r="AY301" s="1" t="n">
        <v>299</v>
      </c>
      <c r="AZ301" s="0" t="str">
        <f aca="false">RBs!A63</f>
        <v>Thurman Thomas</v>
      </c>
      <c r="BA301" s="1" t="str">
        <f aca="false">RBs!B63</f>
        <v>Mia</v>
      </c>
      <c r="BB301" s="1" t="s">
        <v>9</v>
      </c>
      <c r="BC301" s="2" t="n">
        <f aca="false">RBs!AJ63-calcs!$E$10</f>
        <v>-91.945710955711</v>
      </c>
    </row>
    <row r="302" customFormat="false" ht="12.75" hidden="false" customHeight="false" outlineLevel="0" collapsed="false">
      <c r="AY302" s="1" t="n">
        <v>300</v>
      </c>
      <c r="AZ302" s="0" t="str">
        <f aca="false">WRs!A92</f>
        <v>Troy Brown</v>
      </c>
      <c r="BA302" s="1" t="str">
        <f aca="false">WRs!B92</f>
        <v>NE</v>
      </c>
      <c r="BB302" s="1" t="s">
        <v>18</v>
      </c>
      <c r="BC302" s="2" t="n">
        <f aca="false">WRs!AJ92-calcs!$E$11</f>
        <v>-92.1282497826717</v>
      </c>
    </row>
    <row r="303" customFormat="false" ht="12.75" hidden="false" customHeight="false" outlineLevel="0" collapsed="false">
      <c r="AY303" s="1" t="n">
        <v>301</v>
      </c>
      <c r="AZ303" s="0" t="str">
        <f aca="false">WRs!A87</f>
        <v>Chris Sanders</v>
      </c>
      <c r="BA303" s="1" t="str">
        <f aca="false">WRs!B87</f>
        <v>Ten</v>
      </c>
      <c r="BB303" s="1" t="s">
        <v>18</v>
      </c>
      <c r="BC303" s="2" t="n">
        <f aca="false">WRs!AJ87-calcs!$E$11</f>
        <v>-94.2282497826717</v>
      </c>
    </row>
    <row r="304" customFormat="false" ht="12.75" hidden="false" customHeight="false" outlineLevel="0" collapsed="false">
      <c r="AY304" s="1" t="n">
        <v>302</v>
      </c>
      <c r="AZ304" s="0" t="str">
        <f aca="false">WRs!A95</f>
        <v>Trevor Gaylor</v>
      </c>
      <c r="BA304" s="1" t="str">
        <f aca="false">WRs!B95</f>
        <v>SD</v>
      </c>
      <c r="BB304" s="1" t="s">
        <v>18</v>
      </c>
      <c r="BC304" s="2" t="n">
        <f aca="false">WRs!AJ95-calcs!$E$11</f>
        <v>-94.2282497826717</v>
      </c>
    </row>
    <row r="305" customFormat="false" ht="12.75" hidden="false" customHeight="false" outlineLevel="0" collapsed="false">
      <c r="AY305" s="1" t="n">
        <v>303</v>
      </c>
      <c r="AZ305" s="0" t="str">
        <f aca="false">RBs!A73</f>
        <v>Curtis Keaton</v>
      </c>
      <c r="BA305" s="1" t="str">
        <f aca="false">RBs!B73</f>
        <v>Cin</v>
      </c>
      <c r="BB305" s="1" t="s">
        <v>9</v>
      </c>
      <c r="BC305" s="2" t="n">
        <f aca="false">RBs!AJ73-calcs!$E$10</f>
        <v>-94.495710955711</v>
      </c>
    </row>
    <row r="306" customFormat="false" ht="12.75" hidden="false" customHeight="false" outlineLevel="0" collapsed="false">
      <c r="AY306" s="1" t="n">
        <v>304</v>
      </c>
      <c r="AZ306" s="0" t="str">
        <f aca="false">WRs!A94</f>
        <v>Jeremey McDaniel</v>
      </c>
      <c r="BA306" s="1" t="str">
        <f aca="false">WRs!B94</f>
        <v>Buf</v>
      </c>
      <c r="BB306" s="1" t="s">
        <v>18</v>
      </c>
      <c r="BC306" s="2" t="n">
        <f aca="false">WRs!AJ94-calcs!$E$11</f>
        <v>-95.6820312952767</v>
      </c>
    </row>
    <row r="307" customFormat="false" ht="12.75" hidden="false" customHeight="false" outlineLevel="0" collapsed="false">
      <c r="AY307" s="1" t="n">
        <v>305</v>
      </c>
      <c r="AZ307" s="0" t="str">
        <f aca="false">RBs!A64</f>
        <v>Karim Abdul-Jabbar</v>
      </c>
      <c r="BA307" s="1" t="str">
        <f aca="false">RBs!B64</f>
        <v>Ind</v>
      </c>
      <c r="BB307" s="1" t="s">
        <v>9</v>
      </c>
      <c r="BC307" s="2" t="n">
        <f aca="false">RBs!AJ64-calcs!$E$10</f>
        <v>-97.2194871794872</v>
      </c>
    </row>
    <row r="308" customFormat="false" ht="12.75" hidden="false" customHeight="false" outlineLevel="0" collapsed="false">
      <c r="AY308" s="1" t="n">
        <v>306</v>
      </c>
      <c r="AZ308" s="0" t="str">
        <f aca="false">WRs!A93</f>
        <v>Jerome Pathon</v>
      </c>
      <c r="BA308" s="1" t="str">
        <f aca="false">WRs!B93</f>
        <v>Ind</v>
      </c>
      <c r="BB308" s="1" t="s">
        <v>18</v>
      </c>
      <c r="BC308" s="2" t="n">
        <f aca="false">WRs!AJ93-calcs!$E$11</f>
        <v>-99.2320312952767</v>
      </c>
    </row>
    <row r="309" customFormat="false" ht="12.75" hidden="false" customHeight="false" outlineLevel="0" collapsed="false">
      <c r="AY309" s="1" t="n">
        <v>307</v>
      </c>
      <c r="AZ309" s="0" t="str">
        <f aca="false">RBs!A54</f>
        <v>Chris Howard</v>
      </c>
      <c r="BA309" s="1" t="str">
        <f aca="false">RBs!B54</f>
        <v>Jac</v>
      </c>
      <c r="BB309" s="1" t="s">
        <v>9</v>
      </c>
      <c r="BC309" s="2" t="n">
        <f aca="false">RBs!AJ54-calcs!$E$10</f>
        <v>-99.4194871794872</v>
      </c>
    </row>
    <row r="310" customFormat="false" ht="12.75" hidden="false" customHeight="false" outlineLevel="0" collapsed="false">
      <c r="AY310" s="1" t="n">
        <v>308</v>
      </c>
      <c r="AZ310" s="0" t="str">
        <f aca="false">WRs!A96</f>
        <v>Windrell Hayes</v>
      </c>
      <c r="BA310" s="1" t="str">
        <f aca="false">WRs!B96</f>
        <v>NYJ</v>
      </c>
      <c r="BB310" s="1" t="s">
        <v>18</v>
      </c>
      <c r="BC310" s="2" t="n">
        <f aca="false">WRs!AJ96-calcs!$E$11</f>
        <v>-100.228249782672</v>
      </c>
    </row>
    <row r="311" customFormat="false" ht="12.75" hidden="false" customHeight="false" outlineLevel="0" collapsed="false">
      <c r="AY311" s="1" t="n">
        <v>309</v>
      </c>
      <c r="AZ311" s="0" t="str">
        <f aca="false">RBs!A67</f>
        <v>Trung Canidate</v>
      </c>
      <c r="BA311" s="1" t="str">
        <f aca="false">RBs!B67</f>
        <v>StL</v>
      </c>
      <c r="BB311" s="1" t="s">
        <v>9</v>
      </c>
      <c r="BC311" s="2" t="n">
        <f aca="false">RBs!AJ67-calcs!$E$10</f>
        <v>-100.719487179487</v>
      </c>
    </row>
    <row r="312" customFormat="false" ht="12.75" hidden="false" customHeight="false" outlineLevel="0" collapsed="false">
      <c r="AY312" s="1" t="n">
        <v>310</v>
      </c>
      <c r="AZ312" s="0" t="str">
        <f aca="false">WRs!A97</f>
        <v>Lamar Thomas</v>
      </c>
      <c r="BA312" s="1" t="str">
        <f aca="false">WRs!B97</f>
        <v>Mia</v>
      </c>
      <c r="BB312" s="1" t="s">
        <v>18</v>
      </c>
      <c r="BC312" s="2" t="n">
        <f aca="false">WRs!AJ97-calcs!$E$11</f>
        <v>-101.428249782672</v>
      </c>
    </row>
    <row r="313" customFormat="false" ht="12.75" hidden="false" customHeight="false" outlineLevel="0" collapsed="false">
      <c r="AY313" s="1" t="n">
        <v>311</v>
      </c>
      <c r="AZ313" s="0" t="str">
        <f aca="false">RBs!A71</f>
        <v>William Floyd</v>
      </c>
      <c r="BA313" s="1" t="str">
        <f aca="false">RBs!B71</f>
        <v>Car</v>
      </c>
      <c r="BB313" s="1" t="s">
        <v>9</v>
      </c>
      <c r="BC313" s="2" t="n">
        <f aca="false">RBs!AJ71-calcs!$E$10</f>
        <v>-102.419487179487</v>
      </c>
    </row>
    <row r="314" customFormat="false" ht="12.75" hidden="false" customHeight="false" outlineLevel="0" collapsed="false">
      <c r="AY314" s="1" t="n">
        <v>312</v>
      </c>
      <c r="AZ314" s="0" t="str">
        <f aca="false">RBs!A68</f>
        <v>Bernie Parmalee</v>
      </c>
      <c r="BA314" s="1" t="str">
        <f aca="false">RBs!B68</f>
        <v>NYJ</v>
      </c>
      <c r="BB314" s="1" t="s">
        <v>9</v>
      </c>
      <c r="BC314" s="2" t="n">
        <f aca="false">RBs!AJ68-calcs!$E$10</f>
        <v>-102.695710955711</v>
      </c>
    </row>
    <row r="315" customFormat="false" ht="12.75" hidden="false" customHeight="false" outlineLevel="0" collapsed="false">
      <c r="AY315" s="1" t="n">
        <v>313</v>
      </c>
      <c r="AZ315" s="0" t="str">
        <f aca="false">WRs!A100</f>
        <v>Bert Emanuel</v>
      </c>
      <c r="BA315" s="1" t="str">
        <f aca="false">WRs!B100</f>
        <v>Mia</v>
      </c>
      <c r="BB315" s="1" t="s">
        <v>18</v>
      </c>
      <c r="BC315" s="2" t="n">
        <f aca="false">WRs!AJ100-calcs!$E$11</f>
        <v>-104.228249782672</v>
      </c>
    </row>
    <row r="316" customFormat="false" ht="12.75" hidden="false" customHeight="false" outlineLevel="0" collapsed="false">
      <c r="AY316" s="1" t="n">
        <v>314</v>
      </c>
      <c r="AZ316" s="0" t="str">
        <f aca="false">RBs!A72</f>
        <v>Sedrick Irvin</v>
      </c>
      <c r="BA316" s="1" t="str">
        <f aca="false">RBs!B72</f>
        <v>Det</v>
      </c>
      <c r="BB316" s="1" t="s">
        <v>9</v>
      </c>
      <c r="BC316" s="2" t="n">
        <f aca="false">RBs!AJ72-calcs!$E$10</f>
        <v>-104.295710955711</v>
      </c>
    </row>
    <row r="317" customFormat="false" ht="12.75" hidden="false" customHeight="false" outlineLevel="0" collapsed="false">
      <c r="AY317" s="1" t="n">
        <v>315</v>
      </c>
      <c r="AZ317" s="0" t="str">
        <f aca="false">WRs!A98</f>
        <v>E.G. Green</v>
      </c>
      <c r="BA317" s="1" t="str">
        <f aca="false">WRs!B98</f>
        <v>Ind</v>
      </c>
      <c r="BB317" s="1" t="s">
        <v>18</v>
      </c>
      <c r="BC317" s="2" t="n">
        <f aca="false">WRs!AJ98-calcs!$E$11</f>
        <v>-105.432031295277</v>
      </c>
    </row>
    <row r="318" customFormat="false" ht="12.75" hidden="false" customHeight="false" outlineLevel="0" collapsed="false">
      <c r="AY318" s="1" t="n">
        <v>316</v>
      </c>
      <c r="AZ318" s="0" t="str">
        <f aca="false">RBs!A74</f>
        <v>Terry Jackson</v>
      </c>
      <c r="BA318" s="1" t="str">
        <f aca="false">RBs!B74</f>
        <v>SF</v>
      </c>
      <c r="BB318" s="1" t="s">
        <v>9</v>
      </c>
      <c r="BC318" s="2" t="n">
        <f aca="false">RBs!AJ74-calcs!$E$10</f>
        <v>-105.995710955711</v>
      </c>
    </row>
    <row r="319" customFormat="false" ht="12.75" hidden="false" customHeight="false" outlineLevel="0" collapsed="false">
      <c r="AY319" s="1" t="n">
        <v>317</v>
      </c>
      <c r="AZ319" s="0" t="str">
        <f aca="false">QBs!A32</f>
        <v>Damon Huard</v>
      </c>
      <c r="BA319" s="1" t="str">
        <f aca="false">QBs!B32</f>
        <v>Mia</v>
      </c>
      <c r="BB319" s="1" t="s">
        <v>13</v>
      </c>
      <c r="BC319" s="2" t="n">
        <f aca="false">QBs!AL32-calcs!$E$9</f>
        <v>-106.166388054876</v>
      </c>
    </row>
    <row r="320" customFormat="false" ht="12.75" hidden="false" customHeight="false" outlineLevel="0" collapsed="false">
      <c r="AY320" s="1" t="n">
        <v>318</v>
      </c>
      <c r="AZ320" s="0" t="str">
        <f aca="false">WRs!A101</f>
        <v>Jajuan Dawson</v>
      </c>
      <c r="BA320" s="1" t="str">
        <f aca="false">WRs!B101</f>
        <v>Cle</v>
      </c>
      <c r="BB320" s="1" t="s">
        <v>18</v>
      </c>
      <c r="BC320" s="2" t="n">
        <f aca="false">WRs!AJ101-calcs!$E$11</f>
        <v>-106.882031295277</v>
      </c>
    </row>
    <row r="321" customFormat="false" ht="12.75" hidden="false" customHeight="false" outlineLevel="0" collapsed="false">
      <c r="AY321" s="1" t="n">
        <v>319</v>
      </c>
      <c r="AZ321" s="0" t="str">
        <f aca="false">RBs!A66</f>
        <v>Lamar Smith</v>
      </c>
      <c r="BA321" s="1" t="str">
        <f aca="false">RBs!B66</f>
        <v>Mia</v>
      </c>
      <c r="BB321" s="1" t="s">
        <v>9</v>
      </c>
      <c r="BC321" s="2" t="n">
        <f aca="false">RBs!AJ66-calcs!$E$10</f>
        <v>-106.945710955711</v>
      </c>
    </row>
    <row r="322" customFormat="false" ht="12.75" hidden="false" customHeight="false" outlineLevel="0" collapsed="false">
      <c r="AY322" s="1" t="n">
        <v>320</v>
      </c>
      <c r="AZ322" s="0" t="str">
        <f aca="false">RBs!A75</f>
        <v>Mario Bates</v>
      </c>
      <c r="BA322" s="1" t="str">
        <f aca="false">RBs!B75</f>
        <v>Ari</v>
      </c>
      <c r="BB322" s="1" t="s">
        <v>9</v>
      </c>
      <c r="BC322" s="2" t="n">
        <f aca="false">RBs!AJ75-calcs!$E$10</f>
        <v>-107.023263403263</v>
      </c>
    </row>
    <row r="323" customFormat="false" ht="12.75" hidden="false" customHeight="false" outlineLevel="0" collapsed="false">
      <c r="AY323" s="1" t="n">
        <v>321</v>
      </c>
      <c r="AZ323" s="0" t="str">
        <f aca="false">WRs!A105</f>
        <v>Irving Fryar</v>
      </c>
      <c r="BA323" s="1" t="str">
        <f aca="false">WRs!B105</f>
        <v>Was</v>
      </c>
      <c r="BB323" s="1" t="s">
        <v>18</v>
      </c>
      <c r="BC323" s="2" t="n">
        <f aca="false">WRs!AJ105-calcs!$E$11</f>
        <v>-107.028249782672</v>
      </c>
    </row>
    <row r="324" customFormat="false" ht="12.75" hidden="false" customHeight="false" outlineLevel="0" collapsed="false">
      <c r="AY324" s="1" t="n">
        <v>322</v>
      </c>
      <c r="AZ324" s="0" t="str">
        <f aca="false">RBs!A77</f>
        <v>William Henderson</v>
      </c>
      <c r="BA324" s="1" t="str">
        <f aca="false">RBs!B77</f>
        <v>GB</v>
      </c>
      <c r="BB324" s="1" t="s">
        <v>9</v>
      </c>
      <c r="BC324" s="2" t="n">
        <f aca="false">RBs!AJ77-calcs!$E$10</f>
        <v>-107.245710955711</v>
      </c>
    </row>
    <row r="325" customFormat="false" ht="12.75" hidden="false" customHeight="false" outlineLevel="0" collapsed="false">
      <c r="AY325" s="1" t="n">
        <v>323</v>
      </c>
      <c r="AZ325" s="0" t="str">
        <f aca="false">RBs!A76</f>
        <v>Charles Evans</v>
      </c>
      <c r="BA325" s="1" t="str">
        <f aca="false">RBs!B76</f>
        <v>Bal</v>
      </c>
      <c r="BB325" s="1" t="s">
        <v>9</v>
      </c>
      <c r="BC325" s="2" t="n">
        <f aca="false">RBs!AJ76-calcs!$E$10</f>
        <v>-107.245710955711</v>
      </c>
    </row>
    <row r="326" customFormat="false" ht="12.75" hidden="false" customHeight="false" outlineLevel="0" collapsed="false">
      <c r="AY326" s="1" t="n">
        <v>324</v>
      </c>
      <c r="AZ326" s="0" t="str">
        <f aca="false">RBs!A69</f>
        <v>Richie Anderson</v>
      </c>
      <c r="BA326" s="1" t="str">
        <f aca="false">RBs!B69</f>
        <v>NYJ</v>
      </c>
      <c r="BB326" s="1" t="s">
        <v>9</v>
      </c>
      <c r="BC326" s="2" t="n">
        <f aca="false">RBs!AJ69-calcs!$E$10</f>
        <v>-107.371934731935</v>
      </c>
    </row>
    <row r="327" customFormat="false" ht="12.75" hidden="false" customHeight="false" outlineLevel="0" collapsed="false">
      <c r="AY327" s="1" t="n">
        <v>325</v>
      </c>
      <c r="AZ327" s="0" t="str">
        <f aca="false">WRs!A103</f>
        <v>Sylvester Morris</v>
      </c>
      <c r="BA327" s="1" t="str">
        <f aca="false">WRs!B103</f>
        <v>KC</v>
      </c>
      <c r="BB327" s="1" t="s">
        <v>18</v>
      </c>
      <c r="BC327" s="2" t="n">
        <f aca="false">WRs!AJ103-calcs!$E$11</f>
        <v>-107.682031295277</v>
      </c>
    </row>
    <row r="328" customFormat="false" ht="12.75" hidden="false" customHeight="false" outlineLevel="0" collapsed="false">
      <c r="AY328" s="1" t="n">
        <v>326</v>
      </c>
      <c r="AZ328" s="0" t="str">
        <f aca="false">WRs!A104</f>
        <v>Reidel Anthony</v>
      </c>
      <c r="BA328" s="1" t="str">
        <f aca="false">WRs!B104</f>
        <v>TB</v>
      </c>
      <c r="BB328" s="1" t="s">
        <v>18</v>
      </c>
      <c r="BC328" s="2" t="n">
        <f aca="false">WRs!AJ104-calcs!$E$11</f>
        <v>-107.682031295277</v>
      </c>
    </row>
    <row r="329" customFormat="false" ht="12.75" hidden="false" customHeight="false" outlineLevel="0" collapsed="false">
      <c r="AY329" s="1" t="n">
        <v>327</v>
      </c>
      <c r="AZ329" s="0" t="str">
        <f aca="false">RBs!A78</f>
        <v>Jon Ritchie</v>
      </c>
      <c r="BA329" s="1" t="str">
        <f aca="false">RBs!B78</f>
        <v>Oak</v>
      </c>
      <c r="BB329" s="1" t="s">
        <v>9</v>
      </c>
      <c r="BC329" s="2" t="n">
        <f aca="false">RBs!AJ78-calcs!$E$10</f>
        <v>-108.311934731935</v>
      </c>
    </row>
    <row r="330" customFormat="false" ht="12.75" hidden="false" customHeight="false" outlineLevel="0" collapsed="false">
      <c r="AY330" s="1" t="n">
        <v>328</v>
      </c>
      <c r="AZ330" s="0" t="str">
        <f aca="false">RBs!A79</f>
        <v>Cory Schlesinger</v>
      </c>
      <c r="BA330" s="1" t="str">
        <f aca="false">RBs!B79</f>
        <v>Det</v>
      </c>
      <c r="BB330" s="1" t="s">
        <v>9</v>
      </c>
      <c r="BC330" s="2" t="n">
        <f aca="false">RBs!AJ79-calcs!$E$10</f>
        <v>-109.595710955711</v>
      </c>
    </row>
    <row r="331" customFormat="false" ht="12.75" hidden="false" customHeight="false" outlineLevel="0" collapsed="false">
      <c r="AY331" s="1" t="n">
        <v>329</v>
      </c>
      <c r="AZ331" s="0" t="str">
        <f aca="false">WRs!A106</f>
        <v>Na Brown</v>
      </c>
      <c r="BA331" s="1" t="str">
        <f aca="false">WRs!B106</f>
        <v>Phi</v>
      </c>
      <c r="BB331" s="1" t="s">
        <v>18</v>
      </c>
      <c r="BC331" s="2" t="n">
        <f aca="false">WRs!AJ106-calcs!$E$11</f>
        <v>-110.182031295277</v>
      </c>
    </row>
    <row r="332" customFormat="false" ht="12.75" hidden="false" customHeight="false" outlineLevel="0" collapsed="false">
      <c r="AY332" s="1" t="n">
        <v>330</v>
      </c>
      <c r="AZ332" s="0" t="str">
        <f aca="false">WRs!A99</f>
        <v>Charlie Jones</v>
      </c>
      <c r="BA332" s="1" t="str">
        <f aca="false">WRs!B99</f>
        <v>SD</v>
      </c>
      <c r="BB332" s="1" t="s">
        <v>18</v>
      </c>
      <c r="BC332" s="2" t="n">
        <f aca="false">WRs!AJ99-calcs!$E$11</f>
        <v>-110.682031295277</v>
      </c>
    </row>
    <row r="333" customFormat="false" ht="12.75" hidden="false" customHeight="false" outlineLevel="0" collapsed="false">
      <c r="AY333" s="1" t="n">
        <v>331</v>
      </c>
      <c r="AZ333" s="0" t="str">
        <f aca="false">WRs!A107</f>
        <v>James McKnight</v>
      </c>
      <c r="BA333" s="1" t="str">
        <f aca="false">WRs!B107</f>
        <v>Dal</v>
      </c>
      <c r="BB333" s="1" t="s">
        <v>18</v>
      </c>
      <c r="BC333" s="2" t="n">
        <f aca="false">WRs!AJ107-calcs!$E$11</f>
        <v>-110.682031295277</v>
      </c>
    </row>
    <row r="334" customFormat="false" ht="12.75" hidden="false" customHeight="false" outlineLevel="0" collapsed="false">
      <c r="AY334" s="1" t="n">
        <v>332</v>
      </c>
      <c r="AZ334" s="0" t="str">
        <f aca="false">WRs!A77</f>
        <v>Pat Johnson</v>
      </c>
      <c r="BA334" s="1" t="str">
        <f aca="false">WRs!B77</f>
        <v>Bal</v>
      </c>
      <c r="BB334" s="1" t="s">
        <v>18</v>
      </c>
      <c r="BC334" s="2" t="n">
        <f aca="false">WRs!AJ77-calcs!$E$11</f>
        <v>-110.882031295277</v>
      </c>
    </row>
    <row r="335" customFormat="false" ht="12.75" hidden="false" customHeight="false" outlineLevel="0" collapsed="false">
      <c r="AY335" s="1" t="n">
        <v>333</v>
      </c>
      <c r="AZ335" s="0" t="str">
        <f aca="false">WRs!A110</f>
        <v>Willie Jackson</v>
      </c>
      <c r="BA335" s="1" t="str">
        <f aca="false">WRs!B110</f>
        <v>NO</v>
      </c>
      <c r="BB335" s="1" t="s">
        <v>18</v>
      </c>
      <c r="BC335" s="2" t="n">
        <f aca="false">WRs!AJ110-calcs!$E$11</f>
        <v>-111.682031295277</v>
      </c>
    </row>
    <row r="336" customFormat="false" ht="12.75" hidden="false" customHeight="false" outlineLevel="0" collapsed="false">
      <c r="AY336" s="1" t="n">
        <v>334</v>
      </c>
      <c r="AZ336" s="0" t="str">
        <f aca="false">WRs!A102</f>
        <v>Chris Brazzell</v>
      </c>
      <c r="BA336" s="1" t="str">
        <f aca="false">WRs!B102</f>
        <v>Dal</v>
      </c>
      <c r="BB336" s="1" t="s">
        <v>18</v>
      </c>
      <c r="BC336" s="2" t="n">
        <f aca="false">WRs!AJ102-calcs!$E$11</f>
        <v>-113.682031295277</v>
      </c>
    </row>
    <row r="337" customFormat="false" ht="12.75" hidden="false" customHeight="false" outlineLevel="0" collapsed="false">
      <c r="AY337" s="1" t="n">
        <v>335</v>
      </c>
      <c r="AZ337" s="0" t="str">
        <f aca="false">WRs!A113</f>
        <v>Dez White</v>
      </c>
      <c r="BA337" s="1" t="str">
        <f aca="false">WRs!B113</f>
        <v>Chi</v>
      </c>
      <c r="BB337" s="1" t="s">
        <v>18</v>
      </c>
      <c r="BC337" s="2" t="n">
        <f aca="false">WRs!AJ113-calcs!$E$11</f>
        <v>-113.682031295277</v>
      </c>
    </row>
    <row r="338" customFormat="false" ht="12.75" hidden="false" customHeight="false" outlineLevel="0" collapsed="false">
      <c r="AY338" s="1" t="n">
        <v>336</v>
      </c>
      <c r="AZ338" s="0" t="str">
        <f aca="false">WRs!A114</f>
        <v>Jason Tucker</v>
      </c>
      <c r="BA338" s="1" t="str">
        <f aca="false">WRs!B114</f>
        <v>Dal</v>
      </c>
      <c r="BB338" s="1" t="s">
        <v>18</v>
      </c>
      <c r="BC338" s="2" t="n">
        <f aca="false">WRs!AJ114-calcs!$E$11</f>
        <v>-113.682031295277</v>
      </c>
    </row>
    <row r="339" customFormat="false" ht="12.75" hidden="false" customHeight="false" outlineLevel="0" collapsed="false">
      <c r="AY339" s="1" t="n">
        <v>337</v>
      </c>
      <c r="AZ339" s="0" t="str">
        <f aca="false">WRs!A115</f>
        <v>Macey Brooks</v>
      </c>
      <c r="BA339" s="1" t="str">
        <f aca="false">WRs!B115</f>
        <v>Chi</v>
      </c>
      <c r="BB339" s="1" t="s">
        <v>18</v>
      </c>
      <c r="BC339" s="2" t="n">
        <f aca="false">WRs!AJ115-calcs!$E$11</f>
        <v>-113.728249782672</v>
      </c>
    </row>
    <row r="340" customFormat="false" ht="12.75" hidden="false" customHeight="false" outlineLevel="0" collapsed="false">
      <c r="AY340" s="1" t="n">
        <v>338</v>
      </c>
      <c r="AZ340" s="0" t="str">
        <f aca="false">RBs!A80</f>
        <v>Aaron Craver</v>
      </c>
      <c r="BA340" s="1" t="str">
        <f aca="false">RBs!B80</f>
        <v>NO</v>
      </c>
      <c r="BB340" s="1" t="s">
        <v>9</v>
      </c>
      <c r="BC340" s="2" t="n">
        <f aca="false">RBs!AJ80-calcs!$E$10</f>
        <v>-113.795710955711</v>
      </c>
    </row>
    <row r="341" customFormat="false" ht="12.75" hidden="false" customHeight="false" outlineLevel="0" collapsed="false">
      <c r="AY341" s="1" t="n">
        <v>339</v>
      </c>
      <c r="AZ341" s="0" t="str">
        <f aca="false">RBs!A84</f>
        <v>Marc Edwards</v>
      </c>
      <c r="BA341" s="1" t="str">
        <f aca="false">RBs!B84</f>
        <v>Cle</v>
      </c>
      <c r="BB341" s="1" t="s">
        <v>9</v>
      </c>
      <c r="BC341" s="2" t="n">
        <f aca="false">RBs!AJ84-calcs!$E$10</f>
        <v>-113.921934731935</v>
      </c>
    </row>
    <row r="342" customFormat="false" ht="12.75" hidden="false" customHeight="false" outlineLevel="0" collapsed="false">
      <c r="AY342" s="1" t="n">
        <v>340</v>
      </c>
      <c r="AZ342" s="0" t="str">
        <f aca="false">RBs!A82</f>
        <v>Robert Chancey</v>
      </c>
      <c r="BA342" s="1" t="str">
        <f aca="false">RBs!B82</f>
        <v>SD</v>
      </c>
      <c r="BB342" s="1" t="s">
        <v>9</v>
      </c>
      <c r="BC342" s="2" t="n">
        <f aca="false">RBs!AJ82-calcs!$E$10</f>
        <v>-115.195710955711</v>
      </c>
    </row>
    <row r="343" customFormat="false" ht="12.75" hidden="false" customHeight="false" outlineLevel="0" collapsed="false">
      <c r="AY343" s="1" t="n">
        <v>341</v>
      </c>
      <c r="AZ343" s="0" t="str">
        <f aca="false">WRs!A116</f>
        <v>Ricky Proehl</v>
      </c>
      <c r="BA343" s="1" t="str">
        <f aca="false">WRs!B116</f>
        <v>StL</v>
      </c>
      <c r="BB343" s="1" t="s">
        <v>18</v>
      </c>
      <c r="BC343" s="2" t="n">
        <f aca="false">WRs!AJ116-calcs!$E$11</f>
        <v>-115.682031295277</v>
      </c>
    </row>
    <row r="344" customFormat="false" ht="12.75" hidden="false" customHeight="false" outlineLevel="0" collapsed="false">
      <c r="AY344" s="1" t="n">
        <v>342</v>
      </c>
      <c r="AZ344" s="0" t="str">
        <f aca="false">RBs!A70</f>
        <v>Moe Williams</v>
      </c>
      <c r="BA344" s="1" t="str">
        <f aca="false">RBs!B70</f>
        <v>Min</v>
      </c>
      <c r="BB344" s="1" t="s">
        <v>9</v>
      </c>
      <c r="BC344" s="2" t="n">
        <f aca="false">RBs!AJ70-calcs!$E$10</f>
        <v>-115.795710955711</v>
      </c>
    </row>
    <row r="345" customFormat="false" ht="12.75" hidden="false" customHeight="false" outlineLevel="0" collapsed="false">
      <c r="AY345" s="1" t="n">
        <v>343</v>
      </c>
      <c r="AZ345" s="0" t="str">
        <f aca="false">QBs!A31</f>
        <v>Akili Smith</v>
      </c>
      <c r="BA345" s="1" t="str">
        <f aca="false">QBs!B31</f>
        <v>Cin</v>
      </c>
      <c r="BB345" s="1" t="s">
        <v>13</v>
      </c>
      <c r="BC345" s="2" t="n">
        <f aca="false">QBs!AL31-calcs!$E$9</f>
        <v>-115.847291702885</v>
      </c>
    </row>
    <row r="346" customFormat="false" ht="12.75" hidden="false" customHeight="false" outlineLevel="0" collapsed="false">
      <c r="AY346" s="1" t="n">
        <v>344</v>
      </c>
      <c r="AZ346" s="0" t="str">
        <f aca="false">RBs!A83</f>
        <v>Sean Bennett</v>
      </c>
      <c r="BA346" s="1" t="str">
        <f aca="false">RBs!B83</f>
        <v>NYG</v>
      </c>
      <c r="BB346" s="1" t="s">
        <v>9</v>
      </c>
      <c r="BC346" s="2" t="n">
        <f aca="false">RBs!AJ83-calcs!$E$10</f>
        <v>-115.935710955711</v>
      </c>
    </row>
    <row r="347" customFormat="false" ht="12.75" hidden="false" customHeight="false" outlineLevel="0" collapsed="false">
      <c r="AY347" s="1" t="n">
        <v>345</v>
      </c>
      <c r="AZ347" s="0" t="str">
        <f aca="false">RBs!A85</f>
        <v>Nick Williams</v>
      </c>
      <c r="BA347" s="1" t="str">
        <f aca="false">RBs!B85</f>
        <v>Cin</v>
      </c>
      <c r="BB347" s="1" t="s">
        <v>9</v>
      </c>
      <c r="BC347" s="2" t="n">
        <f aca="false">RBs!AJ85-calcs!$E$10</f>
        <v>-116.119487179487</v>
      </c>
    </row>
    <row r="348" customFormat="false" ht="12.75" hidden="false" customHeight="false" outlineLevel="0" collapsed="false">
      <c r="AY348" s="1" t="n">
        <v>346</v>
      </c>
      <c r="AZ348" s="0" t="str">
        <f aca="false">WRs!A79</f>
        <v>Darrell Jackson</v>
      </c>
      <c r="BA348" s="1" t="str">
        <f aca="false">WRs!B79</f>
        <v>Sea</v>
      </c>
      <c r="BB348" s="1" t="s">
        <v>18</v>
      </c>
      <c r="BC348" s="2" t="n">
        <f aca="false">WRs!AJ79-calcs!$E$11</f>
        <v>-117.432031295277</v>
      </c>
    </row>
    <row r="349" customFormat="false" ht="12.75" hidden="false" customHeight="false" outlineLevel="0" collapsed="false">
      <c r="AY349" s="1" t="n">
        <v>347</v>
      </c>
      <c r="AZ349" s="0" t="str">
        <f aca="false">RBs!A86</f>
        <v>Travis Prentice</v>
      </c>
      <c r="BA349" s="1" t="str">
        <f aca="false">RBs!B86</f>
        <v>Cle</v>
      </c>
      <c r="BB349" s="1" t="s">
        <v>9</v>
      </c>
      <c r="BC349" s="2" t="n">
        <f aca="false">RBs!AJ86-calcs!$E$10</f>
        <v>-117.495710955711</v>
      </c>
    </row>
    <row r="350" customFormat="false" ht="12.75" hidden="false" customHeight="false" outlineLevel="0" collapsed="false">
      <c r="AY350" s="1" t="n">
        <v>348</v>
      </c>
      <c r="AZ350" s="0" t="str">
        <f aca="false">WRs!A90</f>
        <v>Travis Taylor</v>
      </c>
      <c r="BA350" s="1" t="str">
        <f aca="false">WRs!B90</f>
        <v>Bal</v>
      </c>
      <c r="BB350" s="1" t="s">
        <v>18</v>
      </c>
      <c r="BC350" s="2" t="n">
        <f aca="false">WRs!AJ90-calcs!$E$11</f>
        <v>-117.582031295277</v>
      </c>
    </row>
    <row r="351" customFormat="false" ht="12.75" hidden="false" customHeight="false" outlineLevel="0" collapsed="false">
      <c r="AY351" s="1" t="n">
        <v>349</v>
      </c>
      <c r="AZ351" s="0" t="str">
        <f aca="false">RBs!A87</f>
        <v>Ahman Green</v>
      </c>
      <c r="BA351" s="1" t="str">
        <f aca="false">RBs!B87</f>
        <v>GB</v>
      </c>
      <c r="BB351" s="1" t="s">
        <v>9</v>
      </c>
      <c r="BC351" s="2" t="n">
        <f aca="false">RBs!AJ87-calcs!$E$10</f>
        <v>-118.095710955711</v>
      </c>
    </row>
    <row r="352" customFormat="false" ht="12.75" hidden="false" customHeight="false" outlineLevel="0" collapsed="false">
      <c r="AY352" s="1" t="n">
        <v>350</v>
      </c>
      <c r="AZ352" s="0" t="str">
        <f aca="false">WRs!A117</f>
        <v>Eddie Kennison</v>
      </c>
      <c r="BA352" s="1" t="str">
        <f aca="false">WRs!B117</f>
        <v>Chi</v>
      </c>
      <c r="BB352" s="1" t="s">
        <v>18</v>
      </c>
      <c r="BC352" s="2" t="n">
        <f aca="false">WRs!AJ117-calcs!$E$11</f>
        <v>-118.182031295277</v>
      </c>
    </row>
    <row r="353" customFormat="false" ht="12.75" hidden="false" customHeight="false" outlineLevel="0" collapsed="false">
      <c r="AY353" s="1" t="n">
        <v>351</v>
      </c>
      <c r="AZ353" s="0" t="str">
        <f aca="false">WRs!A118</f>
        <v>Avion Black</v>
      </c>
      <c r="BA353" s="1" t="str">
        <f aca="false">WRs!B118</f>
        <v>Buf</v>
      </c>
      <c r="BB353" s="1" t="s">
        <v>18</v>
      </c>
      <c r="BC353" s="2" t="n">
        <f aca="false">WRs!AJ118-calcs!$E$11</f>
        <v>-118.482031295277</v>
      </c>
    </row>
    <row r="354" customFormat="false" ht="12.75" hidden="false" customHeight="false" outlineLevel="0" collapsed="false">
      <c r="AY354" s="1" t="n">
        <v>352</v>
      </c>
      <c r="AZ354" s="0" t="str">
        <f aca="false">RBs!A88</f>
        <v>Eric Bieniemy</v>
      </c>
      <c r="BA354" s="1" t="str">
        <f aca="false">RBs!B88</f>
        <v>Phi</v>
      </c>
      <c r="BB354" s="1" t="s">
        <v>9</v>
      </c>
      <c r="BC354" s="2" t="n">
        <f aca="false">RBs!AJ88-calcs!$E$10</f>
        <v>-118.595710955711</v>
      </c>
    </row>
    <row r="355" customFormat="false" ht="12.75" hidden="false" customHeight="false" outlineLevel="0" collapsed="false">
      <c r="AY355" s="1" t="n">
        <v>353</v>
      </c>
      <c r="AZ355" s="0" t="str">
        <f aca="false">RBs!A89</f>
        <v>Rodney Thomas</v>
      </c>
      <c r="BA355" s="1" t="str">
        <f aca="false">RBs!B89</f>
        <v>Ten</v>
      </c>
      <c r="BB355" s="1" t="s">
        <v>9</v>
      </c>
      <c r="BC355" s="2" t="n">
        <f aca="false">RBs!AJ89-calcs!$E$10</f>
        <v>-118.695710955711</v>
      </c>
    </row>
    <row r="356" customFormat="false" ht="12.75" hidden="false" customHeight="false" outlineLevel="0" collapsed="false">
      <c r="AY356" s="1" t="n">
        <v>354</v>
      </c>
      <c r="AZ356" s="0" t="str">
        <f aca="false">RBs!A90</f>
        <v>Zack Crockett</v>
      </c>
      <c r="BA356" s="1" t="str">
        <f aca="false">RBs!B90</f>
        <v>Oak</v>
      </c>
      <c r="BB356" s="1" t="s">
        <v>9</v>
      </c>
      <c r="BC356" s="2" t="n">
        <f aca="false">RBs!AJ90-calcs!$E$10</f>
        <v>-118.719487179487</v>
      </c>
    </row>
    <row r="357" customFormat="false" ht="12.75" hidden="false" customHeight="false" outlineLevel="0" collapsed="false">
      <c r="AY357" s="1" t="n">
        <v>355</v>
      </c>
      <c r="AZ357" s="0" t="str">
        <f aca="false">WRs!A119</f>
        <v>Courtney Hawkins</v>
      </c>
      <c r="BA357" s="1" t="str">
        <f aca="false">WRs!B119</f>
        <v>Pit</v>
      </c>
      <c r="BB357" s="1" t="s">
        <v>18</v>
      </c>
      <c r="BC357" s="2" t="n">
        <f aca="false">WRs!AJ119-calcs!$E$11</f>
        <v>-119.682031295277</v>
      </c>
    </row>
    <row r="358" customFormat="false" ht="12.75" hidden="false" customHeight="false" outlineLevel="0" collapsed="false">
      <c r="AY358" s="1" t="n">
        <v>356</v>
      </c>
      <c r="AZ358" s="0" t="str">
        <f aca="false">WRs!A120</f>
        <v>Danny Farmer</v>
      </c>
      <c r="BA358" s="1" t="str">
        <f aca="false">WRs!B120</f>
        <v>Pit</v>
      </c>
      <c r="BB358" s="1" t="s">
        <v>18</v>
      </c>
      <c r="BC358" s="2" t="n">
        <f aca="false">WRs!AJ120-calcs!$E$11</f>
        <v>-119.682031295277</v>
      </c>
    </row>
    <row r="359" customFormat="false" ht="12.75" hidden="false" customHeight="false" outlineLevel="0" collapsed="false">
      <c r="AY359" s="1" t="n">
        <v>357</v>
      </c>
      <c r="AZ359" s="0" t="str">
        <f aca="false">WRs!A108</f>
        <v>Brett Bech</v>
      </c>
      <c r="BA359" s="1" t="str">
        <f aca="false">WRs!B108</f>
        <v>NO</v>
      </c>
      <c r="BB359" s="1" t="s">
        <v>18</v>
      </c>
      <c r="BC359" s="2" t="n">
        <f aca="false">WRs!AJ108-calcs!$E$11</f>
        <v>-120.182031295277</v>
      </c>
    </row>
    <row r="360" customFormat="false" ht="12.75" hidden="false" customHeight="false" outlineLevel="0" collapsed="false">
      <c r="AY360" s="1" t="n">
        <v>358</v>
      </c>
      <c r="AZ360" s="0" t="str">
        <f aca="false">RBs!A91</f>
        <v>Reggie Brown</v>
      </c>
      <c r="BA360" s="1" t="str">
        <f aca="false">RBs!B91</f>
        <v>Sea</v>
      </c>
      <c r="BB360" s="1" t="s">
        <v>9</v>
      </c>
      <c r="BC360" s="2" t="n">
        <f aca="false">RBs!AJ91-calcs!$E$10</f>
        <v>-120.221934731935</v>
      </c>
    </row>
    <row r="361" customFormat="false" ht="12.75" hidden="false" customHeight="false" outlineLevel="0" collapsed="false">
      <c r="AY361" s="1" t="n">
        <v>359</v>
      </c>
      <c r="AZ361" s="0" t="str">
        <f aca="false">WRs!A121</f>
        <v>Tai Streets</v>
      </c>
      <c r="BA361" s="1" t="str">
        <f aca="false">WRs!B121</f>
        <v>SF</v>
      </c>
      <c r="BB361" s="1" t="s">
        <v>18</v>
      </c>
      <c r="BC361" s="2" t="n">
        <f aca="false">WRs!AJ121-calcs!$E$11</f>
        <v>-121.432031295277</v>
      </c>
    </row>
    <row r="362" customFormat="false" ht="12.75" hidden="false" customHeight="false" outlineLevel="0" collapsed="false">
      <c r="AY362" s="1" t="n">
        <v>360</v>
      </c>
      <c r="AZ362" s="0" t="str">
        <f aca="false">RBs!A102</f>
        <v>Stacey Mack</v>
      </c>
      <c r="BA362" s="1" t="str">
        <f aca="false">RBs!B102</f>
        <v>Jac</v>
      </c>
      <c r="BB362" s="1" t="s">
        <v>9</v>
      </c>
      <c r="BC362" s="2" t="n">
        <f aca="false">RBs!AJ102-calcs!$E$10</f>
        <v>-121.495710955711</v>
      </c>
    </row>
    <row r="363" customFormat="false" ht="12.75" hidden="false" customHeight="false" outlineLevel="0" collapsed="false">
      <c r="AY363" s="1" t="n">
        <v>361</v>
      </c>
      <c r="AZ363" s="0" t="str">
        <f aca="false">RBs!A92</f>
        <v>Howard Griffith</v>
      </c>
      <c r="BA363" s="1" t="str">
        <f aca="false">RBs!B92</f>
        <v>Den</v>
      </c>
      <c r="BB363" s="1" t="s">
        <v>9</v>
      </c>
      <c r="BC363" s="2" t="n">
        <f aca="false">RBs!AJ92-calcs!$E$10</f>
        <v>-122.071934731935</v>
      </c>
    </row>
    <row r="364" customFormat="false" ht="12.75" hidden="false" customHeight="false" outlineLevel="0" collapsed="false">
      <c r="AY364" s="1" t="n">
        <v>362</v>
      </c>
      <c r="AZ364" s="0" t="str">
        <f aca="false">RBs!A81</f>
        <v>Doug Chapman</v>
      </c>
      <c r="BA364" s="1" t="str">
        <f aca="false">RBs!B81</f>
        <v>Min</v>
      </c>
      <c r="BB364" s="1" t="s">
        <v>9</v>
      </c>
      <c r="BC364" s="2" t="n">
        <f aca="false">RBs!AJ81-calcs!$E$10</f>
        <v>-122.795710955711</v>
      </c>
    </row>
    <row r="365" customFormat="false" ht="12.75" hidden="false" customHeight="false" outlineLevel="0" collapsed="false">
      <c r="AY365" s="1" t="n">
        <v>363</v>
      </c>
      <c r="AZ365" s="0" t="str">
        <f aca="false">RBs!A93</f>
        <v>Bob Christian</v>
      </c>
      <c r="BA365" s="1" t="str">
        <f aca="false">RBs!B93</f>
        <v>Atl</v>
      </c>
      <c r="BB365" s="1" t="s">
        <v>9</v>
      </c>
      <c r="BC365" s="2" t="n">
        <f aca="false">RBs!AJ93-calcs!$E$10</f>
        <v>-122.945710955711</v>
      </c>
    </row>
    <row r="366" customFormat="false" ht="12.75" hidden="false" customHeight="false" outlineLevel="0" collapsed="false">
      <c r="AY366" s="1" t="n">
        <v>364</v>
      </c>
      <c r="AZ366" s="0" t="str">
        <f aca="false">RBs!A94</f>
        <v>Fred McCrary</v>
      </c>
      <c r="BA366" s="1" t="str">
        <f aca="false">RBs!B94</f>
        <v>SD</v>
      </c>
      <c r="BB366" s="1" t="s">
        <v>9</v>
      </c>
      <c r="BC366" s="2" t="n">
        <f aca="false">RBs!AJ94-calcs!$E$10</f>
        <v>-123.171934731935</v>
      </c>
    </row>
    <row r="367" customFormat="false" ht="12.75" hidden="false" customHeight="false" outlineLevel="0" collapsed="false">
      <c r="AY367" s="1" t="n">
        <v>365</v>
      </c>
      <c r="AZ367" s="0" t="str">
        <f aca="false">RBs!A95</f>
        <v>Wilmont Perry</v>
      </c>
      <c r="BA367" s="1" t="str">
        <f aca="false">RBs!B95</f>
        <v>NO</v>
      </c>
      <c r="BB367" s="1" t="s">
        <v>9</v>
      </c>
      <c r="BC367" s="2" t="n">
        <f aca="false">RBs!AJ95-calcs!$E$10</f>
        <v>-124.095710955711</v>
      </c>
    </row>
    <row r="368" customFormat="false" ht="12.75" hidden="false" customHeight="false" outlineLevel="0" collapsed="false">
      <c r="AY368" s="1" t="n">
        <v>366</v>
      </c>
      <c r="AZ368" s="0" t="str">
        <f aca="false">WRs!A123</f>
        <v>Jim Turner</v>
      </c>
      <c r="BA368" s="1" t="str">
        <f aca="false">WRs!B123</f>
        <v>Car</v>
      </c>
      <c r="BB368" s="1" t="s">
        <v>18</v>
      </c>
      <c r="BC368" s="2" t="n">
        <f aca="false">WRs!AJ123-calcs!$E$11</f>
        <v>-124.682031295277</v>
      </c>
    </row>
    <row r="369" customFormat="false" ht="12.75" hidden="false" customHeight="false" outlineLevel="0" collapsed="false">
      <c r="AY369" s="1" t="n">
        <v>367</v>
      </c>
      <c r="AZ369" s="0" t="str">
        <f aca="false">WRs!A124</f>
        <v>Yatil Green</v>
      </c>
      <c r="BA369" s="1" t="str">
        <f aca="false">WRs!B124</f>
        <v>NYJ</v>
      </c>
      <c r="BB369" s="1" t="s">
        <v>18</v>
      </c>
      <c r="BC369" s="2" t="n">
        <f aca="false">WRs!AJ124-calcs!$E$11</f>
        <v>-124.682031295277</v>
      </c>
    </row>
    <row r="370" customFormat="false" ht="12.75" hidden="false" customHeight="false" outlineLevel="0" collapsed="false">
      <c r="AY370" s="1" t="n">
        <v>368</v>
      </c>
      <c r="AZ370" s="0" t="str">
        <f aca="false">RBs!A96</f>
        <v>Skip Hicks</v>
      </c>
      <c r="BA370" s="1" t="str">
        <f aca="false">RBs!B96</f>
        <v>Was</v>
      </c>
      <c r="BB370" s="1" t="s">
        <v>9</v>
      </c>
      <c r="BC370" s="2" t="n">
        <f aca="false">RBs!AJ96-calcs!$E$10</f>
        <v>-125.645710955711</v>
      </c>
    </row>
    <row r="371" customFormat="false" ht="12.75" hidden="false" customHeight="false" outlineLevel="0" collapsed="false">
      <c r="AY371" s="1" t="n">
        <v>369</v>
      </c>
      <c r="AZ371" s="0" t="str">
        <f aca="false">WRs!A125</f>
        <v>Todd Pinkston</v>
      </c>
      <c r="BA371" s="1" t="str">
        <f aca="false">WRs!B125</f>
        <v>Phi</v>
      </c>
      <c r="BB371" s="1" t="s">
        <v>18</v>
      </c>
      <c r="BC371" s="2" t="n">
        <f aca="false">WRs!AJ125-calcs!$E$11</f>
        <v>-127.135812807882</v>
      </c>
    </row>
    <row r="372" customFormat="false" ht="12.75" hidden="false" customHeight="false" outlineLevel="0" collapsed="false">
      <c r="AY372" s="1" t="n">
        <v>370</v>
      </c>
      <c r="AZ372" s="0" t="str">
        <f aca="false">WRs!A127</f>
        <v>D'Wayne Bates</v>
      </c>
      <c r="BA372" s="1" t="str">
        <f aca="false">WRs!B127</f>
        <v>Chi</v>
      </c>
      <c r="BB372" s="1" t="s">
        <v>18</v>
      </c>
      <c r="BC372" s="2" t="n">
        <f aca="false">WRs!AJ127-calcs!$E$11</f>
        <v>-127.682031295277</v>
      </c>
    </row>
    <row r="373" customFormat="false" ht="12.75" hidden="false" customHeight="false" outlineLevel="0" collapsed="false">
      <c r="AY373" s="1" t="n">
        <v>371</v>
      </c>
      <c r="AZ373" s="0" t="str">
        <f aca="false">WRs!A128</f>
        <v>Brian Stablein</v>
      </c>
      <c r="BA373" s="1" t="str">
        <f aca="false">WRs!B128</f>
        <v>Det</v>
      </c>
      <c r="BB373" s="1" t="s">
        <v>18</v>
      </c>
      <c r="BC373" s="2" t="n">
        <f aca="false">WRs!AJ128-calcs!$E$11</f>
        <v>-127.692031295277</v>
      </c>
    </row>
    <row r="374" customFormat="false" ht="12.75" hidden="false" customHeight="false" outlineLevel="0" collapsed="false">
      <c r="AY374" s="1" t="n">
        <v>372</v>
      </c>
      <c r="AZ374" s="0" t="str">
        <f aca="false">WRs!A112</f>
        <v>Isaac Byrd</v>
      </c>
      <c r="BA374" s="1" t="str">
        <f aca="false">WRs!B112</f>
        <v>Ten</v>
      </c>
      <c r="BB374" s="1" t="s">
        <v>18</v>
      </c>
      <c r="BC374" s="2" t="n">
        <f aca="false">WRs!AJ112-calcs!$E$11</f>
        <v>-128.535812807882</v>
      </c>
    </row>
    <row r="375" customFormat="false" ht="12.75" hidden="false" customHeight="false" outlineLevel="0" collapsed="false">
      <c r="AY375" s="1" t="n">
        <v>373</v>
      </c>
      <c r="AZ375" s="0" t="str">
        <f aca="false">WRs!A126</f>
        <v>James Thrash</v>
      </c>
      <c r="BA375" s="1" t="str">
        <f aca="false">WRs!B126</f>
        <v>Was</v>
      </c>
      <c r="BB375" s="1" t="s">
        <v>18</v>
      </c>
      <c r="BC375" s="2" t="n">
        <f aca="false">WRs!AJ126-calcs!$E$11</f>
        <v>-128.935812807882</v>
      </c>
    </row>
    <row r="376" customFormat="false" ht="12.75" hidden="false" customHeight="false" outlineLevel="0" collapsed="false">
      <c r="AY376" s="1" t="n">
        <v>374</v>
      </c>
      <c r="AZ376" s="0" t="str">
        <f aca="false">RBs!A97</f>
        <v>Joe Montgomery</v>
      </c>
      <c r="BA376" s="1" t="str">
        <f aca="false">RBs!B97</f>
        <v>NYG</v>
      </c>
      <c r="BB376" s="1" t="s">
        <v>9</v>
      </c>
      <c r="BC376" s="2" t="n">
        <f aca="false">RBs!AJ97-calcs!$E$10</f>
        <v>-129.145710955711</v>
      </c>
    </row>
    <row r="377" customFormat="false" ht="12.75" hidden="false" customHeight="false" outlineLevel="0" collapsed="false">
      <c r="AY377" s="1" t="n">
        <v>375</v>
      </c>
      <c r="AZ377" s="0" t="str">
        <f aca="false">WRs!A129</f>
        <v>Eugene Baker</v>
      </c>
      <c r="BA377" s="1" t="str">
        <f aca="false">WRs!B129</f>
        <v>Atl</v>
      </c>
      <c r="BB377" s="1" t="s">
        <v>18</v>
      </c>
      <c r="BC377" s="2" t="n">
        <f aca="false">WRs!AJ129-calcs!$E$11</f>
        <v>-130.635812807882</v>
      </c>
    </row>
    <row r="378" customFormat="false" ht="12.75" hidden="false" customHeight="false" outlineLevel="0" collapsed="false">
      <c r="AY378" s="1" t="n">
        <v>376</v>
      </c>
      <c r="AZ378" s="0" t="str">
        <f aca="false">WRs!A130</f>
        <v>Reggie Barlow</v>
      </c>
      <c r="BA378" s="1" t="str">
        <f aca="false">WRs!B130</f>
        <v>Jac</v>
      </c>
      <c r="BB378" s="1" t="s">
        <v>18</v>
      </c>
      <c r="BC378" s="2" t="n">
        <f aca="false">WRs!AJ130-calcs!$E$11</f>
        <v>-131.435812807882</v>
      </c>
    </row>
    <row r="379" customFormat="false" ht="12.75" hidden="false" customHeight="false" outlineLevel="0" collapsed="false">
      <c r="AY379" s="1" t="n">
        <v>377</v>
      </c>
      <c r="AZ379" s="0" t="str">
        <f aca="false">WRs!A122</f>
        <v>Terry Mickens</v>
      </c>
      <c r="BA379" s="1" t="str">
        <f aca="false">WRs!B122</f>
        <v>Oak</v>
      </c>
      <c r="BB379" s="1" t="s">
        <v>18</v>
      </c>
      <c r="BC379" s="2" t="n">
        <f aca="false">WRs!AJ122-calcs!$E$11</f>
        <v>-131.535812807882</v>
      </c>
    </row>
    <row r="380" customFormat="false" ht="12.75" hidden="false" customHeight="false" outlineLevel="0" collapsed="false">
      <c r="AY380" s="1" t="n">
        <v>378</v>
      </c>
      <c r="AZ380" s="0" t="str">
        <f aca="false">RBs!A98</f>
        <v>Tony Carter</v>
      </c>
      <c r="BA380" s="1" t="str">
        <f aca="false">RBs!B98</f>
        <v>NE</v>
      </c>
      <c r="BB380" s="1" t="s">
        <v>9</v>
      </c>
      <c r="BC380" s="2" t="n">
        <f aca="false">RBs!AJ98-calcs!$E$10</f>
        <v>-131.711934731935</v>
      </c>
    </row>
    <row r="381" customFormat="false" ht="12.75" hidden="false" customHeight="false" outlineLevel="0" collapsed="false">
      <c r="AY381" s="1" t="n">
        <v>379</v>
      </c>
      <c r="AZ381" s="0" t="str">
        <f aca="false">WRs!A131</f>
        <v>Mikhael Ricks</v>
      </c>
      <c r="BA381" s="1" t="str">
        <f aca="false">WRs!B131</f>
        <v>SD</v>
      </c>
      <c r="BB381" s="1" t="s">
        <v>18</v>
      </c>
      <c r="BC381" s="2" t="n">
        <f aca="false">WRs!AJ131-calcs!$E$11</f>
        <v>-132.535812807882</v>
      </c>
    </row>
    <row r="382" customFormat="false" ht="12.75" hidden="false" customHeight="false" outlineLevel="0" collapsed="false">
      <c r="AY382" s="1" t="n">
        <v>380</v>
      </c>
      <c r="AZ382" s="0" t="str">
        <f aca="false">WRs!A132</f>
        <v>Andy McCullough</v>
      </c>
      <c r="BA382" s="1" t="str">
        <f aca="false">WRs!B132</f>
        <v>Ari</v>
      </c>
      <c r="BB382" s="1" t="s">
        <v>18</v>
      </c>
      <c r="BC382" s="2" t="n">
        <f aca="false">WRs!AJ132-calcs!$E$11</f>
        <v>-133.135812807882</v>
      </c>
    </row>
    <row r="383" customFormat="false" ht="12.75" hidden="false" customHeight="false" outlineLevel="0" collapsed="false">
      <c r="AY383" s="1" t="n">
        <v>381</v>
      </c>
      <c r="AZ383" s="0" t="str">
        <f aca="false">WRs!A133</f>
        <v>Wane McGarity</v>
      </c>
      <c r="BA383" s="1" t="str">
        <f aca="false">WRs!B133</f>
        <v>Dal</v>
      </c>
      <c r="BB383" s="1" t="s">
        <v>18</v>
      </c>
      <c r="BC383" s="2" t="n">
        <f aca="false">WRs!AJ133-calcs!$E$11</f>
        <v>-133.135812807882</v>
      </c>
    </row>
    <row r="384" customFormat="false" ht="12.75" hidden="false" customHeight="false" outlineLevel="0" collapsed="false">
      <c r="AY384" s="1" t="n">
        <v>382</v>
      </c>
      <c r="AZ384" s="0" t="str">
        <f aca="false">WRs!A134</f>
        <v>Chris Cole</v>
      </c>
      <c r="BA384" s="1" t="str">
        <f aca="false">WRs!B134</f>
        <v>Den</v>
      </c>
      <c r="BB384" s="1" t="s">
        <v>18</v>
      </c>
      <c r="BC384" s="2" t="n">
        <f aca="false">WRs!AJ134-calcs!$E$11</f>
        <v>-133.135812807882</v>
      </c>
    </row>
    <row r="385" customFormat="false" ht="12.75" hidden="false" customHeight="false" outlineLevel="0" collapsed="false">
      <c r="AY385" s="1" t="n">
        <v>383</v>
      </c>
      <c r="AZ385" s="0" t="str">
        <f aca="false">WRs!A135</f>
        <v>Anthony Lucas</v>
      </c>
      <c r="BA385" s="1" t="str">
        <f aca="false">WRs!B135</f>
        <v>GB</v>
      </c>
      <c r="BB385" s="1" t="s">
        <v>18</v>
      </c>
      <c r="BC385" s="2" t="n">
        <f aca="false">WRs!AJ135-calcs!$E$11</f>
        <v>-133.135812807882</v>
      </c>
    </row>
    <row r="386" customFormat="false" ht="12.75" hidden="false" customHeight="false" outlineLevel="0" collapsed="false">
      <c r="AY386" s="1" t="n">
        <v>384</v>
      </c>
      <c r="AZ386" s="0" t="str">
        <f aca="false">RBs!A105</f>
        <v>Jay Graham</v>
      </c>
      <c r="BA386" s="1" t="str">
        <f aca="false">RBs!B105</f>
        <v>Bal</v>
      </c>
      <c r="BB386" s="1" t="s">
        <v>9</v>
      </c>
      <c r="BC386" s="2" t="n">
        <f aca="false">RBs!AJ105-calcs!$E$10</f>
        <v>-133.221934731935</v>
      </c>
    </row>
    <row r="387" customFormat="false" ht="12.75" hidden="false" customHeight="false" outlineLevel="0" collapsed="false">
      <c r="AY387" s="1" t="n">
        <v>385</v>
      </c>
      <c r="AZ387" s="0" t="str">
        <f aca="false">RBs!A49</f>
        <v>Michael Basnight</v>
      </c>
      <c r="BA387" s="1" t="str">
        <f aca="false">RBs!B49</f>
        <v>Cin</v>
      </c>
      <c r="BB387" s="1" t="s">
        <v>9</v>
      </c>
      <c r="BC387" s="2" t="n">
        <f aca="false">RBs!AJ49-calcs!$E$10</f>
        <v>-133.471934731935</v>
      </c>
    </row>
    <row r="388" customFormat="false" ht="12.75" hidden="false" customHeight="false" outlineLevel="0" collapsed="false">
      <c r="AY388" s="1" t="n">
        <v>386</v>
      </c>
      <c r="AZ388" s="0" t="str">
        <f aca="false">WRs!A136</f>
        <v>Chris Walsh</v>
      </c>
      <c r="BA388" s="1" t="str">
        <f aca="false">WRs!B136</f>
        <v>Min</v>
      </c>
      <c r="BB388" s="1" t="s">
        <v>18</v>
      </c>
      <c r="BC388" s="2" t="n">
        <f aca="false">WRs!AJ136-calcs!$E$11</f>
        <v>-134.135812807882</v>
      </c>
    </row>
    <row r="389" customFormat="false" ht="12.75" hidden="false" customHeight="false" outlineLevel="0" collapsed="false">
      <c r="AY389" s="1" t="n">
        <v>387</v>
      </c>
      <c r="AZ389" s="0" t="str">
        <f aca="false">WRs!A137</f>
        <v>Karl Williams</v>
      </c>
      <c r="BA389" s="1" t="str">
        <f aca="false">WRs!B137</f>
        <v>TB</v>
      </c>
      <c r="BB389" s="1" t="s">
        <v>18</v>
      </c>
      <c r="BC389" s="2" t="n">
        <f aca="false">WRs!AJ137-calcs!$E$11</f>
        <v>-134.135812807882</v>
      </c>
    </row>
    <row r="390" customFormat="false" ht="12.75" hidden="false" customHeight="false" outlineLevel="0" collapsed="false">
      <c r="AY390" s="1" t="n">
        <v>388</v>
      </c>
      <c r="AZ390" s="0" t="str">
        <f aca="false">RBs!A99</f>
        <v>Frank Murphy</v>
      </c>
      <c r="BA390" s="1" t="str">
        <f aca="false">RBs!B99</f>
        <v>Chi</v>
      </c>
      <c r="BB390" s="1" t="s">
        <v>9</v>
      </c>
      <c r="BC390" s="2" t="n">
        <f aca="false">RBs!AJ99-calcs!$E$10</f>
        <v>-136.471934731935</v>
      </c>
    </row>
    <row r="391" customFormat="false" ht="12.75" hidden="false" customHeight="false" outlineLevel="0" collapsed="false">
      <c r="AY391" s="1" t="n">
        <v>389</v>
      </c>
      <c r="AZ391" s="0" t="str">
        <f aca="false">RBs!A100</f>
        <v>Daimon Shelton</v>
      </c>
      <c r="BA391" s="1" t="str">
        <f aca="false">RBs!B100</f>
        <v>Jac</v>
      </c>
      <c r="BB391" s="1" t="s">
        <v>9</v>
      </c>
      <c r="BC391" s="2" t="n">
        <f aca="false">RBs!AJ100-calcs!$E$10</f>
        <v>-137.021934731935</v>
      </c>
    </row>
    <row r="392" customFormat="false" ht="12.75" hidden="false" customHeight="false" outlineLevel="0" collapsed="false">
      <c r="AY392" s="1" t="n">
        <v>390</v>
      </c>
      <c r="AZ392" s="0" t="str">
        <f aca="false">RBs!A101</f>
        <v>Jon Witman</v>
      </c>
      <c r="BA392" s="1" t="str">
        <f aca="false">RBs!B101</f>
        <v>Pit</v>
      </c>
      <c r="BB392" s="1" t="s">
        <v>9</v>
      </c>
      <c r="BC392" s="2" t="n">
        <f aca="false">RBs!AJ101-calcs!$E$10</f>
        <v>-137.671934731935</v>
      </c>
    </row>
    <row r="393" customFormat="false" ht="12.75" hidden="false" customHeight="false" outlineLevel="0" collapsed="false">
      <c r="AY393" s="1" t="n">
        <v>391</v>
      </c>
      <c r="AZ393" s="0" t="str">
        <f aca="false">RBs!A103</f>
        <v>Keith Elias</v>
      </c>
      <c r="BA393" s="1" t="str">
        <f aca="false">RBs!B103</f>
        <v>Ind</v>
      </c>
      <c r="BB393" s="1" t="s">
        <v>9</v>
      </c>
      <c r="BC393" s="2" t="n">
        <f aca="false">RBs!AJ103-calcs!$E$10</f>
        <v>-138.121934731935</v>
      </c>
    </row>
    <row r="394" customFormat="false" ht="12.75" hidden="false" customHeight="false" outlineLevel="0" collapsed="false">
      <c r="AY394" s="1" t="n">
        <v>392</v>
      </c>
      <c r="AZ394" s="0" t="str">
        <f aca="false">RBs!A104</f>
        <v>Joel Mackovicka</v>
      </c>
      <c r="BA394" s="1" t="str">
        <f aca="false">RBs!B104</f>
        <v>Ari</v>
      </c>
      <c r="BB394" s="1" t="s">
        <v>9</v>
      </c>
      <c r="BC394" s="2" t="n">
        <f aca="false">RBs!AJ104-calcs!$E$10</f>
        <v>-138.471934731935</v>
      </c>
    </row>
    <row r="395" customFormat="false" ht="12.75" hidden="false" customHeight="false" outlineLevel="0" collapsed="false">
      <c r="AY395" s="1" t="n">
        <v>393</v>
      </c>
      <c r="AZ395" s="0" t="str">
        <f aca="false">WRs!A111</f>
        <v>Karsten Bailey</v>
      </c>
      <c r="BA395" s="1" t="str">
        <f aca="false">WRs!B111</f>
        <v>Sea</v>
      </c>
      <c r="BB395" s="1" t="s">
        <v>18</v>
      </c>
      <c r="BC395" s="2" t="n">
        <f aca="false">WRs!AJ111-calcs!$E$11</f>
        <v>-138.885812807882</v>
      </c>
    </row>
    <row r="396" customFormat="false" ht="12.75" hidden="false" customHeight="false" outlineLevel="0" collapsed="false">
      <c r="AY396" s="1" t="n">
        <v>394</v>
      </c>
      <c r="AZ396" s="0" t="str">
        <f aca="false">WRs!A138</f>
        <v>Brian Alford</v>
      </c>
      <c r="BA396" s="1" t="str">
        <f aca="false">WRs!B138</f>
        <v>NYG</v>
      </c>
      <c r="BB396" s="1" t="s">
        <v>18</v>
      </c>
      <c r="BC396" s="2" t="n">
        <f aca="false">WRs!AJ138-calcs!$E$11</f>
        <v>-140.435812807882</v>
      </c>
    </row>
    <row r="397" customFormat="false" ht="12.75" hidden="false" customHeight="false" outlineLevel="0" collapsed="false">
      <c r="AY397" s="1" t="n">
        <v>395</v>
      </c>
      <c r="AZ397" s="0" t="str">
        <f aca="false">RBs!A106</f>
        <v>Rabih Abdullah</v>
      </c>
      <c r="BA397" s="1" t="str">
        <f aca="false">RBs!B106</f>
        <v>TB</v>
      </c>
      <c r="BB397" s="1" t="s">
        <v>9</v>
      </c>
      <c r="BC397" s="2" t="n">
        <f aca="false">RBs!AJ106-calcs!$E$10</f>
        <v>-140.821934731935</v>
      </c>
    </row>
    <row r="398" customFormat="false" ht="12.75" hidden="false" customHeight="false" outlineLevel="0" collapsed="false">
      <c r="AY398" s="1" t="n">
        <v>396</v>
      </c>
      <c r="AZ398" s="0" t="str">
        <f aca="false">RBs!A107</f>
        <v>Reuben Droughns</v>
      </c>
      <c r="BA398" s="1" t="str">
        <f aca="false">RBs!B107</f>
        <v>Det</v>
      </c>
      <c r="BB398" s="1" t="s">
        <v>9</v>
      </c>
      <c r="BC398" s="2" t="n">
        <f aca="false">RBs!AJ107-calcs!$E$10</f>
        <v>-140.991934731935</v>
      </c>
    </row>
    <row r="399" customFormat="false" ht="12.75" hidden="false" customHeight="false" outlineLevel="0" collapsed="false">
      <c r="AY399" s="1" t="n">
        <v>397</v>
      </c>
      <c r="AZ399" s="0" t="str">
        <f aca="false">RBs!A108</f>
        <v>Amos Zereoue</v>
      </c>
      <c r="BA399" s="1" t="str">
        <f aca="false">RBs!B108</f>
        <v>Pit</v>
      </c>
      <c r="BB399" s="1" t="s">
        <v>9</v>
      </c>
      <c r="BC399" s="2" t="n">
        <f aca="false">RBs!AJ108-calcs!$E$10</f>
        <v>-141.271934731935</v>
      </c>
    </row>
    <row r="400" customFormat="false" ht="12.75" hidden="false" customHeight="false" outlineLevel="0" collapsed="false">
      <c r="AY400" s="1" t="n">
        <v>398</v>
      </c>
      <c r="AZ400" s="0" t="str">
        <f aca="false">RBs!A109</f>
        <v>Lorenzo Neal</v>
      </c>
      <c r="BA400" s="1" t="str">
        <f aca="false">RBs!B109</f>
        <v>Ten</v>
      </c>
      <c r="BB400" s="1" t="s">
        <v>9</v>
      </c>
      <c r="BC400" s="2" t="n">
        <f aca="false">RBs!AJ109-calcs!$E$10</f>
        <v>-141.521934731935</v>
      </c>
    </row>
    <row r="401" customFormat="false" ht="12.75" hidden="false" customHeight="false" outlineLevel="0" collapsed="false">
      <c r="AY401" s="1" t="n">
        <v>399</v>
      </c>
      <c r="AZ401" s="0" t="str">
        <f aca="false">RBs!A110</f>
        <v>Robert Thomas</v>
      </c>
      <c r="BA401" s="1" t="str">
        <f aca="false">RBs!B110</f>
        <v>Dal</v>
      </c>
      <c r="BB401" s="1" t="s">
        <v>9</v>
      </c>
      <c r="BC401" s="2" t="n">
        <f aca="false">RBs!AJ110-calcs!$E$10</f>
        <v>-142.571934731935</v>
      </c>
    </row>
    <row r="402" customFormat="false" ht="12.75" hidden="false" customHeight="false" outlineLevel="0" collapsed="false">
      <c r="AY402" s="1" t="n">
        <v>400</v>
      </c>
      <c r="AZ402" s="0" t="str">
        <f aca="false">WRs!A22</f>
        <v>Darnay Scott</v>
      </c>
      <c r="BA402" s="1" t="str">
        <f aca="false">WRs!B22</f>
        <v>Cin</v>
      </c>
      <c r="BB402" s="1" t="s">
        <v>18</v>
      </c>
      <c r="BC402" s="2" t="n">
        <f aca="false">WRs!AJ22-calcs!$E$11</f>
        <v>-145.135812807882</v>
      </c>
    </row>
    <row r="403" customFormat="false" ht="12.75" hidden="false" customHeight="false" outlineLevel="0" collapsed="false">
      <c r="AY403" s="1" t="n">
        <v>401</v>
      </c>
      <c r="AZ403" s="0" t="str">
        <f aca="false">QBs!A36</f>
        <v>Moses Moreno</v>
      </c>
      <c r="BA403" s="1" t="str">
        <f aca="false">QBs!B36</f>
        <v>SD</v>
      </c>
      <c r="BB403" s="1" t="s">
        <v>13</v>
      </c>
      <c r="BC403" s="2" t="n">
        <f aca="false">QBs!AL36-calcs!$E$9</f>
        <v>-159.19146212895</v>
      </c>
    </row>
    <row r="404" customFormat="false" ht="12.75" hidden="false" customHeight="false" outlineLevel="0" collapsed="false">
      <c r="AY404" s="1" t="n">
        <v>402</v>
      </c>
      <c r="AZ404" s="0" t="str">
        <f aca="false">QBs!A33</f>
        <v>Jim Harbaugh</v>
      </c>
      <c r="BA404" s="1" t="str">
        <f aca="false">QBs!B33</f>
        <v>SD</v>
      </c>
      <c r="BB404" s="1" t="s">
        <v>13</v>
      </c>
      <c r="BC404" s="2" t="n">
        <f aca="false">QBs!AL33-calcs!$E$9</f>
        <v>-161.364536203024</v>
      </c>
    </row>
    <row r="405" customFormat="false" ht="12.75" hidden="false" customHeight="false" outlineLevel="0" collapsed="false">
      <c r="AY405" s="1" t="n">
        <v>403</v>
      </c>
      <c r="AZ405" s="0" t="str">
        <f aca="false">QBs!A34</f>
        <v>Jay Fiedler</v>
      </c>
      <c r="BA405" s="1" t="str">
        <f aca="false">QBs!B34</f>
        <v>Mia</v>
      </c>
      <c r="BB405" s="1" t="s">
        <v>13</v>
      </c>
      <c r="BC405" s="2" t="n">
        <f aca="false">QBs!AL34-calcs!$E$9</f>
        <v>-170.978499165987</v>
      </c>
    </row>
    <row r="406" customFormat="false" ht="12.75" hidden="false" customHeight="false" outlineLevel="0" collapsed="false">
      <c r="AY406" s="1" t="n">
        <v>404</v>
      </c>
      <c r="AZ406" s="0" t="str">
        <f aca="false">QBs!A35</f>
        <v>Scott Mitchell</v>
      </c>
      <c r="BA406" s="1" t="str">
        <f aca="false">QBs!B35</f>
        <v>Cin</v>
      </c>
      <c r="BB406" s="1" t="s">
        <v>13</v>
      </c>
      <c r="BC406" s="2" t="n">
        <f aca="false">QBs!AL35-calcs!$E$9</f>
        <v>-198.602573240061</v>
      </c>
    </row>
    <row r="407" customFormat="false" ht="12.75" hidden="false" customHeight="false" outlineLevel="0" collapsed="false">
      <c r="AY407" s="1" t="n">
        <v>405</v>
      </c>
      <c r="AZ407" s="0" t="str">
        <f aca="false">QBs!A37</f>
        <v>Kent Graham</v>
      </c>
      <c r="BA407" s="1" t="str">
        <f aca="false">QBs!B37</f>
        <v>Pit</v>
      </c>
      <c r="BB407" s="1" t="s">
        <v>13</v>
      </c>
      <c r="BC407" s="2" t="n">
        <f aca="false">QBs!AL37-calcs!$E$9</f>
        <v>-207.550647314136</v>
      </c>
    </row>
    <row r="408" customFormat="false" ht="12.75" hidden="false" customHeight="false" outlineLevel="0" collapsed="false">
      <c r="AY408" s="1" t="n">
        <v>406</v>
      </c>
      <c r="AZ408" s="0" t="str">
        <f aca="false">QBs!A38</f>
        <v>Danny Kanell</v>
      </c>
      <c r="BA408" s="1" t="str">
        <f aca="false">QBs!B38</f>
        <v>Atl</v>
      </c>
      <c r="BB408" s="1" t="s">
        <v>13</v>
      </c>
      <c r="BC408" s="2" t="n">
        <f aca="false">QBs!AL38-calcs!$E$9</f>
        <v>-220.901647314136</v>
      </c>
    </row>
    <row r="409" customFormat="false" ht="12.75" hidden="false" customHeight="false" outlineLevel="0" collapsed="false">
      <c r="AY409" s="1" t="n">
        <v>407</v>
      </c>
      <c r="AZ409" s="0" t="str">
        <f aca="false">QBs!A40</f>
        <v>Trent Dilfer</v>
      </c>
      <c r="BA409" s="1" t="str">
        <f aca="false">QBs!B40</f>
        <v>Bal</v>
      </c>
      <c r="BB409" s="1" t="s">
        <v>13</v>
      </c>
      <c r="BC409" s="2" t="n">
        <f aca="false">QBs!AL40-calcs!$E$9</f>
        <v>-229.464610277099</v>
      </c>
    </row>
    <row r="410" customFormat="false" ht="12.75" hidden="false" customHeight="false" outlineLevel="0" collapsed="false">
      <c r="AY410" s="1" t="n">
        <v>408</v>
      </c>
      <c r="AZ410" s="0" t="str">
        <f aca="false">QBs!A44</f>
        <v>Jim Miller</v>
      </c>
      <c r="BA410" s="1" t="str">
        <f aca="false">QBs!B44</f>
        <v>Chi</v>
      </c>
      <c r="BB410" s="1" t="s">
        <v>13</v>
      </c>
      <c r="BC410" s="2" t="n">
        <f aca="false">QBs!AL44-calcs!$E$9</f>
        <v>-235.776647314136</v>
      </c>
    </row>
    <row r="411" customFormat="false" ht="12.75" hidden="false" customHeight="false" outlineLevel="0" collapsed="false">
      <c r="AY411" s="1" t="n">
        <v>409</v>
      </c>
      <c r="AZ411" s="0" t="str">
        <f aca="false">QBs!A42</f>
        <v>Mike Tomczak</v>
      </c>
      <c r="BA411" s="1" t="str">
        <f aca="false">QBs!B42</f>
        <v>Det</v>
      </c>
      <c r="BB411" s="1" t="s">
        <v>13</v>
      </c>
      <c r="BC411" s="2" t="n">
        <f aca="false">QBs!AL42-calcs!$E$9</f>
        <v>-236.576647314136</v>
      </c>
    </row>
    <row r="412" customFormat="false" ht="12.75" hidden="false" customHeight="false" outlineLevel="0" collapsed="false">
      <c r="AY412" s="1" t="n">
        <v>410</v>
      </c>
      <c r="AZ412" s="0" t="str">
        <f aca="false">QBs!A41</f>
        <v>Bubby Brister</v>
      </c>
      <c r="BA412" s="1" t="str">
        <f aca="false">QBs!B41</f>
        <v>Min</v>
      </c>
      <c r="BB412" s="1" t="s">
        <v>13</v>
      </c>
      <c r="BC412" s="2" t="n">
        <f aca="false">QBs!AL41-calcs!$E$9</f>
        <v>-239.176647314136</v>
      </c>
    </row>
    <row r="413" customFormat="false" ht="12.75" hidden="false" customHeight="false" outlineLevel="0" collapsed="false">
      <c r="AY413" s="1" t="n">
        <v>411</v>
      </c>
      <c r="AZ413" s="0" t="str">
        <f aca="false">QBs!A43</f>
        <v>Doug Flutie</v>
      </c>
      <c r="BA413" s="1" t="str">
        <f aca="false">QBs!B43</f>
        <v>Buf</v>
      </c>
      <c r="BB413" s="1" t="s">
        <v>13</v>
      </c>
      <c r="BC413" s="2" t="n">
        <f aca="false">QBs!AL43-calcs!$E$9</f>
        <v>-243.12072138821</v>
      </c>
    </row>
    <row r="414" customFormat="false" ht="12.75" hidden="false" customHeight="false" outlineLevel="0" collapsed="false">
      <c r="AY414" s="1" t="n">
        <v>412</v>
      </c>
      <c r="AZ414" s="0" t="str">
        <f aca="false">QBs!A46</f>
        <v>Dave Brown</v>
      </c>
      <c r="BA414" s="1" t="str">
        <f aca="false">QBs!B46</f>
        <v>Ari</v>
      </c>
      <c r="BB414" s="1" t="s">
        <v>13</v>
      </c>
      <c r="BC414" s="2" t="n">
        <f aca="false">QBs!AL46-calcs!$E$9</f>
        <v>-246.238684351173</v>
      </c>
    </row>
    <row r="415" customFormat="false" ht="12.75" hidden="false" customHeight="false" outlineLevel="0" collapsed="false">
      <c r="AY415" s="1" t="n">
        <v>413</v>
      </c>
      <c r="AZ415" s="0" t="str">
        <f aca="false">QBs!A39</f>
        <v>Ryan Leaf</v>
      </c>
      <c r="BA415" s="1" t="str">
        <f aca="false">QBs!B39</f>
        <v>SD</v>
      </c>
      <c r="BB415" s="1" t="s">
        <v>13</v>
      </c>
      <c r="BC415" s="2" t="n">
        <f aca="false">QBs!AL39-calcs!$E$9</f>
        <v>-250.50072138821</v>
      </c>
    </row>
    <row r="416" customFormat="false" ht="12.75" hidden="false" customHeight="false" outlineLevel="0" collapsed="false">
      <c r="AY416" s="1" t="n">
        <v>414</v>
      </c>
      <c r="AZ416" s="0" t="str">
        <f aca="false">QBs!A45</f>
        <v>Ray Lucas</v>
      </c>
      <c r="BA416" s="1" t="str">
        <f aca="false">QBs!B45</f>
        <v>NYJ</v>
      </c>
      <c r="BB416" s="1" t="s">
        <v>13</v>
      </c>
      <c r="BC416" s="2" t="n">
        <f aca="false">QBs!AL45-calcs!$E$9</f>
        <v>-253.842758425247</v>
      </c>
    </row>
    <row r="417" customFormat="false" ht="12.75" hidden="false" customHeight="false" outlineLevel="0" collapsed="false">
      <c r="AY417" s="1" t="n">
        <v>415</v>
      </c>
      <c r="AZ417" s="0" t="str">
        <f aca="false">QBs!A48</f>
        <v>Jeff Lewis</v>
      </c>
      <c r="BA417" s="1" t="str">
        <f aca="false">QBs!B48</f>
        <v>Car</v>
      </c>
      <c r="BB417" s="1" t="s">
        <v>13</v>
      </c>
      <c r="BC417" s="2" t="n">
        <f aca="false">QBs!AL48-calcs!$E$9</f>
        <v>-256.37572138821</v>
      </c>
    </row>
    <row r="418" customFormat="false" ht="12.75" hidden="false" customHeight="false" outlineLevel="0" collapsed="false">
      <c r="AY418" s="1" t="n">
        <v>416</v>
      </c>
      <c r="AZ418" s="0" t="str">
        <f aca="false">QBs!A47</f>
        <v>Gus Frerotte</v>
      </c>
      <c r="BA418" s="1" t="str">
        <f aca="false">QBs!B47</f>
        <v>Den</v>
      </c>
      <c r="BB418" s="1" t="s">
        <v>13</v>
      </c>
      <c r="BC418" s="2" t="n">
        <f aca="false">QBs!AL47-calcs!$E$9</f>
        <v>-259.688684351173</v>
      </c>
    </row>
    <row r="419" customFormat="false" ht="12.75" hidden="false" customHeight="false" outlineLevel="0" collapsed="false">
      <c r="AY419" s="1" t="n">
        <v>417</v>
      </c>
      <c r="AZ419" s="0" t="str">
        <f aca="false">QBs!A49</f>
        <v>Randall Cunningham</v>
      </c>
      <c r="BA419" s="1" t="str">
        <f aca="false">QBs!B49</f>
        <v>Dal</v>
      </c>
      <c r="BB419" s="1" t="s">
        <v>13</v>
      </c>
      <c r="BC419" s="2" t="n">
        <f aca="false">QBs!AL49-calcs!$E$9</f>
        <v>-261.04072138821</v>
      </c>
    </row>
    <row r="420" customFormat="false" ht="12.75" hidden="false" customHeight="false" outlineLevel="0" collapsed="false">
      <c r="AY420" s="1" t="n">
        <v>418</v>
      </c>
      <c r="AZ420" s="0" t="str">
        <f aca="false">QBs!A50</f>
        <v>Jonathan Quinn</v>
      </c>
      <c r="BA420" s="1" t="str">
        <f aca="false">QBs!B50</f>
        <v>Jac</v>
      </c>
      <c r="BB420" s="1" t="s">
        <v>13</v>
      </c>
      <c r="BC420" s="2" t="n">
        <f aca="false">QBs!AL50-calcs!$E$9</f>
        <v>-261.20072138821</v>
      </c>
    </row>
    <row r="421" customFormat="false" ht="12.75" hidden="false" customHeight="false" outlineLevel="0" collapsed="false">
      <c r="AY421" s="1" t="n">
        <v>419</v>
      </c>
      <c r="AZ421" s="0" t="str">
        <f aca="false">QBs!A54</f>
        <v>Jeff George</v>
      </c>
      <c r="BA421" s="1" t="str">
        <f aca="false">QBs!B54</f>
        <v>Was</v>
      </c>
      <c r="BB421" s="1" t="s">
        <v>13</v>
      </c>
      <c r="BC421" s="2" t="n">
        <f aca="false">QBs!AL54-calcs!$E$9</f>
        <v>-264.20072138821</v>
      </c>
    </row>
    <row r="422" customFormat="false" ht="12.75" hidden="false" customHeight="false" outlineLevel="0" collapsed="false">
      <c r="AY422" s="1" t="n">
        <v>420</v>
      </c>
      <c r="AZ422" s="0" t="str">
        <f aca="false">QBs!A51</f>
        <v>Warren Moon</v>
      </c>
      <c r="BA422" s="1" t="str">
        <f aca="false">QBs!B51</f>
        <v>KC</v>
      </c>
      <c r="BB422" s="1" t="s">
        <v>13</v>
      </c>
      <c r="BC422" s="2" t="n">
        <f aca="false">QBs!AL51-calcs!$E$9</f>
        <v>-265.185258425247</v>
      </c>
    </row>
    <row r="423" customFormat="false" ht="12.75" hidden="false" customHeight="false" outlineLevel="0" collapsed="false">
      <c r="AY423" s="1" t="n">
        <v>421</v>
      </c>
      <c r="AZ423" s="0" t="str">
        <f aca="false">QBs!A52</f>
        <v>Neil O'Donnell</v>
      </c>
      <c r="BA423" s="1" t="str">
        <f aca="false">QBs!B52</f>
        <v>Ten</v>
      </c>
      <c r="BB423" s="1" t="s">
        <v>13</v>
      </c>
      <c r="BC423" s="2" t="n">
        <f aca="false">QBs!AL52-calcs!$E$9</f>
        <v>-265.36072138821</v>
      </c>
    </row>
    <row r="424" customFormat="false" ht="12.75" hidden="false" customHeight="false" outlineLevel="0" collapsed="false">
      <c r="AY424" s="1" t="n">
        <v>422</v>
      </c>
      <c r="AZ424" s="0" t="str">
        <f aca="false">QBs!A53</f>
        <v>Jason Garrett</v>
      </c>
      <c r="BA424" s="1" t="str">
        <f aca="false">QBs!B53</f>
        <v>NYG</v>
      </c>
      <c r="BB424" s="1" t="s">
        <v>13</v>
      </c>
      <c r="BC424" s="2" t="n">
        <f aca="false">QBs!AL53-calcs!$E$9</f>
        <v>-265.80072138821</v>
      </c>
    </row>
    <row r="425" customFormat="false" ht="12.75" hidden="false" customHeight="false" outlineLevel="0" collapsed="false">
      <c r="AY425" s="1" t="n">
        <v>423</v>
      </c>
      <c r="AZ425" s="0" t="str">
        <f aca="false">QBs!A55</f>
        <v>Billy Joe Tolliver</v>
      </c>
      <c r="BA425" s="1" t="str">
        <f aca="false">QBs!B55</f>
        <v>NO</v>
      </c>
      <c r="BB425" s="1" t="s">
        <v>13</v>
      </c>
      <c r="BC425" s="2" t="n">
        <f aca="false">QBs!AL55-calcs!$E$9</f>
        <v>-269.102758425247</v>
      </c>
    </row>
    <row r="426" customFormat="false" ht="12.75" hidden="false" customHeight="false" outlineLevel="0" collapsed="false">
      <c r="AY426" s="1" t="n">
        <v>424</v>
      </c>
      <c r="AZ426" s="0" t="str">
        <f aca="false">QBs!A57</f>
        <v>Matt Hasselbeck</v>
      </c>
      <c r="BA426" s="1" t="str">
        <f aca="false">QBs!B57</f>
        <v>GB</v>
      </c>
      <c r="BB426" s="1" t="s">
        <v>13</v>
      </c>
      <c r="BC426" s="2" t="n">
        <f aca="false">QBs!AL57-calcs!$E$9</f>
        <v>-269.362758425247</v>
      </c>
    </row>
    <row r="427" customFormat="false" ht="12.75" hidden="false" customHeight="false" outlineLevel="0" collapsed="false">
      <c r="AY427" s="1" t="n">
        <v>425</v>
      </c>
      <c r="AZ427" s="0" t="str">
        <f aca="false">QBs!A58</f>
        <v>Doug Pederson</v>
      </c>
      <c r="BA427" s="1" t="str">
        <f aca="false">QBs!B58</f>
        <v>Phi</v>
      </c>
      <c r="BB427" s="1" t="s">
        <v>13</v>
      </c>
      <c r="BC427" s="2" t="n">
        <f aca="false">QBs!AL58-calcs!$E$9</f>
        <v>-269.897758425247</v>
      </c>
    </row>
    <row r="428" customFormat="false" ht="12.75" hidden="false" customHeight="false" outlineLevel="0" collapsed="false">
      <c r="AY428" s="1" t="n">
        <v>426</v>
      </c>
      <c r="AZ428" s="0" t="str">
        <f aca="false">QBs!A59</f>
        <v>Eric Zeier</v>
      </c>
      <c r="BA428" s="1" t="str">
        <f aca="false">QBs!B59</f>
        <v>TB</v>
      </c>
      <c r="BB428" s="1" t="s">
        <v>13</v>
      </c>
      <c r="BC428" s="2" t="n">
        <f aca="false">QBs!AL59-calcs!$E$9</f>
        <v>-270.162758425247</v>
      </c>
    </row>
    <row r="429" customFormat="false" ht="12.75" hidden="false" customHeight="false" outlineLevel="0" collapsed="false">
      <c r="AY429" s="1" t="n">
        <v>427</v>
      </c>
      <c r="AZ429" s="0" t="str">
        <f aca="false">QBs!A64</f>
        <v>Bobby Hoying</v>
      </c>
      <c r="BA429" s="1" t="str">
        <f aca="false">QBs!B64</f>
        <v>Oak</v>
      </c>
      <c r="BB429" s="1" t="s">
        <v>13</v>
      </c>
      <c r="BC429" s="2" t="n">
        <f aca="false">QBs!AL64-calcs!$E$9</f>
        <v>-270.387758425247</v>
      </c>
    </row>
    <row r="430" customFormat="false" ht="12.75" hidden="false" customHeight="false" outlineLevel="0" collapsed="false">
      <c r="AY430" s="1" t="n">
        <v>428</v>
      </c>
      <c r="AZ430" s="0" t="str">
        <f aca="false">QBs!A60</f>
        <v>Trent Green</v>
      </c>
      <c r="BA430" s="1" t="str">
        <f aca="false">QBs!B60</f>
        <v>StL</v>
      </c>
      <c r="BB430" s="1" t="s">
        <v>13</v>
      </c>
      <c r="BC430" s="2" t="n">
        <f aca="false">QBs!AL60-calcs!$E$9</f>
        <v>-272.602758425247</v>
      </c>
    </row>
    <row r="431" customFormat="false" ht="12.75" hidden="false" customHeight="false" outlineLevel="0" collapsed="false">
      <c r="AY431" s="1" t="n">
        <v>429</v>
      </c>
      <c r="AZ431" s="0" t="str">
        <f aca="false">QBs!A61</f>
        <v>Ty Detmer</v>
      </c>
      <c r="BA431" s="1" t="str">
        <f aca="false">QBs!B61</f>
        <v>Cle</v>
      </c>
      <c r="BB431" s="1" t="s">
        <v>13</v>
      </c>
      <c r="BC431" s="2" t="n">
        <f aca="false">QBs!AL61-calcs!$E$9</f>
        <v>-272.862758425247</v>
      </c>
    </row>
    <row r="432" customFormat="false" ht="12.75" hidden="false" customHeight="false" outlineLevel="0" collapsed="false">
      <c r="AY432" s="1" t="n">
        <v>430</v>
      </c>
      <c r="AZ432" s="0" t="str">
        <f aca="false">QBs!A56</f>
        <v>Giovanni Carmazzi</v>
      </c>
      <c r="BA432" s="1" t="str">
        <f aca="false">QBs!B56</f>
        <v>SF</v>
      </c>
      <c r="BB432" s="1" t="s">
        <v>13</v>
      </c>
      <c r="BC432" s="2" t="n">
        <f aca="false">QBs!AL56-calcs!$E$9</f>
        <v>-273.162758425247</v>
      </c>
    </row>
    <row r="433" customFormat="false" ht="12.75" hidden="false" customHeight="false" outlineLevel="0" collapsed="false">
      <c r="AY433" s="1" t="n">
        <v>431</v>
      </c>
      <c r="AZ433" s="0" t="str">
        <f aca="false">QBs!A62</f>
        <v>Glenn Foley</v>
      </c>
      <c r="BA433" s="1" t="str">
        <f aca="false">QBs!B62</f>
        <v>Sea</v>
      </c>
      <c r="BB433" s="1" t="s">
        <v>13</v>
      </c>
      <c r="BC433" s="2" t="n">
        <f aca="false">QBs!AL62-calcs!$E$9</f>
        <v>-273.422758425247</v>
      </c>
    </row>
    <row r="434" customFormat="false" ht="12.75" hidden="false" customHeight="false" outlineLevel="0" collapsed="false">
      <c r="AY434" s="1" t="n">
        <v>432</v>
      </c>
      <c r="AZ434" s="0" t="str">
        <f aca="false">QBs!A63</f>
        <v>John Friesz</v>
      </c>
      <c r="BA434" s="1" t="str">
        <f aca="false">QBs!B63</f>
        <v>NE</v>
      </c>
      <c r="BB434" s="1" t="s">
        <v>13</v>
      </c>
      <c r="BC434" s="2" t="n">
        <f aca="false">QBs!AL63-calcs!$E$9</f>
        <v>-273.912758425247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 macro="Module1.cheat3">
                <anchor moveWithCells="true" sizeWithCells="false">
                  <from>
                    <xdr:col>7</xdr:col>
                    <xdr:colOff>533520</xdr:colOff>
                    <xdr:row>33</xdr:row>
                    <xdr:rowOff>0</xdr:rowOff>
                  </from>
                  <to>
                    <xdr:col>8</xdr:col>
                    <xdr:colOff>-149040</xdr:colOff>
                    <xdr:row>34</xdr:row>
                    <xdr:rowOff>75960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90" width="13.56"/>
    <col collapsed="false" customWidth="true" hidden="false" outlineLevel="0" max="2" min="2" style="191" width="13.99"/>
    <col collapsed="false" customWidth="false" hidden="false" outlineLevel="0" max="3" min="3" style="192" width="9.14"/>
    <col collapsed="false" customWidth="false" hidden="false" outlineLevel="0" max="4" min="4" style="191" width="9.14"/>
    <col collapsed="false" customWidth="false" hidden="false" outlineLevel="0" max="5" min="5" style="193" width="9.14"/>
    <col collapsed="false" customWidth="false" hidden="false" outlineLevel="0" max="257" min="6" style="190" width="9.14"/>
  </cols>
  <sheetData>
    <row r="1" customFormat="false" ht="12.75" hidden="false" customHeight="false" outlineLevel="0" collapsed="false">
      <c r="A1" s="194"/>
      <c r="B1" s="195" t="s">
        <v>603</v>
      </c>
      <c r="C1" s="195"/>
      <c r="D1" s="195"/>
      <c r="E1" s="195"/>
    </row>
    <row r="2" customFormat="false" ht="12.75" hidden="false" customHeight="false" outlineLevel="0" collapsed="false">
      <c r="A2" s="194" t="s">
        <v>604</v>
      </c>
      <c r="B2" s="195" t="n">
        <f aca="false">IF(Input!I27=1,INT(1.4*Input!I26*Input!I27),INT(1.15*Input!I26*Input!I27))</f>
        <v>16</v>
      </c>
      <c r="C2" s="195" t="n">
        <f aca="false">B2-2</f>
        <v>14</v>
      </c>
      <c r="D2" s="195" t="n">
        <f aca="false">B2+2</f>
        <v>18</v>
      </c>
      <c r="E2" s="195"/>
    </row>
    <row r="3" customFormat="false" ht="12.75" hidden="false" customHeight="false" outlineLevel="0" collapsed="false">
      <c r="A3" s="194" t="s">
        <v>605</v>
      </c>
      <c r="B3" s="195" t="n">
        <f aca="false">INT(1.1*Input!I28*Input!I26)</f>
        <v>26</v>
      </c>
      <c r="C3" s="195" t="n">
        <f aca="false">B3-2</f>
        <v>24</v>
      </c>
      <c r="D3" s="195" t="n">
        <f aca="false">B3+2</f>
        <v>28</v>
      </c>
      <c r="E3" s="195"/>
    </row>
    <row r="4" customFormat="false" ht="12.75" hidden="false" customHeight="false" outlineLevel="0" collapsed="false">
      <c r="A4" s="194" t="s">
        <v>606</v>
      </c>
      <c r="B4" s="195" t="n">
        <f aca="false">INT(Input!I26*Input!I30)</f>
        <v>12</v>
      </c>
      <c r="C4" s="195" t="n">
        <f aca="false">B4-2</f>
        <v>10</v>
      </c>
      <c r="D4" s="195" t="n">
        <f aca="false">B4+2</f>
        <v>14</v>
      </c>
      <c r="E4" s="195"/>
    </row>
    <row r="5" customFormat="false" ht="12.75" hidden="false" customHeight="false" outlineLevel="0" collapsed="false">
      <c r="A5" s="194" t="s">
        <v>607</v>
      </c>
      <c r="B5" s="195" t="n">
        <f aca="false">INT(0.8*Input!I26*Input!I31)</f>
        <v>9</v>
      </c>
      <c r="C5" s="195" t="n">
        <f aca="false">B5-2</f>
        <v>7</v>
      </c>
      <c r="D5" s="195" t="n">
        <f aca="false">B5+2</f>
        <v>11</v>
      </c>
      <c r="E5" s="195"/>
    </row>
    <row r="6" customFormat="false" ht="12.75" hidden="false" customHeight="false" outlineLevel="0" collapsed="false">
      <c r="A6" s="194" t="s">
        <v>608</v>
      </c>
      <c r="B6" s="195" t="n">
        <f aca="false">INT(0.8*Input!I26*Input!I32)</f>
        <v>9</v>
      </c>
      <c r="C6" s="195" t="n">
        <f aca="false">B6-2</f>
        <v>7</v>
      </c>
      <c r="D6" s="195" t="n">
        <f aca="false">B6+2</f>
        <v>11</v>
      </c>
      <c r="E6" s="195"/>
    </row>
    <row r="7" customFormat="false" ht="12.75" hidden="false" customHeight="false" outlineLevel="0" collapsed="false">
      <c r="A7" s="194" t="s">
        <v>609</v>
      </c>
      <c r="B7" s="195" t="n">
        <f aca="false">INT(Input!I26*Input!I29)</f>
        <v>36</v>
      </c>
      <c r="C7" s="195" t="n">
        <f aca="false">B7-2</f>
        <v>34</v>
      </c>
      <c r="D7" s="195" t="n">
        <f aca="false">B7+2</f>
        <v>38</v>
      </c>
      <c r="E7" s="195"/>
    </row>
    <row r="8" customFormat="false" ht="12.75" hidden="false" customHeight="false" outlineLevel="0" collapsed="false">
      <c r="A8" s="194"/>
      <c r="B8" s="195"/>
      <c r="C8" s="195"/>
      <c r="D8" s="195"/>
      <c r="E8" s="195" t="s">
        <v>610</v>
      </c>
    </row>
    <row r="9" customFormat="false" ht="12.75" hidden="false" customHeight="false" outlineLevel="0" collapsed="false">
      <c r="A9" s="194" t="s">
        <v>611</v>
      </c>
      <c r="B9" s="195" t="n">
        <f aca="false">INDEX(Input!$AD:$AD,1+B2)</f>
        <v>286.728921348315</v>
      </c>
      <c r="C9" s="195" t="n">
        <f aca="false">INDEX(Input!$AD:$AD,1+C2)</f>
        <v>294.595258426966</v>
      </c>
      <c r="D9" s="195" t="n">
        <f aca="false">INDEX(Input!$AD:$AD,1+D2)</f>
        <v>283.65020661157</v>
      </c>
      <c r="E9" s="195" t="n">
        <f aca="false">SUM(B9:D9)/3</f>
        <v>288.324795462284</v>
      </c>
    </row>
    <row r="10" customFormat="false" ht="12.75" hidden="false" customHeight="false" outlineLevel="0" collapsed="false">
      <c r="A10" s="194" t="s">
        <v>612</v>
      </c>
      <c r="B10" s="195" t="n">
        <f aca="false">INDEX(Input!$AH:$AH,1+B3)</f>
        <v>149.157342657343</v>
      </c>
      <c r="C10" s="195" t="n">
        <f aca="false">INDEX(Input!$AH:$AH,1+C3)</f>
        <v>161.757342657343</v>
      </c>
      <c r="D10" s="195" t="n">
        <f aca="false">INDEX(Input!$AH:$AH,1+D3)</f>
        <v>131.501118881119</v>
      </c>
      <c r="E10" s="195" t="n">
        <f aca="false">SUM(B10:D10)/3</f>
        <v>147.471934731935</v>
      </c>
    </row>
    <row r="11" customFormat="false" ht="12.75" hidden="false" customHeight="false" outlineLevel="0" collapsed="false">
      <c r="A11" s="194" t="s">
        <v>613</v>
      </c>
      <c r="B11" s="195" t="n">
        <f aca="false">INDEX(Input!$AL:$AL,1+calcs!B7)</f>
        <v>145.435862068966</v>
      </c>
      <c r="C11" s="195" t="n">
        <f aca="false">INDEX(Input!$AL:$AL,1+calcs!C7)</f>
        <v>146.885714285714</v>
      </c>
      <c r="D11" s="195" t="n">
        <f aca="false">INDEX(Input!$AL:$AL,1+calcs!D7)</f>
        <v>143.085862068966</v>
      </c>
      <c r="E11" s="195" t="n">
        <f aca="false">SUM(B11:D11)/3</f>
        <v>145.135812807882</v>
      </c>
    </row>
    <row r="12" customFormat="false" ht="12.75" hidden="false" customHeight="false" outlineLevel="0" collapsed="false">
      <c r="A12" s="194" t="s">
        <v>614</v>
      </c>
      <c r="B12" s="195" t="n">
        <f aca="false">IF(Input!$I$30=0,0.9*B11,INDEX(Input!$AP:$AP,1+B4))</f>
        <v>59.0181818181818</v>
      </c>
      <c r="C12" s="195" t="n">
        <f aca="false">IF(Input!$I$30=0,0.9*C11,INDEX(Input!$AP:$AP,1+C4))</f>
        <v>69.4909090909091</v>
      </c>
      <c r="D12" s="195" t="n">
        <f aca="false">IF(Input!$I$30=0,0.9*D11,INDEX(Input!$AP:$AP,1+D4))</f>
        <v>55.6181818181818</v>
      </c>
      <c r="E12" s="195" t="n">
        <f aca="false">SUM(B12:D12)/3</f>
        <v>61.3757575757576</v>
      </c>
    </row>
    <row r="13" customFormat="false" ht="12.75" hidden="false" customHeight="false" outlineLevel="0" collapsed="false">
      <c r="A13" s="194" t="s">
        <v>615</v>
      </c>
      <c r="B13" s="195" t="n">
        <f aca="false">IF(Input!$I$31=0,2000,INDEX(Input!$AT:$AT,1+B5))</f>
        <v>120.120843050877</v>
      </c>
      <c r="C13" s="195" t="n">
        <f aca="false">IF(Input!$I$31=0,2000,INDEX(Input!$AT:$AT,1+C5))</f>
        <v>120.321741854637</v>
      </c>
      <c r="D13" s="195" t="n">
        <f aca="false">IF(Input!$I$31=0,2000,INDEX(Input!$AT:$AT,1+D5))</f>
        <v>115.028884711779</v>
      </c>
      <c r="E13" s="195" t="n">
        <f aca="false">SUM(B13:D13)/3</f>
        <v>118.490489872431</v>
      </c>
    </row>
    <row r="14" customFormat="false" ht="12.75" hidden="false" customHeight="false" outlineLevel="0" collapsed="false">
      <c r="A14" s="194" t="s">
        <v>616</v>
      </c>
      <c r="B14" s="195" t="n">
        <f aca="false">IF(Input!$I$32=0,2000,INDEX(Input!$AW:$AW,1+B6))</f>
        <v>59.38</v>
      </c>
      <c r="C14" s="195" t="n">
        <f aca="false">IF(Input!$I$32=0,2000,INDEX(Input!$AW:$AW,1+C6))</f>
        <v>66.28</v>
      </c>
      <c r="D14" s="195" t="n">
        <f aca="false">IF(Input!$I$32=0,2000,INDEX(Input!$AW:$AW,1+D6))</f>
        <v>58</v>
      </c>
      <c r="E14" s="195" t="n">
        <f aca="false">SUM(B14:D14)/3</f>
        <v>61.22</v>
      </c>
    </row>
  </sheetData>
  <sheetProtection sheet="true" password="e182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V1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9" width="0.56"/>
    <col collapsed="false" customWidth="true" hidden="false" outlineLevel="0" max="2" min="2" style="3" width="4.28"/>
    <col collapsed="false" customWidth="true" hidden="false" outlineLevel="0" max="3" min="3" style="53" width="14.28"/>
    <col collapsed="false" customWidth="true" hidden="false" outlineLevel="0" max="4" min="4" style="53" width="4.28"/>
    <col collapsed="false" customWidth="true" hidden="false" outlineLevel="0" max="5" min="5" style="3" width="4.56"/>
    <col collapsed="false" customWidth="true" hidden="false" outlineLevel="0" max="6" min="6" style="9" width="0.56"/>
    <col collapsed="false" customWidth="true" hidden="false" outlineLevel="0" max="7" min="7" style="3" width="4.56"/>
    <col collapsed="false" customWidth="true" hidden="false" outlineLevel="0" max="8" min="8" style="53" width="15.85"/>
    <col collapsed="false" customWidth="true" hidden="false" outlineLevel="0" max="9" min="9" style="53" width="4.56"/>
    <col collapsed="false" customWidth="true" hidden="false" outlineLevel="0" max="10" min="10" style="3" width="4.56"/>
    <col collapsed="false" customWidth="true" hidden="false" outlineLevel="0" max="11" min="11" style="9" width="0.56"/>
    <col collapsed="false" customWidth="true" hidden="false" outlineLevel="0" max="12" min="12" style="3" width="4.41"/>
    <col collapsed="false" customWidth="true" hidden="false" outlineLevel="0" max="13" min="13" style="53" width="14.85"/>
    <col collapsed="false" customWidth="true" hidden="false" outlineLevel="0" max="14" min="14" style="53" width="4.56"/>
    <col collapsed="false" customWidth="true" hidden="false" outlineLevel="0" max="15" min="15" style="3" width="4.56"/>
    <col collapsed="false" customWidth="true" hidden="false" outlineLevel="0" max="16" min="16" style="9" width="0.56"/>
    <col collapsed="false" customWidth="true" hidden="false" outlineLevel="0" max="17" min="17" style="3" width="4.41"/>
    <col collapsed="false" customWidth="true" hidden="false" outlineLevel="0" max="18" min="18" style="53" width="15.7"/>
    <col collapsed="false" customWidth="true" hidden="false" outlineLevel="0" max="19" min="19" style="3" width="3.42"/>
    <col collapsed="false" customWidth="true" hidden="false" outlineLevel="0" max="21" min="20" style="9" width="4.56"/>
    <col collapsed="false" customWidth="true" hidden="false" outlineLevel="0" max="22" min="22" style="9" width="0.56"/>
    <col collapsed="false" customWidth="false" hidden="false" outlineLevel="0" max="257" min="23" style="9" width="9.14"/>
  </cols>
  <sheetData>
    <row r="5" customFormat="false" ht="15" hidden="false" customHeight="false" outlineLevel="0" collapsed="false">
      <c r="R5" s="54" t="s">
        <v>72</v>
      </c>
      <c r="S5" s="54"/>
      <c r="T5" s="54"/>
      <c r="U5" s="54"/>
      <c r="V5" s="54"/>
    </row>
    <row r="7" customFormat="false" ht="12.75" hidden="false" customHeight="false" outlineLevel="0" collapsed="false">
      <c r="A7" s="55"/>
      <c r="B7" s="56" t="s">
        <v>73</v>
      </c>
      <c r="C7" s="56"/>
      <c r="D7" s="56"/>
      <c r="E7" s="56" t="s">
        <v>4</v>
      </c>
      <c r="F7" s="57"/>
      <c r="G7" s="58" t="s">
        <v>74</v>
      </c>
      <c r="H7" s="59"/>
      <c r="I7" s="59"/>
      <c r="J7" s="59" t="s">
        <v>4</v>
      </c>
      <c r="K7" s="57"/>
      <c r="L7" s="58" t="s">
        <v>75</v>
      </c>
      <c r="M7" s="59"/>
      <c r="N7" s="59"/>
      <c r="O7" s="59" t="s">
        <v>4</v>
      </c>
      <c r="P7" s="57"/>
      <c r="Q7" s="58" t="s">
        <v>76</v>
      </c>
      <c r="R7" s="58"/>
      <c r="S7" s="59"/>
      <c r="T7" s="59"/>
      <c r="U7" s="59" t="s">
        <v>5</v>
      </c>
      <c r="V7" s="55"/>
    </row>
    <row r="8" customFormat="false" ht="11.25" hidden="false" customHeight="false" outlineLevel="0" collapsed="false">
      <c r="A8" s="60"/>
      <c r="B8" s="3" t="n">
        <v>1</v>
      </c>
      <c r="C8" s="53" t="str">
        <f aca="false">Input!AB3</f>
        <v>Kurt Warner</v>
      </c>
      <c r="D8" s="53" t="str">
        <f aca="false">Input!AC3</f>
        <v>StL</v>
      </c>
      <c r="E8" s="61" t="n">
        <f aca="false">Input!AD3</f>
        <v>397.264202247191</v>
      </c>
      <c r="F8" s="60"/>
      <c r="G8" s="3" t="n">
        <v>1</v>
      </c>
      <c r="H8" s="53" t="str">
        <f aca="false">Input!AF3</f>
        <v>Edgerrin James</v>
      </c>
      <c r="I8" s="53" t="str">
        <f aca="false">Input!AG3</f>
        <v>Ind</v>
      </c>
      <c r="J8" s="61" t="n">
        <f aca="false">Input!AH3</f>
        <v>317.940909090909</v>
      </c>
      <c r="K8" s="60"/>
      <c r="L8" s="3" t="n">
        <v>1</v>
      </c>
      <c r="M8" s="53" t="str">
        <f aca="false">Input!AJ3</f>
        <v>Marvin Harrison</v>
      </c>
      <c r="N8" s="53" t="str">
        <f aca="false">Input!AK3</f>
        <v>Ind</v>
      </c>
      <c r="O8" s="61" t="n">
        <f aca="false">Input!AL3</f>
        <v>240.072413793103</v>
      </c>
      <c r="P8" s="60"/>
      <c r="Q8" s="3" t="n">
        <v>1</v>
      </c>
      <c r="R8" s="53" t="str">
        <f aca="false">Input!AZ3</f>
        <v>Edgerrin James</v>
      </c>
      <c r="S8" s="53" t="str">
        <f aca="false">Input!BA3</f>
        <v>Ind</v>
      </c>
      <c r="T8" s="3" t="str">
        <f aca="false">Input!BB3</f>
        <v>RB</v>
      </c>
      <c r="U8" s="61" t="n">
        <f aca="false">Input!BC3</f>
        <v>170.468974358974</v>
      </c>
      <c r="V8" s="55"/>
    </row>
    <row r="9" customFormat="false" ht="11.25" hidden="false" customHeight="false" outlineLevel="0" collapsed="false">
      <c r="A9" s="60"/>
      <c r="B9" s="3" t="n">
        <v>2</v>
      </c>
      <c r="C9" s="53" t="str">
        <f aca="false">Input!AB4</f>
        <v>Peyton Manning</v>
      </c>
      <c r="D9" s="53" t="str">
        <f aca="false">Input!AC4</f>
        <v>Ind</v>
      </c>
      <c r="E9" s="61" t="n">
        <f aca="false">Input!AD4</f>
        <v>359.276561797753</v>
      </c>
      <c r="F9" s="60"/>
      <c r="G9" s="3" t="n">
        <v>2</v>
      </c>
      <c r="H9" s="53" t="str">
        <f aca="false">Input!AF4</f>
        <v>Marshall Faulk</v>
      </c>
      <c r="I9" s="53" t="str">
        <f aca="false">Input!AG4</f>
        <v>StL</v>
      </c>
      <c r="J9" s="61" t="n">
        <f aca="false">Input!AH4</f>
        <v>305.357342657343</v>
      </c>
      <c r="K9" s="60"/>
      <c r="L9" s="3" t="n">
        <v>2</v>
      </c>
      <c r="M9" s="53" t="str">
        <f aca="false">Input!AJ4</f>
        <v>Randy Moss</v>
      </c>
      <c r="N9" s="53" t="str">
        <f aca="false">Input!AK4</f>
        <v>Min</v>
      </c>
      <c r="O9" s="61" t="n">
        <f aca="false">Input!AL4</f>
        <v>236.641428571429</v>
      </c>
      <c r="P9" s="60"/>
      <c r="Q9" s="3" t="n">
        <v>2</v>
      </c>
      <c r="R9" s="53" t="str">
        <f aca="false">Input!AZ4</f>
        <v>Marshall Faulk</v>
      </c>
      <c r="S9" s="53" t="str">
        <f aca="false">Input!BA4</f>
        <v>StL</v>
      </c>
      <c r="T9" s="3" t="str">
        <f aca="false">Input!BB4</f>
        <v>RB</v>
      </c>
      <c r="U9" s="61" t="n">
        <f aca="false">Input!BC4</f>
        <v>157.885407925408</v>
      </c>
      <c r="V9" s="55"/>
    </row>
    <row r="10" customFormat="false" ht="11.25" hidden="false" customHeight="false" outlineLevel="0" collapsed="false">
      <c r="A10" s="60"/>
      <c r="B10" s="3" t="n">
        <v>3</v>
      </c>
      <c r="C10" s="53" t="str">
        <f aca="false">Input!AB5</f>
        <v>Cade McNown</v>
      </c>
      <c r="D10" s="53" t="str">
        <f aca="false">Input!AC5</f>
        <v>Chi</v>
      </c>
      <c r="E10" s="61" t="n">
        <f aca="false">Input!AD5</f>
        <v>348.488363636364</v>
      </c>
      <c r="F10" s="60"/>
      <c r="G10" s="3" t="n">
        <v>3</v>
      </c>
      <c r="H10" s="53" t="str">
        <f aca="false">Input!AF5</f>
        <v>Stephen Davis</v>
      </c>
      <c r="I10" s="53" t="str">
        <f aca="false">Input!AG5</f>
        <v>Was</v>
      </c>
      <c r="J10" s="61" t="n">
        <f aca="false">Input!AH5</f>
        <v>263.714685314685</v>
      </c>
      <c r="K10" s="60"/>
      <c r="L10" s="3" t="n">
        <v>3</v>
      </c>
      <c r="M10" s="53" t="str">
        <f aca="false">Input!AJ5</f>
        <v>Marcus Robinson</v>
      </c>
      <c r="N10" s="53" t="str">
        <f aca="false">Input!AK5</f>
        <v>Chi</v>
      </c>
      <c r="O10" s="61" t="n">
        <f aca="false">Input!AL5</f>
        <v>227.257142857143</v>
      </c>
      <c r="P10" s="60"/>
      <c r="Q10" s="3" t="n">
        <v>3</v>
      </c>
      <c r="R10" s="53" t="str">
        <f aca="false">Input!AZ5</f>
        <v>Stephen Davis</v>
      </c>
      <c r="S10" s="53" t="str">
        <f aca="false">Input!BA5</f>
        <v>Was</v>
      </c>
      <c r="T10" s="3" t="str">
        <f aca="false">Input!BB5</f>
        <v>RB</v>
      </c>
      <c r="U10" s="61" t="n">
        <f aca="false">Input!BC5</f>
        <v>116.24275058275</v>
      </c>
      <c r="V10" s="55"/>
    </row>
    <row r="11" customFormat="false" ht="11.25" hidden="false" customHeight="false" outlineLevel="0" collapsed="false">
      <c r="A11" s="60"/>
      <c r="B11" s="3" t="n">
        <v>4</v>
      </c>
      <c r="C11" s="53" t="str">
        <f aca="false">Input!AB6</f>
        <v>Steve McNair</v>
      </c>
      <c r="D11" s="53" t="str">
        <f aca="false">Input!AC6</f>
        <v>Ten</v>
      </c>
      <c r="E11" s="61" t="n">
        <f aca="false">Input!AD6</f>
        <v>346.95993258427</v>
      </c>
      <c r="F11" s="60"/>
      <c r="G11" s="3" t="n">
        <v>4</v>
      </c>
      <c r="H11" s="53" t="str">
        <f aca="false">Input!AF6</f>
        <v>Emmitt Smith</v>
      </c>
      <c r="I11" s="53" t="str">
        <f aca="false">Input!AG6</f>
        <v>Dal</v>
      </c>
      <c r="J11" s="61" t="n">
        <f aca="false">Input!AH6</f>
        <v>254.038461538462</v>
      </c>
      <c r="K11" s="60"/>
      <c r="L11" s="3" t="n">
        <v>4</v>
      </c>
      <c r="M11" s="53" t="str">
        <f aca="false">Input!AJ6</f>
        <v>Eric Moulds</v>
      </c>
      <c r="N11" s="53" t="str">
        <f aca="false">Input!AK6</f>
        <v>Buf</v>
      </c>
      <c r="O11" s="61" t="n">
        <f aca="false">Input!AL6</f>
        <v>216.457142857143</v>
      </c>
      <c r="P11" s="60"/>
      <c r="Q11" s="3" t="n">
        <v>4</v>
      </c>
      <c r="R11" s="53" t="str">
        <f aca="false">Input!AZ6</f>
        <v>Kurt Warner</v>
      </c>
      <c r="S11" s="53" t="str">
        <f aca="false">Input!BA6</f>
        <v>StL</v>
      </c>
      <c r="T11" s="3" t="str">
        <f aca="false">Input!BB6</f>
        <v>QB</v>
      </c>
      <c r="U11" s="61" t="n">
        <f aca="false">Input!BC6</f>
        <v>108.939406784907</v>
      </c>
      <c r="V11" s="55"/>
    </row>
    <row r="12" customFormat="false" ht="11.25" hidden="false" customHeight="false" outlineLevel="0" collapsed="false">
      <c r="A12" s="60"/>
      <c r="B12" s="3" t="n">
        <v>5</v>
      </c>
      <c r="C12" s="53" t="str">
        <f aca="false">Input!AB7</f>
        <v>Brett Favre</v>
      </c>
      <c r="D12" s="53" t="str">
        <f aca="false">Input!AC7</f>
        <v>GB</v>
      </c>
      <c r="E12" s="61" t="n">
        <f aca="false">Input!AD7</f>
        <v>339.775060150376</v>
      </c>
      <c r="F12" s="60"/>
      <c r="G12" s="3" t="n">
        <v>5</v>
      </c>
      <c r="H12" s="53" t="str">
        <f aca="false">Input!AF7</f>
        <v>Fred Taylor</v>
      </c>
      <c r="I12" s="53" t="str">
        <f aca="false">Input!AG7</f>
        <v>Jac</v>
      </c>
      <c r="J12" s="61" t="n">
        <f aca="false">Input!AH7</f>
        <v>253.382237762238</v>
      </c>
      <c r="K12" s="60"/>
      <c r="L12" s="3" t="n">
        <v>5</v>
      </c>
      <c r="M12" s="53" t="str">
        <f aca="false">Input!AJ7</f>
        <v>Jimmy Smith</v>
      </c>
      <c r="N12" s="53" t="str">
        <f aca="false">Input!AK7</f>
        <v>Jac</v>
      </c>
      <c r="O12" s="61" t="n">
        <f aca="false">Input!AL7</f>
        <v>214.155172413793</v>
      </c>
      <c r="P12" s="60"/>
      <c r="Q12" s="3" t="n">
        <v>5</v>
      </c>
      <c r="R12" s="53" t="str">
        <f aca="false">Input!AZ7</f>
        <v>Emmitt Smith</v>
      </c>
      <c r="S12" s="53" t="str">
        <f aca="false">Input!BA7</f>
        <v>Dal</v>
      </c>
      <c r="T12" s="3" t="str">
        <f aca="false">Input!BB7</f>
        <v>RB</v>
      </c>
      <c r="U12" s="61" t="n">
        <f aca="false">Input!BC7</f>
        <v>106.566526806527</v>
      </c>
      <c r="V12" s="55"/>
    </row>
    <row r="13" customFormat="false" ht="11.25" hidden="false" customHeight="false" outlineLevel="0" collapsed="false">
      <c r="A13" s="60"/>
      <c r="B13" s="3" t="n">
        <v>6</v>
      </c>
      <c r="C13" s="53" t="str">
        <f aca="false">Input!AB8</f>
        <v>Brad Johnson</v>
      </c>
      <c r="D13" s="53" t="str">
        <f aca="false">Input!AC8</f>
        <v>Was</v>
      </c>
      <c r="E13" s="61" t="n">
        <f aca="false">Input!AD8</f>
        <v>325.027652892562</v>
      </c>
      <c r="F13" s="60"/>
      <c r="G13" s="3" t="n">
        <v>6</v>
      </c>
      <c r="H13" s="53" t="str">
        <f aca="false">Input!AF8</f>
        <v>Terrell Davis</v>
      </c>
      <c r="I13" s="53" t="str">
        <f aca="false">Input!AG8</f>
        <v>Den</v>
      </c>
      <c r="J13" s="61" t="n">
        <f aca="false">Input!AH8</f>
        <v>251.014685314685</v>
      </c>
      <c r="K13" s="60"/>
      <c r="L13" s="3" t="n">
        <v>6</v>
      </c>
      <c r="M13" s="53" t="str">
        <f aca="false">Input!AJ8</f>
        <v>Antonio Freeman</v>
      </c>
      <c r="N13" s="53" t="str">
        <f aca="false">Input!AK8</f>
        <v>GB</v>
      </c>
      <c r="O13" s="61" t="n">
        <f aca="false">Input!AL8</f>
        <v>206.813793103448</v>
      </c>
      <c r="P13" s="60"/>
      <c r="Q13" s="3" t="n">
        <v>6</v>
      </c>
      <c r="R13" s="53" t="str">
        <f aca="false">Input!AZ8</f>
        <v>Fred Taylor</v>
      </c>
      <c r="S13" s="53" t="str">
        <f aca="false">Input!BA8</f>
        <v>Jac</v>
      </c>
      <c r="T13" s="3" t="str">
        <f aca="false">Input!BB8</f>
        <v>RB</v>
      </c>
      <c r="U13" s="61" t="n">
        <f aca="false">Input!BC8</f>
        <v>105.910303030303</v>
      </c>
      <c r="V13" s="55"/>
    </row>
    <row r="14" customFormat="false" ht="11.25" hidden="false" customHeight="false" outlineLevel="0" collapsed="false">
      <c r="A14" s="60"/>
      <c r="B14" s="3" t="n">
        <v>7</v>
      </c>
      <c r="C14" s="53" t="str">
        <f aca="false">Input!AB9</f>
        <v>Jeff Garcia</v>
      </c>
      <c r="D14" s="53" t="str">
        <f aca="false">Input!AC9</f>
        <v>SF</v>
      </c>
      <c r="E14" s="61" t="n">
        <f aca="false">Input!AD9</f>
        <v>324.584921348315</v>
      </c>
      <c r="F14" s="60"/>
      <c r="G14" s="3" t="n">
        <v>7</v>
      </c>
      <c r="H14" s="53" t="str">
        <f aca="false">Input!AF9</f>
        <v>Eddie George</v>
      </c>
      <c r="I14" s="53" t="str">
        <f aca="false">Input!AG9</f>
        <v>Ten</v>
      </c>
      <c r="J14" s="61" t="n">
        <f aca="false">Input!AH9</f>
        <v>247.90979020979</v>
      </c>
      <c r="K14" s="60"/>
      <c r="L14" s="3" t="n">
        <v>7</v>
      </c>
      <c r="M14" s="53" t="str">
        <f aca="false">Input!AJ9</f>
        <v>Isaac Bruce</v>
      </c>
      <c r="N14" s="53" t="str">
        <f aca="false">Input!AK9</f>
        <v>StL</v>
      </c>
      <c r="O14" s="61" t="n">
        <f aca="false">Input!AL9</f>
        <v>206.562413793103</v>
      </c>
      <c r="P14" s="60"/>
      <c r="Q14" s="3" t="n">
        <v>7</v>
      </c>
      <c r="R14" s="53" t="str">
        <f aca="false">Input!AZ9</f>
        <v>Terrell Davis</v>
      </c>
      <c r="S14" s="53" t="str">
        <f aca="false">Input!BA9</f>
        <v>Den</v>
      </c>
      <c r="T14" s="3" t="str">
        <f aca="false">Input!BB9</f>
        <v>RB</v>
      </c>
      <c r="U14" s="61" t="n">
        <f aca="false">Input!BC9</f>
        <v>103.542750582751</v>
      </c>
      <c r="V14" s="55"/>
    </row>
    <row r="15" customFormat="false" ht="11.25" hidden="false" customHeight="false" outlineLevel="0" collapsed="false">
      <c r="A15" s="60"/>
      <c r="B15" s="3" t="n">
        <v>8</v>
      </c>
      <c r="C15" s="53" t="str">
        <f aca="false">Input!AB10</f>
        <v>Jeff Blake</v>
      </c>
      <c r="D15" s="53" t="str">
        <f aca="false">Input!AC10</f>
        <v>NO</v>
      </c>
      <c r="E15" s="61" t="n">
        <f aca="false">Input!AD10</f>
        <v>318.967495867769</v>
      </c>
      <c r="F15" s="60"/>
      <c r="G15" s="3" t="n">
        <v>8</v>
      </c>
      <c r="H15" s="53" t="str">
        <f aca="false">Input!AF10</f>
        <v>Dorsey Levens</v>
      </c>
      <c r="I15" s="53" t="str">
        <f aca="false">Input!AG10</f>
        <v>GB</v>
      </c>
      <c r="J15" s="61" t="n">
        <f aca="false">Input!AH10</f>
        <v>242.833566433566</v>
      </c>
      <c r="K15" s="60"/>
      <c r="L15" s="3" t="n">
        <v>8</v>
      </c>
      <c r="M15" s="53" t="str">
        <f aca="false">Input!AJ10</f>
        <v>Terry Glenn</v>
      </c>
      <c r="N15" s="53" t="str">
        <f aca="false">Input!AK10</f>
        <v>NE</v>
      </c>
      <c r="O15" s="61" t="n">
        <f aca="false">Input!AL10</f>
        <v>204.2</v>
      </c>
      <c r="P15" s="60"/>
      <c r="Q15" s="3" t="n">
        <v>8</v>
      </c>
      <c r="R15" s="53" t="str">
        <f aca="false">Input!AZ10</f>
        <v>Eddie George</v>
      </c>
      <c r="S15" s="53" t="str">
        <f aca="false">Input!BA10</f>
        <v>Ten</v>
      </c>
      <c r="T15" s="3" t="str">
        <f aca="false">Input!BB10</f>
        <v>RB</v>
      </c>
      <c r="U15" s="61" t="n">
        <f aca="false">Input!BC10</f>
        <v>100.437855477855</v>
      </c>
      <c r="V15" s="55"/>
    </row>
    <row r="16" customFormat="false" ht="11.25" hidden="false" customHeight="false" outlineLevel="0" collapsed="false">
      <c r="A16" s="60"/>
      <c r="B16" s="3" t="n">
        <v>9</v>
      </c>
      <c r="C16" s="53" t="str">
        <f aca="false">Input!AB11</f>
        <v>Steve Beuerlein</v>
      </c>
      <c r="D16" s="53" t="str">
        <f aca="false">Input!AC11</f>
        <v>Car</v>
      </c>
      <c r="E16" s="61" t="n">
        <f aca="false">Input!AD11</f>
        <v>311.801573033708</v>
      </c>
      <c r="F16" s="60"/>
      <c r="G16" s="3" t="n">
        <v>9</v>
      </c>
      <c r="H16" s="53" t="str">
        <f aca="false">Input!AF11</f>
        <v>Curtis Martin</v>
      </c>
      <c r="I16" s="53" t="str">
        <f aca="false">Input!AG11</f>
        <v>NYJ</v>
      </c>
      <c r="J16" s="61" t="n">
        <f aca="false">Input!AH11</f>
        <v>230.157342657343</v>
      </c>
      <c r="K16" s="60"/>
      <c r="L16" s="3" t="n">
        <v>9</v>
      </c>
      <c r="M16" s="53" t="str">
        <f aca="false">Input!AJ11</f>
        <v>Kevin Johnson</v>
      </c>
      <c r="N16" s="53" t="str">
        <f aca="false">Input!AK11</f>
        <v>Cle</v>
      </c>
      <c r="O16" s="61" t="n">
        <f aca="false">Input!AL11</f>
        <v>195.4</v>
      </c>
      <c r="P16" s="60"/>
      <c r="Q16" s="3" t="n">
        <v>9</v>
      </c>
      <c r="R16" s="53" t="str">
        <f aca="false">Input!AZ11</f>
        <v>Dorsey Levens</v>
      </c>
      <c r="S16" s="53" t="str">
        <f aca="false">Input!BA11</f>
        <v>GB</v>
      </c>
      <c r="T16" s="3" t="str">
        <f aca="false">Input!BB11</f>
        <v>RB</v>
      </c>
      <c r="U16" s="61" t="n">
        <f aca="false">Input!BC11</f>
        <v>95.3616317016317</v>
      </c>
      <c r="V16" s="55"/>
    </row>
    <row r="17" customFormat="false" ht="11.25" hidden="false" customHeight="false" outlineLevel="0" collapsed="false">
      <c r="A17" s="60"/>
      <c r="B17" s="3" t="n">
        <v>10</v>
      </c>
      <c r="C17" s="53" t="str">
        <f aca="false">Input!AB12</f>
        <v>Rich Gannon</v>
      </c>
      <c r="D17" s="53" t="str">
        <f aca="false">Input!AC12</f>
        <v>Oak</v>
      </c>
      <c r="E17" s="61" t="n">
        <f aca="false">Input!AD12</f>
        <v>309.925308270677</v>
      </c>
      <c r="F17" s="60"/>
      <c r="G17" s="3" t="n">
        <v>10</v>
      </c>
      <c r="H17" s="53" t="str">
        <f aca="false">Input!AF12</f>
        <v>James Stewart</v>
      </c>
      <c r="I17" s="53" t="str">
        <f aca="false">Input!AG12</f>
        <v>Det</v>
      </c>
      <c r="J17" s="61" t="n">
        <f aca="false">Input!AH12</f>
        <v>214.962237762238</v>
      </c>
      <c r="K17" s="60"/>
      <c r="L17" s="3" t="n">
        <v>10</v>
      </c>
      <c r="M17" s="53" t="str">
        <f aca="false">Input!AJ12</f>
        <v>Michael Westbrook</v>
      </c>
      <c r="N17" s="53" t="str">
        <f aca="false">Input!AK12</f>
        <v>Was</v>
      </c>
      <c r="O17" s="61" t="n">
        <f aca="false">Input!AL12</f>
        <v>193.784482758621</v>
      </c>
      <c r="P17" s="60"/>
      <c r="Q17" s="3" t="n">
        <v>10</v>
      </c>
      <c r="R17" s="53" t="str">
        <f aca="false">Input!AZ12</f>
        <v>Marvin Harrison</v>
      </c>
      <c r="S17" s="53" t="str">
        <f aca="false">Input!BA12</f>
        <v>Ind</v>
      </c>
      <c r="T17" s="3" t="str">
        <f aca="false">Input!BB12</f>
        <v>WR</v>
      </c>
      <c r="U17" s="61" t="n">
        <f aca="false">Input!BC12</f>
        <v>94.9366009852217</v>
      </c>
      <c r="V17" s="55"/>
    </row>
    <row r="18" customFormat="false" ht="11.25" hidden="false" customHeight="false" outlineLevel="0" collapsed="false">
      <c r="A18" s="60"/>
      <c r="B18" s="3" t="n">
        <v>11</v>
      </c>
      <c r="C18" s="53" t="str">
        <f aca="false">Input!AB13</f>
        <v>Mark Brunell</v>
      </c>
      <c r="D18" s="53" t="str">
        <f aca="false">Input!AC13</f>
        <v>Jac</v>
      </c>
      <c r="E18" s="61" t="n">
        <f aca="false">Input!AD13</f>
        <v>303.984706766917</v>
      </c>
      <c r="F18" s="60"/>
      <c r="G18" s="3" t="n">
        <v>11</v>
      </c>
      <c r="H18" s="53" t="str">
        <f aca="false">Input!AF13</f>
        <v>Ricky Williams</v>
      </c>
      <c r="I18" s="53" t="str">
        <f aca="false">Input!AG13</f>
        <v>NO</v>
      </c>
      <c r="J18" s="61" t="n">
        <f aca="false">Input!AH13</f>
        <v>211.233566433566</v>
      </c>
      <c r="K18" s="60"/>
      <c r="L18" s="3" t="n">
        <v>11</v>
      </c>
      <c r="M18" s="53" t="str">
        <f aca="false">Input!AJ13</f>
        <v>Cris Carter</v>
      </c>
      <c r="N18" s="53" t="str">
        <f aca="false">Input!AK13</f>
        <v>Min</v>
      </c>
      <c r="O18" s="61" t="n">
        <f aca="false">Input!AL13</f>
        <v>191.78781512605</v>
      </c>
      <c r="P18" s="60"/>
      <c r="Q18" s="3" t="n">
        <v>11</v>
      </c>
      <c r="R18" s="53" t="str">
        <f aca="false">Input!AZ13</f>
        <v>Randy Moss</v>
      </c>
      <c r="S18" s="53" t="str">
        <f aca="false">Input!BA13</f>
        <v>Min</v>
      </c>
      <c r="T18" s="3" t="str">
        <f aca="false">Input!BB13</f>
        <v>WR</v>
      </c>
      <c r="U18" s="61" t="n">
        <f aca="false">Input!BC13</f>
        <v>91.5056157635468</v>
      </c>
      <c r="V18" s="55"/>
    </row>
    <row r="19" customFormat="false" ht="11.25" hidden="false" customHeight="false" outlineLevel="0" collapsed="false">
      <c r="A19" s="60"/>
      <c r="B19" s="3" t="n">
        <v>12</v>
      </c>
      <c r="C19" s="53" t="str">
        <f aca="false">Input!AB14</f>
        <v>Tim Couch</v>
      </c>
      <c r="D19" s="53" t="str">
        <f aca="false">Input!AC14</f>
        <v>Cle</v>
      </c>
      <c r="E19" s="61" t="n">
        <f aca="false">Input!AD14</f>
        <v>296.291495867769</v>
      </c>
      <c r="F19" s="60"/>
      <c r="G19" s="3" t="n">
        <v>12</v>
      </c>
      <c r="H19" s="53" t="str">
        <f aca="false">Input!AF14</f>
        <v>Robert Smith</v>
      </c>
      <c r="I19" s="53" t="str">
        <f aca="false">Input!AG14</f>
        <v>Min</v>
      </c>
      <c r="J19" s="61" t="n">
        <f aca="false">Input!AH14</f>
        <v>208.231118881119</v>
      </c>
      <c r="K19" s="60"/>
      <c r="L19" s="3" t="n">
        <v>12</v>
      </c>
      <c r="M19" s="53" t="str">
        <f aca="false">Input!AJ14</f>
        <v>Germane Crowell</v>
      </c>
      <c r="N19" s="53" t="str">
        <f aca="false">Input!AK14</f>
        <v>Det</v>
      </c>
      <c r="O19" s="61" t="n">
        <f aca="false">Input!AL14</f>
        <v>189.692857142857</v>
      </c>
      <c r="P19" s="60"/>
      <c r="Q19" s="3" t="n">
        <v>12</v>
      </c>
      <c r="R19" s="53" t="str">
        <f aca="false">Input!AZ14</f>
        <v>Curtis Martin</v>
      </c>
      <c r="S19" s="53" t="str">
        <f aca="false">Input!BA14</f>
        <v>NYJ</v>
      </c>
      <c r="T19" s="3" t="str">
        <f aca="false">Input!BB14</f>
        <v>RB</v>
      </c>
      <c r="U19" s="61" t="n">
        <f aca="false">Input!BC14</f>
        <v>82.6854079254079</v>
      </c>
      <c r="V19" s="55"/>
    </row>
    <row r="20" customFormat="false" ht="11.25" hidden="false" customHeight="false" outlineLevel="0" collapsed="false">
      <c r="A20" s="60"/>
      <c r="B20" s="3" t="n">
        <v>13</v>
      </c>
      <c r="C20" s="53" t="str">
        <f aca="false">Input!AB15</f>
        <v>Brian Griese</v>
      </c>
      <c r="D20" s="53" t="str">
        <f aca="false">Input!AC15</f>
        <v>Den</v>
      </c>
      <c r="E20" s="61" t="n">
        <f aca="false">Input!AD15</f>
        <v>294.595258426966</v>
      </c>
      <c r="F20" s="60"/>
      <c r="G20" s="3" t="n">
        <v>13</v>
      </c>
      <c r="H20" s="53" t="str">
        <f aca="false">Input!AF15</f>
        <v>Duce Staley</v>
      </c>
      <c r="I20" s="53" t="str">
        <f aca="false">Input!AG15</f>
        <v>Phi</v>
      </c>
      <c r="J20" s="61" t="n">
        <f aca="false">Input!AH15</f>
        <v>206.381118881119</v>
      </c>
      <c r="K20" s="60"/>
      <c r="L20" s="3" t="n">
        <v>13</v>
      </c>
      <c r="M20" s="53" t="str">
        <f aca="false">Input!AJ15</f>
        <v>Amani Toomer</v>
      </c>
      <c r="N20" s="53" t="str">
        <f aca="false">Input!AK15</f>
        <v>NYG</v>
      </c>
      <c r="O20" s="61" t="n">
        <f aca="false">Input!AL15</f>
        <v>185.382857142857</v>
      </c>
      <c r="P20" s="60"/>
      <c r="Q20" s="3" t="n">
        <v>13</v>
      </c>
      <c r="R20" s="53" t="str">
        <f aca="false">Input!AZ15</f>
        <v>Marcus Robinson</v>
      </c>
      <c r="S20" s="53" t="str">
        <f aca="false">Input!BA15</f>
        <v>Chi</v>
      </c>
      <c r="T20" s="3" t="str">
        <f aca="false">Input!BB15</f>
        <v>WR</v>
      </c>
      <c r="U20" s="61" t="n">
        <f aca="false">Input!BC15</f>
        <v>82.1213300492611</v>
      </c>
      <c r="V20" s="55"/>
    </row>
    <row r="21" customFormat="false" ht="11.25" hidden="false" customHeight="false" outlineLevel="0" collapsed="false">
      <c r="A21" s="60"/>
      <c r="B21" s="3" t="n">
        <v>14</v>
      </c>
      <c r="C21" s="53" t="str">
        <f aca="false">Input!AB16</f>
        <v>Daunte Culpepper</v>
      </c>
      <c r="D21" s="53" t="str">
        <f aca="false">Input!AC16</f>
        <v>Min</v>
      </c>
      <c r="E21" s="61" t="n">
        <f aca="false">Input!AD16</f>
        <v>292.117157894737</v>
      </c>
      <c r="F21" s="60"/>
      <c r="G21" s="3" t="n">
        <v>14</v>
      </c>
      <c r="H21" s="53" t="str">
        <f aca="false">Input!AF16</f>
        <v>Ron Dayne</v>
      </c>
      <c r="I21" s="53" t="str">
        <f aca="false">Input!AG16</f>
        <v>NYG</v>
      </c>
      <c r="J21" s="61" t="n">
        <f aca="false">Input!AH16</f>
        <v>201.512237762238</v>
      </c>
      <c r="K21" s="60"/>
      <c r="L21" s="3" t="n">
        <v>14</v>
      </c>
      <c r="M21" s="53" t="str">
        <f aca="false">Input!AJ16</f>
        <v>Tim Brown</v>
      </c>
      <c r="N21" s="53" t="str">
        <f aca="false">Input!AK16</f>
        <v>Oak</v>
      </c>
      <c r="O21" s="61" t="n">
        <f aca="false">Input!AL16</f>
        <v>181.834482758621</v>
      </c>
      <c r="P21" s="60"/>
      <c r="Q21" s="3" t="n">
        <v>14</v>
      </c>
      <c r="R21" s="53" t="str">
        <f aca="false">Input!AZ16</f>
        <v>Tony Gonzalez</v>
      </c>
      <c r="S21" s="53" t="str">
        <f aca="false">Input!BA16</f>
        <v>KC</v>
      </c>
      <c r="T21" s="3" t="str">
        <f aca="false">Input!BB16</f>
        <v>TE</v>
      </c>
      <c r="U21" s="61" t="n">
        <f aca="false">Input!BC16</f>
        <v>80.4787878787879</v>
      </c>
      <c r="V21" s="55"/>
    </row>
    <row r="22" customFormat="false" ht="11.25" hidden="false" customHeight="false" outlineLevel="0" collapsed="false">
      <c r="A22" s="60"/>
      <c r="B22" s="3" t="n">
        <v>15</v>
      </c>
      <c r="C22" s="53" t="str">
        <f aca="false">Input!AB17</f>
        <v>Troy Aikman</v>
      </c>
      <c r="D22" s="53" t="str">
        <f aca="false">Input!AC17</f>
        <v>Dal</v>
      </c>
      <c r="E22" s="61" t="n">
        <f aca="false">Input!AD17</f>
        <v>286.728921348315</v>
      </c>
      <c r="F22" s="60"/>
      <c r="G22" s="3" t="n">
        <v>15</v>
      </c>
      <c r="H22" s="53" t="str">
        <f aca="false">Input!AF17</f>
        <v>Charlie Garner</v>
      </c>
      <c r="I22" s="53" t="str">
        <f aca="false">Input!AG17</f>
        <v>SF</v>
      </c>
      <c r="J22" s="61" t="n">
        <f aca="false">Input!AH17</f>
        <v>197.304895104895</v>
      </c>
      <c r="K22" s="60"/>
      <c r="L22" s="3" t="n">
        <v>15</v>
      </c>
      <c r="M22" s="53" t="str">
        <f aca="false">Input!AJ17</f>
        <v>Ed McCaffrey</v>
      </c>
      <c r="N22" s="53" t="str">
        <f aca="false">Input!AK17</f>
        <v>Den</v>
      </c>
      <c r="O22" s="61" t="n">
        <f aca="false">Input!AL17</f>
        <v>181.284482758621</v>
      </c>
      <c r="P22" s="60"/>
      <c r="Q22" s="3" t="n">
        <v>15</v>
      </c>
      <c r="R22" s="53" t="str">
        <f aca="false">Input!AZ17</f>
        <v>Eric Moulds</v>
      </c>
      <c r="S22" s="53" t="str">
        <f aca="false">Input!BA17</f>
        <v>Buf</v>
      </c>
      <c r="T22" s="3" t="str">
        <f aca="false">Input!BB17</f>
        <v>WR</v>
      </c>
      <c r="U22" s="61" t="n">
        <f aca="false">Input!BC17</f>
        <v>71.3213300492611</v>
      </c>
      <c r="V22" s="55"/>
    </row>
    <row r="23" customFormat="false" ht="11.25" hidden="false" customHeight="false" outlineLevel="0" collapsed="false">
      <c r="A23" s="60"/>
      <c r="B23" s="3" t="n">
        <v>16</v>
      </c>
      <c r="C23" s="53" t="str">
        <f aca="false">Input!AB18</f>
        <v>Elvis Grbac</v>
      </c>
      <c r="D23" s="53" t="str">
        <f aca="false">Input!AC18</f>
        <v>KC</v>
      </c>
      <c r="E23" s="61" t="n">
        <f aca="false">Input!AD18</f>
        <v>285.562363636364</v>
      </c>
      <c r="F23" s="60"/>
      <c r="G23" s="3" t="n">
        <v>16</v>
      </c>
      <c r="H23" s="53" t="str">
        <f aca="false">Input!AF18</f>
        <v>Curtis Enis</v>
      </c>
      <c r="I23" s="53" t="str">
        <f aca="false">Input!AG18</f>
        <v>Chi</v>
      </c>
      <c r="J23" s="61" t="n">
        <f aca="false">Input!AH18</f>
        <v>193.481118881119</v>
      </c>
      <c r="K23" s="60"/>
      <c r="L23" s="3" t="n">
        <v>16</v>
      </c>
      <c r="M23" s="53" t="str">
        <f aca="false">Input!AJ18</f>
        <v>Muhsin Muhammad</v>
      </c>
      <c r="N23" s="53" t="str">
        <f aca="false">Input!AK18</f>
        <v>Car</v>
      </c>
      <c r="O23" s="61" t="n">
        <f aca="false">Input!AL18</f>
        <v>180.774482758621</v>
      </c>
      <c r="P23" s="60"/>
      <c r="Q23" s="3" t="n">
        <v>16</v>
      </c>
      <c r="R23" s="53" t="str">
        <f aca="false">Input!AZ18</f>
        <v>Peyton Manning</v>
      </c>
      <c r="S23" s="53" t="str">
        <f aca="false">Input!BA18</f>
        <v>Ind</v>
      </c>
      <c r="T23" s="3" t="str">
        <f aca="false">Input!BB18</f>
        <v>QB</v>
      </c>
      <c r="U23" s="61" t="n">
        <f aca="false">Input!BC18</f>
        <v>70.9517663354691</v>
      </c>
      <c r="V23" s="55"/>
    </row>
    <row r="24" customFormat="false" ht="11.25" hidden="false" customHeight="false" outlineLevel="0" collapsed="false">
      <c r="A24" s="60"/>
      <c r="B24" s="3" t="n">
        <v>17</v>
      </c>
      <c r="C24" s="53" t="str">
        <f aca="false">Input!AB19</f>
        <v>Drew Bledsoe</v>
      </c>
      <c r="D24" s="53" t="str">
        <f aca="false">Input!AC19</f>
        <v>NE</v>
      </c>
      <c r="E24" s="61" t="n">
        <f aca="false">Input!AD19</f>
        <v>283.65020661157</v>
      </c>
      <c r="F24" s="60"/>
      <c r="G24" s="3" t="n">
        <v>17</v>
      </c>
      <c r="H24" s="53" t="str">
        <f aca="false">Input!AF19</f>
        <v>Ricky Watters</v>
      </c>
      <c r="I24" s="53" t="str">
        <f aca="false">Input!AG19</f>
        <v>Sea</v>
      </c>
      <c r="J24" s="61" t="n">
        <f aca="false">Input!AH19</f>
        <v>178.381118881119</v>
      </c>
      <c r="K24" s="60"/>
      <c r="L24" s="3" t="n">
        <v>17</v>
      </c>
      <c r="M24" s="53" t="str">
        <f aca="false">Input!AJ19</f>
        <v>Albert Connell</v>
      </c>
      <c r="N24" s="53" t="str">
        <f aca="false">Input!AK19</f>
        <v>Was</v>
      </c>
      <c r="O24" s="61" t="n">
        <f aca="false">Input!AL19</f>
        <v>180.2</v>
      </c>
      <c r="P24" s="60"/>
      <c r="Q24" s="3" t="n">
        <v>17</v>
      </c>
      <c r="R24" s="53" t="str">
        <f aca="false">Input!AZ19</f>
        <v>Jimmy Smith</v>
      </c>
      <c r="S24" s="53" t="str">
        <f aca="false">Input!BA19</f>
        <v>Jac</v>
      </c>
      <c r="T24" s="3" t="str">
        <f aca="false">Input!BB19</f>
        <v>WR</v>
      </c>
      <c r="U24" s="61" t="n">
        <f aca="false">Input!BC19</f>
        <v>69.0193596059114</v>
      </c>
      <c r="V24" s="55"/>
    </row>
    <row r="25" customFormat="false" ht="11.25" hidden="false" customHeight="false" outlineLevel="0" collapsed="false">
      <c r="A25" s="60"/>
      <c r="B25" s="3" t="n">
        <v>18</v>
      </c>
      <c r="C25" s="53" t="str">
        <f aca="false">Input!AB20</f>
        <v>Jon Kitna</v>
      </c>
      <c r="D25" s="53" t="str">
        <f aca="false">Input!AC20</f>
        <v>Sea</v>
      </c>
      <c r="E25" s="61" t="n">
        <f aca="false">Input!AD20</f>
        <v>280.399308270677</v>
      </c>
      <c r="F25" s="60"/>
      <c r="G25" s="3" t="n">
        <v>18</v>
      </c>
      <c r="H25" s="53" t="str">
        <f aca="false">Input!AF20</f>
        <v>Jamal Anderson</v>
      </c>
      <c r="I25" s="53" t="str">
        <f aca="false">Input!AG20</f>
        <v>Atl</v>
      </c>
      <c r="J25" s="61" t="n">
        <f aca="false">Input!AH20</f>
        <v>172.533566433566</v>
      </c>
      <c r="K25" s="60"/>
      <c r="L25" s="3" t="n">
        <v>18</v>
      </c>
      <c r="M25" s="53" t="str">
        <f aca="false">Input!AJ20</f>
        <v>Torry Holt</v>
      </c>
      <c r="N25" s="53" t="str">
        <f aca="false">Input!AK20</f>
        <v>StL</v>
      </c>
      <c r="O25" s="61" t="n">
        <f aca="false">Input!AL20</f>
        <v>179.404285714286</v>
      </c>
      <c r="P25" s="60"/>
      <c r="Q25" s="3" t="n">
        <v>18</v>
      </c>
      <c r="R25" s="53" t="str">
        <f aca="false">Input!AZ20</f>
        <v>James Stewart</v>
      </c>
      <c r="S25" s="53" t="str">
        <f aca="false">Input!BA20</f>
        <v>Det</v>
      </c>
      <c r="T25" s="3" t="str">
        <f aca="false">Input!BB20</f>
        <v>RB</v>
      </c>
      <c r="U25" s="61" t="n">
        <f aca="false">Input!BC20</f>
        <v>67.4903030303031</v>
      </c>
      <c r="V25" s="55"/>
    </row>
    <row r="26" customFormat="false" ht="11.25" hidden="false" customHeight="false" outlineLevel="0" collapsed="false">
      <c r="A26" s="60"/>
      <c r="B26" s="3" t="n">
        <v>19</v>
      </c>
      <c r="C26" s="53" t="str">
        <f aca="false">Input!AB21</f>
        <v>Kerry Collins</v>
      </c>
      <c r="D26" s="53" t="str">
        <f aca="false">Input!AC21</f>
        <v>NYG</v>
      </c>
      <c r="E26" s="61" t="n">
        <f aca="false">Input!AD21</f>
        <v>278.885269662921</v>
      </c>
      <c r="F26" s="60"/>
      <c r="G26" s="3" t="n">
        <v>19</v>
      </c>
      <c r="H26" s="53" t="str">
        <f aca="false">Input!AF21</f>
        <v>Jerome Bettis</v>
      </c>
      <c r="I26" s="53" t="str">
        <f aca="false">Input!AG21</f>
        <v>Pit</v>
      </c>
      <c r="J26" s="61" t="n">
        <f aca="false">Input!AH21</f>
        <v>172.483566433566</v>
      </c>
      <c r="K26" s="60"/>
      <c r="L26" s="3" t="n">
        <v>19</v>
      </c>
      <c r="M26" s="53" t="str">
        <f aca="false">Input!AJ21</f>
        <v>Terrell Owens</v>
      </c>
      <c r="N26" s="53" t="str">
        <f aca="false">Input!AK21</f>
        <v>SF</v>
      </c>
      <c r="O26" s="61" t="n">
        <f aca="false">Input!AL21</f>
        <v>172.73025210084</v>
      </c>
      <c r="P26" s="60"/>
      <c r="Q26" s="3" t="n">
        <v>19</v>
      </c>
      <c r="R26" s="53" t="str">
        <f aca="false">Input!AZ21</f>
        <v>Ricky Williams</v>
      </c>
      <c r="S26" s="53" t="str">
        <f aca="false">Input!BA21</f>
        <v>NO</v>
      </c>
      <c r="T26" s="3" t="str">
        <f aca="false">Input!BB21</f>
        <v>RB</v>
      </c>
      <c r="U26" s="61" t="n">
        <f aca="false">Input!BC21</f>
        <v>63.7616317016317</v>
      </c>
      <c r="V26" s="55"/>
    </row>
    <row r="27" customFormat="false" ht="11.25" hidden="false" customHeight="false" outlineLevel="0" collapsed="false">
      <c r="A27" s="60"/>
      <c r="B27" s="3" t="n">
        <v>20</v>
      </c>
      <c r="C27" s="53" t="str">
        <f aca="false">Input!AB22</f>
        <v>Donovan McNabb</v>
      </c>
      <c r="D27" s="53" t="str">
        <f aca="false">Input!AC22</f>
        <v>Phi</v>
      </c>
      <c r="E27" s="61" t="n">
        <f aca="false">Input!AD22</f>
        <v>270.340406015038</v>
      </c>
      <c r="F27" s="60"/>
      <c r="G27" s="3" t="n">
        <v>20</v>
      </c>
      <c r="H27" s="53" t="str">
        <f aca="false">Input!AF22</f>
        <v>Mike Alstott</v>
      </c>
      <c r="I27" s="53" t="str">
        <f aca="false">Input!AG22</f>
        <v>TB</v>
      </c>
      <c r="J27" s="61" t="n">
        <f aca="false">Input!AH22</f>
        <v>172.35979020979</v>
      </c>
      <c r="K27" s="60"/>
      <c r="L27" s="3" t="n">
        <v>20</v>
      </c>
      <c r="M27" s="53" t="str">
        <f aca="false">Input!AJ22</f>
        <v>Raghib Ismail</v>
      </c>
      <c r="N27" s="53" t="str">
        <f aca="false">Input!AK22</f>
        <v>Dal</v>
      </c>
      <c r="O27" s="61" t="n">
        <f aca="false">Input!AL22</f>
        <v>170.162857142857</v>
      </c>
      <c r="P27" s="60"/>
      <c r="Q27" s="3" t="n">
        <v>20</v>
      </c>
      <c r="R27" s="53" t="str">
        <f aca="false">Input!AZ22</f>
        <v>Antonio Freeman</v>
      </c>
      <c r="S27" s="53" t="str">
        <f aca="false">Input!BA22</f>
        <v>GB</v>
      </c>
      <c r="T27" s="3" t="str">
        <f aca="false">Input!BB22</f>
        <v>WR</v>
      </c>
      <c r="U27" s="61" t="n">
        <f aca="false">Input!BC22</f>
        <v>61.6779802955665</v>
      </c>
      <c r="V27" s="55"/>
    </row>
    <row r="28" customFormat="false" ht="11.25" hidden="false" customHeight="false" outlineLevel="0" collapsed="false">
      <c r="A28" s="60"/>
      <c r="B28" s="3" t="n">
        <v>21</v>
      </c>
      <c r="C28" s="53" t="str">
        <f aca="false">Input!AB23</f>
        <v>Rob Johnson</v>
      </c>
      <c r="D28" s="53" t="str">
        <f aca="false">Input!AC23</f>
        <v>Buf</v>
      </c>
      <c r="E28" s="61" t="n">
        <f aca="false">Input!AD23</f>
        <v>269.868857142857</v>
      </c>
      <c r="F28" s="60"/>
      <c r="G28" s="3" t="n">
        <v>21</v>
      </c>
      <c r="H28" s="53" t="str">
        <f aca="false">Input!AF23</f>
        <v>Tim Biakabutuka</v>
      </c>
      <c r="I28" s="53" t="str">
        <f aca="false">Input!AG23</f>
        <v>Car</v>
      </c>
      <c r="J28" s="61" t="n">
        <f aca="false">Input!AH23</f>
        <v>167.804895104895</v>
      </c>
      <c r="K28" s="60"/>
      <c r="L28" s="3" t="n">
        <v>21</v>
      </c>
      <c r="M28" s="53" t="str">
        <f aca="false">Input!AJ23</f>
        <v>Joey Galloway</v>
      </c>
      <c r="N28" s="53" t="str">
        <f aca="false">Input!AK23</f>
        <v>Dal</v>
      </c>
      <c r="O28" s="61" t="n">
        <f aca="false">Input!AL23</f>
        <v>170.15</v>
      </c>
      <c r="P28" s="60"/>
      <c r="Q28" s="3" t="n">
        <v>21</v>
      </c>
      <c r="R28" s="53" t="str">
        <f aca="false">Input!AZ23</f>
        <v>Isaac Bruce</v>
      </c>
      <c r="S28" s="53" t="str">
        <f aca="false">Input!BA23</f>
        <v>StL</v>
      </c>
      <c r="T28" s="3" t="str">
        <f aca="false">Input!BB23</f>
        <v>WR</v>
      </c>
      <c r="U28" s="61" t="n">
        <f aca="false">Input!BC23</f>
        <v>61.4266009852217</v>
      </c>
      <c r="V28" s="55"/>
    </row>
    <row r="29" customFormat="false" ht="11.25" hidden="false" customHeight="false" outlineLevel="0" collapsed="false">
      <c r="A29" s="60"/>
      <c r="B29" s="3" t="n">
        <v>22</v>
      </c>
      <c r="C29" s="53" t="str">
        <f aca="false">Input!AB24</f>
        <v>Tony Banks</v>
      </c>
      <c r="D29" s="53" t="str">
        <f aca="false">Input!AC24</f>
        <v>Bal</v>
      </c>
      <c r="E29" s="61" t="n">
        <f aca="false">Input!AD24</f>
        <v>267.12620661157</v>
      </c>
      <c r="F29" s="60"/>
      <c r="G29" s="3" t="n">
        <v>22</v>
      </c>
      <c r="H29" s="53" t="str">
        <f aca="false">Input!AF24</f>
        <v>Errict Rhett</v>
      </c>
      <c r="I29" s="53" t="str">
        <f aca="false">Input!AG24</f>
        <v>Cle</v>
      </c>
      <c r="J29" s="61" t="n">
        <f aca="false">Input!AH24</f>
        <v>165.133566433566</v>
      </c>
      <c r="K29" s="60"/>
      <c r="L29" s="3" t="n">
        <v>22</v>
      </c>
      <c r="M29" s="53" t="str">
        <f aca="false">Input!AJ24</f>
        <v>Peter Warrick</v>
      </c>
      <c r="N29" s="53" t="str">
        <f aca="false">Input!AK24</f>
        <v>Cin</v>
      </c>
      <c r="O29" s="61" t="n">
        <f aca="false">Input!AL24</f>
        <v>167.82268907563</v>
      </c>
      <c r="P29" s="60"/>
      <c r="Q29" s="3" t="n">
        <v>22</v>
      </c>
      <c r="R29" s="53" t="str">
        <f aca="false">Input!AZ24</f>
        <v>Robert Smith</v>
      </c>
      <c r="S29" s="53" t="str">
        <f aca="false">Input!BA24</f>
        <v>Min</v>
      </c>
      <c r="T29" s="3" t="str">
        <f aca="false">Input!BB24</f>
        <v>RB</v>
      </c>
      <c r="U29" s="61" t="n">
        <f aca="false">Input!BC24</f>
        <v>60.7591841491842</v>
      </c>
      <c r="V29" s="55"/>
    </row>
    <row r="30" customFormat="false" ht="11.25" hidden="false" customHeight="false" outlineLevel="0" collapsed="false">
      <c r="A30" s="60"/>
      <c r="B30" s="3" t="n">
        <v>23</v>
      </c>
      <c r="C30" s="53" t="str">
        <f aca="false">Input!AB25</f>
        <v>Charlie Batch</v>
      </c>
      <c r="D30" s="53" t="str">
        <f aca="false">Input!AC25</f>
        <v>Det</v>
      </c>
      <c r="E30" s="61" t="n">
        <f aca="false">Input!AD25</f>
        <v>256.360269662921</v>
      </c>
      <c r="F30" s="60"/>
      <c r="G30" s="3" t="n">
        <v>23</v>
      </c>
      <c r="H30" s="53" t="str">
        <f aca="false">Input!AF25</f>
        <v>Tyrone Wheatley</v>
      </c>
      <c r="I30" s="53" t="str">
        <f aca="false">Input!AG25</f>
        <v>Oak</v>
      </c>
      <c r="J30" s="61" t="n">
        <f aca="false">Input!AH25</f>
        <v>161.757342657343</v>
      </c>
      <c r="K30" s="60"/>
      <c r="L30" s="3" t="n">
        <v>23</v>
      </c>
      <c r="M30" s="53" t="str">
        <f aca="false">Input!AJ25</f>
        <v>Keyshawn Johnson</v>
      </c>
      <c r="N30" s="53" t="str">
        <f aca="false">Input!AK25</f>
        <v>TB</v>
      </c>
      <c r="O30" s="61" t="n">
        <f aca="false">Input!AL25</f>
        <v>167.654482758621</v>
      </c>
      <c r="P30" s="60"/>
      <c r="Q30" s="3" t="n">
        <v>23</v>
      </c>
      <c r="R30" s="53" t="str">
        <f aca="false">Input!AZ25</f>
        <v>Cade McNown</v>
      </c>
      <c r="S30" s="53" t="str">
        <f aca="false">Input!BA25</f>
        <v>Chi</v>
      </c>
      <c r="T30" s="3" t="str">
        <f aca="false">Input!BB25</f>
        <v>QB</v>
      </c>
      <c r="U30" s="61" t="n">
        <f aca="false">Input!BC25</f>
        <v>60.16356817408</v>
      </c>
      <c r="V30" s="55"/>
    </row>
    <row r="31" customFormat="false" ht="11.25" hidden="false" customHeight="false" outlineLevel="0" collapsed="false">
      <c r="A31" s="60"/>
      <c r="B31" s="3" t="n">
        <v>24</v>
      </c>
      <c r="C31" s="53" t="str">
        <f aca="false">Input!AB26</f>
        <v>Jake Plummer</v>
      </c>
      <c r="D31" s="53" t="str">
        <f aca="false">Input!AC26</f>
        <v>Ari</v>
      </c>
      <c r="E31" s="61" t="n">
        <f aca="false">Input!AD26</f>
        <v>256.024556390977</v>
      </c>
      <c r="F31" s="60"/>
      <c r="G31" s="3" t="n">
        <v>24</v>
      </c>
      <c r="H31" s="53" t="str">
        <f aca="false">Input!AF26</f>
        <v>Warrick Dunn</v>
      </c>
      <c r="I31" s="53" t="str">
        <f aca="false">Input!AG26</f>
        <v>TB</v>
      </c>
      <c r="J31" s="61" t="n">
        <f aca="false">Input!AH26</f>
        <v>153.952447552448</v>
      </c>
      <c r="K31" s="60"/>
      <c r="L31" s="3" t="n">
        <v>24</v>
      </c>
      <c r="M31" s="53" t="str">
        <f aca="false">Input!AJ26</f>
        <v>Patrick Jeffers</v>
      </c>
      <c r="N31" s="53" t="str">
        <f aca="false">Input!AK26</f>
        <v>Car</v>
      </c>
      <c r="O31" s="61" t="n">
        <f aca="false">Input!AL26</f>
        <v>167.142857142857</v>
      </c>
      <c r="P31" s="60"/>
      <c r="Q31" s="3" t="n">
        <v>24</v>
      </c>
      <c r="R31" s="53" t="str">
        <f aca="false">Input!AZ26</f>
        <v>Terry Glenn</v>
      </c>
      <c r="S31" s="53" t="str">
        <f aca="false">Input!BA26</f>
        <v>NE</v>
      </c>
      <c r="T31" s="3" t="str">
        <f aca="false">Input!BB26</f>
        <v>WR</v>
      </c>
      <c r="U31" s="61" t="n">
        <f aca="false">Input!BC26</f>
        <v>59.0641871921183</v>
      </c>
      <c r="V31" s="55"/>
    </row>
    <row r="32" customFormat="false" ht="11.25" hidden="false" customHeight="false" outlineLevel="0" collapsed="false">
      <c r="A32" s="60"/>
      <c r="B32" s="3" t="n">
        <v>25</v>
      </c>
      <c r="C32" s="53" t="str">
        <f aca="false">Input!AB27</f>
        <v>Chris Chandler</v>
      </c>
      <c r="D32" s="53" t="str">
        <f aca="false">Input!AC27</f>
        <v>Atl</v>
      </c>
      <c r="E32" s="61" t="n">
        <f aca="false">Input!AD27</f>
        <v>248.189157894737</v>
      </c>
      <c r="F32" s="60"/>
      <c r="G32" s="3" t="n">
        <v>25</v>
      </c>
      <c r="H32" s="53" t="str">
        <f aca="false">Input!AF27</f>
        <v>J.J. Johnson</v>
      </c>
      <c r="I32" s="53" t="str">
        <f aca="false">Input!AG27</f>
        <v>Mia</v>
      </c>
      <c r="J32" s="61" t="n">
        <f aca="false">Input!AH27</f>
        <v>149.157342657343</v>
      </c>
      <c r="K32" s="60"/>
      <c r="L32" s="3" t="n">
        <v>25</v>
      </c>
      <c r="M32" s="53" t="str">
        <f aca="false">Input!AJ27</f>
        <v>Rob Moore</v>
      </c>
      <c r="N32" s="53" t="str">
        <f aca="false">Input!AK27</f>
        <v>Ari</v>
      </c>
      <c r="O32" s="61" t="n">
        <f aca="false">Input!AL27</f>
        <v>166.755172413793</v>
      </c>
      <c r="P32" s="60"/>
      <c r="Q32" s="3" t="n">
        <v>25</v>
      </c>
      <c r="R32" s="53" t="str">
        <f aca="false">Input!AZ27</f>
        <v>Duce Staley</v>
      </c>
      <c r="S32" s="53" t="str">
        <f aca="false">Input!BA27</f>
        <v>Phi</v>
      </c>
      <c r="T32" s="3" t="str">
        <f aca="false">Input!BB27</f>
        <v>RB</v>
      </c>
      <c r="U32" s="61" t="n">
        <f aca="false">Input!BC27</f>
        <v>58.9091841491841</v>
      </c>
      <c r="V32" s="55"/>
    </row>
    <row r="33" customFormat="false" ht="11.25" hidden="false" customHeight="false" outlineLevel="0" collapsed="false">
      <c r="A33" s="60"/>
      <c r="B33" s="3" t="n">
        <v>26</v>
      </c>
      <c r="C33" s="53" t="str">
        <f aca="false">Input!AB28</f>
        <v>Vinny Testaverde</v>
      </c>
      <c r="D33" s="53" t="str">
        <f aca="false">Input!AC28</f>
        <v>NYJ</v>
      </c>
      <c r="E33" s="61" t="n">
        <f aca="false">Input!AD28</f>
        <v>245.068857142857</v>
      </c>
      <c r="F33" s="60"/>
      <c r="G33" s="3" t="n">
        <v>26</v>
      </c>
      <c r="H33" s="53" t="str">
        <f aca="false">Input!AF28</f>
        <v>Jermaine Fazande</v>
      </c>
      <c r="I33" s="53" t="str">
        <f aca="false">Input!AG28</f>
        <v>SD</v>
      </c>
      <c r="J33" s="61" t="n">
        <f aca="false">Input!AH28</f>
        <v>133.007342657343</v>
      </c>
      <c r="K33" s="60"/>
      <c r="L33" s="3" t="n">
        <v>26</v>
      </c>
      <c r="M33" s="53" t="str">
        <f aca="false">Input!AJ28</f>
        <v>Derrick Mayes</v>
      </c>
      <c r="N33" s="53" t="str">
        <f aca="false">Input!AK28</f>
        <v>Sea</v>
      </c>
      <c r="O33" s="61" t="n">
        <f aca="false">Input!AL28</f>
        <v>165.555172413793</v>
      </c>
      <c r="P33" s="60"/>
      <c r="Q33" s="3" t="n">
        <v>26</v>
      </c>
      <c r="R33" s="53" t="str">
        <f aca="false">Input!AZ28</f>
        <v>Steve McNair</v>
      </c>
      <c r="S33" s="53" t="str">
        <f aca="false">Input!BA28</f>
        <v>Ten</v>
      </c>
      <c r="T33" s="3" t="str">
        <f aca="false">Input!BB28</f>
        <v>QB</v>
      </c>
      <c r="U33" s="61" t="n">
        <f aca="false">Input!BC28</f>
        <v>58.6351371219861</v>
      </c>
      <c r="V33" s="55"/>
    </row>
    <row r="34" customFormat="false" ht="11.25" hidden="false" customHeight="false" outlineLevel="0" collapsed="false">
      <c r="A34" s="60"/>
      <c r="B34" s="3" t="n">
        <v>27</v>
      </c>
      <c r="C34" s="53" t="str">
        <f aca="false">Input!AB29</f>
        <v>Shaun King</v>
      </c>
      <c r="D34" s="53" t="str">
        <f aca="false">Input!AC29</f>
        <v>TB</v>
      </c>
      <c r="E34" s="61" t="n">
        <f aca="false">Input!AD29</f>
        <v>242.309706766917</v>
      </c>
      <c r="F34" s="60"/>
      <c r="G34" s="3" t="n">
        <v>27</v>
      </c>
      <c r="H34" s="53" t="str">
        <f aca="false">Input!AF29</f>
        <v>Jamal Lewis</v>
      </c>
      <c r="I34" s="53" t="str">
        <f aca="false">Input!AG29</f>
        <v>Bal</v>
      </c>
      <c r="J34" s="61" t="n">
        <f aca="false">Input!AH29</f>
        <v>131.501118881119</v>
      </c>
      <c r="K34" s="60"/>
      <c r="L34" s="3" t="n">
        <v>27</v>
      </c>
      <c r="M34" s="53" t="str">
        <f aca="false">Input!AJ29</f>
        <v>Terance Mathis</v>
      </c>
      <c r="N34" s="53" t="str">
        <f aca="false">Input!AK29</f>
        <v>Atl</v>
      </c>
      <c r="O34" s="61" t="n">
        <f aca="false">Input!AL29</f>
        <v>161.98025210084</v>
      </c>
      <c r="P34" s="60"/>
      <c r="Q34" s="3" t="n">
        <v>27</v>
      </c>
      <c r="R34" s="53" t="str">
        <f aca="false">Input!AZ29</f>
        <v>Ron Dayne</v>
      </c>
      <c r="S34" s="53" t="str">
        <f aca="false">Input!BA29</f>
        <v>NYG</v>
      </c>
      <c r="T34" s="3" t="str">
        <f aca="false">Input!BB29</f>
        <v>RB</v>
      </c>
      <c r="U34" s="61" t="n">
        <f aca="false">Input!BC29</f>
        <v>54.0403030303031</v>
      </c>
      <c r="V34" s="55"/>
    </row>
    <row r="35" customFormat="false" ht="11.25" hidden="false" customHeight="false" outlineLevel="0" collapsed="false">
      <c r="A35" s="60"/>
      <c r="B35" s="3" t="n">
        <v>28</v>
      </c>
      <c r="C35" s="53" t="str">
        <f aca="false">Input!AB30</f>
        <v>Kordell Stewart</v>
      </c>
      <c r="D35" s="53" t="str">
        <f aca="false">Input!AC30</f>
        <v>Pit</v>
      </c>
      <c r="E35" s="61" t="n">
        <f aca="false">Input!AD30</f>
        <v>215.070105263158</v>
      </c>
      <c r="F35" s="60"/>
      <c r="G35" s="3" t="n">
        <v>28</v>
      </c>
      <c r="H35" s="53" t="str">
        <f aca="false">Input!AF30</f>
        <v>Raymont Harris</v>
      </c>
      <c r="I35" s="53" t="str">
        <f aca="false">Input!AG30</f>
        <v>NE</v>
      </c>
      <c r="J35" s="61" t="n">
        <f aca="false">Input!AH30</f>
        <v>125.907342657343</v>
      </c>
      <c r="K35" s="60"/>
      <c r="L35" s="3" t="n">
        <v>28</v>
      </c>
      <c r="M35" s="53" t="str">
        <f aca="false">Input!AJ30</f>
        <v>Plaxico Burress</v>
      </c>
      <c r="N35" s="53" t="str">
        <f aca="false">Input!AK30</f>
        <v>Pit</v>
      </c>
      <c r="O35" s="61" t="n">
        <f aca="false">Input!AL30</f>
        <v>157.776470588235</v>
      </c>
      <c r="P35" s="60"/>
      <c r="Q35" s="3" t="n">
        <v>28</v>
      </c>
      <c r="R35" s="53" t="str">
        <f aca="false">Input!AZ30</f>
        <v>Brett Favre</v>
      </c>
      <c r="S35" s="53" t="str">
        <f aca="false">Input!BA30</f>
        <v>GB</v>
      </c>
      <c r="T35" s="3" t="str">
        <f aca="false">Input!BB30</f>
        <v>QB</v>
      </c>
      <c r="U35" s="61" t="n">
        <f aca="false">Input!BC30</f>
        <v>51.4502646880922</v>
      </c>
      <c r="V35" s="55"/>
    </row>
    <row r="36" customFormat="false" ht="11.25" hidden="false" customHeight="false" outlineLevel="0" collapsed="false">
      <c r="A36" s="60"/>
      <c r="B36" s="3" t="n">
        <v>29</v>
      </c>
      <c r="C36" s="53" t="str">
        <f aca="false">Input!AB31</f>
        <v>Damon Huard</v>
      </c>
      <c r="D36" s="53" t="str">
        <f aca="false">Input!AC31</f>
        <v>Mia</v>
      </c>
      <c r="E36" s="61" t="n">
        <f aca="false">Input!AD31</f>
        <v>182.158407407407</v>
      </c>
      <c r="F36" s="60"/>
      <c r="G36" s="3" t="n">
        <v>29</v>
      </c>
      <c r="H36" s="53" t="str">
        <f aca="false">Input!AF31</f>
        <v>Michael Pittman</v>
      </c>
      <c r="I36" s="53" t="str">
        <f aca="false">Input!AG31</f>
        <v>Ari</v>
      </c>
      <c r="J36" s="61" t="n">
        <f aca="false">Input!AH31</f>
        <v>122.928671328671</v>
      </c>
      <c r="K36" s="60"/>
      <c r="L36" s="3" t="n">
        <v>29</v>
      </c>
      <c r="M36" s="53" t="str">
        <f aca="false">Input!AJ31</f>
        <v>Joe Horn</v>
      </c>
      <c r="N36" s="53" t="str">
        <f aca="false">Input!AK31</f>
        <v>NO</v>
      </c>
      <c r="O36" s="61" t="n">
        <f aca="false">Input!AL31</f>
        <v>154.14268907563</v>
      </c>
      <c r="P36" s="60"/>
      <c r="Q36" s="3" t="n">
        <v>29</v>
      </c>
      <c r="R36" s="53" t="str">
        <f aca="false">Input!AZ31</f>
        <v>Kevin Johnson</v>
      </c>
      <c r="S36" s="53" t="str">
        <f aca="false">Input!BA31</f>
        <v>Cle</v>
      </c>
      <c r="T36" s="3" t="str">
        <f aca="false">Input!BB31</f>
        <v>WR</v>
      </c>
      <c r="U36" s="61" t="n">
        <f aca="false">Input!BC31</f>
        <v>50.2641871921183</v>
      </c>
      <c r="V36" s="55"/>
    </row>
    <row r="37" customFormat="false" ht="11.25" hidden="false" customHeight="false" outlineLevel="0" collapsed="false">
      <c r="A37" s="60"/>
      <c r="B37" s="3" t="n">
        <v>30</v>
      </c>
      <c r="C37" s="53" t="str">
        <f aca="false">Input!AB32</f>
        <v>Akili Smith</v>
      </c>
      <c r="D37" s="53" t="str">
        <f aca="false">Input!AC32</f>
        <v>Cin</v>
      </c>
      <c r="E37" s="61" t="n">
        <f aca="false">Input!AD32</f>
        <v>172.477503759399</v>
      </c>
      <c r="F37" s="60"/>
      <c r="G37" s="3" t="n">
        <v>30</v>
      </c>
      <c r="H37" s="53" t="str">
        <f aca="false">Input!AF32</f>
        <v>Antowain Smith</v>
      </c>
      <c r="I37" s="53" t="str">
        <f aca="false">Input!AG32</f>
        <v>Buf</v>
      </c>
      <c r="J37" s="61" t="n">
        <f aca="false">Input!AH32</f>
        <v>121.181118881119</v>
      </c>
      <c r="K37" s="60"/>
      <c r="L37" s="3" t="n">
        <v>30</v>
      </c>
      <c r="M37" s="53" t="str">
        <f aca="false">Input!AJ32</f>
        <v>Keenan McCardell</v>
      </c>
      <c r="N37" s="53" t="str">
        <f aca="false">Input!AK32</f>
        <v>Jac</v>
      </c>
      <c r="O37" s="61" t="n">
        <f aca="false">Input!AL32</f>
        <v>154.12268907563</v>
      </c>
      <c r="P37" s="60"/>
      <c r="Q37" s="3" t="n">
        <v>30</v>
      </c>
      <c r="R37" s="53" t="str">
        <f aca="false">Input!AZ32</f>
        <v>Wesley Walls</v>
      </c>
      <c r="S37" s="53" t="str">
        <f aca="false">Input!BA32</f>
        <v>Car</v>
      </c>
      <c r="T37" s="3" t="str">
        <f aca="false">Input!BB32</f>
        <v>TE</v>
      </c>
      <c r="U37" s="61" t="n">
        <f aca="false">Input!BC32</f>
        <v>50.0833333333333</v>
      </c>
      <c r="V37" s="55"/>
    </row>
    <row r="38" customFormat="false" ht="11.25" hidden="false" customHeight="false" outlineLevel="0" collapsed="false">
      <c r="A38" s="60"/>
      <c r="B38" s="3" t="n">
        <v>31</v>
      </c>
      <c r="C38" s="53" t="str">
        <f aca="false">Input!AB33</f>
        <v>Moses Moreno</v>
      </c>
      <c r="D38" s="53" t="str">
        <f aca="false">Input!AC33</f>
        <v>SD</v>
      </c>
      <c r="E38" s="61" t="n">
        <f aca="false">Input!AD33</f>
        <v>129.133333333333</v>
      </c>
      <c r="F38" s="60"/>
      <c r="G38" s="3" t="n">
        <v>31</v>
      </c>
      <c r="H38" s="53" t="str">
        <f aca="false">Input!AF33</f>
        <v>Shaun Alexander</v>
      </c>
      <c r="I38" s="53" t="str">
        <f aca="false">Input!AG33</f>
        <v>Sea</v>
      </c>
      <c r="J38" s="61" t="n">
        <f aca="false">Input!AH33</f>
        <v>115.578671328671</v>
      </c>
      <c r="K38" s="60"/>
      <c r="L38" s="3" t="n">
        <v>31</v>
      </c>
      <c r="M38" s="53" t="str">
        <f aca="false">Input!AJ33</f>
        <v>Tony Martin</v>
      </c>
      <c r="N38" s="53" t="str">
        <f aca="false">Input!AK33</f>
        <v>Mia</v>
      </c>
      <c r="O38" s="61" t="n">
        <f aca="false">Input!AL33</f>
        <v>152.885714285714</v>
      </c>
      <c r="P38" s="60"/>
      <c r="Q38" s="3" t="n">
        <v>31</v>
      </c>
      <c r="R38" s="53" t="str">
        <f aca="false">Input!AZ33</f>
        <v>Charlie Garner</v>
      </c>
      <c r="S38" s="53" t="str">
        <f aca="false">Input!BA33</f>
        <v>SF</v>
      </c>
      <c r="T38" s="3" t="str">
        <f aca="false">Input!BB33</f>
        <v>RB</v>
      </c>
      <c r="U38" s="61" t="n">
        <f aca="false">Input!BC33</f>
        <v>49.8329603729603</v>
      </c>
      <c r="V38" s="55"/>
    </row>
    <row r="39" customFormat="false" ht="11.25" hidden="false" customHeight="false" outlineLevel="0" collapsed="false">
      <c r="A39" s="60"/>
      <c r="B39" s="3" t="n">
        <v>32</v>
      </c>
      <c r="C39" s="53" t="str">
        <f aca="false">Input!AB34</f>
        <v>Jim Harbaugh</v>
      </c>
      <c r="D39" s="53" t="str">
        <f aca="false">Input!AC34</f>
        <v>SD</v>
      </c>
      <c r="E39" s="61" t="n">
        <f aca="false">Input!AD34</f>
        <v>126.960259259259</v>
      </c>
      <c r="F39" s="60"/>
      <c r="G39" s="3" t="n">
        <v>32</v>
      </c>
      <c r="H39" s="53" t="str">
        <f aca="false">Input!AF34</f>
        <v>Kimble Anders</v>
      </c>
      <c r="I39" s="53" t="str">
        <f aca="false">Input!AG34</f>
        <v>KC</v>
      </c>
      <c r="J39" s="61" t="n">
        <f aca="false">Input!AH34</f>
        <v>113.818671328671</v>
      </c>
      <c r="K39" s="60"/>
      <c r="L39" s="3" t="n">
        <v>32</v>
      </c>
      <c r="M39" s="53" t="str">
        <f aca="false">Input!AJ34</f>
        <v>Tim Dwight</v>
      </c>
      <c r="N39" s="53" t="str">
        <f aca="false">Input!AK34</f>
        <v>Atl</v>
      </c>
      <c r="O39" s="61" t="n">
        <f aca="false">Input!AL34</f>
        <v>150.842857142857</v>
      </c>
      <c r="P39" s="60"/>
      <c r="Q39" s="3" t="n">
        <v>32</v>
      </c>
      <c r="R39" s="53" t="str">
        <f aca="false">Input!AZ34</f>
        <v>Michael Westbrook</v>
      </c>
      <c r="S39" s="53" t="str">
        <f aca="false">Input!BA34</f>
        <v>Was</v>
      </c>
      <c r="T39" s="3" t="str">
        <f aca="false">Input!BB34</f>
        <v>WR</v>
      </c>
      <c r="U39" s="61" t="n">
        <f aca="false">Input!BC34</f>
        <v>48.6486699507389</v>
      </c>
      <c r="V39" s="55"/>
    </row>
    <row r="40" customFormat="false" ht="11.25" hidden="false" customHeight="false" outlineLevel="0" collapsed="false">
      <c r="A40" s="60"/>
      <c r="B40" s="3" t="n">
        <v>33</v>
      </c>
      <c r="C40" s="53" t="str">
        <f aca="false">Input!AB35</f>
        <v>Jay Fiedler</v>
      </c>
      <c r="D40" s="53" t="str">
        <f aca="false">Input!AC35</f>
        <v>Mia</v>
      </c>
      <c r="E40" s="61" t="n">
        <f aca="false">Input!AD35</f>
        <v>117.346296296296</v>
      </c>
      <c r="F40" s="60"/>
      <c r="G40" s="3" t="n">
        <v>33</v>
      </c>
      <c r="H40" s="53" t="str">
        <f aca="false">Input!AF35</f>
        <v>Fred Beasley</v>
      </c>
      <c r="I40" s="53" t="str">
        <f aca="false">Input!AG35</f>
        <v>SF</v>
      </c>
      <c r="J40" s="61" t="n">
        <f aca="false">Input!AH35</f>
        <v>113.581118881119</v>
      </c>
      <c r="K40" s="60"/>
      <c r="L40" s="3" t="n">
        <v>33</v>
      </c>
      <c r="M40" s="53" t="str">
        <f aca="false">Input!AJ35</f>
        <v>Derrick Alexander</v>
      </c>
      <c r="N40" s="53" t="str">
        <f aca="false">Input!AK35</f>
        <v>KC</v>
      </c>
      <c r="O40" s="61" t="n">
        <f aca="false">Input!AL35</f>
        <v>146.885714285714</v>
      </c>
      <c r="P40" s="60"/>
      <c r="Q40" s="3" t="n">
        <v>33</v>
      </c>
      <c r="R40" s="53" t="str">
        <f aca="false">Input!AZ35</f>
        <v>Cris Carter</v>
      </c>
      <c r="S40" s="53" t="str">
        <f aca="false">Input!BA35</f>
        <v>Min</v>
      </c>
      <c r="T40" s="3" t="str">
        <f aca="false">Input!BB35</f>
        <v>WR</v>
      </c>
      <c r="U40" s="61" t="n">
        <f aca="false">Input!BC35</f>
        <v>46.6520023181687</v>
      </c>
      <c r="V40" s="55"/>
    </row>
    <row r="41" customFormat="false" ht="11.25" hidden="false" customHeight="false" outlineLevel="0" collapsed="false">
      <c r="A41" s="60"/>
      <c r="B41" s="3" t="n">
        <v>34</v>
      </c>
      <c r="C41" s="53" t="str">
        <f aca="false">Input!AB36</f>
        <v>Scott Mitchell</v>
      </c>
      <c r="D41" s="53" t="str">
        <f aca="false">Input!AC36</f>
        <v>Cin</v>
      </c>
      <c r="E41" s="61" t="n">
        <f aca="false">Input!AD36</f>
        <v>89.7222222222222</v>
      </c>
      <c r="F41" s="60"/>
      <c r="G41" s="3" t="n">
        <v>34</v>
      </c>
      <c r="H41" s="53" t="str">
        <f aca="false">Input!AF36</f>
        <v>Thomas Jones</v>
      </c>
      <c r="I41" s="53" t="str">
        <f aca="false">Input!AG36</f>
        <v>Ari</v>
      </c>
      <c r="J41" s="61" t="n">
        <f aca="false">Input!AH36</f>
        <v>113.354895104895</v>
      </c>
      <c r="K41" s="60"/>
      <c r="L41" s="3" t="n">
        <v>34</v>
      </c>
      <c r="M41" s="53" t="str">
        <f aca="false">Input!AJ36</f>
        <v>Ike Hilliard</v>
      </c>
      <c r="N41" s="53" t="str">
        <f aca="false">Input!AK36</f>
        <v>NYG</v>
      </c>
      <c r="O41" s="61" t="n">
        <f aca="false">Input!AL36</f>
        <v>146.128907563025</v>
      </c>
      <c r="P41" s="60"/>
      <c r="Q41" s="3" t="n">
        <v>34</v>
      </c>
      <c r="R41" s="53" t="str">
        <f aca="false">Input!AZ36</f>
        <v>Curtis Enis</v>
      </c>
      <c r="S41" s="53" t="str">
        <f aca="false">Input!BA36</f>
        <v>Chi</v>
      </c>
      <c r="T41" s="3" t="str">
        <f aca="false">Input!BB36</f>
        <v>RB</v>
      </c>
      <c r="U41" s="61" t="n">
        <f aca="false">Input!BC36</f>
        <v>46.0091841491841</v>
      </c>
      <c r="V41" s="55"/>
    </row>
    <row r="42" customFormat="false" ht="11.25" hidden="false" customHeight="false" outlineLevel="0" collapsed="false">
      <c r="A42" s="60"/>
      <c r="B42" s="3" t="n">
        <v>35</v>
      </c>
      <c r="C42" s="53" t="str">
        <f aca="false">Input!AB37</f>
        <v>Kent Graham</v>
      </c>
      <c r="D42" s="53" t="str">
        <f aca="false">Input!AC37</f>
        <v>Pit</v>
      </c>
      <c r="E42" s="61" t="n">
        <f aca="false">Input!AD37</f>
        <v>80.7741481481482</v>
      </c>
      <c r="F42" s="60"/>
      <c r="G42" s="3" t="n">
        <v>35</v>
      </c>
      <c r="H42" s="53" t="str">
        <f aca="false">Input!AF37</f>
        <v>Napoleon Kaufman</v>
      </c>
      <c r="I42" s="53" t="str">
        <f aca="false">Input!AG37</f>
        <v>Oak</v>
      </c>
      <c r="J42" s="61" t="n">
        <f aca="false">Input!AH37</f>
        <v>111.928671328671</v>
      </c>
      <c r="K42" s="60"/>
      <c r="L42" s="3" t="n">
        <v>35</v>
      </c>
      <c r="M42" s="53" t="str">
        <f aca="false">Input!AJ37</f>
        <v>Wayne Chrebet</v>
      </c>
      <c r="N42" s="53" t="str">
        <f aca="false">Input!AK37</f>
        <v>NYJ</v>
      </c>
      <c r="O42" s="61" t="n">
        <f aca="false">Input!AL37</f>
        <v>145.435862068966</v>
      </c>
      <c r="P42" s="60"/>
      <c r="Q42" s="3" t="n">
        <v>35</v>
      </c>
      <c r="R42" s="53" t="str">
        <f aca="false">Input!AZ37</f>
        <v>Germane Crowell</v>
      </c>
      <c r="S42" s="53" t="str">
        <f aca="false">Input!BA37</f>
        <v>Det</v>
      </c>
      <c r="T42" s="3" t="str">
        <f aca="false">Input!BB37</f>
        <v>WR</v>
      </c>
      <c r="U42" s="61" t="n">
        <f aca="false">Input!BC37</f>
        <v>44.5570443349754</v>
      </c>
      <c r="V42" s="55"/>
    </row>
    <row r="43" customFormat="false" ht="12.75" hidden="false" customHeight="false" outlineLevel="0" collapsed="false">
      <c r="A43" s="60"/>
      <c r="B43" s="58" t="s">
        <v>77</v>
      </c>
      <c r="C43" s="59"/>
      <c r="D43" s="58"/>
      <c r="E43" s="59" t="s">
        <v>4</v>
      </c>
      <c r="F43" s="60"/>
      <c r="G43" s="3" t="n">
        <v>36</v>
      </c>
      <c r="H43" s="53" t="str">
        <f aca="false">Input!AF38</f>
        <v>Richard Huntley</v>
      </c>
      <c r="I43" s="53" t="str">
        <f aca="false">Input!AG38</f>
        <v>Pit</v>
      </c>
      <c r="J43" s="61" t="n">
        <f aca="false">Input!AH38</f>
        <v>107.278671328671</v>
      </c>
      <c r="K43" s="60"/>
      <c r="L43" s="3" t="n">
        <v>36</v>
      </c>
      <c r="M43" s="53" t="str">
        <f aca="false">Input!AJ38</f>
        <v>Peerless Price</v>
      </c>
      <c r="N43" s="53" t="str">
        <f aca="false">Input!AK38</f>
        <v>Buf</v>
      </c>
      <c r="O43" s="61" t="n">
        <f aca="false">Input!AL38</f>
        <v>144.485714285714</v>
      </c>
      <c r="P43" s="60"/>
      <c r="Q43" s="3" t="n">
        <v>36</v>
      </c>
      <c r="R43" s="53" t="str">
        <f aca="false">Input!AZ38</f>
        <v>Amani Toomer</v>
      </c>
      <c r="S43" s="53" t="str">
        <f aca="false">Input!BA38</f>
        <v>NYG</v>
      </c>
      <c r="T43" s="3" t="str">
        <f aca="false">Input!BB38</f>
        <v>WR</v>
      </c>
      <c r="U43" s="61" t="n">
        <f aca="false">Input!BC38</f>
        <v>40.2470443349754</v>
      </c>
      <c r="V43" s="55"/>
    </row>
    <row r="44" customFormat="false" ht="11.25" hidden="false" customHeight="false" outlineLevel="0" collapsed="false">
      <c r="A44" s="60"/>
      <c r="B44" s="3" t="n">
        <v>1</v>
      </c>
      <c r="C44" s="53" t="str">
        <f aca="false">Input!AN3</f>
        <v>Tony Gonzalez</v>
      </c>
      <c r="D44" s="53" t="str">
        <f aca="false">Input!AO3</f>
        <v>KC</v>
      </c>
      <c r="E44" s="61" t="n">
        <f aca="false">Input!AP3</f>
        <v>141.854545454545</v>
      </c>
      <c r="F44" s="60"/>
      <c r="G44" s="3" t="n">
        <v>37</v>
      </c>
      <c r="H44" s="53" t="str">
        <f aca="false">Input!AF39</f>
        <v>Corey Dillon</v>
      </c>
      <c r="I44" s="53" t="str">
        <f aca="false">Input!AG39</f>
        <v>Cin</v>
      </c>
      <c r="J44" s="61" t="n">
        <f aca="false">Input!AH39</f>
        <v>106.004895104895</v>
      </c>
      <c r="K44" s="60"/>
      <c r="L44" s="3" t="n">
        <v>37</v>
      </c>
      <c r="M44" s="53" t="str">
        <f aca="false">Input!AJ39</f>
        <v>Rod Smith</v>
      </c>
      <c r="N44" s="53" t="str">
        <f aca="false">Input!AK39</f>
        <v>Den</v>
      </c>
      <c r="O44" s="61" t="n">
        <f aca="false">Input!AL39</f>
        <v>143.085862068966</v>
      </c>
      <c r="P44" s="60"/>
      <c r="Q44" s="3" t="n">
        <v>37</v>
      </c>
      <c r="R44" s="53" t="str">
        <f aca="false">Input!AZ39</f>
        <v>Brad Johnson</v>
      </c>
      <c r="S44" s="53" t="str">
        <f aca="false">Input!BA39</f>
        <v>Was</v>
      </c>
      <c r="T44" s="3" t="str">
        <f aca="false">Input!BB39</f>
        <v>QB</v>
      </c>
      <c r="U44" s="61" t="n">
        <f aca="false">Input!BC39</f>
        <v>36.7028574302782</v>
      </c>
      <c r="V44" s="55"/>
    </row>
    <row r="45" customFormat="false" ht="11.25" hidden="false" customHeight="false" outlineLevel="0" collapsed="false">
      <c r="A45" s="60"/>
      <c r="B45" s="3" t="n">
        <v>2</v>
      </c>
      <c r="C45" s="53" t="str">
        <f aca="false">Input!AN4</f>
        <v>Wesley Walls</v>
      </c>
      <c r="D45" s="53" t="str">
        <f aca="false">Input!AO4</f>
        <v>Car</v>
      </c>
      <c r="E45" s="61" t="n">
        <f aca="false">Input!AP4</f>
        <v>111.459090909091</v>
      </c>
      <c r="F45" s="60"/>
      <c r="G45" s="3" t="n">
        <v>38</v>
      </c>
      <c r="H45" s="53" t="str">
        <f aca="false">Input!AF40</f>
        <v>Priest Holmes</v>
      </c>
      <c r="I45" s="53" t="str">
        <f aca="false">Input!AG40</f>
        <v>Bal</v>
      </c>
      <c r="J45" s="61" t="n">
        <f aca="false">Input!AH40</f>
        <v>103.128671328671</v>
      </c>
      <c r="K45" s="60"/>
      <c r="L45" s="3" t="n">
        <v>38</v>
      </c>
      <c r="M45" s="53" t="str">
        <f aca="false">Input!AJ40</f>
        <v>Bill Schroeder</v>
      </c>
      <c r="N45" s="53" t="str">
        <f aca="false">Input!AK40</f>
        <v>GB</v>
      </c>
      <c r="O45" s="61" t="n">
        <f aca="false">Input!AL40</f>
        <v>142.67268907563</v>
      </c>
      <c r="P45" s="60"/>
      <c r="Q45" s="3" t="n">
        <v>38</v>
      </c>
      <c r="R45" s="53" t="str">
        <f aca="false">Input!AZ40</f>
        <v>Tim Brown</v>
      </c>
      <c r="S45" s="53" t="str">
        <f aca="false">Input!BA40</f>
        <v>Oak</v>
      </c>
      <c r="T45" s="3" t="str">
        <f aca="false">Input!BB40</f>
        <v>WR</v>
      </c>
      <c r="U45" s="61" t="n">
        <f aca="false">Input!BC40</f>
        <v>36.6986699507389</v>
      </c>
      <c r="V45" s="55"/>
    </row>
    <row r="46" customFormat="false" ht="11.25" hidden="false" customHeight="false" outlineLevel="0" collapsed="false">
      <c r="A46" s="60"/>
      <c r="B46" s="3" t="n">
        <v>3</v>
      </c>
      <c r="C46" s="53" t="str">
        <f aca="false">Input!AN5</f>
        <v>Shannon Sharpe</v>
      </c>
      <c r="D46" s="53" t="str">
        <f aca="false">Input!AO5</f>
        <v>Bal</v>
      </c>
      <c r="E46" s="61" t="n">
        <f aca="false">Input!AP5</f>
        <v>87.4509090909091</v>
      </c>
      <c r="F46" s="60"/>
      <c r="G46" s="3" t="n">
        <v>39</v>
      </c>
      <c r="H46" s="53" t="str">
        <f aca="false">Input!AF41</f>
        <v>Jonathan Linton</v>
      </c>
      <c r="I46" s="53" t="str">
        <f aca="false">Input!AG41</f>
        <v>Buf</v>
      </c>
      <c r="J46" s="61" t="n">
        <f aca="false">Input!AH41</f>
        <v>101.078671328671</v>
      </c>
      <c r="K46" s="60"/>
      <c r="L46" s="3" t="n">
        <v>39</v>
      </c>
      <c r="M46" s="53" t="str">
        <f aca="false">Input!AJ41</f>
        <v>Bobby Engram</v>
      </c>
      <c r="N46" s="53" t="str">
        <f aca="false">Input!AK41</f>
        <v>Chi</v>
      </c>
      <c r="O46" s="61" t="n">
        <f aca="false">Input!AL41</f>
        <v>142.268907563025</v>
      </c>
      <c r="P46" s="60"/>
      <c r="Q46" s="3" t="n">
        <v>39</v>
      </c>
      <c r="R46" s="53" t="str">
        <f aca="false">Input!AZ41</f>
        <v>Jeff Garcia</v>
      </c>
      <c r="S46" s="53" t="str">
        <f aca="false">Input!BA41</f>
        <v>SF</v>
      </c>
      <c r="T46" s="3" t="str">
        <f aca="false">Input!BB41</f>
        <v>QB</v>
      </c>
      <c r="U46" s="61" t="n">
        <f aca="false">Input!BC41</f>
        <v>36.260125886031</v>
      </c>
      <c r="V46" s="55"/>
    </row>
    <row r="47" customFormat="false" ht="11.25" hidden="false" customHeight="false" outlineLevel="0" collapsed="false">
      <c r="A47" s="60"/>
      <c r="B47" s="3" t="n">
        <v>4</v>
      </c>
      <c r="C47" s="53" t="str">
        <f aca="false">Input!AN6</f>
        <v>Freddie Jones</v>
      </c>
      <c r="D47" s="53" t="str">
        <f aca="false">Input!AO6</f>
        <v>SD</v>
      </c>
      <c r="E47" s="61" t="n">
        <f aca="false">Input!AP6</f>
        <v>87.2909090909091</v>
      </c>
      <c r="F47" s="60"/>
      <c r="G47" s="3" t="n">
        <v>40</v>
      </c>
      <c r="H47" s="53" t="str">
        <f aca="false">Input!AF42</f>
        <v>Chris Warren</v>
      </c>
      <c r="I47" s="53" t="str">
        <f aca="false">Input!AG42</f>
        <v>Dal</v>
      </c>
      <c r="J47" s="61" t="n">
        <f aca="false">Input!AH42</f>
        <v>93.9286713286713</v>
      </c>
      <c r="K47" s="60"/>
      <c r="L47" s="3" t="n">
        <v>40</v>
      </c>
      <c r="M47" s="53" t="str">
        <f aca="false">Input!AJ42</f>
        <v>Sean Dawkins</v>
      </c>
      <c r="N47" s="53" t="str">
        <f aca="false">Input!AK42</f>
        <v>Sea</v>
      </c>
      <c r="O47" s="61" t="n">
        <f aca="false">Input!AL42</f>
        <v>134.97268907563</v>
      </c>
      <c r="P47" s="60"/>
      <c r="Q47" s="3" t="n">
        <v>40</v>
      </c>
      <c r="R47" s="53" t="str">
        <f aca="false">Input!AZ42</f>
        <v>Ed McCaffrey</v>
      </c>
      <c r="S47" s="53" t="str">
        <f aca="false">Input!BA42</f>
        <v>Den</v>
      </c>
      <c r="T47" s="3" t="str">
        <f aca="false">Input!BB42</f>
        <v>WR</v>
      </c>
      <c r="U47" s="61" t="n">
        <f aca="false">Input!BC42</f>
        <v>36.1486699507389</v>
      </c>
      <c r="V47" s="55"/>
    </row>
    <row r="48" customFormat="false" ht="11.25" hidden="false" customHeight="false" outlineLevel="0" collapsed="false">
      <c r="A48" s="60"/>
      <c r="B48" s="3" t="n">
        <v>5</v>
      </c>
      <c r="C48" s="53" t="str">
        <f aca="false">Input!AN7</f>
        <v>Jay Riemersma</v>
      </c>
      <c r="D48" s="53" t="str">
        <f aca="false">Input!AO7</f>
        <v>Buf</v>
      </c>
      <c r="E48" s="61" t="n">
        <f aca="false">Input!AP7</f>
        <v>86.3636363636364</v>
      </c>
      <c r="F48" s="60"/>
      <c r="G48" s="3" t="n">
        <v>41</v>
      </c>
      <c r="H48" s="53" t="str">
        <f aca="false">Input!AF43</f>
        <v>Mike Cloud</v>
      </c>
      <c r="I48" s="53" t="str">
        <f aca="false">Input!AG43</f>
        <v>KC</v>
      </c>
      <c r="J48" s="61" t="n">
        <f aca="false">Input!AH43</f>
        <v>91.3024475524476</v>
      </c>
      <c r="K48" s="60"/>
      <c r="L48" s="3" t="n">
        <v>41</v>
      </c>
      <c r="M48" s="53" t="str">
        <f aca="false">Input!AJ43</f>
        <v>Qadry Ismail</v>
      </c>
      <c r="N48" s="53" t="str">
        <f aca="false">Input!AK43</f>
        <v>Bal</v>
      </c>
      <c r="O48" s="61" t="n">
        <f aca="false">Input!AL43</f>
        <v>133.72268907563</v>
      </c>
      <c r="P48" s="60"/>
      <c r="Q48" s="3" t="n">
        <v>41</v>
      </c>
      <c r="R48" s="53" t="str">
        <f aca="false">Input!AZ43</f>
        <v>Muhsin Muhammad</v>
      </c>
      <c r="S48" s="53" t="str">
        <f aca="false">Input!BA43</f>
        <v>Car</v>
      </c>
      <c r="T48" s="3" t="str">
        <f aca="false">Input!BB43</f>
        <v>WR</v>
      </c>
      <c r="U48" s="61" t="n">
        <f aca="false">Input!BC43</f>
        <v>35.6386699507389</v>
      </c>
      <c r="V48" s="55"/>
    </row>
    <row r="49" customFormat="false" ht="11.25" hidden="false" customHeight="false" outlineLevel="0" collapsed="false">
      <c r="A49" s="60"/>
      <c r="B49" s="3" t="n">
        <v>6</v>
      </c>
      <c r="C49" s="53" t="str">
        <f aca="false">Input!AN8</f>
        <v>Frank Wycheck</v>
      </c>
      <c r="D49" s="53" t="str">
        <f aca="false">Input!AO8</f>
        <v>Ten</v>
      </c>
      <c r="E49" s="61" t="n">
        <f aca="false">Input!AP8</f>
        <v>86.1181818181818</v>
      </c>
      <c r="F49" s="60"/>
      <c r="G49" s="3" t="n">
        <v>42</v>
      </c>
      <c r="H49" s="53" t="str">
        <f aca="false">Input!AF44</f>
        <v>Tiki Barber</v>
      </c>
      <c r="I49" s="53" t="str">
        <f aca="false">Input!AG44</f>
        <v>NYG</v>
      </c>
      <c r="J49" s="61" t="n">
        <f aca="false">Input!AH44</f>
        <v>88.3162237762238</v>
      </c>
      <c r="K49" s="60"/>
      <c r="L49" s="3" t="n">
        <v>42</v>
      </c>
      <c r="M49" s="53" t="str">
        <f aca="false">Input!AJ44</f>
        <v>Jerry Rice</v>
      </c>
      <c r="N49" s="53" t="str">
        <f aca="false">Input!AK44</f>
        <v>SF</v>
      </c>
      <c r="O49" s="61" t="n">
        <f aca="false">Input!AL44</f>
        <v>131.446551724138</v>
      </c>
      <c r="P49" s="60"/>
      <c r="Q49" s="3" t="n">
        <v>42</v>
      </c>
      <c r="R49" s="53" t="str">
        <f aca="false">Input!AZ44</f>
        <v>Albert Connell</v>
      </c>
      <c r="S49" s="53" t="str">
        <f aca="false">Input!BA44</f>
        <v>Was</v>
      </c>
      <c r="T49" s="3" t="str">
        <f aca="false">Input!BB44</f>
        <v>WR</v>
      </c>
      <c r="U49" s="61" t="n">
        <f aca="false">Input!BC44</f>
        <v>35.0641871921183</v>
      </c>
      <c r="V49" s="55"/>
    </row>
    <row r="50" customFormat="false" ht="11.25" hidden="false" customHeight="false" outlineLevel="0" collapsed="false">
      <c r="A50" s="60"/>
      <c r="B50" s="3" t="n">
        <v>7</v>
      </c>
      <c r="C50" s="53" t="str">
        <f aca="false">Input!AN9</f>
        <v>Rickey Dudley</v>
      </c>
      <c r="D50" s="53" t="str">
        <f aca="false">Input!AO9</f>
        <v>Oak</v>
      </c>
      <c r="E50" s="61" t="n">
        <f aca="false">Input!AP9</f>
        <v>85.1136363636364</v>
      </c>
      <c r="F50" s="60"/>
      <c r="G50" s="3" t="n">
        <v>43</v>
      </c>
      <c r="H50" s="53" t="str">
        <f aca="false">Input!AF45</f>
        <v>Natrone Means</v>
      </c>
      <c r="I50" s="53" t="str">
        <f aca="false">Input!AG45</f>
        <v>Car</v>
      </c>
      <c r="J50" s="61" t="n">
        <f aca="false">Input!AH45</f>
        <v>87.4811188811189</v>
      </c>
      <c r="K50" s="60"/>
      <c r="L50" s="3" t="n">
        <v>43</v>
      </c>
      <c r="M50" s="53" t="str">
        <f aca="false">Input!AJ45</f>
        <v>Johnnie Morton</v>
      </c>
      <c r="N50" s="53" t="str">
        <f aca="false">Input!AK45</f>
        <v>Det</v>
      </c>
      <c r="O50" s="61" t="n">
        <f aca="false">Input!AL45</f>
        <v>130.99512605042</v>
      </c>
      <c r="P50" s="60"/>
      <c r="Q50" s="3" t="n">
        <v>43</v>
      </c>
      <c r="R50" s="53" t="str">
        <f aca="false">Input!AZ45</f>
        <v>Torry Holt</v>
      </c>
      <c r="S50" s="53" t="str">
        <f aca="false">Input!BA45</f>
        <v>StL</v>
      </c>
      <c r="T50" s="3" t="str">
        <f aca="false">Input!BB45</f>
        <v>WR</v>
      </c>
      <c r="U50" s="61" t="n">
        <f aca="false">Input!BC45</f>
        <v>34.268472906404</v>
      </c>
      <c r="V50" s="55"/>
    </row>
    <row r="51" customFormat="false" ht="11.25" hidden="false" customHeight="false" outlineLevel="0" collapsed="false">
      <c r="A51" s="60"/>
      <c r="B51" s="3" t="n">
        <v>8</v>
      </c>
      <c r="C51" s="53" t="str">
        <f aca="false">Input!AN10</f>
        <v>Pete Mitchell</v>
      </c>
      <c r="D51" s="53" t="str">
        <f aca="false">Input!AO10</f>
        <v>NYG</v>
      </c>
      <c r="E51" s="61" t="n">
        <f aca="false">Input!AP10</f>
        <v>77.8409090909091</v>
      </c>
      <c r="F51" s="60"/>
      <c r="G51" s="3" t="n">
        <v>44</v>
      </c>
      <c r="H51" s="53" t="str">
        <f aca="false">Input!AF46</f>
        <v>J.R. Redmond</v>
      </c>
      <c r="I51" s="53" t="str">
        <f aca="false">Input!AG46</f>
        <v>NE</v>
      </c>
      <c r="J51" s="61" t="n">
        <f aca="false">Input!AH46</f>
        <v>84.8024475524476</v>
      </c>
      <c r="K51" s="60"/>
      <c r="L51" s="3" t="n">
        <v>44</v>
      </c>
      <c r="M51" s="53" t="str">
        <f aca="false">Input!AJ46</f>
        <v>Oronde Gadsden</v>
      </c>
      <c r="N51" s="53" t="str">
        <f aca="false">Input!AK46</f>
        <v>Mia</v>
      </c>
      <c r="O51" s="61" t="n">
        <f aca="false">Input!AL46</f>
        <v>125.568907563025</v>
      </c>
      <c r="P51" s="60"/>
      <c r="Q51" s="3" t="n">
        <v>44</v>
      </c>
      <c r="R51" s="53" t="str">
        <f aca="false">Input!AZ46</f>
        <v>Ricky Watters</v>
      </c>
      <c r="S51" s="53" t="str">
        <f aca="false">Input!BA46</f>
        <v>Sea</v>
      </c>
      <c r="T51" s="3" t="str">
        <f aca="false">Input!BB46</f>
        <v>RB</v>
      </c>
      <c r="U51" s="61" t="n">
        <f aca="false">Input!BC46</f>
        <v>30.9091841491841</v>
      </c>
      <c r="V51" s="55"/>
    </row>
    <row r="52" customFormat="false" ht="11.25" hidden="false" customHeight="false" outlineLevel="0" collapsed="false">
      <c r="A52" s="60"/>
      <c r="B52" s="3" t="n">
        <v>9</v>
      </c>
      <c r="C52" s="53" t="str">
        <f aca="false">Input!AN11</f>
        <v>Bubba Franks</v>
      </c>
      <c r="D52" s="53" t="str">
        <f aca="false">Input!AO11</f>
        <v>GB</v>
      </c>
      <c r="E52" s="61" t="n">
        <f aca="false">Input!AP11</f>
        <v>69.4909090909091</v>
      </c>
      <c r="F52" s="60"/>
      <c r="G52" s="3" t="n">
        <v>45</v>
      </c>
      <c r="H52" s="53" t="str">
        <f aca="false">Input!AF47</f>
        <v>Larry Centers</v>
      </c>
      <c r="I52" s="53" t="str">
        <f aca="false">Input!AG47</f>
        <v>Was</v>
      </c>
      <c r="J52" s="61" t="n">
        <f aca="false">Input!AH47</f>
        <v>84.2</v>
      </c>
      <c r="K52" s="60"/>
      <c r="L52" s="3" t="n">
        <v>45</v>
      </c>
      <c r="M52" s="53" t="str">
        <f aca="false">Input!AJ47</f>
        <v>Jake Reed</v>
      </c>
      <c r="N52" s="53" t="str">
        <f aca="false">Input!AK47</f>
        <v>NO</v>
      </c>
      <c r="O52" s="61" t="n">
        <f aca="false">Input!AL47</f>
        <v>125.488907563025</v>
      </c>
      <c r="P52" s="60"/>
      <c r="Q52" s="3" t="n">
        <v>45</v>
      </c>
      <c r="R52" s="53" t="str">
        <f aca="false">Input!AZ47</f>
        <v>Jeff Blake</v>
      </c>
      <c r="S52" s="53" t="str">
        <f aca="false">Input!BA47</f>
        <v>NO</v>
      </c>
      <c r="T52" s="3" t="str">
        <f aca="false">Input!BB47</f>
        <v>QB</v>
      </c>
      <c r="U52" s="61" t="n">
        <f aca="false">Input!BC47</f>
        <v>30.6427004054849</v>
      </c>
      <c r="V52" s="55"/>
    </row>
    <row r="53" customFormat="false" ht="11.25" hidden="false" customHeight="false" outlineLevel="0" collapsed="false">
      <c r="A53" s="60"/>
      <c r="B53" s="3" t="n">
        <v>10</v>
      </c>
      <c r="C53" s="53" t="str">
        <f aca="false">Input!AN12</f>
        <v>Stephen Alexander</v>
      </c>
      <c r="D53" s="53" t="str">
        <f aca="false">Input!AO12</f>
        <v>Was</v>
      </c>
      <c r="E53" s="61" t="n">
        <f aca="false">Input!AP12</f>
        <v>61.6581818181818</v>
      </c>
      <c r="F53" s="60"/>
      <c r="G53" s="3" t="n">
        <v>46</v>
      </c>
      <c r="H53" s="53" t="str">
        <f aca="false">Input!AF48</f>
        <v>Olandis Gary</v>
      </c>
      <c r="I53" s="53" t="str">
        <f aca="false">Input!AG48</f>
        <v>Den</v>
      </c>
      <c r="J53" s="61" t="n">
        <f aca="false">Input!AH48</f>
        <v>82.3286713286713</v>
      </c>
      <c r="K53" s="60"/>
      <c r="L53" s="3" t="n">
        <v>46</v>
      </c>
      <c r="M53" s="53" t="str">
        <f aca="false">Input!AJ48</f>
        <v>Terrence Wilkins</v>
      </c>
      <c r="N53" s="53" t="str">
        <f aca="false">Input!AK48</f>
        <v>Ind</v>
      </c>
      <c r="O53" s="61" t="n">
        <f aca="false">Input!AL48</f>
        <v>117.72268907563</v>
      </c>
      <c r="P53" s="60"/>
      <c r="Q53" s="3" t="n">
        <v>46</v>
      </c>
      <c r="R53" s="53" t="str">
        <f aca="false">Input!AZ48</f>
        <v>Terrell Owens</v>
      </c>
      <c r="S53" s="53" t="str">
        <f aca="false">Input!BA48</f>
        <v>SF</v>
      </c>
      <c r="T53" s="3" t="str">
        <f aca="false">Input!BB48</f>
        <v>WR</v>
      </c>
      <c r="U53" s="61" t="n">
        <f aca="false">Input!BC48</f>
        <v>27.5944392929586</v>
      </c>
      <c r="V53" s="55"/>
    </row>
    <row r="54" customFormat="false" ht="11.25" hidden="false" customHeight="false" outlineLevel="0" collapsed="false">
      <c r="A54" s="60"/>
      <c r="B54" s="3" t="n">
        <v>11</v>
      </c>
      <c r="C54" s="53" t="str">
        <f aca="false">Input!AN13</f>
        <v>David Sloan</v>
      </c>
      <c r="D54" s="53" t="str">
        <f aca="false">Input!AO13</f>
        <v>Det</v>
      </c>
      <c r="E54" s="61" t="n">
        <f aca="false">Input!AP13</f>
        <v>59.0181818181818</v>
      </c>
      <c r="F54" s="60"/>
      <c r="G54" s="3" t="n">
        <v>47</v>
      </c>
      <c r="H54" s="53" t="str">
        <f aca="false">Input!AF49</f>
        <v>Donnell Bennett</v>
      </c>
      <c r="I54" s="53" t="str">
        <f aca="false">Input!AG49</f>
        <v>KC</v>
      </c>
      <c r="J54" s="61" t="n">
        <f aca="false">Input!AH49</f>
        <v>75.4811188811189</v>
      </c>
      <c r="K54" s="60"/>
      <c r="L54" s="3" t="n">
        <v>47</v>
      </c>
      <c r="M54" s="53" t="str">
        <f aca="false">Input!AJ49</f>
        <v>Jacquez Green</v>
      </c>
      <c r="N54" s="53" t="str">
        <f aca="false">Input!AK49</f>
        <v>TB</v>
      </c>
      <c r="O54" s="61" t="n">
        <f aca="false">Input!AL49</f>
        <v>115.76512605042</v>
      </c>
      <c r="P54" s="60"/>
      <c r="Q54" s="3" t="n">
        <v>47</v>
      </c>
      <c r="R54" s="53" t="str">
        <f aca="false">Input!AZ49</f>
        <v>St. Louis Rams</v>
      </c>
      <c r="S54" s="53" t="n">
        <f aca="false">Input!BA49</f>
        <v>0</v>
      </c>
      <c r="T54" s="3" t="str">
        <f aca="false">Input!BB49</f>
        <v>ST</v>
      </c>
      <c r="U54" s="61" t="n">
        <f aca="false">Input!BC49</f>
        <v>26.1</v>
      </c>
      <c r="V54" s="55"/>
    </row>
    <row r="55" customFormat="false" ht="11.25" hidden="false" customHeight="false" outlineLevel="0" collapsed="false">
      <c r="A55" s="60"/>
      <c r="B55" s="3" t="n">
        <v>12</v>
      </c>
      <c r="C55" s="53" t="str">
        <f aca="false">Input!AN14</f>
        <v>Ben Coates</v>
      </c>
      <c r="D55" s="53" t="str">
        <f aca="false">Input!AO14</f>
        <v>Bal</v>
      </c>
      <c r="E55" s="61" t="n">
        <f aca="false">Input!AP14</f>
        <v>58.4181818181818</v>
      </c>
      <c r="F55" s="60"/>
      <c r="G55" s="3" t="n">
        <v>48</v>
      </c>
      <c r="H55" s="53" t="str">
        <f aca="false">Input!AF50</f>
        <v>Terrell Fletcher</v>
      </c>
      <c r="I55" s="53" t="str">
        <f aca="false">Input!AG50</f>
        <v>SD</v>
      </c>
      <c r="J55" s="61" t="n">
        <f aca="false">Input!AH50</f>
        <v>73.1724475524475</v>
      </c>
      <c r="K55" s="60"/>
      <c r="L55" s="3" t="n">
        <v>48</v>
      </c>
      <c r="M55" s="53" t="str">
        <f aca="false">Input!AJ50</f>
        <v>Az-Zahir Hakim</v>
      </c>
      <c r="N55" s="53" t="str">
        <f aca="false">Input!AK50</f>
        <v>StL</v>
      </c>
      <c r="O55" s="61" t="n">
        <f aca="false">Input!AL50</f>
        <v>114.885714285714</v>
      </c>
      <c r="P55" s="60"/>
      <c r="Q55" s="3" t="n">
        <v>48</v>
      </c>
      <c r="R55" s="53" t="str">
        <f aca="false">Input!AZ50</f>
        <v>Shannon Sharpe</v>
      </c>
      <c r="S55" s="53" t="str">
        <f aca="false">Input!BA50</f>
        <v>Bal</v>
      </c>
      <c r="T55" s="3" t="str">
        <f aca="false">Input!BB50</f>
        <v>TE</v>
      </c>
      <c r="U55" s="61" t="n">
        <f aca="false">Input!BC50</f>
        <v>26.0751515151515</v>
      </c>
      <c r="V55" s="55"/>
    </row>
    <row r="56" customFormat="false" ht="11.25" hidden="false" customHeight="false" outlineLevel="0" collapsed="false">
      <c r="A56" s="60"/>
      <c r="B56" s="3" t="n">
        <v>13</v>
      </c>
      <c r="C56" s="53" t="str">
        <f aca="false">Input!AN15</f>
        <v>Marcus Pollard</v>
      </c>
      <c r="D56" s="53" t="str">
        <f aca="false">Input!AO15</f>
        <v>Ind</v>
      </c>
      <c r="E56" s="61" t="n">
        <f aca="false">Input!AP15</f>
        <v>55.6181818181818</v>
      </c>
      <c r="F56" s="60"/>
      <c r="G56" s="3" t="n">
        <v>49</v>
      </c>
      <c r="H56" s="53" t="str">
        <f aca="false">Input!AF51</f>
        <v>Robert Holcombe</v>
      </c>
      <c r="I56" s="53" t="str">
        <f aca="false">Input!AG51</f>
        <v>StL</v>
      </c>
      <c r="J56" s="61" t="n">
        <f aca="false">Input!AH51</f>
        <v>71.8048951048951</v>
      </c>
      <c r="K56" s="60"/>
      <c r="L56" s="3" t="n">
        <v>49</v>
      </c>
      <c r="M56" s="53" t="str">
        <f aca="false">Input!AJ51</f>
        <v>Charles Johnson</v>
      </c>
      <c r="N56" s="53" t="str">
        <f aca="false">Input!AK51</f>
        <v>Phi</v>
      </c>
      <c r="O56" s="61" t="n">
        <f aca="false">Input!AL51</f>
        <v>114.668907563025</v>
      </c>
      <c r="P56" s="60"/>
      <c r="Q56" s="3" t="n">
        <v>49</v>
      </c>
      <c r="R56" s="53" t="str">
        <f aca="false">Input!AZ51</f>
        <v>Freddie Jones</v>
      </c>
      <c r="S56" s="53" t="str">
        <f aca="false">Input!BA51</f>
        <v>SD</v>
      </c>
      <c r="T56" s="3" t="str">
        <f aca="false">Input!BB51</f>
        <v>TE</v>
      </c>
      <c r="U56" s="61" t="n">
        <f aca="false">Input!BC51</f>
        <v>25.9151515151515</v>
      </c>
      <c r="V56" s="55"/>
    </row>
    <row r="57" customFormat="false" ht="11.25" hidden="false" customHeight="false" outlineLevel="0" collapsed="false">
      <c r="A57" s="60"/>
      <c r="B57" s="3" t="n">
        <v>14</v>
      </c>
      <c r="C57" s="53" t="str">
        <f aca="false">Input!AN16</f>
        <v>Greg Clark</v>
      </c>
      <c r="D57" s="53" t="str">
        <f aca="false">Input!AO16</f>
        <v>SF</v>
      </c>
      <c r="E57" s="61" t="n">
        <f aca="false">Input!AP16</f>
        <v>54.9454545454546</v>
      </c>
      <c r="F57" s="60"/>
      <c r="G57" s="3" t="n">
        <v>50</v>
      </c>
      <c r="H57" s="53" t="str">
        <f aca="false">Input!AF52</f>
        <v>Stanley Pritchett</v>
      </c>
      <c r="I57" s="53" t="str">
        <f aca="false">Input!AG52</f>
        <v>Phi</v>
      </c>
      <c r="J57" s="61" t="n">
        <f aca="false">Input!AH52</f>
        <v>71.1262237762238</v>
      </c>
      <c r="K57" s="60"/>
      <c r="L57" s="3" t="n">
        <v>50</v>
      </c>
      <c r="M57" s="53" t="str">
        <f aca="false">Input!AJ52</f>
        <v>Shawn Jefferson</v>
      </c>
      <c r="N57" s="53" t="str">
        <f aca="false">Input!AK52</f>
        <v>Atl</v>
      </c>
      <c r="O57" s="61" t="n">
        <f aca="false">Input!AL52</f>
        <v>114.268907563025</v>
      </c>
      <c r="P57" s="60"/>
      <c r="Q57" s="3" t="n">
        <v>50</v>
      </c>
      <c r="R57" s="53" t="str">
        <f aca="false">Input!AZ52</f>
        <v>Jamal Anderson</v>
      </c>
      <c r="S57" s="53" t="str">
        <f aca="false">Input!BA52</f>
        <v>Atl</v>
      </c>
      <c r="T57" s="3" t="str">
        <f aca="false">Input!BB52</f>
        <v>RB</v>
      </c>
      <c r="U57" s="61" t="n">
        <f aca="false">Input!BC52</f>
        <v>25.0616317016317</v>
      </c>
      <c r="V57" s="55"/>
    </row>
    <row r="58" customFormat="false" ht="11.25" hidden="false" customHeight="false" outlineLevel="0" collapsed="false">
      <c r="A58" s="60"/>
      <c r="B58" s="3" t="n">
        <v>15</v>
      </c>
      <c r="C58" s="53" t="str">
        <f aca="false">Input!AN17</f>
        <v>Tony McGee</v>
      </c>
      <c r="D58" s="53" t="str">
        <f aca="false">Input!AO17</f>
        <v>Cin</v>
      </c>
      <c r="E58" s="61" t="n">
        <f aca="false">Input!AP17</f>
        <v>54.2454545454546</v>
      </c>
      <c r="F58" s="60"/>
      <c r="G58" s="3" t="n">
        <v>51</v>
      </c>
      <c r="H58" s="53" t="str">
        <f aca="false">Input!AF53</f>
        <v>Brandon Bennett</v>
      </c>
      <c r="I58" s="53" t="str">
        <f aca="false">Input!AG53</f>
        <v>Cin</v>
      </c>
      <c r="J58" s="61" t="n">
        <f aca="false">Input!AH53</f>
        <v>70.0524475524476</v>
      </c>
      <c r="K58" s="60"/>
      <c r="L58" s="3" t="n">
        <v>51</v>
      </c>
      <c r="M58" s="53" t="str">
        <f aca="false">Input!AJ53</f>
        <v>David Boston</v>
      </c>
      <c r="N58" s="53" t="str">
        <f aca="false">Input!AK53</f>
        <v>Ari</v>
      </c>
      <c r="O58" s="61" t="n">
        <f aca="false">Input!AL53</f>
        <v>109.668907563025</v>
      </c>
      <c r="P58" s="60"/>
      <c r="Q58" s="3" t="n">
        <v>51</v>
      </c>
      <c r="R58" s="53" t="str">
        <f aca="false">Input!AZ53</f>
        <v>Raghib Ismail</v>
      </c>
      <c r="S58" s="53" t="str">
        <f aca="false">Input!BA53</f>
        <v>Dal</v>
      </c>
      <c r="T58" s="3" t="str">
        <f aca="false">Input!BB53</f>
        <v>WR</v>
      </c>
      <c r="U58" s="61" t="n">
        <f aca="false">Input!BC53</f>
        <v>25.0270443349754</v>
      </c>
      <c r="V58" s="55"/>
    </row>
    <row r="59" customFormat="false" ht="11.25" hidden="false" customHeight="false" outlineLevel="0" collapsed="false">
      <c r="A59" s="60"/>
      <c r="B59" s="3" t="n">
        <v>16</v>
      </c>
      <c r="C59" s="53" t="str">
        <f aca="false">Input!AN18</f>
        <v>Ken Dilger</v>
      </c>
      <c r="D59" s="53" t="str">
        <f aca="false">Input!AO18</f>
        <v>Ind</v>
      </c>
      <c r="E59" s="61" t="n">
        <f aca="false">Input!AP18</f>
        <v>52.7854545454546</v>
      </c>
      <c r="F59" s="60"/>
      <c r="G59" s="3" t="n">
        <v>52</v>
      </c>
      <c r="H59" s="53" t="str">
        <f aca="false">Input!AF54</f>
        <v>Kevin Faulk</v>
      </c>
      <c r="I59" s="53" t="str">
        <f aca="false">Input!AG54</f>
        <v>NE</v>
      </c>
      <c r="J59" s="61" t="n">
        <f aca="false">Input!AH54</f>
        <v>65.8762237762238</v>
      </c>
      <c r="K59" s="60"/>
      <c r="L59" s="3" t="n">
        <v>52</v>
      </c>
      <c r="M59" s="53" t="str">
        <f aca="false">Input!AJ54</f>
        <v>Jeff Graham</v>
      </c>
      <c r="N59" s="53" t="str">
        <f aca="false">Input!AK54</f>
        <v>SD</v>
      </c>
      <c r="O59" s="61" t="n">
        <f aca="false">Input!AL54</f>
        <v>108.41512605042</v>
      </c>
      <c r="P59" s="60"/>
      <c r="Q59" s="3" t="n">
        <v>52</v>
      </c>
      <c r="R59" s="53" t="str">
        <f aca="false">Input!AZ54</f>
        <v>Joey Galloway</v>
      </c>
      <c r="S59" s="53" t="str">
        <f aca="false">Input!BA54</f>
        <v>Dal</v>
      </c>
      <c r="T59" s="3" t="str">
        <f aca="false">Input!BB54</f>
        <v>WR</v>
      </c>
      <c r="U59" s="61" t="n">
        <f aca="false">Input!BC54</f>
        <v>25.0141871921183</v>
      </c>
      <c r="V59" s="55"/>
    </row>
    <row r="60" customFormat="false" ht="11.25" hidden="false" customHeight="false" outlineLevel="0" collapsed="false">
      <c r="A60" s="60"/>
      <c r="B60" s="3" t="n">
        <v>17</v>
      </c>
      <c r="C60" s="53" t="str">
        <f aca="false">Input!AN19</f>
        <v>Christian Fauria</v>
      </c>
      <c r="D60" s="53" t="str">
        <f aca="false">Input!AO19</f>
        <v>Sea</v>
      </c>
      <c r="E60" s="61" t="n">
        <f aca="false">Input!AP19</f>
        <v>51.5454545454546</v>
      </c>
      <c r="F60" s="60"/>
      <c r="G60" s="3" t="n">
        <v>53</v>
      </c>
      <c r="H60" s="53" t="str">
        <f aca="false">Input!AF55</f>
        <v>Ron Rivers</v>
      </c>
      <c r="I60" s="53" t="str">
        <f aca="false">Input!AG55</f>
        <v>Atl</v>
      </c>
      <c r="J60" s="61" t="n">
        <f aca="false">Input!AH55</f>
        <v>65.3524475524476</v>
      </c>
      <c r="K60" s="60"/>
      <c r="L60" s="3" t="n">
        <v>53</v>
      </c>
      <c r="M60" s="53" t="str">
        <f aca="false">Input!AJ55</f>
        <v>Kevin Dyson</v>
      </c>
      <c r="N60" s="53" t="str">
        <f aca="false">Input!AK55</f>
        <v>Ten</v>
      </c>
      <c r="O60" s="61" t="n">
        <f aca="false">Input!AL55</f>
        <v>107.868907563025</v>
      </c>
      <c r="P60" s="60"/>
      <c r="Q60" s="3" t="n">
        <v>53</v>
      </c>
      <c r="R60" s="53" t="str">
        <f aca="false">Input!AZ55</f>
        <v>Jerome Bettis</v>
      </c>
      <c r="S60" s="53" t="str">
        <f aca="false">Input!BA55</f>
        <v>Pit</v>
      </c>
      <c r="T60" s="3" t="str">
        <f aca="false">Input!BB55</f>
        <v>RB</v>
      </c>
      <c r="U60" s="61" t="n">
        <f aca="false">Input!BC55</f>
        <v>25.0116317016317</v>
      </c>
      <c r="V60" s="55"/>
    </row>
    <row r="61" customFormat="false" ht="11.25" hidden="false" customHeight="false" outlineLevel="0" collapsed="false">
      <c r="A61" s="60"/>
      <c r="B61" s="3" t="n">
        <v>18</v>
      </c>
      <c r="C61" s="53" t="str">
        <f aca="false">Input!AN20</f>
        <v>Luther Broughton</v>
      </c>
      <c r="D61" s="53" t="str">
        <f aca="false">Input!AO20</f>
        <v>Phi</v>
      </c>
      <c r="E61" s="61" t="n">
        <f aca="false">Input!AP20</f>
        <v>50.6181818181818</v>
      </c>
      <c r="F61" s="60"/>
      <c r="G61" s="3" t="n">
        <v>54</v>
      </c>
      <c r="H61" s="53" t="str">
        <f aca="false">Input!AF56</f>
        <v>Adrian Murrell</v>
      </c>
      <c r="I61" s="53" t="str">
        <f aca="false">Input!AG56</f>
        <v>Was</v>
      </c>
      <c r="J61" s="61" t="n">
        <f aca="false">Input!AH56</f>
        <v>61.7524475524476</v>
      </c>
      <c r="K61" s="60"/>
      <c r="L61" s="3" t="n">
        <v>54</v>
      </c>
      <c r="M61" s="53" t="str">
        <f aca="false">Input!AJ56</f>
        <v>Curtis Conway</v>
      </c>
      <c r="N61" s="53" t="str">
        <f aca="false">Input!AK56</f>
        <v>SD</v>
      </c>
      <c r="O61" s="61" t="n">
        <f aca="false">Input!AL56</f>
        <v>107.45512605042</v>
      </c>
      <c r="P61" s="60"/>
      <c r="Q61" s="3" t="n">
        <v>54</v>
      </c>
      <c r="R61" s="53" t="str">
        <f aca="false">Input!AZ56</f>
        <v>Jay Riemersma</v>
      </c>
      <c r="S61" s="53" t="str">
        <f aca="false">Input!BA56</f>
        <v>Buf</v>
      </c>
      <c r="T61" s="3" t="str">
        <f aca="false">Input!BB56</f>
        <v>TE</v>
      </c>
      <c r="U61" s="61" t="n">
        <f aca="false">Input!BC56</f>
        <v>24.9878787878788</v>
      </c>
      <c r="V61" s="55"/>
    </row>
    <row r="62" customFormat="false" ht="11.25" hidden="false" customHeight="false" outlineLevel="0" collapsed="false">
      <c r="A62" s="60"/>
      <c r="B62" s="3" t="n">
        <v>19</v>
      </c>
      <c r="C62" s="53" t="str">
        <f aca="false">Input!AN21</f>
        <v>Byron Chamberlain</v>
      </c>
      <c r="D62" s="53" t="str">
        <f aca="false">Input!AO21</f>
        <v>Den</v>
      </c>
      <c r="E62" s="61" t="n">
        <f aca="false">Input!AP21</f>
        <v>49.7454545454546</v>
      </c>
      <c r="F62" s="60"/>
      <c r="G62" s="3" t="n">
        <v>55</v>
      </c>
      <c r="H62" s="53" t="str">
        <f aca="false">Input!AF57</f>
        <v>Rob Konrad</v>
      </c>
      <c r="I62" s="53" t="str">
        <f aca="false">Input!AG57</f>
        <v>Mia</v>
      </c>
      <c r="J62" s="61" t="n">
        <f aca="false">Input!AH57</f>
        <v>59.8286713286713</v>
      </c>
      <c r="K62" s="60"/>
      <c r="L62" s="3" t="n">
        <v>55</v>
      </c>
      <c r="M62" s="53" t="str">
        <f aca="false">Input!AJ57</f>
        <v>Darrin Chiaverini</v>
      </c>
      <c r="N62" s="53" t="str">
        <f aca="false">Input!AK57</f>
        <v>Cle</v>
      </c>
      <c r="O62" s="61" t="n">
        <f aca="false">Input!AL57</f>
        <v>105.41512605042</v>
      </c>
      <c r="P62" s="60"/>
      <c r="Q62" s="3" t="n">
        <v>55</v>
      </c>
      <c r="R62" s="53" t="str">
        <f aca="false">Input!AZ57</f>
        <v>Mike Alstott</v>
      </c>
      <c r="S62" s="53" t="str">
        <f aca="false">Input!BA57</f>
        <v>TB</v>
      </c>
      <c r="T62" s="3" t="str">
        <f aca="false">Input!BB57</f>
        <v>RB</v>
      </c>
      <c r="U62" s="61" t="n">
        <f aca="false">Input!BC57</f>
        <v>24.8878554778555</v>
      </c>
      <c r="V62" s="55"/>
    </row>
    <row r="63" customFormat="false" ht="11.25" hidden="false" customHeight="false" outlineLevel="0" collapsed="false">
      <c r="A63" s="60"/>
      <c r="B63" s="3" t="n">
        <v>20</v>
      </c>
      <c r="C63" s="53" t="str">
        <f aca="false">Input!AN22</f>
        <v>Andrew Glover</v>
      </c>
      <c r="D63" s="53" t="str">
        <f aca="false">Input!AO22</f>
        <v>NO</v>
      </c>
      <c r="E63" s="61" t="n">
        <f aca="false">Input!AP22</f>
        <v>45.4954545454546</v>
      </c>
      <c r="F63" s="60"/>
      <c r="G63" s="3" t="n">
        <v>56</v>
      </c>
      <c r="H63" s="53" t="str">
        <f aca="false">Input!AF58</f>
        <v>Tony Richardson</v>
      </c>
      <c r="I63" s="53" t="str">
        <f aca="false">Input!AG58</f>
        <v>KC</v>
      </c>
      <c r="J63" s="61" t="n">
        <f aca="false">Input!AH58</f>
        <v>59.4524475524476</v>
      </c>
      <c r="K63" s="60"/>
      <c r="L63" s="3" t="n">
        <v>56</v>
      </c>
      <c r="M63" s="53" t="str">
        <f aca="false">Input!AJ58</f>
        <v>Troy Edwards</v>
      </c>
      <c r="N63" s="53" t="str">
        <f aca="false">Input!AK58</f>
        <v>Pit</v>
      </c>
      <c r="O63" s="61" t="n">
        <f aca="false">Input!AL58</f>
        <v>104.81512605042</v>
      </c>
      <c r="P63" s="60"/>
      <c r="Q63" s="3" t="n">
        <v>56</v>
      </c>
      <c r="R63" s="53" t="str">
        <f aca="false">Input!AZ58</f>
        <v>Frank Wycheck</v>
      </c>
      <c r="S63" s="53" t="str">
        <f aca="false">Input!BA58</f>
        <v>Ten</v>
      </c>
      <c r="T63" s="3" t="str">
        <f aca="false">Input!BB58</f>
        <v>TE</v>
      </c>
      <c r="U63" s="61" t="n">
        <f aca="false">Input!BC58</f>
        <v>24.7424242424242</v>
      </c>
      <c r="V63" s="55"/>
    </row>
    <row r="64" customFormat="false" ht="11.25" hidden="false" customHeight="false" outlineLevel="0" collapsed="false">
      <c r="A64" s="60"/>
      <c r="B64" s="3" t="n">
        <v>21</v>
      </c>
      <c r="C64" s="53" t="str">
        <f aca="false">Input!AN23</f>
        <v>OJ Santiago</v>
      </c>
      <c r="D64" s="53" t="str">
        <f aca="false">Input!AO23</f>
        <v>Atl</v>
      </c>
      <c r="E64" s="61" t="n">
        <f aca="false">Input!AP23</f>
        <v>44.9954545454546</v>
      </c>
      <c r="F64" s="60"/>
      <c r="G64" s="3" t="n">
        <v>57</v>
      </c>
      <c r="H64" s="53" t="str">
        <f aca="false">Input!AF59</f>
        <v>James Allen</v>
      </c>
      <c r="I64" s="53" t="str">
        <f aca="false">Input!AG59</f>
        <v>Chi</v>
      </c>
      <c r="J64" s="61" t="n">
        <f aca="false">Input!AH59</f>
        <v>58.5762237762238</v>
      </c>
      <c r="K64" s="60"/>
      <c r="L64" s="3" t="n">
        <v>57</v>
      </c>
      <c r="M64" s="53" t="str">
        <f aca="false">Input!AJ59</f>
        <v>Herman Moore</v>
      </c>
      <c r="N64" s="53" t="str">
        <f aca="false">Input!AK59</f>
        <v>Det</v>
      </c>
      <c r="O64" s="61" t="n">
        <f aca="false">Input!AL59</f>
        <v>100.46512605042</v>
      </c>
      <c r="P64" s="60"/>
      <c r="Q64" s="3" t="n">
        <v>57</v>
      </c>
      <c r="R64" s="53" t="str">
        <f aca="false">Input!AZ59</f>
        <v>Washington Redskins </v>
      </c>
      <c r="S64" s="53" t="n">
        <f aca="false">Input!BA59</f>
        <v>0</v>
      </c>
      <c r="T64" s="3" t="str">
        <f aca="false">Input!BB59</f>
        <v>ST</v>
      </c>
      <c r="U64" s="61" t="n">
        <f aca="false">Input!BC59</f>
        <v>23.76</v>
      </c>
      <c r="V64" s="55"/>
    </row>
    <row r="65" customFormat="false" ht="11.25" hidden="false" customHeight="false" outlineLevel="0" collapsed="false">
      <c r="A65" s="60"/>
      <c r="B65" s="3" t="n">
        <v>22</v>
      </c>
      <c r="C65" s="53" t="str">
        <f aca="false">Input!AN24</f>
        <v>Jackie Harris</v>
      </c>
      <c r="D65" s="53" t="str">
        <f aca="false">Input!AO24</f>
        <v>Dal</v>
      </c>
      <c r="E65" s="61" t="n">
        <f aca="false">Input!AP24</f>
        <v>44.9454545454546</v>
      </c>
      <c r="F65" s="60"/>
      <c r="G65" s="3" t="n">
        <v>58</v>
      </c>
      <c r="H65" s="53" t="str">
        <f aca="false">Input!AF60</f>
        <v>Shawn Bryson</v>
      </c>
      <c r="I65" s="53" t="str">
        <f aca="false">Input!AG60</f>
        <v>Buf</v>
      </c>
      <c r="J65" s="61" t="n">
        <f aca="false">Input!AH60</f>
        <v>57.8286713286713</v>
      </c>
      <c r="K65" s="60"/>
      <c r="L65" s="3" t="n">
        <v>58</v>
      </c>
      <c r="M65" s="53" t="str">
        <f aca="false">Input!AJ60</f>
        <v>Carl Pickens</v>
      </c>
      <c r="N65" s="53" t="str">
        <f aca="false">Input!AK60</f>
        <v>Ten</v>
      </c>
      <c r="O65" s="61" t="n">
        <f aca="false">Input!AL60</f>
        <v>97.4189075630252</v>
      </c>
      <c r="P65" s="60"/>
      <c r="Q65" s="3" t="n">
        <v>58</v>
      </c>
      <c r="R65" s="53" t="str">
        <f aca="false">Input!AZ60</f>
        <v>Rickey Dudley</v>
      </c>
      <c r="S65" s="53" t="str">
        <f aca="false">Input!BA60</f>
        <v>Oak</v>
      </c>
      <c r="T65" s="3" t="str">
        <f aca="false">Input!BB60</f>
        <v>TE</v>
      </c>
      <c r="U65" s="61" t="n">
        <f aca="false">Input!BC60</f>
        <v>23.7378787878788</v>
      </c>
      <c r="V65" s="55"/>
    </row>
    <row r="66" customFormat="false" ht="11.25" hidden="false" customHeight="false" outlineLevel="0" collapsed="false">
      <c r="A66" s="60"/>
      <c r="B66" s="3" t="n">
        <v>23</v>
      </c>
      <c r="C66" s="53" t="str">
        <f aca="false">Input!AN25</f>
        <v>Roland Williams</v>
      </c>
      <c r="D66" s="53" t="str">
        <f aca="false">Input!AO25</f>
        <v>StL</v>
      </c>
      <c r="E66" s="61" t="n">
        <f aca="false">Input!AP25</f>
        <v>38.6181818181818</v>
      </c>
      <c r="F66" s="60"/>
      <c r="G66" s="3" t="n">
        <v>59</v>
      </c>
      <c r="H66" s="53" t="str">
        <f aca="false">Input!AF61</f>
        <v>Byron Hanspard</v>
      </c>
      <c r="I66" s="53" t="str">
        <f aca="false">Input!AG61</f>
        <v>Atl</v>
      </c>
      <c r="J66" s="61" t="n">
        <f aca="false">Input!AH61</f>
        <v>56.4762237762238</v>
      </c>
      <c r="K66" s="60"/>
      <c r="L66" s="3" t="n">
        <v>59</v>
      </c>
      <c r="M66" s="53" t="str">
        <f aca="false">Input!AJ61</f>
        <v>Jermaine Lewis</v>
      </c>
      <c r="N66" s="53" t="str">
        <f aca="false">Input!AK61</f>
        <v>Bal</v>
      </c>
      <c r="O66" s="61" t="n">
        <f aca="false">Input!AL61</f>
        <v>92.5651260504202</v>
      </c>
      <c r="P66" s="60"/>
      <c r="Q66" s="3" t="n">
        <v>59</v>
      </c>
      <c r="R66" s="53" t="str">
        <f aca="false">Input!AZ61</f>
        <v>Steve Beuerlein</v>
      </c>
      <c r="S66" s="53" t="str">
        <f aca="false">Input!BA61</f>
        <v>Car</v>
      </c>
      <c r="T66" s="3" t="str">
        <f aca="false">Input!BB61</f>
        <v>QB</v>
      </c>
      <c r="U66" s="61" t="n">
        <f aca="false">Input!BC61</f>
        <v>23.4767775714242</v>
      </c>
      <c r="V66" s="55"/>
    </row>
    <row r="67" customFormat="false" ht="11.25" hidden="false" customHeight="false" outlineLevel="0" collapsed="false">
      <c r="A67" s="60"/>
      <c r="B67" s="3" t="n">
        <v>24</v>
      </c>
      <c r="C67" s="53" t="str">
        <f aca="false">Input!AN26</f>
        <v>Anthony Becht</v>
      </c>
      <c r="D67" s="53" t="str">
        <f aca="false">Input!AO26</f>
        <v>NYJ</v>
      </c>
      <c r="E67" s="61" t="n">
        <f aca="false">Input!AP26</f>
        <v>36.9454545454546</v>
      </c>
      <c r="F67" s="60"/>
      <c r="G67" s="3" t="n">
        <v>60</v>
      </c>
      <c r="H67" s="53" t="str">
        <f aca="false">Input!AF62</f>
        <v>Terry Kirby</v>
      </c>
      <c r="I67" s="53" t="str">
        <f aca="false">Input!AG62</f>
        <v>Cle</v>
      </c>
      <c r="J67" s="61" t="n">
        <f aca="false">Input!AH62</f>
        <v>56.0762237762238</v>
      </c>
      <c r="K67" s="60"/>
      <c r="L67" s="3" t="n">
        <v>60</v>
      </c>
      <c r="M67" s="53" t="str">
        <f aca="false">Input!AJ62</f>
        <v>Torrance Small</v>
      </c>
      <c r="N67" s="53" t="str">
        <f aca="false">Input!AK62</f>
        <v>Phi</v>
      </c>
      <c r="O67" s="61" t="n">
        <f aca="false">Input!AL62</f>
        <v>92.3613445378151</v>
      </c>
      <c r="P67" s="60"/>
      <c r="Q67" s="3" t="n">
        <v>60</v>
      </c>
      <c r="R67" s="53" t="str">
        <f aca="false">Input!AZ62</f>
        <v>Baltimore Ravens </v>
      </c>
      <c r="S67" s="53" t="n">
        <f aca="false">Input!BA62</f>
        <v>0</v>
      </c>
      <c r="T67" s="3" t="str">
        <f aca="false">Input!BB62</f>
        <v>ST</v>
      </c>
      <c r="U67" s="61" t="n">
        <f aca="false">Input!BC62</f>
        <v>22.78</v>
      </c>
      <c r="V67" s="55"/>
    </row>
    <row r="68" customFormat="false" ht="11.25" hidden="false" customHeight="false" outlineLevel="0" collapsed="false">
      <c r="A68" s="60"/>
      <c r="B68" s="3" t="n">
        <v>25</v>
      </c>
      <c r="C68" s="53" t="str">
        <f aca="false">Input!AN27</f>
        <v>Billy Miller</v>
      </c>
      <c r="D68" s="53" t="str">
        <f aca="false">Input!AO27</f>
        <v>Den</v>
      </c>
      <c r="E68" s="61" t="n">
        <f aca="false">Input!AP27</f>
        <v>36.3727272727273</v>
      </c>
      <c r="F68" s="60"/>
      <c r="G68" s="3" t="n">
        <v>61</v>
      </c>
      <c r="H68" s="53" t="str">
        <f aca="false">Input!AF63</f>
        <v>Thurman Thomas</v>
      </c>
      <c r="I68" s="53" t="str">
        <f aca="false">Input!AG63</f>
        <v>Mia</v>
      </c>
      <c r="J68" s="61" t="n">
        <f aca="false">Input!AH63</f>
        <v>55.5262237762238</v>
      </c>
      <c r="K68" s="60"/>
      <c r="L68" s="3" t="n">
        <v>61</v>
      </c>
      <c r="M68" s="53" t="str">
        <f aca="false">Input!AJ63</f>
        <v>Keith Poole</v>
      </c>
      <c r="N68" s="53" t="str">
        <f aca="false">Input!AK63</f>
        <v>NO</v>
      </c>
      <c r="O68" s="61" t="n">
        <f aca="false">Input!AL63</f>
        <v>90.7113445378151</v>
      </c>
      <c r="P68" s="60"/>
      <c r="Q68" s="3" t="n">
        <v>61</v>
      </c>
      <c r="R68" s="53" t="str">
        <f aca="false">Input!AZ63</f>
        <v>Peter Warrick</v>
      </c>
      <c r="S68" s="53" t="str">
        <f aca="false">Input!BA63</f>
        <v>Cin</v>
      </c>
      <c r="T68" s="3" t="str">
        <f aca="false">Input!BB63</f>
        <v>WR</v>
      </c>
      <c r="U68" s="61" t="n">
        <f aca="false">Input!BC63</f>
        <v>22.6868762677485</v>
      </c>
      <c r="V68" s="55"/>
    </row>
    <row r="69" customFormat="false" ht="11.25" hidden="false" customHeight="false" outlineLevel="0" collapsed="false">
      <c r="A69" s="60"/>
      <c r="B69" s="3" t="n">
        <v>26</v>
      </c>
      <c r="C69" s="53" t="str">
        <f aca="false">Input!AN28</f>
        <v>David LaFleur</v>
      </c>
      <c r="D69" s="53" t="str">
        <f aca="false">Input!AO28</f>
        <v>Dal</v>
      </c>
      <c r="E69" s="61" t="n">
        <f aca="false">Input!AP28</f>
        <v>36.2454545454546</v>
      </c>
      <c r="F69" s="60"/>
      <c r="G69" s="3" t="n">
        <v>62</v>
      </c>
      <c r="H69" s="53" t="str">
        <f aca="false">Input!AF64</f>
        <v>Curtis Keaton</v>
      </c>
      <c r="I69" s="53" t="str">
        <f aca="false">Input!AG64</f>
        <v>Cin</v>
      </c>
      <c r="J69" s="61" t="n">
        <f aca="false">Input!AH64</f>
        <v>52.9762237762238</v>
      </c>
      <c r="K69" s="60"/>
      <c r="L69" s="3" t="n">
        <v>62</v>
      </c>
      <c r="M69" s="53" t="str">
        <f aca="false">Input!AJ64</f>
        <v>Frank Sanders</v>
      </c>
      <c r="N69" s="53" t="str">
        <f aca="false">Input!AK64</f>
        <v>Ari</v>
      </c>
      <c r="O69" s="61" t="n">
        <f aca="false">Input!AL64</f>
        <v>89.8613445378151</v>
      </c>
      <c r="P69" s="60"/>
      <c r="Q69" s="3" t="n">
        <v>62</v>
      </c>
      <c r="R69" s="53" t="str">
        <f aca="false">Input!AZ64</f>
        <v>Keyshawn Johnson</v>
      </c>
      <c r="S69" s="53" t="str">
        <f aca="false">Input!BA64</f>
        <v>TB</v>
      </c>
      <c r="T69" s="3" t="str">
        <f aca="false">Input!BB64</f>
        <v>WR</v>
      </c>
      <c r="U69" s="61" t="n">
        <f aca="false">Input!BC64</f>
        <v>22.5186699507389</v>
      </c>
      <c r="V69" s="55"/>
    </row>
    <row r="70" customFormat="false" ht="11.25" hidden="false" customHeight="false" outlineLevel="0" collapsed="false">
      <c r="A70" s="60"/>
      <c r="B70" s="3" t="n">
        <v>27</v>
      </c>
      <c r="C70" s="53" t="str">
        <f aca="false">Input!AN29</f>
        <v>Damon Jones</v>
      </c>
      <c r="D70" s="53" t="str">
        <f aca="false">Input!AO29</f>
        <v>Jac</v>
      </c>
      <c r="E70" s="61" t="n">
        <f aca="false">Input!AP29</f>
        <v>34.9854545454546</v>
      </c>
      <c r="F70" s="60"/>
      <c r="G70" s="3" t="n">
        <v>63</v>
      </c>
      <c r="H70" s="53" t="str">
        <f aca="false">Input!AF65</f>
        <v>Karim Abdul-Jabbar</v>
      </c>
      <c r="I70" s="53" t="str">
        <f aca="false">Input!AG65</f>
        <v>Ind</v>
      </c>
      <c r="J70" s="61" t="n">
        <f aca="false">Input!AH65</f>
        <v>50.2524475524476</v>
      </c>
      <c r="K70" s="60"/>
      <c r="L70" s="3" t="n">
        <v>63</v>
      </c>
      <c r="M70" s="53" t="str">
        <f aca="false">Input!AJ65</f>
        <v>Corey Bradford</v>
      </c>
      <c r="N70" s="53" t="str">
        <f aca="false">Input!AK65</f>
        <v>GB</v>
      </c>
      <c r="O70" s="61" t="n">
        <f aca="false">Input!AL65</f>
        <v>88.6151260504202</v>
      </c>
      <c r="P70" s="60"/>
      <c r="Q70" s="3" t="n">
        <v>63</v>
      </c>
      <c r="R70" s="53" t="str">
        <f aca="false">Input!AZ65</f>
        <v>Patrick Jeffers</v>
      </c>
      <c r="S70" s="53" t="str">
        <f aca="false">Input!BA65</f>
        <v>Car</v>
      </c>
      <c r="T70" s="3" t="str">
        <f aca="false">Input!BB65</f>
        <v>WR</v>
      </c>
      <c r="U70" s="61" t="n">
        <f aca="false">Input!BC65</f>
        <v>22.0070443349754</v>
      </c>
      <c r="V70" s="55"/>
    </row>
    <row r="71" customFormat="false" ht="11.25" hidden="false" customHeight="false" outlineLevel="0" collapsed="false">
      <c r="A71" s="60"/>
      <c r="B71" s="3" t="n">
        <v>28</v>
      </c>
      <c r="C71" s="53" t="str">
        <f aca="false">Input!AN30</f>
        <v>Dave Moore</v>
      </c>
      <c r="D71" s="53" t="str">
        <f aca="false">Input!AO30</f>
        <v>TB</v>
      </c>
      <c r="E71" s="61" t="n">
        <f aca="false">Input!AP30</f>
        <v>30.2454545454545</v>
      </c>
      <c r="F71" s="60"/>
      <c r="G71" s="3" t="n">
        <v>64</v>
      </c>
      <c r="H71" s="53" t="str">
        <f aca="false">Input!AF66</f>
        <v>Chris Howard</v>
      </c>
      <c r="I71" s="53" t="str">
        <f aca="false">Input!AG66</f>
        <v>Jac</v>
      </c>
      <c r="J71" s="61" t="n">
        <f aca="false">Input!AH66</f>
        <v>48.0524475524476</v>
      </c>
      <c r="K71" s="60"/>
      <c r="L71" s="3" t="n">
        <v>64</v>
      </c>
      <c r="M71" s="53" t="str">
        <f aca="false">Input!AJ66</f>
        <v>Donald Hayes</v>
      </c>
      <c r="N71" s="53" t="str">
        <f aca="false">Input!AK66</f>
        <v>Car</v>
      </c>
      <c r="O71" s="61" t="n">
        <f aca="false">Input!AL66</f>
        <v>88.3613445378151</v>
      </c>
      <c r="P71" s="60"/>
      <c r="Q71" s="3" t="n">
        <v>64</v>
      </c>
      <c r="R71" s="53" t="str">
        <f aca="false">Input!AZ66</f>
        <v>Rob Moore</v>
      </c>
      <c r="S71" s="53" t="str">
        <f aca="false">Input!BA66</f>
        <v>Ari</v>
      </c>
      <c r="T71" s="3" t="str">
        <f aca="false">Input!BB66</f>
        <v>WR</v>
      </c>
      <c r="U71" s="61" t="n">
        <f aca="false">Input!BC66</f>
        <v>21.6193596059114</v>
      </c>
      <c r="V71" s="55"/>
    </row>
    <row r="72" customFormat="false" ht="11.25" hidden="false" customHeight="false" outlineLevel="0" collapsed="false">
      <c r="A72" s="60"/>
      <c r="B72" s="3" t="n">
        <v>29</v>
      </c>
      <c r="C72" s="53" t="str">
        <f aca="false">Input!AN31</f>
        <v>Chris Gedney</v>
      </c>
      <c r="D72" s="53" t="str">
        <f aca="false">Input!AO31</f>
        <v>Ari</v>
      </c>
      <c r="E72" s="61" t="n">
        <f aca="false">Input!AP31</f>
        <v>29.8727272727273</v>
      </c>
      <c r="F72" s="60"/>
      <c r="G72" s="3" t="n">
        <v>65</v>
      </c>
      <c r="H72" s="53" t="str">
        <f aca="false">Input!AF67</f>
        <v>Trung Canidate</v>
      </c>
      <c r="I72" s="53" t="str">
        <f aca="false">Input!AG67</f>
        <v>StL</v>
      </c>
      <c r="J72" s="61" t="n">
        <f aca="false">Input!AH67</f>
        <v>46.7524475524476</v>
      </c>
      <c r="K72" s="60"/>
      <c r="L72" s="3" t="n">
        <v>65</v>
      </c>
      <c r="M72" s="53" t="str">
        <f aca="false">Input!AJ67</f>
        <v>Dedric Ward</v>
      </c>
      <c r="N72" s="53" t="str">
        <f aca="false">Input!AK67</f>
        <v>NYJ</v>
      </c>
      <c r="O72" s="61" t="n">
        <f aca="false">Input!AL67</f>
        <v>88.1613445378151</v>
      </c>
      <c r="P72" s="60"/>
      <c r="Q72" s="3" t="n">
        <v>65</v>
      </c>
      <c r="R72" s="53" t="str">
        <f aca="false">Input!AZ67</f>
        <v>Rich Gannon</v>
      </c>
      <c r="S72" s="53" t="str">
        <f aca="false">Input!BA67</f>
        <v>Oak</v>
      </c>
      <c r="T72" s="3" t="str">
        <f aca="false">Input!BB67</f>
        <v>QB</v>
      </c>
      <c r="U72" s="61" t="n">
        <f aca="false">Input!BC67</f>
        <v>21.600512808393</v>
      </c>
      <c r="V72" s="55"/>
    </row>
    <row r="73" customFormat="false" ht="11.25" hidden="false" customHeight="false" outlineLevel="0" collapsed="false">
      <c r="A73" s="60"/>
      <c r="B73" s="3" t="n">
        <v>30</v>
      </c>
      <c r="C73" s="53" t="str">
        <f aca="false">Input!AN32</f>
        <v>Jimmy Kleinsasser</v>
      </c>
      <c r="D73" s="53" t="str">
        <f aca="false">Input!AO32</f>
        <v>Min</v>
      </c>
      <c r="E73" s="61" t="n">
        <f aca="false">Input!AP32</f>
        <v>28.1454545454545</v>
      </c>
      <c r="F73" s="60"/>
      <c r="G73" s="3" t="n">
        <v>66</v>
      </c>
      <c r="H73" s="53" t="str">
        <f aca="false">Input!AF68</f>
        <v>William Floyd</v>
      </c>
      <c r="I73" s="53" t="str">
        <f aca="false">Input!AG68</f>
        <v>Car</v>
      </c>
      <c r="J73" s="61" t="n">
        <f aca="false">Input!AH68</f>
        <v>45.0524475524475</v>
      </c>
      <c r="K73" s="60"/>
      <c r="L73" s="3" t="n">
        <v>66</v>
      </c>
      <c r="M73" s="53" t="str">
        <f aca="false">Input!AJ68</f>
        <v>James Jett</v>
      </c>
      <c r="N73" s="53" t="str">
        <f aca="false">Input!AK68</f>
        <v>Oak</v>
      </c>
      <c r="O73" s="61" t="n">
        <f aca="false">Input!AL68</f>
        <v>87.8214285714286</v>
      </c>
      <c r="P73" s="60"/>
      <c r="Q73" s="3" t="n">
        <v>66</v>
      </c>
      <c r="R73" s="53" t="str">
        <f aca="false">Input!AZ68</f>
        <v>Derrick Mayes</v>
      </c>
      <c r="S73" s="53" t="str">
        <f aca="false">Input!BA68</f>
        <v>Sea</v>
      </c>
      <c r="T73" s="3" t="str">
        <f aca="false">Input!BB68</f>
        <v>WR</v>
      </c>
      <c r="U73" s="61" t="n">
        <f aca="false">Input!BC68</f>
        <v>20.4193596059114</v>
      </c>
      <c r="V73" s="55"/>
    </row>
    <row r="74" customFormat="false" ht="11.25" hidden="false" customHeight="false" outlineLevel="0" collapsed="false">
      <c r="A74" s="60"/>
      <c r="B74" s="3" t="n">
        <v>31</v>
      </c>
      <c r="C74" s="53" t="str">
        <f aca="false">Input!AN33</f>
        <v>Kyle Brady</v>
      </c>
      <c r="D74" s="53" t="str">
        <f aca="false">Input!AO33</f>
        <v>Jac</v>
      </c>
      <c r="E74" s="61" t="n">
        <f aca="false">Input!AP33</f>
        <v>27.6727272727273</v>
      </c>
      <c r="F74" s="60"/>
      <c r="G74" s="3" t="n">
        <v>67</v>
      </c>
      <c r="H74" s="53" t="str">
        <f aca="false">Input!AF69</f>
        <v>Bernie Parmalee</v>
      </c>
      <c r="I74" s="53" t="str">
        <f aca="false">Input!AG69</f>
        <v>NYJ</v>
      </c>
      <c r="J74" s="61" t="n">
        <f aca="false">Input!AH69</f>
        <v>44.7762237762238</v>
      </c>
      <c r="K74" s="60"/>
      <c r="L74" s="3" t="n">
        <v>67</v>
      </c>
      <c r="M74" s="53" t="str">
        <f aca="false">Input!AJ69</f>
        <v>Tony Simmons</v>
      </c>
      <c r="N74" s="53" t="str">
        <f aca="false">Input!AK69</f>
        <v>NE</v>
      </c>
      <c r="O74" s="61" t="n">
        <f aca="false">Input!AL69</f>
        <v>86.0714285714286</v>
      </c>
      <c r="P74" s="60"/>
      <c r="Q74" s="3" t="n">
        <v>67</v>
      </c>
      <c r="R74" s="53" t="str">
        <f aca="false">Input!AZ69</f>
        <v>Tim Biakabutuka</v>
      </c>
      <c r="S74" s="53" t="str">
        <f aca="false">Input!BA69</f>
        <v>Car</v>
      </c>
      <c r="T74" s="3" t="str">
        <f aca="false">Input!BB69</f>
        <v>RB</v>
      </c>
      <c r="U74" s="61" t="n">
        <f aca="false">Input!BC69</f>
        <v>20.3329603729604</v>
      </c>
      <c r="V74" s="55"/>
    </row>
    <row r="75" customFormat="false" ht="11.25" hidden="false" customHeight="false" outlineLevel="0" collapsed="false">
      <c r="A75" s="60"/>
      <c r="B75" s="3" t="n">
        <v>32</v>
      </c>
      <c r="C75" s="53" t="str">
        <f aca="false">Input!AN34</f>
        <v>Terry Hardy</v>
      </c>
      <c r="D75" s="53" t="str">
        <f aca="false">Input!AO34</f>
        <v>Ari</v>
      </c>
      <c r="E75" s="61" t="n">
        <f aca="false">Input!AP34</f>
        <v>26.8727272727273</v>
      </c>
      <c r="F75" s="60"/>
      <c r="G75" s="3" t="n">
        <v>68</v>
      </c>
      <c r="H75" s="53" t="str">
        <f aca="false">Input!AF70</f>
        <v>Sedrick Irvin</v>
      </c>
      <c r="I75" s="53" t="str">
        <f aca="false">Input!AG70</f>
        <v>Det</v>
      </c>
      <c r="J75" s="61" t="n">
        <f aca="false">Input!AH70</f>
        <v>43.1762237762238</v>
      </c>
      <c r="K75" s="60"/>
      <c r="L75" s="3" t="n">
        <v>68</v>
      </c>
      <c r="M75" s="53" t="str">
        <f aca="false">Input!AJ70</f>
        <v>Kevin Lockett</v>
      </c>
      <c r="N75" s="53" t="str">
        <f aca="false">Input!AK70</f>
        <v>KC</v>
      </c>
      <c r="O75" s="61" t="n">
        <f aca="false">Input!AL70</f>
        <v>83.8613445378151</v>
      </c>
      <c r="P75" s="60"/>
      <c r="Q75" s="3" t="n">
        <v>68</v>
      </c>
      <c r="R75" s="53" t="str">
        <f aca="false">Input!AZ70</f>
        <v>Errict Rhett</v>
      </c>
      <c r="S75" s="53" t="str">
        <f aca="false">Input!BA70</f>
        <v>Cle</v>
      </c>
      <c r="T75" s="3" t="str">
        <f aca="false">Input!BB70</f>
        <v>RB</v>
      </c>
      <c r="U75" s="61" t="n">
        <f aca="false">Input!BC70</f>
        <v>17.6616317016317</v>
      </c>
      <c r="V75" s="55"/>
    </row>
    <row r="76" customFormat="false" ht="11.25" hidden="false" customHeight="false" outlineLevel="0" collapsed="false">
      <c r="A76" s="60"/>
      <c r="B76" s="3" t="n">
        <v>33</v>
      </c>
      <c r="C76" s="53" t="str">
        <f aca="false">Input!AN35</f>
        <v>Marco Battaglia</v>
      </c>
      <c r="D76" s="53" t="str">
        <f aca="false">Input!AO35</f>
        <v>Cin</v>
      </c>
      <c r="E76" s="61" t="n">
        <f aca="false">Input!AP35</f>
        <v>26.2727272727273</v>
      </c>
      <c r="F76" s="60"/>
      <c r="G76" s="3" t="n">
        <v>69</v>
      </c>
      <c r="H76" s="53" t="str">
        <f aca="false">Input!AF71</f>
        <v>Terry Jackson</v>
      </c>
      <c r="I76" s="53" t="str">
        <f aca="false">Input!AG71</f>
        <v>SF</v>
      </c>
      <c r="J76" s="61" t="n">
        <f aca="false">Input!AH71</f>
        <v>41.4762237762238</v>
      </c>
      <c r="K76" s="60"/>
      <c r="L76" s="3" t="n">
        <v>69</v>
      </c>
      <c r="M76" s="53" t="str">
        <f aca="false">Input!AJ71</f>
        <v>O.J. McDuffie</v>
      </c>
      <c r="N76" s="53" t="str">
        <f aca="false">Input!AK71</f>
        <v>Mia</v>
      </c>
      <c r="O76" s="61" t="n">
        <f aca="false">Input!AL71</f>
        <v>81.1113445378151</v>
      </c>
      <c r="P76" s="60"/>
      <c r="Q76" s="3" t="n">
        <v>69</v>
      </c>
      <c r="R76" s="53" t="str">
        <f aca="false">Input!AZ71</f>
        <v>Terance Mathis</v>
      </c>
      <c r="S76" s="53" t="str">
        <f aca="false">Input!BA71</f>
        <v>Atl</v>
      </c>
      <c r="T76" s="3" t="str">
        <f aca="false">Input!BB71</f>
        <v>WR</v>
      </c>
      <c r="U76" s="61" t="n">
        <f aca="false">Input!BC71</f>
        <v>16.8444392929586</v>
      </c>
      <c r="V76" s="55"/>
    </row>
    <row r="77" customFormat="false" ht="11.25" hidden="false" customHeight="false" outlineLevel="0" collapsed="false">
      <c r="A77" s="60"/>
      <c r="B77" s="3" t="n">
        <v>34</v>
      </c>
      <c r="C77" s="53" t="str">
        <f aca="false">Input!AN36</f>
        <v>Mark Campbell</v>
      </c>
      <c r="D77" s="53" t="str">
        <f aca="false">Input!AO36</f>
        <v>Cle</v>
      </c>
      <c r="E77" s="61" t="n">
        <f aca="false">Input!AP36</f>
        <v>24.8727272727273</v>
      </c>
      <c r="F77" s="60"/>
      <c r="G77" s="3" t="n">
        <v>70</v>
      </c>
      <c r="H77" s="53" t="str">
        <f aca="false">Input!AF72</f>
        <v>Lamar Smith</v>
      </c>
      <c r="I77" s="53" t="str">
        <f aca="false">Input!AG72</f>
        <v>Mia</v>
      </c>
      <c r="J77" s="61" t="n">
        <f aca="false">Input!AH72</f>
        <v>40.5262237762238</v>
      </c>
      <c r="K77" s="60"/>
      <c r="L77" s="3" t="n">
        <v>70</v>
      </c>
      <c r="M77" s="53" t="str">
        <f aca="false">Input!AJ72</f>
        <v>Craig Yeast</v>
      </c>
      <c r="N77" s="53" t="str">
        <f aca="false">Input!AK72</f>
        <v>Cin</v>
      </c>
      <c r="O77" s="61" t="n">
        <f aca="false">Input!AL72</f>
        <v>80.8613445378151</v>
      </c>
      <c r="P77" s="60"/>
      <c r="Q77" s="3" t="n">
        <v>70</v>
      </c>
      <c r="R77" s="53" t="str">
        <f aca="false">Input!AZ72</f>
        <v>Pete Mitchell</v>
      </c>
      <c r="S77" s="53" t="str">
        <f aca="false">Input!BA72</f>
        <v>NYG</v>
      </c>
      <c r="T77" s="3" t="str">
        <f aca="false">Input!BB72</f>
        <v>TE</v>
      </c>
      <c r="U77" s="61" t="n">
        <f aca="false">Input!BC72</f>
        <v>16.4651515151515</v>
      </c>
      <c r="V77" s="55"/>
    </row>
    <row r="78" customFormat="false" ht="12.75" hidden="false" customHeight="false" outlineLevel="0" collapsed="false">
      <c r="A78" s="60"/>
      <c r="B78" s="58" t="s">
        <v>3</v>
      </c>
      <c r="C78" s="59"/>
      <c r="D78" s="58"/>
      <c r="E78" s="59" t="s">
        <v>78</v>
      </c>
      <c r="F78" s="60"/>
      <c r="G78" s="58" t="s">
        <v>79</v>
      </c>
      <c r="H78" s="59"/>
      <c r="I78" s="59"/>
      <c r="J78" s="59" t="s">
        <v>4</v>
      </c>
      <c r="K78" s="60"/>
      <c r="L78" s="3" t="n">
        <v>71</v>
      </c>
      <c r="M78" s="53" t="str">
        <f aca="false">Input!AJ73</f>
        <v>Yancey Thigpen</v>
      </c>
      <c r="N78" s="53" t="str">
        <f aca="false">Input!AK73</f>
        <v>Ten</v>
      </c>
      <c r="O78" s="61" t="n">
        <f aca="false">Input!AL73</f>
        <v>77.8613445378151</v>
      </c>
      <c r="P78" s="60"/>
      <c r="Q78" s="58" t="s">
        <v>80</v>
      </c>
      <c r="R78" s="58"/>
      <c r="S78" s="58"/>
      <c r="T78" s="58"/>
      <c r="U78" s="59" t="s">
        <v>4</v>
      </c>
      <c r="V78" s="55"/>
    </row>
    <row r="79" customFormat="false" ht="11.25" hidden="false" customHeight="false" outlineLevel="0" collapsed="false">
      <c r="A79" s="60"/>
      <c r="B79" s="53" t="s">
        <v>81</v>
      </c>
      <c r="E79" s="3" t="n">
        <v>3</v>
      </c>
      <c r="F79" s="60"/>
      <c r="G79" s="3" t="n">
        <v>1</v>
      </c>
      <c r="H79" s="53" t="str">
        <f aca="false">Input!AR3</f>
        <v>Mike Vanderjagt</v>
      </c>
      <c r="I79" s="53" t="str">
        <f aca="false">Input!AS3</f>
        <v>Ind</v>
      </c>
      <c r="J79" s="61" t="n">
        <f aca="false">Input!AT3</f>
        <v>133.296741854637</v>
      </c>
      <c r="K79" s="60"/>
      <c r="L79" s="3" t="n">
        <v>72</v>
      </c>
      <c r="M79" s="53" t="str">
        <f aca="false">Input!AJ74</f>
        <v>Marty Booker</v>
      </c>
      <c r="N79" s="53" t="str">
        <f aca="false">Input!AK74</f>
        <v>Chi</v>
      </c>
      <c r="O79" s="61" t="n">
        <f aca="false">Input!AL74</f>
        <v>74.9113445378151</v>
      </c>
      <c r="P79" s="60"/>
      <c r="Q79" s="3" t="n">
        <v>1</v>
      </c>
      <c r="R79" s="53" t="str">
        <f aca="false">Input!AV3</f>
        <v>St. Louis Rams</v>
      </c>
      <c r="S79" s="53" t="n">
        <f aca="false">[1]Inputs!$AF102</f>
        <v>0</v>
      </c>
      <c r="U79" s="61" t="n">
        <f aca="false">Input!AW3</f>
        <v>87.32</v>
      </c>
      <c r="V79" s="55"/>
    </row>
    <row r="80" customFormat="false" ht="11.25" hidden="false" customHeight="false" outlineLevel="0" collapsed="false">
      <c r="A80" s="60"/>
      <c r="B80" s="53" t="s">
        <v>82</v>
      </c>
      <c r="E80" s="3" t="n">
        <v>15</v>
      </c>
      <c r="F80" s="60"/>
      <c r="G80" s="3" t="n">
        <v>2</v>
      </c>
      <c r="H80" s="53" t="str">
        <f aca="false">Input!AR4</f>
        <v>Brett Conway</v>
      </c>
      <c r="I80" s="53" t="str">
        <f aca="false">Input!AS4</f>
        <v>Was</v>
      </c>
      <c r="J80" s="61" t="n">
        <f aca="false">Input!AT4</f>
        <v>125.103221905502</v>
      </c>
      <c r="K80" s="60"/>
      <c r="L80" s="3" t="n">
        <v>73</v>
      </c>
      <c r="M80" s="53" t="str">
        <f aca="false">Input!AJ75</f>
        <v>Justin Armour</v>
      </c>
      <c r="N80" s="53" t="str">
        <f aca="false">Input!AK75</f>
        <v>Sea</v>
      </c>
      <c r="O80" s="61" t="n">
        <f aca="false">Input!AL75</f>
        <v>72.6113445378151</v>
      </c>
      <c r="P80" s="60"/>
      <c r="Q80" s="3" t="n">
        <v>2</v>
      </c>
      <c r="R80" s="53" t="str">
        <f aca="false">Input!AV4</f>
        <v>Washington Redskins </v>
      </c>
      <c r="S80" s="53"/>
      <c r="U80" s="61" t="n">
        <f aca="false">Input!AW4</f>
        <v>84.98</v>
      </c>
      <c r="V80" s="55"/>
    </row>
    <row r="81" customFormat="false" ht="11.25" hidden="false" customHeight="false" outlineLevel="0" collapsed="false">
      <c r="A81" s="60"/>
      <c r="B81" s="53" t="s">
        <v>83</v>
      </c>
      <c r="E81" s="3" t="n">
        <v>14</v>
      </c>
      <c r="F81" s="60"/>
      <c r="G81" s="3" t="n">
        <v>3</v>
      </c>
      <c r="H81" s="53" t="str">
        <f aca="false">Input!AR5</f>
        <v>Jason Elam</v>
      </c>
      <c r="I81" s="53" t="str">
        <f aca="false">Input!AS5</f>
        <v>Den</v>
      </c>
      <c r="J81" s="61" t="n">
        <f aca="false">Input!AT5</f>
        <v>124.120843050877</v>
      </c>
      <c r="K81" s="60"/>
      <c r="L81" s="3" t="n">
        <v>74</v>
      </c>
      <c r="M81" s="53" t="str">
        <f aca="false">Input!AJ76</f>
        <v>R. Jay Soward</v>
      </c>
      <c r="N81" s="53" t="str">
        <f aca="false">Input!AK76</f>
        <v>Jac</v>
      </c>
      <c r="O81" s="61" t="n">
        <f aca="false">Input!AL76</f>
        <v>70.9575630252101</v>
      </c>
      <c r="P81" s="60"/>
      <c r="Q81" s="3" t="n">
        <v>3</v>
      </c>
      <c r="R81" s="53" t="str">
        <f aca="false">Input!AV5</f>
        <v>Baltimore Ravens </v>
      </c>
      <c r="S81" s="53"/>
      <c r="U81" s="61" t="n">
        <f aca="false">Input!AW5</f>
        <v>84</v>
      </c>
      <c r="V81" s="55"/>
    </row>
    <row r="82" customFormat="false" ht="11.25" hidden="false" customHeight="false" outlineLevel="0" collapsed="false">
      <c r="A82" s="60"/>
      <c r="B82" s="53" t="s">
        <v>84</v>
      </c>
      <c r="E82" s="3" t="n">
        <v>4</v>
      </c>
      <c r="F82" s="60"/>
      <c r="G82" s="3" t="n">
        <v>4</v>
      </c>
      <c r="H82" s="53" t="str">
        <f aca="false">Input!AR6</f>
        <v>Mike Hollis</v>
      </c>
      <c r="I82" s="53" t="str">
        <f aca="false">Input!AS6</f>
        <v>Jac</v>
      </c>
      <c r="J82" s="61" t="n">
        <f aca="false">Input!AT6</f>
        <v>123.736027568922</v>
      </c>
      <c r="K82" s="60"/>
      <c r="L82" s="3" t="n">
        <v>75</v>
      </c>
      <c r="M82" s="53" t="str">
        <f aca="false">Input!AJ77</f>
        <v>Dennis Northcutt</v>
      </c>
      <c r="N82" s="53" t="str">
        <f aca="false">Input!AK77</f>
        <v>Cle</v>
      </c>
      <c r="O82" s="61" t="n">
        <f aca="false">Input!AL77</f>
        <v>70.3613445378151</v>
      </c>
      <c r="P82" s="60"/>
      <c r="Q82" s="3" t="n">
        <v>4</v>
      </c>
      <c r="R82" s="53" t="str">
        <f aca="false">Input!AV6</f>
        <v>Tampa Bay Buccaneers</v>
      </c>
      <c r="S82" s="53"/>
      <c r="U82" s="61" t="n">
        <f aca="false">Input!AW6</f>
        <v>72.16</v>
      </c>
      <c r="V82" s="55"/>
    </row>
    <row r="83" customFormat="false" ht="11.25" hidden="false" customHeight="false" outlineLevel="0" collapsed="false">
      <c r="A83" s="60"/>
      <c r="B83" s="53" t="s">
        <v>85</v>
      </c>
      <c r="E83" s="3" t="n">
        <v>4</v>
      </c>
      <c r="F83" s="60"/>
      <c r="G83" s="3" t="n">
        <v>5</v>
      </c>
      <c r="H83" s="53" t="str">
        <f aca="false">Input!AR7</f>
        <v>Todd Peterson</v>
      </c>
      <c r="I83" s="53" t="str">
        <f aca="false">Input!AS7</f>
        <v>Sea</v>
      </c>
      <c r="J83" s="61" t="n">
        <f aca="false">Input!AT7</f>
        <v>121.138464196251</v>
      </c>
      <c r="K83" s="60"/>
      <c r="L83" s="3" t="n">
        <v>76</v>
      </c>
      <c r="M83" s="53" t="str">
        <f aca="false">Input!AJ78</f>
        <v>Vincent Brisby</v>
      </c>
      <c r="N83" s="53" t="str">
        <f aca="false">Input!AK78</f>
        <v>NE</v>
      </c>
      <c r="O83" s="61" t="n">
        <f aca="false">Input!AL78</f>
        <v>68.5075630252101</v>
      </c>
      <c r="P83" s="60"/>
      <c r="Q83" s="3" t="n">
        <v>5</v>
      </c>
      <c r="R83" s="53" t="str">
        <f aca="false">Input!AV7</f>
        <v>Jacksonville Jaguars</v>
      </c>
      <c r="S83" s="53"/>
      <c r="U83" s="61" t="n">
        <f aca="false">Input!AW7</f>
        <v>71.54</v>
      </c>
      <c r="V83" s="55"/>
    </row>
    <row r="84" customFormat="false" ht="11.25" hidden="false" customHeight="false" outlineLevel="0" collapsed="false">
      <c r="A84" s="60"/>
      <c r="B84" s="53" t="s">
        <v>86</v>
      </c>
      <c r="E84" s="3" t="n">
        <v>9</v>
      </c>
      <c r="F84" s="60"/>
      <c r="G84" s="3" t="n">
        <v>6</v>
      </c>
      <c r="H84" s="53" t="str">
        <f aca="false">Input!AR8</f>
        <v>Jeff Wilkins</v>
      </c>
      <c r="I84" s="53" t="str">
        <f aca="false">Input!AS8</f>
        <v>StL</v>
      </c>
      <c r="J84" s="61" t="n">
        <f aca="false">Input!AT8</f>
        <v>120.321741854637</v>
      </c>
      <c r="K84" s="60"/>
      <c r="L84" s="3" t="n">
        <v>77</v>
      </c>
      <c r="M84" s="53" t="str">
        <f aca="false">Input!AJ79</f>
        <v>Mathew Hatchette</v>
      </c>
      <c r="N84" s="53" t="str">
        <f aca="false">Input!AK79</f>
        <v>Min</v>
      </c>
      <c r="O84" s="61" t="n">
        <f aca="false">Input!AL79</f>
        <v>67.4075630252101</v>
      </c>
      <c r="P84" s="60"/>
      <c r="Q84" s="3" t="n">
        <v>6</v>
      </c>
      <c r="R84" s="53" t="str">
        <f aca="false">Input!AV8</f>
        <v>Tennessee Titans </v>
      </c>
      <c r="S84" s="53"/>
      <c r="U84" s="61" t="n">
        <f aca="false">Input!AW8</f>
        <v>66.28</v>
      </c>
      <c r="V84" s="55"/>
    </row>
    <row r="85" customFormat="false" ht="11.25" hidden="false" customHeight="false" outlineLevel="0" collapsed="false">
      <c r="A85" s="60"/>
      <c r="B85" s="53" t="s">
        <v>87</v>
      </c>
      <c r="E85" s="3" t="n">
        <v>1</v>
      </c>
      <c r="F85" s="60"/>
      <c r="G85" s="3" t="n">
        <v>7</v>
      </c>
      <c r="H85" s="53" t="str">
        <f aca="false">Input!AR9</f>
        <v>Sebastian Janikowski</v>
      </c>
      <c r="I85" s="53" t="str">
        <f aca="false">Input!AS9</f>
        <v>Oak</v>
      </c>
      <c r="J85" s="61" t="n">
        <f aca="false">Input!AT9</f>
        <v>120.138464196251</v>
      </c>
      <c r="K85" s="60"/>
      <c r="L85" s="3" t="n">
        <v>78</v>
      </c>
      <c r="M85" s="53" t="str">
        <f aca="false">Input!AJ80</f>
        <v>Andre Reed</v>
      </c>
      <c r="N85" s="53" t="str">
        <f aca="false">Input!AK80</f>
        <v>Den</v>
      </c>
      <c r="O85" s="61" t="n">
        <f aca="false">Input!AL80</f>
        <v>66.4613445378151</v>
      </c>
      <c r="P85" s="60"/>
      <c r="Q85" s="3" t="n">
        <v>7</v>
      </c>
      <c r="R85" s="53" t="str">
        <f aca="false">Input!AV9</f>
        <v>Seattle Seahawks </v>
      </c>
      <c r="S85" s="53"/>
      <c r="U85" s="61" t="n">
        <f aca="false">Input!AW9</f>
        <v>65.22</v>
      </c>
      <c r="V85" s="55"/>
    </row>
    <row r="86" customFormat="false" ht="11.25" hidden="false" customHeight="false" outlineLevel="0" collapsed="false">
      <c r="A86" s="60"/>
      <c r="B86" s="53" t="s">
        <v>88</v>
      </c>
      <c r="E86" s="3" t="n">
        <v>17</v>
      </c>
      <c r="F86" s="60"/>
      <c r="G86" s="3" t="n">
        <v>8</v>
      </c>
      <c r="H86" s="53" t="str">
        <f aca="false">Input!AR10</f>
        <v>Martin Gramatica</v>
      </c>
      <c r="I86" s="53" t="str">
        <f aca="false">Input!AS10</f>
        <v>TB</v>
      </c>
      <c r="J86" s="61" t="n">
        <f aca="false">Input!AT10</f>
        <v>120.120843050877</v>
      </c>
      <c r="K86" s="60"/>
      <c r="L86" s="3" t="n">
        <v>79</v>
      </c>
      <c r="M86" s="53" t="str">
        <f aca="false">Input!AJ81</f>
        <v>J.J. Stokes</v>
      </c>
      <c r="N86" s="53" t="str">
        <f aca="false">Input!AK81</f>
        <v>SF</v>
      </c>
      <c r="O86" s="61" t="n">
        <f aca="false">Input!AL81</f>
        <v>66.4613445378151</v>
      </c>
      <c r="P86" s="60"/>
      <c r="Q86" s="3" t="n">
        <v>8</v>
      </c>
      <c r="R86" s="53" t="str">
        <f aca="false">Input!AV10</f>
        <v>Miami Dolphins </v>
      </c>
      <c r="S86" s="53"/>
      <c r="U86" s="61" t="n">
        <f aca="false">Input!AW10</f>
        <v>59.38</v>
      </c>
      <c r="V86" s="55"/>
    </row>
    <row r="87" customFormat="false" ht="11.25" hidden="false" customHeight="false" outlineLevel="0" collapsed="false">
      <c r="A87" s="60"/>
      <c r="B87" s="53" t="s">
        <v>89</v>
      </c>
      <c r="E87" s="3" t="n">
        <v>6</v>
      </c>
      <c r="F87" s="60"/>
      <c r="G87" s="3" t="n">
        <v>9</v>
      </c>
      <c r="H87" s="53" t="str">
        <f aca="false">Input!AR11</f>
        <v>Olindo Mare</v>
      </c>
      <c r="I87" s="53" t="str">
        <f aca="false">Input!AS11</f>
        <v>Mia</v>
      </c>
      <c r="J87" s="61" t="n">
        <f aca="false">Input!AT11</f>
        <v>116.120843050877</v>
      </c>
      <c r="K87" s="60"/>
      <c r="L87" s="3" t="n">
        <v>80</v>
      </c>
      <c r="M87" s="53" t="str">
        <f aca="false">Input!AJ82</f>
        <v>Hines Ward</v>
      </c>
      <c r="N87" s="53" t="str">
        <f aca="false">Input!AK82</f>
        <v>Pit</v>
      </c>
      <c r="O87" s="61" t="n">
        <f aca="false">Input!AL82</f>
        <v>65.9613445378151</v>
      </c>
      <c r="P87" s="60"/>
      <c r="Q87" s="3" t="n">
        <v>9</v>
      </c>
      <c r="R87" s="53" t="str">
        <f aca="false">Input!AV11</f>
        <v>Oakland Raiders </v>
      </c>
      <c r="S87" s="53"/>
      <c r="U87" s="61" t="n">
        <f aca="false">Input!AW11</f>
        <v>58.6</v>
      </c>
      <c r="V87" s="55"/>
    </row>
    <row r="88" customFormat="false" ht="11.25" hidden="false" customHeight="false" outlineLevel="0" collapsed="false">
      <c r="A88" s="60"/>
      <c r="B88" s="53" t="s">
        <v>90</v>
      </c>
      <c r="E88" s="3" t="n">
        <v>9</v>
      </c>
      <c r="F88" s="60"/>
      <c r="G88" s="3" t="n">
        <v>10</v>
      </c>
      <c r="H88" s="53" t="str">
        <f aca="false">Input!AR12</f>
        <v>Ryan Longwell</v>
      </c>
      <c r="I88" s="53" t="str">
        <f aca="false">Input!AS12</f>
        <v>GB</v>
      </c>
      <c r="J88" s="61" t="n">
        <f aca="false">Input!AT12</f>
        <v>115.028884711779</v>
      </c>
      <c r="K88" s="60"/>
      <c r="L88" s="3" t="n">
        <v>81</v>
      </c>
      <c r="M88" s="53" t="str">
        <f aca="false">Input!AJ83</f>
        <v>Ron Dugans</v>
      </c>
      <c r="N88" s="53" t="str">
        <f aca="false">Input!AK83</f>
        <v>Cin</v>
      </c>
      <c r="O88" s="61" t="n">
        <f aca="false">Input!AL83</f>
        <v>64.9075630252101</v>
      </c>
      <c r="P88" s="60"/>
      <c r="Q88" s="3" t="n">
        <v>10</v>
      </c>
      <c r="R88" s="53" t="str">
        <f aca="false">Input!AV12</f>
        <v>Carolina Panthers </v>
      </c>
      <c r="S88" s="53"/>
      <c r="U88" s="61" t="n">
        <f aca="false">Input!AW12</f>
        <v>58</v>
      </c>
      <c r="V88" s="55"/>
    </row>
    <row r="89" customFormat="false" ht="11.25" hidden="false" customHeight="false" outlineLevel="0" collapsed="false">
      <c r="A89" s="60"/>
      <c r="B89" s="53" t="s">
        <v>91</v>
      </c>
      <c r="E89" s="3" t="n">
        <v>7</v>
      </c>
      <c r="F89" s="60"/>
      <c r="G89" s="3" t="n">
        <v>11</v>
      </c>
      <c r="H89" s="53" t="str">
        <f aca="false">Input!AR13</f>
        <v>Jason Hanson</v>
      </c>
      <c r="I89" s="53" t="str">
        <f aca="false">Input!AS13</f>
        <v>Det</v>
      </c>
      <c r="J89" s="61" t="n">
        <f aca="false">Input!AT13</f>
        <v>113.103221905502</v>
      </c>
      <c r="K89" s="60"/>
      <c r="L89" s="3" t="n">
        <v>82</v>
      </c>
      <c r="M89" s="53" t="str">
        <f aca="false">Input!AJ84</f>
        <v>Joe Jurevicious</v>
      </c>
      <c r="N89" s="53" t="str">
        <f aca="false">Input!AK84</f>
        <v>NYG</v>
      </c>
      <c r="O89" s="61" t="n">
        <f aca="false">Input!AL84</f>
        <v>59.9075630252101</v>
      </c>
      <c r="P89" s="60"/>
      <c r="Q89" s="3" t="n">
        <v>11</v>
      </c>
      <c r="R89" s="53" t="str">
        <f aca="false">Input!AV13</f>
        <v>Philadelphia Eagles </v>
      </c>
      <c r="S89" s="53"/>
      <c r="U89" s="61" t="n">
        <f aca="false">Input!AW13</f>
        <v>52.36</v>
      </c>
      <c r="V89" s="55"/>
    </row>
    <row r="90" customFormat="false" ht="11.25" hidden="false" customHeight="false" outlineLevel="0" collapsed="false">
      <c r="A90" s="60"/>
      <c r="B90" s="53" t="s">
        <v>92</v>
      </c>
      <c r="E90" s="3" t="n">
        <v>8</v>
      </c>
      <c r="F90" s="60"/>
      <c r="G90" s="3" t="n">
        <v>12</v>
      </c>
      <c r="H90" s="53" t="str">
        <f aca="false">Input!AR14</f>
        <v>John Kasay</v>
      </c>
      <c r="I90" s="53" t="str">
        <f aca="false">Input!AS14</f>
        <v>Car</v>
      </c>
      <c r="J90" s="61" t="n">
        <f aca="false">Input!AT14</f>
        <v>109.032737324005</v>
      </c>
      <c r="K90" s="60"/>
      <c r="L90" s="3" t="n">
        <v>83</v>
      </c>
      <c r="M90" s="53" t="str">
        <f aca="false">Input!AJ85</f>
        <v>Andre Rison</v>
      </c>
      <c r="N90" s="53" t="str">
        <f aca="false">Input!AK85</f>
        <v>KC</v>
      </c>
      <c r="O90" s="61" t="n">
        <f aca="false">Input!AL85</f>
        <v>59.3075630252101</v>
      </c>
      <c r="P90" s="60"/>
      <c r="Q90" s="3" t="n">
        <v>12</v>
      </c>
      <c r="R90" s="53" t="str">
        <f aca="false">Input!AV14</f>
        <v>Chicago Bears </v>
      </c>
      <c r="S90" s="53"/>
      <c r="U90" s="61" t="n">
        <f aca="false">Input!AW14</f>
        <v>50.3</v>
      </c>
      <c r="V90" s="55"/>
    </row>
    <row r="91" customFormat="false" ht="11.25" hidden="false" customHeight="false" outlineLevel="0" collapsed="false">
      <c r="A91" s="60"/>
      <c r="B91" s="53" t="s">
        <v>93</v>
      </c>
      <c r="E91" s="3" t="n">
        <v>3</v>
      </c>
      <c r="F91" s="60"/>
      <c r="G91" s="3" t="n">
        <v>13</v>
      </c>
      <c r="H91" s="53" t="str">
        <f aca="false">Input!AR15</f>
        <v>John Hall</v>
      </c>
      <c r="I91" s="53" t="str">
        <f aca="false">Input!AS15</f>
        <v>NYJ</v>
      </c>
      <c r="J91" s="61" t="n">
        <f aca="false">Input!AT15</f>
        <v>109.028884711779</v>
      </c>
      <c r="K91" s="60"/>
      <c r="L91" s="3" t="n">
        <v>84</v>
      </c>
      <c r="M91" s="53" t="str">
        <f aca="false">Input!AJ86</f>
        <v>Jerry Porter</v>
      </c>
      <c r="N91" s="53" t="str">
        <f aca="false">Input!AK86</f>
        <v>Oak</v>
      </c>
      <c r="O91" s="61" t="n">
        <f aca="false">Input!AL86</f>
        <v>55.4075630252101</v>
      </c>
      <c r="P91" s="60"/>
      <c r="Q91" s="3" t="n">
        <v>13</v>
      </c>
      <c r="R91" s="53" t="str">
        <f aca="false">Input!AV15</f>
        <v>Kansas City Chiefs</v>
      </c>
      <c r="S91" s="53"/>
      <c r="U91" s="61" t="n">
        <f aca="false">Input!AW15</f>
        <v>50.22</v>
      </c>
      <c r="V91" s="55"/>
    </row>
    <row r="92" customFormat="false" ht="11.25" hidden="false" customHeight="false" outlineLevel="0" collapsed="false">
      <c r="A92" s="60"/>
      <c r="B92" s="53" t="s">
        <v>94</v>
      </c>
      <c r="E92" s="3" t="n">
        <v>10</v>
      </c>
      <c r="F92" s="60"/>
      <c r="G92" s="3" t="n">
        <v>14</v>
      </c>
      <c r="H92" s="53" t="str">
        <f aca="false">Input!AR16</f>
        <v>Matt Stover</v>
      </c>
      <c r="I92" s="53" t="str">
        <f aca="false">Input!AS16</f>
        <v>Bal</v>
      </c>
      <c r="J92" s="61" t="n">
        <f aca="false">Input!AT16</f>
        <v>108.321741854637</v>
      </c>
      <c r="K92" s="60"/>
      <c r="L92" s="3" t="n">
        <v>85</v>
      </c>
      <c r="M92" s="53" t="str">
        <f aca="false">Input!AJ87</f>
        <v>Laveranues Coles</v>
      </c>
      <c r="N92" s="53" t="str">
        <f aca="false">Input!AK87</f>
        <v>NYJ</v>
      </c>
      <c r="O92" s="61" t="n">
        <f aca="false">Input!AL87</f>
        <v>53.9075630252101</v>
      </c>
      <c r="P92" s="60"/>
      <c r="Q92" s="3" t="n">
        <v>14</v>
      </c>
      <c r="R92" s="53" t="str">
        <f aca="false">Input!AV16</f>
        <v>Denver Broncos </v>
      </c>
      <c r="S92" s="53"/>
      <c r="U92" s="61" t="n">
        <f aca="false">Input!AW16</f>
        <v>47.64</v>
      </c>
      <c r="V92" s="55"/>
    </row>
    <row r="93" customFormat="false" ht="11.25" hidden="false" customHeight="false" outlineLevel="0" collapsed="false">
      <c r="A93" s="60"/>
      <c r="B93" s="53" t="s">
        <v>95</v>
      </c>
      <c r="E93" s="3" t="n">
        <v>6</v>
      </c>
      <c r="F93" s="60"/>
      <c r="G93" s="3" t="n">
        <v>15</v>
      </c>
      <c r="H93" s="53" t="str">
        <f aca="false">Input!AR17</f>
        <v>Steve Christie</v>
      </c>
      <c r="I93" s="53" t="str">
        <f aca="false">Input!AS17</f>
        <v>Buf</v>
      </c>
      <c r="J93" s="61" t="n">
        <f aca="false">Input!AT17</f>
        <v>106.552083333333</v>
      </c>
      <c r="K93" s="60"/>
      <c r="L93" s="3" t="n">
        <v>86</v>
      </c>
      <c r="M93" s="53" t="str">
        <f aca="false">Input!AJ88</f>
        <v>Troy Brown</v>
      </c>
      <c r="N93" s="53" t="str">
        <f aca="false">Input!AK88</f>
        <v>NE</v>
      </c>
      <c r="O93" s="61" t="n">
        <f aca="false">Input!AL88</f>
        <v>53.0075630252101</v>
      </c>
      <c r="P93" s="60"/>
      <c r="Q93" s="3" t="n">
        <v>15</v>
      </c>
      <c r="R93" s="53" t="str">
        <f aca="false">Input!AV17</f>
        <v>Green Bay Packers</v>
      </c>
      <c r="S93" s="53"/>
      <c r="U93" s="61" t="n">
        <f aca="false">Input!AW17</f>
        <v>44.6</v>
      </c>
      <c r="V93" s="55"/>
    </row>
    <row r="94" customFormat="false" ht="11.25" hidden="false" customHeight="false" outlineLevel="0" collapsed="false">
      <c r="A94" s="60"/>
      <c r="B94" s="53" t="s">
        <v>96</v>
      </c>
      <c r="E94" s="3" t="n">
        <v>7</v>
      </c>
      <c r="F94" s="60"/>
      <c r="G94" s="3" t="n">
        <v>16</v>
      </c>
      <c r="H94" s="53" t="str">
        <f aca="false">Input!AR18</f>
        <v>Kris Brown</v>
      </c>
      <c r="I94" s="53" t="str">
        <f aca="false">Input!AS18</f>
        <v>Pit</v>
      </c>
      <c r="J94" s="61" t="n">
        <f aca="false">Input!AT18</f>
        <v>106.067979614753</v>
      </c>
      <c r="K94" s="60"/>
      <c r="L94" s="3" t="n">
        <v>87</v>
      </c>
      <c r="M94" s="53" t="str">
        <f aca="false">Input!AJ89</f>
        <v>Chris Sanders</v>
      </c>
      <c r="N94" s="53" t="str">
        <f aca="false">Input!AK89</f>
        <v>Ten</v>
      </c>
      <c r="O94" s="61" t="n">
        <f aca="false">Input!AL89</f>
        <v>50.9075630252101</v>
      </c>
      <c r="P94" s="60"/>
      <c r="Q94" s="3" t="n">
        <v>16</v>
      </c>
      <c r="R94" s="53" t="str">
        <f aca="false">Input!AV18</f>
        <v>New England Patriots</v>
      </c>
      <c r="S94" s="53"/>
      <c r="U94" s="61" t="n">
        <f aca="false">Input!AW18</f>
        <v>44.22</v>
      </c>
      <c r="V94" s="55"/>
    </row>
    <row r="95" customFormat="false" ht="11.25" hidden="false" customHeight="false" outlineLevel="0" collapsed="false">
      <c r="A95" s="60"/>
      <c r="B95" s="53" t="s">
        <v>97</v>
      </c>
      <c r="E95" s="3" t="n">
        <v>4</v>
      </c>
      <c r="F95" s="60"/>
      <c r="G95" s="3" t="n">
        <v>17</v>
      </c>
      <c r="H95" s="53" t="str">
        <f aca="false">Input!AR19</f>
        <v>Al Del Greco</v>
      </c>
      <c r="I95" s="53" t="str">
        <f aca="false">Input!AS19</f>
        <v>Ten</v>
      </c>
      <c r="J95" s="61" t="n">
        <f aca="false">Input!AT19</f>
        <v>105.044270833333</v>
      </c>
      <c r="K95" s="60"/>
      <c r="L95" s="3" t="n">
        <v>88</v>
      </c>
      <c r="M95" s="53" t="str">
        <f aca="false">Input!AJ90</f>
        <v>Trevor Gaylor</v>
      </c>
      <c r="N95" s="53" t="str">
        <f aca="false">Input!AK90</f>
        <v>SD</v>
      </c>
      <c r="O95" s="61" t="n">
        <f aca="false">Input!AL90</f>
        <v>50.9075630252101</v>
      </c>
      <c r="P95" s="60"/>
      <c r="Q95" s="3" t="n">
        <v>17</v>
      </c>
      <c r="R95" s="53" t="str">
        <f aca="false">Input!AV19</f>
        <v>New Orleans Saints</v>
      </c>
      <c r="S95" s="53"/>
      <c r="U95" s="61" t="n">
        <f aca="false">Input!AW19</f>
        <v>39.12</v>
      </c>
      <c r="V95" s="55"/>
    </row>
    <row r="96" customFormat="false" ht="11.25" hidden="false" customHeight="false" outlineLevel="0" collapsed="false">
      <c r="A96" s="60"/>
      <c r="B96" s="53" t="s">
        <v>98</v>
      </c>
      <c r="E96" s="3" t="n">
        <v>9</v>
      </c>
      <c r="F96" s="60"/>
      <c r="G96" s="3" t="n">
        <v>18</v>
      </c>
      <c r="H96" s="53" t="str">
        <f aca="false">Input!AR20</f>
        <v>John Carney</v>
      </c>
      <c r="I96" s="53" t="str">
        <f aca="false">Input!AS20</f>
        <v>SD</v>
      </c>
      <c r="J96" s="61" t="n">
        <f aca="false">Input!AT20</f>
        <v>105.028884711779</v>
      </c>
      <c r="K96" s="60"/>
      <c r="L96" s="3" t="n">
        <v>89</v>
      </c>
      <c r="M96" s="53" t="str">
        <f aca="false">Input!AJ91</f>
        <v>Jeremey McDaniel</v>
      </c>
      <c r="N96" s="53" t="str">
        <f aca="false">Input!AK91</f>
        <v>Buf</v>
      </c>
      <c r="O96" s="61" t="n">
        <f aca="false">Input!AL91</f>
        <v>49.453781512605</v>
      </c>
      <c r="P96" s="60"/>
      <c r="Q96" s="3" t="n">
        <v>18</v>
      </c>
      <c r="R96" s="53" t="str">
        <f aca="false">Input!AV20</f>
        <v>San Diego Chargers</v>
      </c>
      <c r="S96" s="53"/>
      <c r="U96" s="61" t="n">
        <f aca="false">Input!AW20</f>
        <v>35.22</v>
      </c>
      <c r="V96" s="55"/>
    </row>
    <row r="97" customFormat="false" ht="11.25" hidden="false" customHeight="false" outlineLevel="0" collapsed="false">
      <c r="A97" s="60"/>
      <c r="B97" s="53" t="s">
        <v>99</v>
      </c>
      <c r="E97" s="3" t="n">
        <v>5</v>
      </c>
      <c r="F97" s="60"/>
      <c r="G97" s="3" t="n">
        <v>19</v>
      </c>
      <c r="H97" s="53" t="str">
        <f aca="false">Input!AR21</f>
        <v>Pete Stoyanovich</v>
      </c>
      <c r="I97" s="53" t="str">
        <f aca="false">Input!AS21</f>
        <v>KC</v>
      </c>
      <c r="J97" s="61" t="n">
        <f aca="false">Input!AT21</f>
        <v>104.468170426065</v>
      </c>
      <c r="K97" s="60"/>
      <c r="L97" s="3" t="n">
        <v>90</v>
      </c>
      <c r="M97" s="53" t="str">
        <f aca="false">Input!AJ92</f>
        <v>Jerome Pathon</v>
      </c>
      <c r="N97" s="53" t="str">
        <f aca="false">Input!AK92</f>
        <v>Ind</v>
      </c>
      <c r="O97" s="61" t="n">
        <f aca="false">Input!AL92</f>
        <v>45.903781512605</v>
      </c>
      <c r="P97" s="60"/>
      <c r="Q97" s="3" t="n">
        <v>19</v>
      </c>
      <c r="R97" s="53" t="str">
        <f aca="false">Input!AV21</f>
        <v>Pittsburgh Steelers </v>
      </c>
      <c r="S97" s="53"/>
      <c r="U97" s="61" t="n">
        <f aca="false">Input!AW21</f>
        <v>34.54</v>
      </c>
      <c r="V97" s="55"/>
    </row>
    <row r="98" customFormat="false" ht="11.25" hidden="false" customHeight="false" outlineLevel="0" collapsed="false">
      <c r="A98" s="60"/>
      <c r="B98" s="53" t="s">
        <v>100</v>
      </c>
      <c r="E98" s="3" t="n">
        <v>8</v>
      </c>
      <c r="F98" s="60"/>
      <c r="G98" s="3" t="n">
        <v>20</v>
      </c>
      <c r="H98" s="53" t="str">
        <f aca="false">Input!AR22</f>
        <v>Wade Richey</v>
      </c>
      <c r="I98" s="53" t="str">
        <f aca="false">Input!AS22</f>
        <v>SF</v>
      </c>
      <c r="J98" s="61" t="n">
        <f aca="false">Input!AT22</f>
        <v>101.468170426065</v>
      </c>
      <c r="K98" s="60"/>
      <c r="L98" s="3" t="n">
        <v>91</v>
      </c>
      <c r="M98" s="53" t="str">
        <f aca="false">Input!AJ93</f>
        <v>Windrell Hayes</v>
      </c>
      <c r="N98" s="53" t="str">
        <f aca="false">Input!AK93</f>
        <v>NYJ</v>
      </c>
      <c r="O98" s="61" t="n">
        <f aca="false">Input!AL93</f>
        <v>44.9075630252101</v>
      </c>
      <c r="P98" s="60"/>
      <c r="Q98" s="3" t="n">
        <v>20</v>
      </c>
      <c r="R98" s="53" t="str">
        <f aca="false">Input!AV22</f>
        <v>Detroit Lions </v>
      </c>
      <c r="S98" s="53"/>
      <c r="U98" s="61" t="n">
        <f aca="false">Input!AW22</f>
        <v>32.58</v>
      </c>
      <c r="V98" s="55"/>
    </row>
    <row r="99" customFormat="false" ht="11.25" hidden="false" customHeight="false" outlineLevel="0" collapsed="false">
      <c r="A99" s="60"/>
      <c r="B99" s="53" t="s">
        <v>101</v>
      </c>
      <c r="E99" s="3" t="n">
        <v>5</v>
      </c>
      <c r="F99" s="60"/>
      <c r="G99" s="3" t="n">
        <v>21</v>
      </c>
      <c r="H99" s="53" t="str">
        <f aca="false">Input!AR23</f>
        <v>Doug Brien</v>
      </c>
      <c r="I99" s="53" t="str">
        <f aca="false">Input!AS23</f>
        <v>NO</v>
      </c>
      <c r="J99" s="61" t="n">
        <f aca="false">Input!AT23</f>
        <v>97.6145989974937</v>
      </c>
      <c r="K99" s="60"/>
      <c r="L99" s="3" t="n">
        <v>92</v>
      </c>
      <c r="M99" s="53" t="str">
        <f aca="false">Input!AJ94</f>
        <v>Lamar Thomas</v>
      </c>
      <c r="N99" s="53" t="str">
        <f aca="false">Input!AK94</f>
        <v>Mia</v>
      </c>
      <c r="O99" s="61" t="n">
        <f aca="false">Input!AL94</f>
        <v>43.7075630252101</v>
      </c>
      <c r="P99" s="60"/>
      <c r="Q99" s="3" t="n">
        <v>21</v>
      </c>
      <c r="R99" s="53" t="str">
        <f aca="false">Input!AV23</f>
        <v>New York Jets</v>
      </c>
      <c r="S99" s="53"/>
      <c r="U99" s="61" t="n">
        <f aca="false">Input!AW23</f>
        <v>31.82</v>
      </c>
      <c r="V99" s="55"/>
    </row>
    <row r="100" customFormat="false" ht="11.25" hidden="false" customHeight="false" outlineLevel="0" collapsed="false">
      <c r="A100" s="60"/>
      <c r="B100" s="53" t="s">
        <v>102</v>
      </c>
      <c r="E100" s="3" t="n">
        <v>5</v>
      </c>
      <c r="F100" s="60"/>
      <c r="G100" s="3" t="n">
        <v>22</v>
      </c>
      <c r="H100" s="53" t="str">
        <f aca="false">Input!AR24</f>
        <v>Gary Anderson</v>
      </c>
      <c r="I100" s="53" t="str">
        <f aca="false">Input!AS24</f>
        <v>Min</v>
      </c>
      <c r="J100" s="61" t="n">
        <f aca="false">Input!AT24</f>
        <v>97.5208333333333</v>
      </c>
      <c r="K100" s="60"/>
      <c r="L100" s="3" t="n">
        <v>93</v>
      </c>
      <c r="M100" s="53" t="str">
        <f aca="false">Input!AJ95</f>
        <v>Bert Emanuel</v>
      </c>
      <c r="N100" s="53" t="str">
        <f aca="false">Input!AK95</f>
        <v>Mia</v>
      </c>
      <c r="O100" s="61" t="n">
        <f aca="false">Input!AL95</f>
        <v>40.9075630252101</v>
      </c>
      <c r="P100" s="60"/>
      <c r="Q100" s="3" t="n">
        <v>22</v>
      </c>
      <c r="R100" s="53" t="str">
        <f aca="false">Input!AV24</f>
        <v>New York Giants</v>
      </c>
      <c r="S100" s="53"/>
      <c r="U100" s="61" t="n">
        <f aca="false">Input!AW24</f>
        <v>30.68</v>
      </c>
      <c r="V100" s="55"/>
    </row>
    <row r="101" customFormat="false" ht="11.25" hidden="false" customHeight="false" outlineLevel="0" collapsed="false">
      <c r="A101" s="60"/>
      <c r="B101" s="53" t="s">
        <v>103</v>
      </c>
      <c r="E101" s="3" t="n">
        <v>16</v>
      </c>
      <c r="F101" s="60"/>
      <c r="G101" s="3" t="n">
        <v>23</v>
      </c>
      <c r="H101" s="53" t="str">
        <f aca="false">Input!AR25</f>
        <v>Cary Blanchard</v>
      </c>
      <c r="I101" s="53" t="str">
        <f aca="false">Input!AS25</f>
        <v>Ari</v>
      </c>
      <c r="J101" s="61" t="n">
        <f aca="false">Input!AT25</f>
        <v>96.6145989974937</v>
      </c>
      <c r="K101" s="60"/>
      <c r="L101" s="3" t="n">
        <v>94</v>
      </c>
      <c r="M101" s="53" t="str">
        <f aca="false">Input!AJ96</f>
        <v>E.G. Green</v>
      </c>
      <c r="N101" s="53" t="str">
        <f aca="false">Input!AK96</f>
        <v>Ind</v>
      </c>
      <c r="O101" s="61" t="n">
        <f aca="false">Input!AL96</f>
        <v>39.703781512605</v>
      </c>
      <c r="P101" s="60"/>
      <c r="Q101" s="3" t="n">
        <v>23</v>
      </c>
      <c r="R101" s="53" t="str">
        <f aca="false">Input!AV25</f>
        <v>Dallas Cowboys </v>
      </c>
      <c r="S101" s="53"/>
      <c r="U101" s="61" t="n">
        <f aca="false">Input!AW25</f>
        <v>26.52</v>
      </c>
      <c r="V101" s="55"/>
    </row>
    <row r="102" customFormat="false" ht="11.25" hidden="false" customHeight="false" outlineLevel="0" collapsed="false">
      <c r="A102" s="60"/>
      <c r="B102" s="53" t="s">
        <v>104</v>
      </c>
      <c r="E102" s="3" t="n">
        <v>2</v>
      </c>
      <c r="F102" s="60"/>
      <c r="G102" s="3" t="n">
        <v>24</v>
      </c>
      <c r="H102" s="53" t="str">
        <f aca="false">Input!AR26</f>
        <v>Eddie Murray</v>
      </c>
      <c r="I102" s="53" t="str">
        <f aca="false">Input!AS26</f>
        <v>Dal</v>
      </c>
      <c r="J102" s="61" t="n">
        <f aca="false">Input!AT26</f>
        <v>94.5052083333333</v>
      </c>
      <c r="K102" s="60"/>
      <c r="L102" s="3" t="n">
        <v>95</v>
      </c>
      <c r="M102" s="53" t="str">
        <f aca="false">Input!AJ97</f>
        <v>Jajuan Dawson</v>
      </c>
      <c r="N102" s="53" t="str">
        <f aca="false">Input!AK97</f>
        <v>Cle</v>
      </c>
      <c r="O102" s="61" t="n">
        <f aca="false">Input!AL97</f>
        <v>38.253781512605</v>
      </c>
      <c r="P102" s="60"/>
      <c r="Q102" s="3" t="n">
        <v>24</v>
      </c>
      <c r="R102" s="53" t="str">
        <f aca="false">Input!AV26</f>
        <v>Minnesota Vikings </v>
      </c>
      <c r="S102" s="53"/>
      <c r="U102" s="61" t="n">
        <f aca="false">Input!AW26</f>
        <v>25.68</v>
      </c>
      <c r="V102" s="55"/>
    </row>
    <row r="103" customFormat="false" ht="11.25" hidden="false" customHeight="false" outlineLevel="0" collapsed="false">
      <c r="A103" s="60"/>
      <c r="B103" s="53" t="s">
        <v>105</v>
      </c>
      <c r="E103" s="3" t="n">
        <v>8</v>
      </c>
      <c r="F103" s="60"/>
      <c r="G103" s="3" t="n">
        <v>25</v>
      </c>
      <c r="H103" s="53" t="str">
        <f aca="false">Input!AR27</f>
        <v>David Akers</v>
      </c>
      <c r="I103" s="53" t="str">
        <f aca="false">Input!AS27</f>
        <v>Phi</v>
      </c>
      <c r="J103" s="61" t="n">
        <f aca="false">Input!AT27</f>
        <v>91.9974950332556</v>
      </c>
      <c r="K103" s="60"/>
      <c r="L103" s="3" t="n">
        <v>96</v>
      </c>
      <c r="M103" s="53" t="str">
        <f aca="false">Input!AJ98</f>
        <v>Irving Fryar</v>
      </c>
      <c r="N103" s="53" t="str">
        <f aca="false">Input!AK98</f>
        <v>Was</v>
      </c>
      <c r="O103" s="61" t="n">
        <f aca="false">Input!AL98</f>
        <v>38.1075630252101</v>
      </c>
      <c r="P103" s="60"/>
      <c r="Q103" s="3" t="n">
        <v>25</v>
      </c>
      <c r="R103" s="53" t="str">
        <f aca="false">Input!AV27</f>
        <v>Buffalo Bills </v>
      </c>
      <c r="S103" s="53"/>
      <c r="U103" s="61" t="n">
        <f aca="false">Input!AW27</f>
        <v>20.22</v>
      </c>
      <c r="V103" s="55"/>
    </row>
    <row r="104" customFormat="false" ht="11.25" hidden="false" customHeight="false" outlineLevel="0" collapsed="false">
      <c r="A104" s="60"/>
      <c r="B104" s="53" t="s">
        <v>106</v>
      </c>
      <c r="E104" s="3" t="n">
        <v>13</v>
      </c>
      <c r="F104" s="60"/>
      <c r="G104" s="3" t="n">
        <v>26</v>
      </c>
      <c r="H104" s="53" t="str">
        <f aca="false">Input!AR28</f>
        <v>Adam Vinatieri</v>
      </c>
      <c r="I104" s="53" t="str">
        <f aca="false">Input!AS28</f>
        <v>NE</v>
      </c>
      <c r="J104" s="61" t="n">
        <f aca="false">Input!AT28</f>
        <v>91.5208333333333</v>
      </c>
      <c r="K104" s="60"/>
      <c r="L104" s="3" t="n">
        <v>97</v>
      </c>
      <c r="M104" s="53" t="str">
        <f aca="false">Input!AJ99</f>
        <v>Sylvester Morris</v>
      </c>
      <c r="N104" s="53" t="str">
        <f aca="false">Input!AK99</f>
        <v>KC</v>
      </c>
      <c r="O104" s="61" t="n">
        <f aca="false">Input!AL99</f>
        <v>37.453781512605</v>
      </c>
      <c r="P104" s="60"/>
      <c r="Q104" s="3" t="n">
        <v>26</v>
      </c>
      <c r="R104" s="53" t="str">
        <f aca="false">Input!AV28</f>
        <v>Arizona Cardinals</v>
      </c>
      <c r="S104" s="53"/>
      <c r="U104" s="61" t="n">
        <f aca="false">Input!AW28</f>
        <v>18.28</v>
      </c>
      <c r="V104" s="55"/>
    </row>
    <row r="105" customFormat="false" ht="11.25" hidden="false" customHeight="false" outlineLevel="0" collapsed="false">
      <c r="A105" s="60"/>
      <c r="B105" s="53" t="s">
        <v>107</v>
      </c>
      <c r="E105" s="3" t="n">
        <v>12</v>
      </c>
      <c r="F105" s="60"/>
      <c r="G105" s="3" t="n">
        <v>27</v>
      </c>
      <c r="H105" s="53" t="str">
        <f aca="false">Input!AR29</f>
        <v>Brad Daluiso</v>
      </c>
      <c r="I105" s="53" t="str">
        <f aca="false">Input!AS29</f>
        <v>NYG</v>
      </c>
      <c r="J105" s="61" t="n">
        <f aca="false">Input!AT29</f>
        <v>87.5052083333333</v>
      </c>
      <c r="K105" s="60"/>
      <c r="L105" s="3" t="n">
        <v>98</v>
      </c>
      <c r="M105" s="53" t="str">
        <f aca="false">Input!AJ100</f>
        <v>Reidel Anthony</v>
      </c>
      <c r="N105" s="53" t="str">
        <f aca="false">Input!AK100</f>
        <v>TB</v>
      </c>
      <c r="O105" s="61" t="n">
        <f aca="false">Input!AL100</f>
        <v>37.453781512605</v>
      </c>
      <c r="P105" s="60"/>
      <c r="Q105" s="3" t="n">
        <v>27</v>
      </c>
      <c r="R105" s="53" t="str">
        <f aca="false">Input!AV29</f>
        <v>Indianapolis Colts </v>
      </c>
      <c r="S105" s="53"/>
      <c r="U105" s="61" t="n">
        <f aca="false">Input!AW29</f>
        <v>15.44</v>
      </c>
      <c r="V105" s="55"/>
    </row>
    <row r="106" customFormat="false" ht="11.25" hidden="false" customHeight="false" outlineLevel="0" collapsed="false">
      <c r="A106" s="60"/>
      <c r="B106" s="53" t="s">
        <v>108</v>
      </c>
      <c r="E106" s="3" t="n">
        <v>6</v>
      </c>
      <c r="F106" s="60"/>
      <c r="G106" s="3" t="n">
        <v>28</v>
      </c>
      <c r="H106" s="53" t="str">
        <f aca="false">Input!AR30</f>
        <v>Morten Andersen</v>
      </c>
      <c r="I106" s="53" t="str">
        <f aca="false">Input!AS30</f>
        <v>Atl</v>
      </c>
      <c r="J106" s="61" t="n">
        <f aca="false">Input!AT30</f>
        <v>84.9817708333333</v>
      </c>
      <c r="K106" s="60"/>
      <c r="L106" s="3" t="n">
        <v>99</v>
      </c>
      <c r="M106" s="53" t="str">
        <f aca="false">Input!AJ101</f>
        <v>Na Brown</v>
      </c>
      <c r="N106" s="53" t="str">
        <f aca="false">Input!AK101</f>
        <v>Phi</v>
      </c>
      <c r="O106" s="61" t="n">
        <f aca="false">Input!AL101</f>
        <v>34.953781512605</v>
      </c>
      <c r="P106" s="60"/>
      <c r="Q106" s="3" t="n">
        <v>28</v>
      </c>
      <c r="R106" s="53" t="str">
        <f aca="false">Input!AV30</f>
        <v>San Francisco 49ers</v>
      </c>
      <c r="S106" s="53"/>
      <c r="U106" s="61" t="n">
        <f aca="false">Input!AW30</f>
        <v>11.76</v>
      </c>
      <c r="V106" s="55"/>
    </row>
    <row r="107" customFormat="false" ht="11.25" hidden="false" customHeight="false" outlineLevel="0" collapsed="false">
      <c r="A107" s="60"/>
      <c r="B107" s="53" t="s">
        <v>109</v>
      </c>
      <c r="E107" s="3" t="n">
        <v>7</v>
      </c>
      <c r="F107" s="60"/>
      <c r="G107" s="3" t="n">
        <v>29</v>
      </c>
      <c r="H107" s="53" t="str">
        <f aca="false">Input!AR31</f>
        <v>Neil Rackers</v>
      </c>
      <c r="I107" s="53" t="str">
        <f aca="false">Input!AS31</f>
        <v>Cin</v>
      </c>
      <c r="J107" s="61" t="n">
        <f aca="false">Input!AT31</f>
        <v>79.9973958333333</v>
      </c>
      <c r="K107" s="60"/>
      <c r="L107" s="3" t="n">
        <v>100</v>
      </c>
      <c r="M107" s="53" t="str">
        <f aca="false">Input!AJ102</f>
        <v>Charlie Jones</v>
      </c>
      <c r="N107" s="53" t="str">
        <f aca="false">Input!AK102</f>
        <v>SD</v>
      </c>
      <c r="O107" s="61" t="n">
        <f aca="false">Input!AL102</f>
        <v>34.453781512605</v>
      </c>
      <c r="P107" s="60"/>
      <c r="Q107" s="3" t="n">
        <v>29</v>
      </c>
      <c r="R107" s="53" t="str">
        <f aca="false">Input!AV31</f>
        <v>Atlanta Falcons </v>
      </c>
      <c r="S107" s="53"/>
      <c r="U107" s="61" t="n">
        <f aca="false">Input!AW31</f>
        <v>1.88</v>
      </c>
      <c r="V107" s="55"/>
    </row>
    <row r="108" customFormat="false" ht="11.25" hidden="false" customHeight="false" outlineLevel="0" collapsed="false">
      <c r="A108" s="60"/>
      <c r="B108" s="53" t="s">
        <v>110</v>
      </c>
      <c r="E108" s="3" t="n">
        <v>3</v>
      </c>
      <c r="F108" s="60"/>
      <c r="G108" s="3" t="n">
        <v>30</v>
      </c>
      <c r="H108" s="53" t="str">
        <f aca="false">Input!AR32</f>
        <v>Paul Edinger</v>
      </c>
      <c r="I108" s="53" t="str">
        <f aca="false">Input!AS32</f>
        <v>Chi</v>
      </c>
      <c r="J108" s="61" t="n">
        <f aca="false">Input!AT32</f>
        <v>70.4739583333333</v>
      </c>
      <c r="K108" s="60"/>
      <c r="L108" s="3" t="n">
        <v>101</v>
      </c>
      <c r="M108" s="53" t="str">
        <f aca="false">Input!AJ103</f>
        <v>James McKnight</v>
      </c>
      <c r="N108" s="53" t="str">
        <f aca="false">Input!AK103</f>
        <v>Dal</v>
      </c>
      <c r="O108" s="61" t="n">
        <f aca="false">Input!AL103</f>
        <v>34.453781512605</v>
      </c>
      <c r="P108" s="60"/>
      <c r="Q108" s="3" t="n">
        <v>30</v>
      </c>
      <c r="R108" s="53" t="str">
        <f aca="false">Input!AV32</f>
        <v>Cincinnati Bengals </v>
      </c>
      <c r="S108" s="53"/>
      <c r="U108" s="61" t="n">
        <f aca="false">Input!AW32</f>
        <v>-10.8</v>
      </c>
      <c r="V108" s="55"/>
    </row>
    <row r="109" customFormat="false" ht="11.25" hidden="false" customHeight="false" outlineLevel="0" collapsed="false">
      <c r="A109" s="55"/>
      <c r="B109" s="53" t="s">
        <v>111</v>
      </c>
      <c r="E109" s="3" t="n">
        <v>11</v>
      </c>
      <c r="F109" s="55"/>
      <c r="G109" s="3" t="n">
        <v>31</v>
      </c>
      <c r="H109" s="53" t="str">
        <f aca="false">Input!AR33</f>
        <v>Phil Dawson</v>
      </c>
      <c r="I109" s="53" t="str">
        <f aca="false">Input!AS33</f>
        <v>Cle</v>
      </c>
      <c r="J109" s="61" t="n">
        <f aca="false">Input!AT33</f>
        <v>69.4583333333333</v>
      </c>
      <c r="K109" s="55"/>
      <c r="L109" s="3" t="n">
        <v>102</v>
      </c>
      <c r="M109" s="53" t="str">
        <f aca="false">Input!AJ104</f>
        <v>Pat Johnson</v>
      </c>
      <c r="N109" s="53" t="str">
        <f aca="false">Input!AK104</f>
        <v>Bal</v>
      </c>
      <c r="O109" s="61" t="n">
        <f aca="false">Input!AL104</f>
        <v>34.253781512605</v>
      </c>
      <c r="P109" s="55"/>
      <c r="Q109" s="3" t="n">
        <v>31</v>
      </c>
      <c r="R109" s="53" t="str">
        <f aca="false">Input!AV33</f>
        <v>Cleveland Browns</v>
      </c>
      <c r="S109" s="53"/>
      <c r="U109" s="61" t="n">
        <f aca="false">Input!AW33</f>
        <v>-13.96</v>
      </c>
      <c r="V109" s="55"/>
    </row>
    <row r="110" customFormat="false" ht="3" hidden="false" customHeight="true" outlineLevel="0" collapsed="false">
      <c r="A110" s="62"/>
      <c r="B110" s="63" t="s">
        <v>87</v>
      </c>
      <c r="C110" s="63"/>
      <c r="D110" s="63"/>
      <c r="E110" s="64"/>
      <c r="F110" s="62"/>
      <c r="G110" s="62"/>
      <c r="H110" s="63"/>
      <c r="I110" s="63"/>
      <c r="J110" s="64"/>
      <c r="K110" s="62"/>
      <c r="L110" s="62"/>
      <c r="M110" s="62"/>
      <c r="N110" s="62"/>
      <c r="O110" s="64"/>
      <c r="P110" s="62"/>
      <c r="Q110" s="62"/>
      <c r="R110" s="63"/>
      <c r="S110" s="62"/>
      <c r="T110" s="55"/>
      <c r="U110" s="55"/>
      <c r="V110" s="55"/>
    </row>
    <row r="111" customFormat="false" ht="12.75" hidden="false" customHeight="false" outlineLevel="0" collapsed="false">
      <c r="A111" s="0"/>
      <c r="B111" s="9"/>
      <c r="D111" s="65"/>
      <c r="E111" s="1"/>
      <c r="F111" s="0"/>
      <c r="G111" s="0"/>
      <c r="H111" s="65"/>
      <c r="I111" s="65"/>
      <c r="J111" s="1"/>
      <c r="K111" s="0"/>
      <c r="L111" s="0"/>
      <c r="M111" s="65"/>
      <c r="N111" s="65"/>
      <c r="O111" s="1"/>
      <c r="P111" s="0"/>
      <c r="Q111" s="0"/>
      <c r="R111" s="65"/>
      <c r="S111" s="0"/>
    </row>
    <row r="112" customFormat="false" ht="12.75" hidden="false" customHeight="false" outlineLevel="0" collapsed="false">
      <c r="A112" s="0"/>
      <c r="B112" s="0"/>
      <c r="C112" s="65"/>
      <c r="D112" s="65"/>
      <c r="E112" s="1"/>
      <c r="F112" s="0"/>
      <c r="G112" s="0"/>
      <c r="H112" s="65"/>
      <c r="I112" s="65"/>
      <c r="J112" s="1"/>
      <c r="K112" s="0"/>
      <c r="L112" s="0"/>
      <c r="M112" s="65"/>
      <c r="N112" s="65"/>
      <c r="O112" s="1"/>
      <c r="P112" s="0"/>
      <c r="Q112" s="1"/>
      <c r="R112" s="1"/>
      <c r="S112" s="1"/>
    </row>
    <row r="113" customFormat="false" ht="12.75" hidden="false" customHeight="false" outlineLevel="0" collapsed="false">
      <c r="A113" s="0"/>
      <c r="B113" s="0"/>
      <c r="C113" s="65"/>
      <c r="D113" s="65"/>
      <c r="E113" s="1"/>
      <c r="F113" s="0"/>
      <c r="G113" s="0"/>
      <c r="H113" s="65"/>
      <c r="I113" s="65"/>
      <c r="J113" s="1"/>
      <c r="K113" s="0"/>
      <c r="L113" s="0"/>
      <c r="M113" s="65"/>
      <c r="N113" s="65"/>
      <c r="O113" s="1"/>
      <c r="P113" s="0"/>
      <c r="Q113" s="0"/>
      <c r="R113" s="65"/>
      <c r="S113" s="0"/>
    </row>
  </sheetData>
  <mergeCells count="1">
    <mergeCell ref="R5:V5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116" activePane="bottomRight" state="frozen"/>
      <selection pane="topLeft" activeCell="A1" activeCellId="0" sqref="A1"/>
      <selection pane="topRight" activeCell="C1" activeCellId="0" sqref="C1"/>
      <selection pane="bottomLeft" activeCell="A116" activeCellId="0" sqref="A116"/>
      <selection pane="bottomRight" activeCell="A13" activeCellId="0" sqref="A13:A1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7.99"/>
    <col collapsed="false" customWidth="true" hidden="false" outlineLevel="0" max="2" min="2" style="4" width="5.56"/>
    <col collapsed="false" customWidth="true" hidden="false" outlineLevel="0" max="3" min="3" style="66" width="6.28"/>
    <col collapsed="false" customWidth="true" hidden="false" outlineLevel="0" max="4" min="4" style="66" width="4.85"/>
    <col collapsed="false" customWidth="true" hidden="false" outlineLevel="0" max="5" min="5" style="67" width="6.85"/>
    <col collapsed="false" customWidth="true" hidden="false" outlineLevel="0" max="6" min="6" style="67" width="6.99"/>
    <col collapsed="false" customWidth="true" hidden="false" outlineLevel="0" max="7" min="7" style="66" width="4.56"/>
    <col collapsed="false" customWidth="true" hidden="false" outlineLevel="0" max="8" min="8" style="66" width="4.14"/>
    <col collapsed="false" customWidth="true" hidden="false" outlineLevel="0" max="9" min="9" style="66" width="5.71"/>
    <col collapsed="false" customWidth="true" hidden="false" outlineLevel="0" max="10" min="10" style="67" width="5.28"/>
    <col collapsed="false" customWidth="true" hidden="false" outlineLevel="0" max="11" min="11" style="67" width="5.71"/>
    <col collapsed="false" customWidth="true" hidden="false" outlineLevel="0" max="12" min="12" style="66" width="4.99"/>
    <col collapsed="false" customWidth="true" hidden="false" outlineLevel="0" max="13" min="13" style="66" width="7.14"/>
    <col collapsed="false" customWidth="true" hidden="true" outlineLevel="0" max="19" min="14" style="68" width="6.56"/>
    <col collapsed="false" customWidth="true" hidden="true" outlineLevel="0" max="20" min="20" style="66" width="3.99"/>
    <col collapsed="false" customWidth="true" hidden="true" outlineLevel="0" max="21" min="21" style="66" width="5.56"/>
    <col collapsed="false" customWidth="true" hidden="true" outlineLevel="0" max="24" min="22" style="66" width="5.99"/>
    <col collapsed="false" customWidth="true" hidden="true" outlineLevel="0" max="25" min="25" style="66" width="4.14"/>
    <col collapsed="false" customWidth="true" hidden="true" outlineLevel="0" max="30" min="26" style="69" width="5.56"/>
    <col collapsed="false" customWidth="true" hidden="true" outlineLevel="0" max="32" min="31" style="69" width="4.56"/>
    <col collapsed="false" customWidth="true" hidden="true" outlineLevel="0" max="36" min="33" style="69" width="5.56"/>
    <col collapsed="false" customWidth="true" hidden="true" outlineLevel="0" max="37" min="37" style="69" width="4.56"/>
    <col collapsed="false" customWidth="false" hidden="false" outlineLevel="0" max="38" min="38" style="70" width="9.14"/>
    <col collapsed="false" customWidth="false" hidden="false" outlineLevel="0" max="257" min="39" style="5" width="9.14"/>
  </cols>
  <sheetData>
    <row r="1" customFormat="false" ht="12.75" hidden="false" customHeight="false" outlineLevel="0" collapsed="false">
      <c r="A1" s="71"/>
      <c r="B1" s="72"/>
      <c r="C1" s="73" t="s">
        <v>112</v>
      </c>
      <c r="D1" s="73"/>
      <c r="E1" s="73"/>
      <c r="F1" s="73"/>
      <c r="G1" s="73"/>
      <c r="H1" s="73"/>
      <c r="I1" s="73" t="s">
        <v>113</v>
      </c>
      <c r="J1" s="73"/>
      <c r="K1" s="73"/>
      <c r="L1" s="73"/>
      <c r="M1" s="74" t="s">
        <v>114</v>
      </c>
      <c r="N1" s="75" t="s">
        <v>115</v>
      </c>
      <c r="O1" s="75"/>
      <c r="P1" s="75"/>
      <c r="Q1" s="75"/>
      <c r="R1" s="75"/>
      <c r="S1" s="75"/>
      <c r="T1" s="73" t="s">
        <v>116</v>
      </c>
      <c r="U1" s="73"/>
      <c r="V1" s="73"/>
      <c r="W1" s="73"/>
      <c r="X1" s="73"/>
      <c r="Y1" s="73"/>
      <c r="Z1" s="76" t="s">
        <v>117</v>
      </c>
      <c r="AA1" s="76"/>
      <c r="AB1" s="76"/>
      <c r="AC1" s="76"/>
      <c r="AD1" s="76"/>
      <c r="AE1" s="76"/>
      <c r="AF1" s="76" t="s">
        <v>118</v>
      </c>
      <c r="AG1" s="76"/>
      <c r="AH1" s="76"/>
      <c r="AI1" s="76"/>
      <c r="AJ1" s="76"/>
      <c r="AK1" s="76"/>
      <c r="AL1" s="77" t="s">
        <v>119</v>
      </c>
    </row>
    <row r="2" customFormat="false" ht="12.75" hidden="false" customHeight="false" outlineLevel="0" collapsed="false">
      <c r="A2" s="78" t="s">
        <v>73</v>
      </c>
      <c r="B2" s="79" t="s">
        <v>3</v>
      </c>
      <c r="C2" s="80" t="s">
        <v>120</v>
      </c>
      <c r="D2" s="81" t="s">
        <v>121</v>
      </c>
      <c r="E2" s="82" t="s">
        <v>122</v>
      </c>
      <c r="F2" s="82" t="s">
        <v>123</v>
      </c>
      <c r="G2" s="81" t="s">
        <v>124</v>
      </c>
      <c r="H2" s="83" t="s">
        <v>125</v>
      </c>
      <c r="I2" s="80" t="s">
        <v>121</v>
      </c>
      <c r="J2" s="82" t="s">
        <v>122</v>
      </c>
      <c r="K2" s="82" t="s">
        <v>126</v>
      </c>
      <c r="L2" s="83" t="s">
        <v>124</v>
      </c>
      <c r="M2" s="81" t="s">
        <v>127</v>
      </c>
      <c r="N2" s="84" t="s">
        <v>128</v>
      </c>
      <c r="O2" s="85" t="s">
        <v>129</v>
      </c>
      <c r="P2" s="85" t="s">
        <v>130</v>
      </c>
      <c r="Q2" s="85" t="s">
        <v>131</v>
      </c>
      <c r="R2" s="85" t="s">
        <v>132</v>
      </c>
      <c r="S2" s="86" t="s">
        <v>133</v>
      </c>
      <c r="T2" s="80" t="s">
        <v>128</v>
      </c>
      <c r="U2" s="87" t="s">
        <v>129</v>
      </c>
      <c r="V2" s="81" t="s">
        <v>130</v>
      </c>
      <c r="W2" s="81" t="s">
        <v>131</v>
      </c>
      <c r="X2" s="81" t="s">
        <v>132</v>
      </c>
      <c r="Y2" s="83" t="s">
        <v>133</v>
      </c>
      <c r="Z2" s="88" t="s">
        <v>128</v>
      </c>
      <c r="AA2" s="89" t="s">
        <v>129</v>
      </c>
      <c r="AB2" s="89" t="s">
        <v>130</v>
      </c>
      <c r="AC2" s="89" t="s">
        <v>131</v>
      </c>
      <c r="AD2" s="89" t="s">
        <v>132</v>
      </c>
      <c r="AE2" s="90" t="s">
        <v>133</v>
      </c>
      <c r="AF2" s="88" t="s">
        <v>128</v>
      </c>
      <c r="AG2" s="89" t="s">
        <v>129</v>
      </c>
      <c r="AH2" s="89" t="s">
        <v>130</v>
      </c>
      <c r="AI2" s="89" t="s">
        <v>131</v>
      </c>
      <c r="AJ2" s="89" t="s">
        <v>132</v>
      </c>
      <c r="AK2" s="90" t="s">
        <v>133</v>
      </c>
      <c r="AL2" s="91" t="s">
        <v>134</v>
      </c>
    </row>
    <row r="3" customFormat="false" ht="12.75" hidden="false" customHeight="false" outlineLevel="0" collapsed="false">
      <c r="A3" s="92" t="s">
        <v>135</v>
      </c>
      <c r="B3" s="93" t="s">
        <v>136</v>
      </c>
      <c r="C3" s="94" t="n">
        <v>312</v>
      </c>
      <c r="D3" s="95" t="n">
        <v>520</v>
      </c>
      <c r="E3" s="96" t="n">
        <f aca="false">7.7*D3</f>
        <v>4004</v>
      </c>
      <c r="F3" s="96" t="n">
        <v>6</v>
      </c>
      <c r="G3" s="96" t="n">
        <v>35</v>
      </c>
      <c r="H3" s="97" t="n">
        <v>15</v>
      </c>
      <c r="I3" s="98" t="n">
        <v>25</v>
      </c>
      <c r="J3" s="96" t="n">
        <f aca="false">4*I3</f>
        <v>100</v>
      </c>
      <c r="K3" s="96" t="n">
        <v>0</v>
      </c>
      <c r="L3" s="97" t="n">
        <v>1</v>
      </c>
      <c r="M3" s="96" t="n">
        <v>4</v>
      </c>
      <c r="N3" s="99" t="n">
        <v>0.359550561797753</v>
      </c>
      <c r="O3" s="100" t="n">
        <v>0.213483146067416</v>
      </c>
      <c r="P3" s="100" t="n">
        <v>0.101123595505618</v>
      </c>
      <c r="Q3" s="100" t="n">
        <v>0.0898876404494382</v>
      </c>
      <c r="R3" s="100" t="n">
        <v>0.0955056179775281</v>
      </c>
      <c r="S3" s="101" t="n">
        <v>0.140449438202247</v>
      </c>
      <c r="T3" s="102" t="n">
        <v>0.9</v>
      </c>
      <c r="U3" s="74" t="n">
        <v>0.08</v>
      </c>
      <c r="V3" s="74" t="n">
        <v>0.015</v>
      </c>
      <c r="W3" s="74" t="n">
        <v>0.004</v>
      </c>
      <c r="X3" s="74" t="n">
        <v>0.001</v>
      </c>
      <c r="Y3" s="103" t="n">
        <v>0</v>
      </c>
      <c r="Z3" s="104" t="n">
        <f aca="false">N3*$G3</f>
        <v>12.5842696629213</v>
      </c>
      <c r="AA3" s="105" t="n">
        <f aca="false">O3*$G3</f>
        <v>7.47191011235955</v>
      </c>
      <c r="AB3" s="105" t="n">
        <f aca="false">P3*$G3</f>
        <v>3.53932584269663</v>
      </c>
      <c r="AC3" s="105" t="n">
        <f aca="false">Q3*$G3</f>
        <v>3.14606741573034</v>
      </c>
      <c r="AD3" s="105" t="n">
        <f aca="false">R3*$G3</f>
        <v>3.34269662921348</v>
      </c>
      <c r="AE3" s="106" t="n">
        <f aca="false">S3*$G3</f>
        <v>4.91573033707865</v>
      </c>
      <c r="AF3" s="104" t="n">
        <f aca="false">T3*$L3</f>
        <v>0.9</v>
      </c>
      <c r="AG3" s="105" t="n">
        <f aca="false">U3*$L3</f>
        <v>0.08</v>
      </c>
      <c r="AH3" s="105" t="n">
        <f aca="false">V3*$L3</f>
        <v>0.015</v>
      </c>
      <c r="AI3" s="105" t="n">
        <f aca="false">W3*$L3</f>
        <v>0.004</v>
      </c>
      <c r="AJ3" s="105" t="n">
        <f aca="false">X3*$L3</f>
        <v>0.001</v>
      </c>
      <c r="AK3" s="106" t="n">
        <f aca="false">Y3*$L3</f>
        <v>0</v>
      </c>
      <c r="AL3" s="77" t="n">
        <f aca="false">Input!$C$11*QBs!D3+Input!$C$12*QBs!C3+Input!$C$13*QBs!E3+Input!$C$14*QBs!H3+Input!$C$15*QBs!Z3+Input!$C$16*QBs!AA3+Input!$C$17*QBs!AB3+Input!$C$18*QBs!AC3+Input!$C$19*QBs!AD3+Input!$C$20*QBs!AE3+Input!$C$21*QBs!F3+Input!$C$22*QBs!I3+Input!$C$23*QBs!J3+Input!$C$24*QBs!AF3+Input!$C$25*QBs!AG3+Input!$C$26*QBs!AH3+Input!$C$27*QBs!AI3+Input!$C$28*QBs!AJ3+Input!$C$29*QBs!AK3+Input!$C$30*QBs!K3+Input!$C$40*QBs!M3</f>
        <v>397.264202247191</v>
      </c>
    </row>
    <row r="4" customFormat="false" ht="12.75" hidden="false" customHeight="false" outlineLevel="0" collapsed="false">
      <c r="A4" s="92" t="s">
        <v>137</v>
      </c>
      <c r="B4" s="93" t="s">
        <v>138</v>
      </c>
      <c r="C4" s="94" t="n">
        <v>332</v>
      </c>
      <c r="D4" s="95" t="n">
        <v>540</v>
      </c>
      <c r="E4" s="96" t="n">
        <f aca="false">7.4*D4</f>
        <v>3996</v>
      </c>
      <c r="F4" s="96" t="n">
        <v>4</v>
      </c>
      <c r="G4" s="96" t="n">
        <v>28</v>
      </c>
      <c r="H4" s="97" t="n">
        <v>17</v>
      </c>
      <c r="I4" s="98" t="n">
        <v>40</v>
      </c>
      <c r="J4" s="96" t="n">
        <f aca="false">2.7*I4</f>
        <v>108</v>
      </c>
      <c r="K4" s="96" t="n">
        <v>0</v>
      </c>
      <c r="L4" s="97" t="n">
        <v>1</v>
      </c>
      <c r="M4" s="96" t="n">
        <v>3</v>
      </c>
      <c r="N4" s="107" t="n">
        <v>0.359550561797753</v>
      </c>
      <c r="O4" s="108" t="n">
        <v>0.213483146067416</v>
      </c>
      <c r="P4" s="108" t="n">
        <v>0.101123595505618</v>
      </c>
      <c r="Q4" s="108" t="n">
        <v>0.0898876404494382</v>
      </c>
      <c r="R4" s="108" t="n">
        <v>0.0955056179775281</v>
      </c>
      <c r="S4" s="109" t="n">
        <v>0.140449438202247</v>
      </c>
      <c r="T4" s="110" t="n">
        <v>0.9</v>
      </c>
      <c r="U4" s="111" t="n">
        <v>0.08</v>
      </c>
      <c r="V4" s="111" t="n">
        <v>0.015</v>
      </c>
      <c r="W4" s="111" t="n">
        <v>0.004</v>
      </c>
      <c r="X4" s="111" t="n">
        <v>0.001</v>
      </c>
      <c r="Y4" s="112" t="n">
        <v>0</v>
      </c>
      <c r="Z4" s="113" t="n">
        <f aca="false">N4*$G4</f>
        <v>10.0674157303371</v>
      </c>
      <c r="AA4" s="114" t="n">
        <f aca="false">O4*$G4</f>
        <v>5.97752808988764</v>
      </c>
      <c r="AB4" s="114" t="n">
        <f aca="false">P4*$G4</f>
        <v>2.8314606741573</v>
      </c>
      <c r="AC4" s="114" t="n">
        <f aca="false">Q4*$G4</f>
        <v>2.51685393258427</v>
      </c>
      <c r="AD4" s="114" t="n">
        <f aca="false">R4*$G4</f>
        <v>2.67415730337079</v>
      </c>
      <c r="AE4" s="115" t="n">
        <f aca="false">S4*$G4</f>
        <v>3.93258426966292</v>
      </c>
      <c r="AF4" s="113" t="n">
        <f aca="false">T4*$L4</f>
        <v>0.9</v>
      </c>
      <c r="AG4" s="114" t="n">
        <f aca="false">U4*$L4</f>
        <v>0.08</v>
      </c>
      <c r="AH4" s="114" t="n">
        <f aca="false">V4*$L4</f>
        <v>0.015</v>
      </c>
      <c r="AI4" s="114" t="n">
        <f aca="false">W4*$L4</f>
        <v>0.004</v>
      </c>
      <c r="AJ4" s="114" t="n">
        <f aca="false">X4*$L4</f>
        <v>0.001</v>
      </c>
      <c r="AK4" s="115" t="n">
        <f aca="false">Y4*$L4</f>
        <v>0</v>
      </c>
      <c r="AL4" s="116" t="n">
        <f aca="false">Input!$C$11*QBs!D4+Input!$C$12*QBs!C4+Input!$C$13*QBs!E4+Input!$C$14*QBs!H4+Input!$C$15*QBs!Z4+Input!$C$16*QBs!AA4+Input!$C$17*QBs!AB4+Input!$C$18*QBs!AC4+Input!$C$19*QBs!AD4+Input!$C$20*QBs!AE4+Input!$C$21*QBs!F4+Input!$C$22*QBs!I4+Input!$C$23*QBs!J4+Input!$C$24*QBs!AF4+Input!$C$25*QBs!AG4+Input!$C$26*QBs!AH4+Input!$C$27*QBs!AI4+Input!$C$28*QBs!AJ4+Input!$C$29*QBs!AK4+Input!$C$30*QBs!K4+Input!$C$40*QBs!M4</f>
        <v>359.276561797753</v>
      </c>
    </row>
    <row r="5" customFormat="false" ht="12.75" hidden="false" customHeight="false" outlineLevel="0" collapsed="false">
      <c r="A5" s="92" t="s">
        <v>139</v>
      </c>
      <c r="B5" s="93" t="s">
        <v>140</v>
      </c>
      <c r="C5" s="94" t="n">
        <v>322</v>
      </c>
      <c r="D5" s="95" t="n">
        <v>555</v>
      </c>
      <c r="E5" s="96" t="n">
        <f aca="false">7.1*D5</f>
        <v>3940.5</v>
      </c>
      <c r="F5" s="96" t="n">
        <v>5</v>
      </c>
      <c r="G5" s="96" t="n">
        <v>27</v>
      </c>
      <c r="H5" s="97" t="n">
        <v>22</v>
      </c>
      <c r="I5" s="98" t="n">
        <v>40</v>
      </c>
      <c r="J5" s="96" t="n">
        <f aca="false">4*I5</f>
        <v>160</v>
      </c>
      <c r="K5" s="96" t="n">
        <v>0</v>
      </c>
      <c r="L5" s="97" t="n">
        <v>1</v>
      </c>
      <c r="M5" s="96" t="n">
        <v>4</v>
      </c>
      <c r="N5" s="107" t="n">
        <v>0.443609022556391</v>
      </c>
      <c r="O5" s="108" t="n">
        <v>0.240601503759398</v>
      </c>
      <c r="P5" s="108" t="n">
        <v>0.218045112781955</v>
      </c>
      <c r="Q5" s="108" t="n">
        <v>0.0300751879699248</v>
      </c>
      <c r="R5" s="108" t="n">
        <v>0.0451127819548872</v>
      </c>
      <c r="S5" s="109" t="n">
        <v>0.0225563909774436</v>
      </c>
      <c r="T5" s="110" t="n">
        <v>0.9</v>
      </c>
      <c r="U5" s="111" t="n">
        <v>0.08</v>
      </c>
      <c r="V5" s="111" t="n">
        <v>0.015</v>
      </c>
      <c r="W5" s="111" t="n">
        <v>0.004</v>
      </c>
      <c r="X5" s="111" t="n">
        <v>0.001</v>
      </c>
      <c r="Y5" s="112" t="n">
        <v>0</v>
      </c>
      <c r="Z5" s="113" t="n">
        <f aca="false">N5*$G5</f>
        <v>11.9774436090226</v>
      </c>
      <c r="AA5" s="114" t="n">
        <f aca="false">O5*$G5</f>
        <v>6.49624060150376</v>
      </c>
      <c r="AB5" s="114" t="n">
        <f aca="false">P5*$G5</f>
        <v>5.88721804511278</v>
      </c>
      <c r="AC5" s="114" t="n">
        <f aca="false">Q5*$G5</f>
        <v>0.81203007518797</v>
      </c>
      <c r="AD5" s="114" t="n">
        <f aca="false">R5*$G5</f>
        <v>1.21804511278196</v>
      </c>
      <c r="AE5" s="115" t="n">
        <f aca="false">S5*$G5</f>
        <v>0.609022556390978</v>
      </c>
      <c r="AF5" s="113" t="n">
        <f aca="false">T5*$L5</f>
        <v>0.9</v>
      </c>
      <c r="AG5" s="114" t="n">
        <f aca="false">U5*$L5</f>
        <v>0.08</v>
      </c>
      <c r="AH5" s="114" t="n">
        <f aca="false">V5*$L5</f>
        <v>0.015</v>
      </c>
      <c r="AI5" s="114" t="n">
        <f aca="false">W5*$L5</f>
        <v>0.004</v>
      </c>
      <c r="AJ5" s="114" t="n">
        <f aca="false">X5*$L5</f>
        <v>0.001</v>
      </c>
      <c r="AK5" s="115" t="n">
        <f aca="false">Y5*$L5</f>
        <v>0</v>
      </c>
      <c r="AL5" s="116" t="n">
        <f aca="false">Input!$C$11*QBs!D5+Input!$C$12*QBs!C5+Input!$C$13*QBs!E5+Input!$C$14*QBs!H5+Input!$C$15*QBs!Z5+Input!$C$16*QBs!AA5+Input!$C$17*QBs!AB5+Input!$C$18*QBs!AC5+Input!$C$19*QBs!AD5+Input!$C$20*QBs!AE5+Input!$C$21*QBs!F5+Input!$C$22*QBs!I5+Input!$C$23*QBs!J5+Input!$C$24*QBs!AF5+Input!$C$25*QBs!AG5+Input!$C$26*QBs!AH5+Input!$C$27*QBs!AI5+Input!$C$28*QBs!AJ5+Input!$C$29*QBs!AK5+Input!$C$30*QBs!K5+Input!$C$40*QBs!M5</f>
        <v>339.775060150376</v>
      </c>
    </row>
    <row r="6" customFormat="false" ht="12.75" hidden="false" customHeight="false" outlineLevel="0" collapsed="false">
      <c r="A6" s="92" t="s">
        <v>141</v>
      </c>
      <c r="B6" s="93" t="s">
        <v>142</v>
      </c>
      <c r="C6" s="94" t="n">
        <v>279</v>
      </c>
      <c r="D6" s="95" t="n">
        <v>500</v>
      </c>
      <c r="E6" s="96" t="n">
        <f aca="false">6.57*D6</f>
        <v>3285</v>
      </c>
      <c r="F6" s="96" t="n">
        <v>2</v>
      </c>
      <c r="G6" s="96" t="n">
        <v>18</v>
      </c>
      <c r="H6" s="97" t="n">
        <v>10</v>
      </c>
      <c r="I6" s="98" t="n">
        <v>90</v>
      </c>
      <c r="J6" s="96" t="n">
        <f aca="false">5.9*I6</f>
        <v>531</v>
      </c>
      <c r="K6" s="96" t="n">
        <v>1</v>
      </c>
      <c r="L6" s="97" t="n">
        <v>6</v>
      </c>
      <c r="M6" s="96" t="n">
        <v>2</v>
      </c>
      <c r="N6" s="107" t="n">
        <v>0.359550561797753</v>
      </c>
      <c r="O6" s="108" t="n">
        <v>0.213483146067416</v>
      </c>
      <c r="P6" s="108" t="n">
        <v>0.101123595505618</v>
      </c>
      <c r="Q6" s="108" t="n">
        <v>0.0898876404494382</v>
      </c>
      <c r="R6" s="108" t="n">
        <v>0.0955056179775281</v>
      </c>
      <c r="S6" s="109" t="n">
        <v>0.140449438202247</v>
      </c>
      <c r="T6" s="110" t="n">
        <v>0.9</v>
      </c>
      <c r="U6" s="111" t="n">
        <v>0.08</v>
      </c>
      <c r="V6" s="111" t="n">
        <v>0.015</v>
      </c>
      <c r="W6" s="111" t="n">
        <v>0.004</v>
      </c>
      <c r="X6" s="111" t="n">
        <v>0.001</v>
      </c>
      <c r="Y6" s="112" t="n">
        <v>0</v>
      </c>
      <c r="Z6" s="113" t="n">
        <f aca="false">N6*$G6</f>
        <v>6.47191011235955</v>
      </c>
      <c r="AA6" s="114" t="n">
        <f aca="false">O6*$G6</f>
        <v>3.84269662921348</v>
      </c>
      <c r="AB6" s="114" t="n">
        <f aca="false">P6*$G6</f>
        <v>1.82022471910112</v>
      </c>
      <c r="AC6" s="114" t="n">
        <f aca="false">Q6*$G6</f>
        <v>1.61797752808989</v>
      </c>
      <c r="AD6" s="114" t="n">
        <f aca="false">R6*$G6</f>
        <v>1.71910112359551</v>
      </c>
      <c r="AE6" s="115" t="n">
        <f aca="false">S6*$G6</f>
        <v>2.52808988764045</v>
      </c>
      <c r="AF6" s="113" t="n">
        <f aca="false">T6*$L6</f>
        <v>5.4</v>
      </c>
      <c r="AG6" s="114" t="n">
        <f aca="false">U6*$L6</f>
        <v>0.48</v>
      </c>
      <c r="AH6" s="114" t="n">
        <f aca="false">V6*$L6</f>
        <v>0.09</v>
      </c>
      <c r="AI6" s="114" t="n">
        <f aca="false">W6*$L6</f>
        <v>0.024</v>
      </c>
      <c r="AJ6" s="114" t="n">
        <f aca="false">X6*$L6</f>
        <v>0.006</v>
      </c>
      <c r="AK6" s="115" t="n">
        <f aca="false">Y6*$L6</f>
        <v>0</v>
      </c>
      <c r="AL6" s="116" t="n">
        <f aca="false">Input!$C$11*QBs!D6+Input!$C$12*QBs!C6+Input!$C$13*QBs!E6+Input!$C$14*QBs!H6+Input!$C$15*QBs!Z6+Input!$C$16*QBs!AA6+Input!$C$17*QBs!AB6+Input!$C$18*QBs!AC6+Input!$C$19*QBs!AD6+Input!$C$20*QBs!AE6+Input!$C$21*QBs!F6+Input!$C$22*QBs!I6+Input!$C$23*QBs!J6+Input!$C$24*QBs!AF6+Input!$C$25*QBs!AG6+Input!$C$26*QBs!AH6+Input!$C$27*QBs!AI6+Input!$C$28*QBs!AJ6+Input!$C$29*QBs!AK6+Input!$C$30*QBs!K6+Input!$C$40*QBs!M6</f>
        <v>346.95993258427</v>
      </c>
    </row>
    <row r="7" customFormat="false" ht="12.75" hidden="false" customHeight="false" outlineLevel="0" collapsed="false">
      <c r="A7" s="92" t="s">
        <v>143</v>
      </c>
      <c r="B7" s="93" t="s">
        <v>144</v>
      </c>
      <c r="C7" s="94" t="n">
        <v>317</v>
      </c>
      <c r="D7" s="95" t="n">
        <v>540</v>
      </c>
      <c r="E7" s="96" t="n">
        <f aca="false">6.8*D7</f>
        <v>3672</v>
      </c>
      <c r="F7" s="96" t="n">
        <v>4</v>
      </c>
      <c r="G7" s="96" t="n">
        <v>22</v>
      </c>
      <c r="H7" s="97" t="n">
        <v>17</v>
      </c>
      <c r="I7" s="98" t="n">
        <v>60</v>
      </c>
      <c r="J7" s="96" t="n">
        <f aca="false">5*I7</f>
        <v>300</v>
      </c>
      <c r="K7" s="96" t="n">
        <v>0</v>
      </c>
      <c r="L7" s="97" t="n">
        <v>2</v>
      </c>
      <c r="M7" s="96" t="n">
        <v>3</v>
      </c>
      <c r="N7" s="107" t="n">
        <v>0.247933884297521</v>
      </c>
      <c r="O7" s="108" t="n">
        <v>0.239669421487603</v>
      </c>
      <c r="P7" s="108" t="n">
        <v>0.107438016528926</v>
      </c>
      <c r="Q7" s="108" t="n">
        <v>0.12396694214876</v>
      </c>
      <c r="R7" s="108" t="n">
        <v>0.0661157024793388</v>
      </c>
      <c r="S7" s="109" t="n">
        <v>0.214876033057851</v>
      </c>
      <c r="T7" s="110" t="n">
        <v>0.9</v>
      </c>
      <c r="U7" s="111" t="n">
        <v>0.08</v>
      </c>
      <c r="V7" s="111" t="n">
        <v>0.015</v>
      </c>
      <c r="W7" s="111" t="n">
        <v>0.004</v>
      </c>
      <c r="X7" s="111" t="n">
        <v>0.001</v>
      </c>
      <c r="Y7" s="112" t="n">
        <v>0</v>
      </c>
      <c r="Z7" s="113" t="n">
        <f aca="false">N7*$G7</f>
        <v>5.45454545454546</v>
      </c>
      <c r="AA7" s="114" t="n">
        <f aca="false">O7*$G7</f>
        <v>5.27272727272727</v>
      </c>
      <c r="AB7" s="114" t="n">
        <f aca="false">P7*$G7</f>
        <v>2.36363636363636</v>
      </c>
      <c r="AC7" s="114" t="n">
        <f aca="false">Q7*$G7</f>
        <v>2.72727272727273</v>
      </c>
      <c r="AD7" s="114" t="n">
        <f aca="false">R7*$G7</f>
        <v>1.45454545454545</v>
      </c>
      <c r="AE7" s="115" t="n">
        <f aca="false">S7*$G7</f>
        <v>4.72727272727273</v>
      </c>
      <c r="AF7" s="113" t="n">
        <f aca="false">T7*$L7</f>
        <v>1.8</v>
      </c>
      <c r="AG7" s="114" t="n">
        <f aca="false">U7*$L7</f>
        <v>0.16</v>
      </c>
      <c r="AH7" s="114" t="n">
        <f aca="false">V7*$L7</f>
        <v>0.03</v>
      </c>
      <c r="AI7" s="114" t="n">
        <f aca="false">W7*$L7</f>
        <v>0.008</v>
      </c>
      <c r="AJ7" s="114" t="n">
        <f aca="false">X7*$L7</f>
        <v>0.002</v>
      </c>
      <c r="AK7" s="115" t="n">
        <f aca="false">Y7*$L7</f>
        <v>0</v>
      </c>
      <c r="AL7" s="116" t="n">
        <f aca="false">Input!$C$11*QBs!D7+Input!$C$12*QBs!C7+Input!$C$13*QBs!E7+Input!$C$14*QBs!H7+Input!$C$15*QBs!Z7+Input!$C$16*QBs!AA7+Input!$C$17*QBs!AB7+Input!$C$18*QBs!AC7+Input!$C$19*QBs!AD7+Input!$C$20*QBs!AE7+Input!$C$21*QBs!F7+Input!$C$22*QBs!I7+Input!$C$23*QBs!J7+Input!$C$24*QBs!AF7+Input!$C$25*QBs!AG7+Input!$C$26*QBs!AH7+Input!$C$27*QBs!AI7+Input!$C$28*QBs!AJ7+Input!$C$29*QBs!AK7+Input!$C$30*QBs!K7+Input!$C$40*QBs!M7</f>
        <v>348.488363636364</v>
      </c>
    </row>
    <row r="8" customFormat="false" ht="12.75" hidden="false" customHeight="false" outlineLevel="0" collapsed="false">
      <c r="A8" s="92" t="s">
        <v>145</v>
      </c>
      <c r="B8" s="93" t="s">
        <v>146</v>
      </c>
      <c r="C8" s="117" t="n">
        <v>297</v>
      </c>
      <c r="D8" s="118" t="n">
        <v>500</v>
      </c>
      <c r="E8" s="96" t="n">
        <f aca="false">7.3*D8</f>
        <v>3650</v>
      </c>
      <c r="F8" s="96" t="n">
        <v>2</v>
      </c>
      <c r="G8" s="96" t="n">
        <v>22</v>
      </c>
      <c r="H8" s="97" t="n">
        <v>14</v>
      </c>
      <c r="I8" s="98" t="n">
        <v>45</v>
      </c>
      <c r="J8" s="96" t="n">
        <f aca="false">5.3*I8</f>
        <v>238.5</v>
      </c>
      <c r="K8" s="96" t="n">
        <v>0</v>
      </c>
      <c r="L8" s="97" t="n">
        <v>2</v>
      </c>
      <c r="M8" s="96" t="n">
        <v>4</v>
      </c>
      <c r="N8" s="119" t="n">
        <v>0.443609022556391</v>
      </c>
      <c r="O8" s="120" t="n">
        <v>0.240601503759398</v>
      </c>
      <c r="P8" s="120" t="n">
        <v>0.218045112781955</v>
      </c>
      <c r="Q8" s="120" t="n">
        <v>0.0300751879699248</v>
      </c>
      <c r="R8" s="120" t="n">
        <v>0.0451127819548872</v>
      </c>
      <c r="S8" s="121" t="n">
        <v>0.0225563909774436</v>
      </c>
      <c r="T8" s="110" t="n">
        <v>0.9</v>
      </c>
      <c r="U8" s="111" t="n">
        <v>0.08</v>
      </c>
      <c r="V8" s="111" t="n">
        <v>0.015</v>
      </c>
      <c r="W8" s="111" t="n">
        <v>0.004</v>
      </c>
      <c r="X8" s="111" t="n">
        <v>0.001</v>
      </c>
      <c r="Y8" s="112" t="n">
        <v>0</v>
      </c>
      <c r="Z8" s="113" t="n">
        <f aca="false">N8*$G8</f>
        <v>9.7593984962406</v>
      </c>
      <c r="AA8" s="114" t="n">
        <f aca="false">O8*$G8</f>
        <v>5.29323308270677</v>
      </c>
      <c r="AB8" s="114" t="n">
        <f aca="false">P8*$G8</f>
        <v>4.79699248120301</v>
      </c>
      <c r="AC8" s="114" t="n">
        <f aca="false">Q8*$G8</f>
        <v>0.661654135338346</v>
      </c>
      <c r="AD8" s="114" t="n">
        <f aca="false">R8*$G8</f>
        <v>0.992481203007519</v>
      </c>
      <c r="AE8" s="115" t="n">
        <f aca="false">S8*$G8</f>
        <v>0.496240601503759</v>
      </c>
      <c r="AF8" s="113" t="n">
        <f aca="false">T8*$L8</f>
        <v>1.8</v>
      </c>
      <c r="AG8" s="114" t="n">
        <f aca="false">U8*$L8</f>
        <v>0.16</v>
      </c>
      <c r="AH8" s="114" t="n">
        <f aca="false">V8*$L8</f>
        <v>0.03</v>
      </c>
      <c r="AI8" s="114" t="n">
        <f aca="false">W8*$L8</f>
        <v>0.008</v>
      </c>
      <c r="AJ8" s="114" t="n">
        <f aca="false">X8*$L8</f>
        <v>0.002</v>
      </c>
      <c r="AK8" s="115" t="n">
        <f aca="false">Y8*$L8</f>
        <v>0</v>
      </c>
      <c r="AL8" s="116" t="n">
        <f aca="false">Input!$C$11*QBs!D8+Input!$C$12*QBs!C8+Input!$C$13*QBs!E8+Input!$C$14*QBs!H8+Input!$C$15*QBs!Z8+Input!$C$16*QBs!AA8+Input!$C$17*QBs!AB8+Input!$C$18*QBs!AC8+Input!$C$19*QBs!AD8+Input!$C$20*QBs!AE8+Input!$C$21*QBs!F8+Input!$C$22*QBs!I8+Input!$C$23*QBs!J8+Input!$C$24*QBs!AF8+Input!$C$25*QBs!AG8+Input!$C$26*QBs!AH8+Input!$C$27*QBs!AI8+Input!$C$28*QBs!AJ8+Input!$C$29*QBs!AK8+Input!$C$30*QBs!K8+Input!$C$40*QBs!M8</f>
        <v>309.925308270677</v>
      </c>
    </row>
    <row r="9" customFormat="false" ht="12.75" hidden="false" customHeight="false" outlineLevel="0" collapsed="false">
      <c r="A9" s="92" t="s">
        <v>147</v>
      </c>
      <c r="B9" s="93" t="s">
        <v>148</v>
      </c>
      <c r="C9" s="94" t="n">
        <v>308</v>
      </c>
      <c r="D9" s="95" t="n">
        <v>530</v>
      </c>
      <c r="E9" s="96" t="n">
        <f aca="false">6.78*D9</f>
        <v>3593.4</v>
      </c>
      <c r="F9" s="96" t="n">
        <v>3</v>
      </c>
      <c r="G9" s="96" t="n">
        <v>21</v>
      </c>
      <c r="H9" s="97" t="n">
        <v>17</v>
      </c>
      <c r="I9" s="98" t="n">
        <v>50</v>
      </c>
      <c r="J9" s="96" t="n">
        <f aca="false">5.1*I9</f>
        <v>255</v>
      </c>
      <c r="K9" s="96" t="n">
        <v>0</v>
      </c>
      <c r="L9" s="97" t="n">
        <v>2</v>
      </c>
      <c r="M9" s="96" t="n">
        <v>2</v>
      </c>
      <c r="N9" s="107" t="n">
        <v>0.359550561797753</v>
      </c>
      <c r="O9" s="108" t="n">
        <v>0.213483146067416</v>
      </c>
      <c r="P9" s="108" t="n">
        <v>0.101123595505618</v>
      </c>
      <c r="Q9" s="108" t="n">
        <v>0.0898876404494382</v>
      </c>
      <c r="R9" s="108" t="n">
        <v>0.0955056179775281</v>
      </c>
      <c r="S9" s="109" t="n">
        <v>0.140449438202247</v>
      </c>
      <c r="T9" s="110" t="n">
        <v>0.9</v>
      </c>
      <c r="U9" s="111" t="n">
        <v>0.08</v>
      </c>
      <c r="V9" s="111" t="n">
        <v>0.015</v>
      </c>
      <c r="W9" s="111" t="n">
        <v>0.004</v>
      </c>
      <c r="X9" s="111" t="n">
        <v>0.001</v>
      </c>
      <c r="Y9" s="112" t="n">
        <v>0</v>
      </c>
      <c r="Z9" s="113" t="n">
        <f aca="false">N9*$G9</f>
        <v>7.55056179775281</v>
      </c>
      <c r="AA9" s="114" t="n">
        <f aca="false">O9*$G9</f>
        <v>4.48314606741573</v>
      </c>
      <c r="AB9" s="114" t="n">
        <f aca="false">P9*$G9</f>
        <v>2.12359550561798</v>
      </c>
      <c r="AC9" s="114" t="n">
        <f aca="false">Q9*$G9</f>
        <v>1.8876404494382</v>
      </c>
      <c r="AD9" s="114" t="n">
        <f aca="false">R9*$G9</f>
        <v>2.00561797752809</v>
      </c>
      <c r="AE9" s="115" t="n">
        <f aca="false">S9*$G9</f>
        <v>2.94943820224719</v>
      </c>
      <c r="AF9" s="113" t="n">
        <f aca="false">T9*$L9</f>
        <v>1.8</v>
      </c>
      <c r="AG9" s="114" t="n">
        <f aca="false">U9*$L9</f>
        <v>0.16</v>
      </c>
      <c r="AH9" s="114" t="n">
        <f aca="false">V9*$L9</f>
        <v>0.03</v>
      </c>
      <c r="AI9" s="114" t="n">
        <f aca="false">W9*$L9</f>
        <v>0.008</v>
      </c>
      <c r="AJ9" s="114" t="n">
        <f aca="false">X9*$L9</f>
        <v>0.002</v>
      </c>
      <c r="AK9" s="115" t="n">
        <f aca="false">Y9*$L9</f>
        <v>0</v>
      </c>
      <c r="AL9" s="116" t="n">
        <f aca="false">Input!$C$11*QBs!D9+Input!$C$12*QBs!C9+Input!$C$13*QBs!E9+Input!$C$14*QBs!H9+Input!$C$15*QBs!Z9+Input!$C$16*QBs!AA9+Input!$C$17*QBs!AB9+Input!$C$18*QBs!AC9+Input!$C$19*QBs!AD9+Input!$C$20*QBs!AE9+Input!$C$21*QBs!F9+Input!$C$22*QBs!I9+Input!$C$23*QBs!J9+Input!$C$24*QBs!AF9+Input!$C$25*QBs!AG9+Input!$C$26*QBs!AH9+Input!$C$27*QBs!AI9+Input!$C$28*QBs!AJ9+Input!$C$29*QBs!AK9+Input!$C$30*QBs!K9+Input!$C$40*QBs!M9</f>
        <v>324.584921348315</v>
      </c>
    </row>
    <row r="10" customFormat="false" ht="12.75" hidden="false" customHeight="false" outlineLevel="0" collapsed="false">
      <c r="A10" s="92" t="s">
        <v>149</v>
      </c>
      <c r="B10" s="93" t="s">
        <v>150</v>
      </c>
      <c r="C10" s="94" t="n">
        <v>302</v>
      </c>
      <c r="D10" s="95" t="n">
        <v>510</v>
      </c>
      <c r="E10" s="96" t="n">
        <f aca="false">7.4*D10</f>
        <v>3774</v>
      </c>
      <c r="F10" s="96" t="n">
        <v>4</v>
      </c>
      <c r="G10" s="96" t="n">
        <v>23</v>
      </c>
      <c r="H10" s="97" t="n">
        <v>13</v>
      </c>
      <c r="I10" s="98" t="n">
        <v>20</v>
      </c>
      <c r="J10" s="96" t="n">
        <f aca="false">2.2*I10</f>
        <v>44</v>
      </c>
      <c r="K10" s="96" t="n">
        <v>0</v>
      </c>
      <c r="L10" s="97" t="n">
        <v>1</v>
      </c>
      <c r="M10" s="96" t="n">
        <v>5</v>
      </c>
      <c r="N10" s="107" t="n">
        <v>0.247933884297521</v>
      </c>
      <c r="O10" s="108" t="n">
        <v>0.239669421487603</v>
      </c>
      <c r="P10" s="108" t="n">
        <v>0.107438016528926</v>
      </c>
      <c r="Q10" s="108" t="n">
        <v>0.12396694214876</v>
      </c>
      <c r="R10" s="108" t="n">
        <v>0.0661157024793388</v>
      </c>
      <c r="S10" s="109" t="n">
        <v>0.214876033057851</v>
      </c>
      <c r="T10" s="110" t="n">
        <v>0.9</v>
      </c>
      <c r="U10" s="111" t="n">
        <v>0.08</v>
      </c>
      <c r="V10" s="111" t="n">
        <v>0.015</v>
      </c>
      <c r="W10" s="111" t="n">
        <v>0.004</v>
      </c>
      <c r="X10" s="111" t="n">
        <v>0.001</v>
      </c>
      <c r="Y10" s="112" t="n">
        <v>0</v>
      </c>
      <c r="Z10" s="113" t="n">
        <f aca="false">N10*$G10</f>
        <v>5.70247933884298</v>
      </c>
      <c r="AA10" s="114" t="n">
        <f aca="false">O10*$G10</f>
        <v>5.51239669421488</v>
      </c>
      <c r="AB10" s="114" t="n">
        <f aca="false">P10*$G10</f>
        <v>2.47107438016529</v>
      </c>
      <c r="AC10" s="114" t="n">
        <f aca="false">Q10*$G10</f>
        <v>2.85123966942149</v>
      </c>
      <c r="AD10" s="114" t="n">
        <f aca="false">R10*$G10</f>
        <v>1.52066115702479</v>
      </c>
      <c r="AE10" s="115" t="n">
        <f aca="false">S10*$G10</f>
        <v>4.94214876033058</v>
      </c>
      <c r="AF10" s="113" t="n">
        <f aca="false">T10*$L10</f>
        <v>0.9</v>
      </c>
      <c r="AG10" s="114" t="n">
        <f aca="false">U10*$L10</f>
        <v>0.08</v>
      </c>
      <c r="AH10" s="114" t="n">
        <f aca="false">V10*$L10</f>
        <v>0.015</v>
      </c>
      <c r="AI10" s="114" t="n">
        <f aca="false">W10*$L10</f>
        <v>0.004</v>
      </c>
      <c r="AJ10" s="114" t="n">
        <f aca="false">X10*$L10</f>
        <v>0.001</v>
      </c>
      <c r="AK10" s="115" t="n">
        <f aca="false">Y10*$L10</f>
        <v>0</v>
      </c>
      <c r="AL10" s="116" t="n">
        <f aca="false">Input!$C$11*QBs!D10+Input!$C$12*QBs!C10+Input!$C$13*QBs!E10+Input!$C$14*QBs!H10+Input!$C$15*QBs!Z10+Input!$C$16*QBs!AA10+Input!$C$17*QBs!AB10+Input!$C$18*QBs!AC10+Input!$C$19*QBs!AD10+Input!$C$20*QBs!AE10+Input!$C$21*QBs!F10+Input!$C$22*QBs!I10+Input!$C$23*QBs!J10+Input!$C$24*QBs!AF10+Input!$C$25*QBs!AG10+Input!$C$26*QBs!AH10+Input!$C$27*QBs!AI10+Input!$C$28*QBs!AJ10+Input!$C$29*QBs!AK10+Input!$C$30*QBs!K10+Input!$C$40*QBs!M10</f>
        <v>325.027652892562</v>
      </c>
    </row>
    <row r="11" customFormat="false" ht="12.75" hidden="false" customHeight="false" outlineLevel="0" collapsed="false">
      <c r="A11" s="92" t="s">
        <v>151</v>
      </c>
      <c r="B11" s="93" t="s">
        <v>152</v>
      </c>
      <c r="C11" s="94" t="n">
        <v>259</v>
      </c>
      <c r="D11" s="95" t="n">
        <v>475</v>
      </c>
      <c r="E11" s="96" t="n">
        <f aca="false">7.3*D11</f>
        <v>3467.5</v>
      </c>
      <c r="F11" s="96" t="n">
        <v>3</v>
      </c>
      <c r="G11" s="96" t="n">
        <v>19</v>
      </c>
      <c r="H11" s="97" t="n">
        <v>16</v>
      </c>
      <c r="I11" s="98" t="n">
        <v>60</v>
      </c>
      <c r="J11" s="96" t="n">
        <f aca="false">5.2*I11</f>
        <v>312</v>
      </c>
      <c r="K11" s="96" t="n">
        <v>0</v>
      </c>
      <c r="L11" s="97" t="n">
        <v>2</v>
      </c>
      <c r="M11" s="96" t="n">
        <v>5</v>
      </c>
      <c r="N11" s="107" t="n">
        <v>0.247933884297521</v>
      </c>
      <c r="O11" s="108" t="n">
        <v>0.239669421487603</v>
      </c>
      <c r="P11" s="108" t="n">
        <v>0.107438016528926</v>
      </c>
      <c r="Q11" s="108" t="n">
        <v>0.12396694214876</v>
      </c>
      <c r="R11" s="108" t="n">
        <v>0.0661157024793388</v>
      </c>
      <c r="S11" s="109" t="n">
        <v>0.214876033057851</v>
      </c>
      <c r="T11" s="110" t="n">
        <v>0.9</v>
      </c>
      <c r="U11" s="111" t="n">
        <v>0.08</v>
      </c>
      <c r="V11" s="111" t="n">
        <v>0.015</v>
      </c>
      <c r="W11" s="111" t="n">
        <v>0.004</v>
      </c>
      <c r="X11" s="111" t="n">
        <v>0.001</v>
      </c>
      <c r="Y11" s="112" t="n">
        <v>0</v>
      </c>
      <c r="Z11" s="113" t="n">
        <f aca="false">N11*$G11</f>
        <v>4.71074380165289</v>
      </c>
      <c r="AA11" s="114" t="n">
        <f aca="false">O11*$G11</f>
        <v>4.55371900826446</v>
      </c>
      <c r="AB11" s="114" t="n">
        <f aca="false">P11*$G11</f>
        <v>2.04132231404959</v>
      </c>
      <c r="AC11" s="114" t="n">
        <f aca="false">Q11*$G11</f>
        <v>2.35537190082645</v>
      </c>
      <c r="AD11" s="114" t="n">
        <f aca="false">R11*$G11</f>
        <v>1.25619834710744</v>
      </c>
      <c r="AE11" s="115" t="n">
        <f aca="false">S11*$G11</f>
        <v>4.08264462809917</v>
      </c>
      <c r="AF11" s="113" t="n">
        <f aca="false">T11*$L11</f>
        <v>1.8</v>
      </c>
      <c r="AG11" s="114" t="n">
        <f aca="false">U11*$L11</f>
        <v>0.16</v>
      </c>
      <c r="AH11" s="114" t="n">
        <f aca="false">V11*$L11</f>
        <v>0.03</v>
      </c>
      <c r="AI11" s="114" t="n">
        <f aca="false">W11*$L11</f>
        <v>0.008</v>
      </c>
      <c r="AJ11" s="114" t="n">
        <f aca="false">X11*$L11</f>
        <v>0.002</v>
      </c>
      <c r="AK11" s="115" t="n">
        <f aca="false">Y11*$L11</f>
        <v>0</v>
      </c>
      <c r="AL11" s="116" t="n">
        <f aca="false">Input!$C$11*QBs!D11+Input!$C$12*QBs!C11+Input!$C$13*QBs!E11+Input!$C$14*QBs!H11+Input!$C$15*QBs!Z11+Input!$C$16*QBs!AA11+Input!$C$17*QBs!AB11+Input!$C$18*QBs!AC11+Input!$C$19*QBs!AD11+Input!$C$20*QBs!AE11+Input!$C$21*QBs!F11+Input!$C$22*QBs!I11+Input!$C$23*QBs!J11+Input!$C$24*QBs!AF11+Input!$C$25*QBs!AG11+Input!$C$26*QBs!AH11+Input!$C$27*QBs!AI11+Input!$C$28*QBs!AJ11+Input!$C$29*QBs!AK11+Input!$C$30*QBs!K11+Input!$C$40*QBs!M11</f>
        <v>318.967495867769</v>
      </c>
    </row>
    <row r="12" customFormat="false" ht="12.75" hidden="false" customHeight="false" outlineLevel="0" collapsed="false">
      <c r="A12" s="92" t="s">
        <v>153</v>
      </c>
      <c r="B12" s="93" t="s">
        <v>154</v>
      </c>
      <c r="C12" s="94" t="n">
        <v>297</v>
      </c>
      <c r="D12" s="95" t="n">
        <v>500</v>
      </c>
      <c r="E12" s="96" t="n">
        <f aca="false">7.5*D12</f>
        <v>3750</v>
      </c>
      <c r="F12" s="96" t="n">
        <v>4</v>
      </c>
      <c r="G12" s="96" t="n">
        <v>18</v>
      </c>
      <c r="H12" s="97" t="n">
        <v>11</v>
      </c>
      <c r="I12" s="98" t="n">
        <v>45</v>
      </c>
      <c r="J12" s="96" t="n">
        <f aca="false">4.7*I12</f>
        <v>211.5</v>
      </c>
      <c r="K12" s="96" t="n">
        <v>0</v>
      </c>
      <c r="L12" s="97" t="n">
        <v>2</v>
      </c>
      <c r="M12" s="96" t="n">
        <v>2</v>
      </c>
      <c r="N12" s="119" t="n">
        <v>0.443609022556391</v>
      </c>
      <c r="O12" s="120" t="n">
        <v>0.240601503759398</v>
      </c>
      <c r="P12" s="120" t="n">
        <v>0.218045112781955</v>
      </c>
      <c r="Q12" s="120" t="n">
        <v>0.0300751879699248</v>
      </c>
      <c r="R12" s="120" t="n">
        <v>0.0451127819548872</v>
      </c>
      <c r="S12" s="121" t="n">
        <v>0.0225563909774436</v>
      </c>
      <c r="T12" s="110" t="n">
        <v>0.9</v>
      </c>
      <c r="U12" s="111" t="n">
        <v>0.08</v>
      </c>
      <c r="V12" s="111" t="n">
        <v>0.015</v>
      </c>
      <c r="W12" s="111" t="n">
        <v>0.004</v>
      </c>
      <c r="X12" s="111" t="n">
        <v>0.001</v>
      </c>
      <c r="Y12" s="112" t="n">
        <v>0</v>
      </c>
      <c r="Z12" s="113" t="n">
        <f aca="false">N12*$G12</f>
        <v>7.98496240601504</v>
      </c>
      <c r="AA12" s="114" t="n">
        <f aca="false">O12*$G12</f>
        <v>4.33082706766917</v>
      </c>
      <c r="AB12" s="114" t="n">
        <f aca="false">P12*$G12</f>
        <v>3.92481203007519</v>
      </c>
      <c r="AC12" s="114" t="n">
        <f aca="false">Q12*$G12</f>
        <v>0.541353383458647</v>
      </c>
      <c r="AD12" s="114" t="n">
        <f aca="false">R12*$G12</f>
        <v>0.81203007518797</v>
      </c>
      <c r="AE12" s="115" t="n">
        <f aca="false">S12*$G12</f>
        <v>0.406015037593985</v>
      </c>
      <c r="AF12" s="113" t="n">
        <f aca="false">T12*$L12</f>
        <v>1.8</v>
      </c>
      <c r="AG12" s="114" t="n">
        <f aca="false">U12*$L12</f>
        <v>0.16</v>
      </c>
      <c r="AH12" s="114" t="n">
        <f aca="false">V12*$L12</f>
        <v>0.03</v>
      </c>
      <c r="AI12" s="114" t="n">
        <f aca="false">W12*$L12</f>
        <v>0.008</v>
      </c>
      <c r="AJ12" s="114" t="n">
        <f aca="false">X12*$L12</f>
        <v>0.002</v>
      </c>
      <c r="AK12" s="115" t="n">
        <f aca="false">Y12*$L12</f>
        <v>0</v>
      </c>
      <c r="AL12" s="116" t="n">
        <f aca="false">Input!$C$11*QBs!D12+Input!$C$12*QBs!C12+Input!$C$13*QBs!E12+Input!$C$14*QBs!H12+Input!$C$15*QBs!Z12+Input!$C$16*QBs!AA12+Input!$C$17*QBs!AB12+Input!$C$18*QBs!AC12+Input!$C$19*QBs!AD12+Input!$C$20*QBs!AE12+Input!$C$21*QBs!F12+Input!$C$22*QBs!I12+Input!$C$23*QBs!J12+Input!$C$24*QBs!AF12+Input!$C$25*QBs!AG12+Input!$C$26*QBs!AH12+Input!$C$27*QBs!AI12+Input!$C$28*QBs!AJ12+Input!$C$29*QBs!AK12+Input!$C$30*QBs!K12+Input!$C$40*QBs!M12</f>
        <v>303.984706766917</v>
      </c>
    </row>
    <row r="13" customFormat="false" ht="12.75" hidden="false" customHeight="false" outlineLevel="0" collapsed="false">
      <c r="A13" s="92" t="s">
        <v>155</v>
      </c>
      <c r="B13" s="93" t="s">
        <v>156</v>
      </c>
      <c r="C13" s="94" t="n">
        <v>266</v>
      </c>
      <c r="D13" s="95" t="n">
        <v>470</v>
      </c>
      <c r="E13" s="96" t="n">
        <f aca="false">7.6*D13</f>
        <v>3572</v>
      </c>
      <c r="F13" s="96" t="n">
        <v>4</v>
      </c>
      <c r="G13" s="96" t="n">
        <v>25</v>
      </c>
      <c r="H13" s="97" t="n">
        <v>15</v>
      </c>
      <c r="I13" s="98" t="n">
        <v>24</v>
      </c>
      <c r="J13" s="96" t="n">
        <f aca="false">2.9*I13</f>
        <v>69.6</v>
      </c>
      <c r="K13" s="96" t="n">
        <v>0</v>
      </c>
      <c r="L13" s="97" t="n">
        <v>0</v>
      </c>
      <c r="M13" s="96" t="n">
        <v>5</v>
      </c>
      <c r="N13" s="107" t="n">
        <v>0.359550561797753</v>
      </c>
      <c r="O13" s="108" t="n">
        <v>0.213483146067416</v>
      </c>
      <c r="P13" s="108" t="n">
        <v>0.101123595505618</v>
      </c>
      <c r="Q13" s="108" t="n">
        <v>0.0898876404494382</v>
      </c>
      <c r="R13" s="108" t="n">
        <v>0.0955056179775281</v>
      </c>
      <c r="S13" s="109" t="n">
        <v>0.140449438202247</v>
      </c>
      <c r="T13" s="110" t="n">
        <v>0.9</v>
      </c>
      <c r="U13" s="111" t="n">
        <v>0.08</v>
      </c>
      <c r="V13" s="111" t="n">
        <v>0.015</v>
      </c>
      <c r="W13" s="111" t="n">
        <v>0.004</v>
      </c>
      <c r="X13" s="111" t="n">
        <v>0.001</v>
      </c>
      <c r="Y13" s="112" t="n">
        <v>0</v>
      </c>
      <c r="Z13" s="113" t="n">
        <f aca="false">N13*$G13</f>
        <v>8.98876404494382</v>
      </c>
      <c r="AA13" s="114" t="n">
        <f aca="false">O13*$G13</f>
        <v>5.33707865168539</v>
      </c>
      <c r="AB13" s="114" t="n">
        <f aca="false">P13*$G13</f>
        <v>2.52808988764045</v>
      </c>
      <c r="AC13" s="114" t="n">
        <f aca="false">Q13*$G13</f>
        <v>2.24719101123596</v>
      </c>
      <c r="AD13" s="114" t="n">
        <f aca="false">R13*$G13</f>
        <v>2.3876404494382</v>
      </c>
      <c r="AE13" s="115" t="n">
        <f aca="false">S13*$G13</f>
        <v>3.51123595505618</v>
      </c>
      <c r="AF13" s="113" t="n">
        <f aca="false">T13*$L13</f>
        <v>0</v>
      </c>
      <c r="AG13" s="114" t="n">
        <f aca="false">U13*$L13</f>
        <v>0</v>
      </c>
      <c r="AH13" s="114" t="n">
        <f aca="false">V13*$L13</f>
        <v>0</v>
      </c>
      <c r="AI13" s="114" t="n">
        <f aca="false">W13*$L13</f>
        <v>0</v>
      </c>
      <c r="AJ13" s="114" t="n">
        <f aca="false">X13*$L13</f>
        <v>0</v>
      </c>
      <c r="AK13" s="115" t="n">
        <f aca="false">Y13*$L13</f>
        <v>0</v>
      </c>
      <c r="AL13" s="116" t="n">
        <f aca="false">Input!$C$11*QBs!D13+Input!$C$12*QBs!C13+Input!$C$13*QBs!E13+Input!$C$14*QBs!H13+Input!$C$15*QBs!Z13+Input!$C$16*QBs!AA13+Input!$C$17*QBs!AB13+Input!$C$18*QBs!AC13+Input!$C$19*QBs!AD13+Input!$C$20*QBs!AE13+Input!$C$21*QBs!F13+Input!$C$22*QBs!I13+Input!$C$23*QBs!J13+Input!$C$24*QBs!AF13+Input!$C$25*QBs!AG13+Input!$C$26*QBs!AH13+Input!$C$27*QBs!AI13+Input!$C$28*QBs!AJ13+Input!$C$29*QBs!AK13+Input!$C$30*QBs!K13+Input!$C$40*QBs!M13</f>
        <v>311.801573033708</v>
      </c>
    </row>
    <row r="14" customFormat="false" ht="12.75" hidden="false" customHeight="false" outlineLevel="0" collapsed="false">
      <c r="A14" s="92" t="s">
        <v>157</v>
      </c>
      <c r="B14" s="93" t="s">
        <v>158</v>
      </c>
      <c r="C14" s="94" t="n">
        <v>287</v>
      </c>
      <c r="D14" s="95" t="n">
        <v>510</v>
      </c>
      <c r="E14" s="96" t="n">
        <f aca="false">6.55*D14</f>
        <v>3340.5</v>
      </c>
      <c r="F14" s="96" t="n">
        <v>2</v>
      </c>
      <c r="G14" s="96" t="n">
        <v>19</v>
      </c>
      <c r="H14" s="97" t="n">
        <v>13</v>
      </c>
      <c r="I14" s="98" t="n">
        <v>50</v>
      </c>
      <c r="J14" s="96" t="n">
        <f aca="false">5*I14</f>
        <v>250</v>
      </c>
      <c r="K14" s="96" t="n">
        <v>0</v>
      </c>
      <c r="L14" s="97" t="n">
        <v>1</v>
      </c>
      <c r="M14" s="96" t="n">
        <v>6</v>
      </c>
      <c r="N14" s="107" t="n">
        <v>0.247933884297521</v>
      </c>
      <c r="O14" s="108" t="n">
        <v>0.239669421487603</v>
      </c>
      <c r="P14" s="108" t="n">
        <v>0.107438016528926</v>
      </c>
      <c r="Q14" s="108" t="n">
        <v>0.12396694214876</v>
      </c>
      <c r="R14" s="108" t="n">
        <v>0.0661157024793388</v>
      </c>
      <c r="S14" s="109" t="n">
        <v>0.214876033057851</v>
      </c>
      <c r="T14" s="110" t="n">
        <v>0.9</v>
      </c>
      <c r="U14" s="111" t="n">
        <v>0.08</v>
      </c>
      <c r="V14" s="111" t="n">
        <v>0.015</v>
      </c>
      <c r="W14" s="111" t="n">
        <v>0.004</v>
      </c>
      <c r="X14" s="111" t="n">
        <v>0.001</v>
      </c>
      <c r="Y14" s="112" t="n">
        <v>0</v>
      </c>
      <c r="Z14" s="113" t="n">
        <f aca="false">N14*$G14</f>
        <v>4.71074380165289</v>
      </c>
      <c r="AA14" s="114" t="n">
        <f aca="false">O14*$G14</f>
        <v>4.55371900826446</v>
      </c>
      <c r="AB14" s="114" t="n">
        <f aca="false">P14*$G14</f>
        <v>2.04132231404959</v>
      </c>
      <c r="AC14" s="114" t="n">
        <f aca="false">Q14*$G14</f>
        <v>2.35537190082645</v>
      </c>
      <c r="AD14" s="114" t="n">
        <f aca="false">R14*$G14</f>
        <v>1.25619834710744</v>
      </c>
      <c r="AE14" s="115" t="n">
        <f aca="false">S14*$G14</f>
        <v>4.08264462809917</v>
      </c>
      <c r="AF14" s="113" t="n">
        <f aca="false">T14*$L14</f>
        <v>0.9</v>
      </c>
      <c r="AG14" s="114" t="n">
        <f aca="false">U14*$L14</f>
        <v>0.08</v>
      </c>
      <c r="AH14" s="114" t="n">
        <f aca="false">V14*$L14</f>
        <v>0.015</v>
      </c>
      <c r="AI14" s="114" t="n">
        <f aca="false">W14*$L14</f>
        <v>0.004</v>
      </c>
      <c r="AJ14" s="114" t="n">
        <f aca="false">X14*$L14</f>
        <v>0.001</v>
      </c>
      <c r="AK14" s="115" t="n">
        <f aca="false">Y14*$L14</f>
        <v>0</v>
      </c>
      <c r="AL14" s="116" t="n">
        <f aca="false">Input!$C$11*QBs!D14+Input!$C$12*QBs!C14+Input!$C$13*QBs!E14+Input!$C$14*QBs!H14+Input!$C$15*QBs!Z14+Input!$C$16*QBs!AA14+Input!$C$17*QBs!AB14+Input!$C$18*QBs!AC14+Input!$C$19*QBs!AD14+Input!$C$20*QBs!AE14+Input!$C$21*QBs!F14+Input!$C$22*QBs!I14+Input!$C$23*QBs!J14+Input!$C$24*QBs!AF14+Input!$C$25*QBs!AG14+Input!$C$26*QBs!AH14+Input!$C$27*QBs!AI14+Input!$C$28*QBs!AJ14+Input!$C$29*QBs!AK14+Input!$C$30*QBs!K14+Input!$C$40*QBs!M14</f>
        <v>296.291495867769</v>
      </c>
    </row>
    <row r="15" customFormat="false" ht="12.75" hidden="false" customHeight="false" outlineLevel="0" collapsed="false">
      <c r="A15" s="92" t="s">
        <v>159</v>
      </c>
      <c r="B15" s="93" t="s">
        <v>160</v>
      </c>
      <c r="C15" s="94" t="n">
        <v>248</v>
      </c>
      <c r="D15" s="95" t="n">
        <v>470</v>
      </c>
      <c r="E15" s="96" t="n">
        <f aca="false">6.6*D15</f>
        <v>3102</v>
      </c>
      <c r="F15" s="96" t="n">
        <v>1</v>
      </c>
      <c r="G15" s="96" t="n">
        <v>21</v>
      </c>
      <c r="H15" s="97" t="n">
        <v>19</v>
      </c>
      <c r="I15" s="98" t="n">
        <v>65</v>
      </c>
      <c r="J15" s="96" t="n">
        <f aca="false">4.5*I15</f>
        <v>292.5</v>
      </c>
      <c r="K15" s="96" t="n">
        <v>0</v>
      </c>
      <c r="L15" s="97" t="n">
        <v>4</v>
      </c>
      <c r="M15" s="96" t="n">
        <v>5</v>
      </c>
      <c r="N15" s="119" t="n">
        <v>0.443609022556391</v>
      </c>
      <c r="O15" s="120" t="n">
        <v>0.240601503759398</v>
      </c>
      <c r="P15" s="120" t="n">
        <v>0.218045112781955</v>
      </c>
      <c r="Q15" s="120" t="n">
        <v>0.0300751879699248</v>
      </c>
      <c r="R15" s="120" t="n">
        <v>0.0451127819548872</v>
      </c>
      <c r="S15" s="121" t="n">
        <v>0.0225563909774436</v>
      </c>
      <c r="T15" s="110" t="n">
        <v>0.9</v>
      </c>
      <c r="U15" s="111" t="n">
        <v>0.08</v>
      </c>
      <c r="V15" s="111" t="n">
        <v>0.015</v>
      </c>
      <c r="W15" s="111" t="n">
        <v>0.004</v>
      </c>
      <c r="X15" s="111" t="n">
        <v>0.001</v>
      </c>
      <c r="Y15" s="112" t="n">
        <v>0</v>
      </c>
      <c r="Z15" s="113" t="n">
        <f aca="false">N15*$G15</f>
        <v>9.31578947368421</v>
      </c>
      <c r="AA15" s="114" t="n">
        <f aca="false">O15*$G15</f>
        <v>5.05263157894737</v>
      </c>
      <c r="AB15" s="114" t="n">
        <f aca="false">P15*$G15</f>
        <v>4.57894736842105</v>
      </c>
      <c r="AC15" s="114" t="n">
        <f aca="false">Q15*$G15</f>
        <v>0.631578947368421</v>
      </c>
      <c r="AD15" s="114" t="n">
        <f aca="false">R15*$G15</f>
        <v>0.947368421052632</v>
      </c>
      <c r="AE15" s="115" t="n">
        <f aca="false">S15*$G15</f>
        <v>0.473684210526316</v>
      </c>
      <c r="AF15" s="113" t="n">
        <f aca="false">T15*$L15</f>
        <v>3.6</v>
      </c>
      <c r="AG15" s="114" t="n">
        <f aca="false">U15*$L15</f>
        <v>0.32</v>
      </c>
      <c r="AH15" s="114" t="n">
        <f aca="false">V15*$L15</f>
        <v>0.06</v>
      </c>
      <c r="AI15" s="114" t="n">
        <f aca="false">W15*$L15</f>
        <v>0.016</v>
      </c>
      <c r="AJ15" s="114" t="n">
        <f aca="false">X15*$L15</f>
        <v>0.004</v>
      </c>
      <c r="AK15" s="115" t="n">
        <f aca="false">Y15*$L15</f>
        <v>0</v>
      </c>
      <c r="AL15" s="116" t="n">
        <f aca="false">Input!$C$11*QBs!D15+Input!$C$12*QBs!C15+Input!$C$13*QBs!E15+Input!$C$14*QBs!H15+Input!$C$15*QBs!Z15+Input!$C$16*QBs!AA15+Input!$C$17*QBs!AB15+Input!$C$18*QBs!AC15+Input!$C$19*QBs!AD15+Input!$C$20*QBs!AE15+Input!$C$21*QBs!F15+Input!$C$22*QBs!I15+Input!$C$23*QBs!J15+Input!$C$24*QBs!AF15+Input!$C$25*QBs!AG15+Input!$C$26*QBs!AH15+Input!$C$27*QBs!AI15+Input!$C$28*QBs!AJ15+Input!$C$29*QBs!AK15+Input!$C$30*QBs!K15+Input!$C$40*QBs!M15</f>
        <v>292.117157894737</v>
      </c>
    </row>
    <row r="16" customFormat="false" ht="12.75" hidden="false" customHeight="false" outlineLevel="0" collapsed="false">
      <c r="A16" s="92" t="s">
        <v>161</v>
      </c>
      <c r="B16" s="93" t="s">
        <v>162</v>
      </c>
      <c r="C16" s="94" t="n">
        <v>279</v>
      </c>
      <c r="D16" s="95" t="n">
        <v>480</v>
      </c>
      <c r="E16" s="96" t="n">
        <f aca="false">7.05*D16</f>
        <v>3384</v>
      </c>
      <c r="F16" s="96" t="n">
        <v>2</v>
      </c>
      <c r="G16" s="96" t="n">
        <v>20</v>
      </c>
      <c r="H16" s="97" t="n">
        <v>16</v>
      </c>
      <c r="I16" s="98" t="n">
        <v>45</v>
      </c>
      <c r="J16" s="96" t="n">
        <f aca="false">3.5*I16</f>
        <v>157.5</v>
      </c>
      <c r="K16" s="96" t="n">
        <v>0</v>
      </c>
      <c r="L16" s="97" t="n">
        <v>2</v>
      </c>
      <c r="M16" s="96" t="n">
        <v>4</v>
      </c>
      <c r="N16" s="107" t="n">
        <v>0.359550561797753</v>
      </c>
      <c r="O16" s="108" t="n">
        <v>0.213483146067416</v>
      </c>
      <c r="P16" s="108" t="n">
        <v>0.101123595505618</v>
      </c>
      <c r="Q16" s="108" t="n">
        <v>0.0898876404494382</v>
      </c>
      <c r="R16" s="108" t="n">
        <v>0.0955056179775281</v>
      </c>
      <c r="S16" s="109" t="n">
        <v>0.140449438202247</v>
      </c>
      <c r="T16" s="110" t="n">
        <v>0.9</v>
      </c>
      <c r="U16" s="111" t="n">
        <v>0.08</v>
      </c>
      <c r="V16" s="111" t="n">
        <v>0.015</v>
      </c>
      <c r="W16" s="111" t="n">
        <v>0.004</v>
      </c>
      <c r="X16" s="111" t="n">
        <v>0.001</v>
      </c>
      <c r="Y16" s="112" t="n">
        <v>0</v>
      </c>
      <c r="Z16" s="113" t="n">
        <f aca="false">N16*$G16</f>
        <v>7.19101123595506</v>
      </c>
      <c r="AA16" s="114" t="n">
        <f aca="false">O16*$G16</f>
        <v>4.26966292134831</v>
      </c>
      <c r="AB16" s="114" t="n">
        <f aca="false">P16*$G16</f>
        <v>2.02247191011236</v>
      </c>
      <c r="AC16" s="114" t="n">
        <f aca="false">Q16*$G16</f>
        <v>1.79775280898876</v>
      </c>
      <c r="AD16" s="114" t="n">
        <f aca="false">R16*$G16</f>
        <v>1.91011235955056</v>
      </c>
      <c r="AE16" s="115" t="n">
        <f aca="false">S16*$G16</f>
        <v>2.80898876404494</v>
      </c>
      <c r="AF16" s="113" t="n">
        <f aca="false">T16*$L16</f>
        <v>1.8</v>
      </c>
      <c r="AG16" s="114" t="n">
        <f aca="false">U16*$L16</f>
        <v>0.16</v>
      </c>
      <c r="AH16" s="114" t="n">
        <f aca="false">V16*$L16</f>
        <v>0.03</v>
      </c>
      <c r="AI16" s="114" t="n">
        <f aca="false">W16*$L16</f>
        <v>0.008</v>
      </c>
      <c r="AJ16" s="114" t="n">
        <f aca="false">X16*$L16</f>
        <v>0.002</v>
      </c>
      <c r="AK16" s="115" t="n">
        <f aca="false">Y16*$L16</f>
        <v>0</v>
      </c>
      <c r="AL16" s="116" t="n">
        <f aca="false">Input!$C$11*QBs!D16+Input!$C$12*QBs!C16+Input!$C$13*QBs!E16+Input!$C$14*QBs!H16+Input!$C$15*QBs!Z16+Input!$C$16*QBs!AA16+Input!$C$17*QBs!AB16+Input!$C$18*QBs!AC16+Input!$C$19*QBs!AD16+Input!$C$20*QBs!AE16+Input!$C$21*QBs!F16+Input!$C$22*QBs!I16+Input!$C$23*QBs!J16+Input!$C$24*QBs!AF16+Input!$C$25*QBs!AG16+Input!$C$26*QBs!AH16+Input!$C$27*QBs!AI16+Input!$C$28*QBs!AJ16+Input!$C$29*QBs!AK16+Input!$C$30*QBs!K16+Input!$C$40*QBs!M16</f>
        <v>294.595258426966</v>
      </c>
    </row>
    <row r="17" customFormat="false" ht="12.75" hidden="false" customHeight="false" outlineLevel="0" collapsed="false">
      <c r="A17" s="92" t="s">
        <v>163</v>
      </c>
      <c r="B17" s="93" t="s">
        <v>164</v>
      </c>
      <c r="C17" s="94" t="n">
        <v>294</v>
      </c>
      <c r="D17" s="95" t="n">
        <v>510</v>
      </c>
      <c r="E17" s="96" t="n">
        <f aca="false">6.9*D17</f>
        <v>3519</v>
      </c>
      <c r="F17" s="96" t="n">
        <v>2</v>
      </c>
      <c r="G17" s="96" t="n">
        <v>22</v>
      </c>
      <c r="H17" s="97" t="n">
        <v>15</v>
      </c>
      <c r="I17" s="98" t="n">
        <v>35</v>
      </c>
      <c r="J17" s="96" t="n">
        <f aca="false">2*I17</f>
        <v>70</v>
      </c>
      <c r="K17" s="96" t="n">
        <v>0</v>
      </c>
      <c r="L17" s="97" t="n">
        <v>1</v>
      </c>
      <c r="M17" s="96" t="n">
        <v>4</v>
      </c>
      <c r="N17" s="107" t="n">
        <v>0.443609022556391</v>
      </c>
      <c r="O17" s="108" t="n">
        <v>0.240601503759398</v>
      </c>
      <c r="P17" s="108" t="n">
        <v>0.218045112781955</v>
      </c>
      <c r="Q17" s="108" t="n">
        <v>0.0300751879699248</v>
      </c>
      <c r="R17" s="108" t="n">
        <v>0.0451127819548872</v>
      </c>
      <c r="S17" s="109" t="n">
        <v>0.0225563909774436</v>
      </c>
      <c r="T17" s="110" t="n">
        <v>0.9</v>
      </c>
      <c r="U17" s="111" t="n">
        <v>0.08</v>
      </c>
      <c r="V17" s="111" t="n">
        <v>0.015</v>
      </c>
      <c r="W17" s="111" t="n">
        <v>0.004</v>
      </c>
      <c r="X17" s="111" t="n">
        <v>0.001</v>
      </c>
      <c r="Y17" s="112" t="n">
        <v>0</v>
      </c>
      <c r="Z17" s="113" t="n">
        <f aca="false">N17*$G17</f>
        <v>9.7593984962406</v>
      </c>
      <c r="AA17" s="114" t="n">
        <f aca="false">O17*$G17</f>
        <v>5.29323308270677</v>
      </c>
      <c r="AB17" s="114" t="n">
        <f aca="false">P17*$G17</f>
        <v>4.79699248120301</v>
      </c>
      <c r="AC17" s="114" t="n">
        <f aca="false">Q17*$G17</f>
        <v>0.661654135338346</v>
      </c>
      <c r="AD17" s="114" t="n">
        <f aca="false">R17*$G17</f>
        <v>0.992481203007519</v>
      </c>
      <c r="AE17" s="115" t="n">
        <f aca="false">S17*$G17</f>
        <v>0.496240601503759</v>
      </c>
      <c r="AF17" s="113" t="n">
        <f aca="false">T17*$L17</f>
        <v>0.9</v>
      </c>
      <c r="AG17" s="114" t="n">
        <f aca="false">U17*$L17</f>
        <v>0.08</v>
      </c>
      <c r="AH17" s="114" t="n">
        <f aca="false">V17*$L17</f>
        <v>0.015</v>
      </c>
      <c r="AI17" s="114" t="n">
        <f aca="false">W17*$L17</f>
        <v>0.004</v>
      </c>
      <c r="AJ17" s="114" t="n">
        <f aca="false">X17*$L17</f>
        <v>0.001</v>
      </c>
      <c r="AK17" s="115" t="n">
        <f aca="false">Y17*$L17</f>
        <v>0</v>
      </c>
      <c r="AL17" s="116" t="n">
        <f aca="false">Input!$C$11*QBs!D17+Input!$C$12*QBs!C17+Input!$C$13*QBs!E17+Input!$C$14*QBs!H17+Input!$C$15*QBs!Z17+Input!$C$16*QBs!AA17+Input!$C$17*QBs!AB17+Input!$C$18*QBs!AC17+Input!$C$19*QBs!AD17+Input!$C$20*QBs!AE17+Input!$C$21*QBs!F17+Input!$C$22*QBs!I17+Input!$C$23*QBs!J17+Input!$C$24*QBs!AF17+Input!$C$25*QBs!AG17+Input!$C$26*QBs!AH17+Input!$C$27*QBs!AI17+Input!$C$28*QBs!AJ17+Input!$C$29*QBs!AK17+Input!$C$30*QBs!K17+Input!$C$40*QBs!M17</f>
        <v>280.399308270677</v>
      </c>
    </row>
    <row r="18" customFormat="false" ht="12.75" hidden="false" customHeight="false" outlineLevel="0" collapsed="false">
      <c r="A18" s="92" t="s">
        <v>165</v>
      </c>
      <c r="B18" s="93" t="s">
        <v>166</v>
      </c>
      <c r="C18" s="94" t="n">
        <v>315</v>
      </c>
      <c r="D18" s="95" t="n">
        <v>530</v>
      </c>
      <c r="E18" s="96" t="n">
        <f aca="false">6.95*D18</f>
        <v>3683.5</v>
      </c>
      <c r="F18" s="96" t="n">
        <v>2</v>
      </c>
      <c r="G18" s="96" t="n">
        <v>17</v>
      </c>
      <c r="H18" s="97" t="n">
        <v>15</v>
      </c>
      <c r="I18" s="98" t="n">
        <v>25</v>
      </c>
      <c r="J18" s="96" t="n">
        <f aca="false">3*I18</f>
        <v>75</v>
      </c>
      <c r="K18" s="96" t="n">
        <v>0</v>
      </c>
      <c r="L18" s="97" t="n">
        <v>1</v>
      </c>
      <c r="M18" s="96" t="n">
        <v>6</v>
      </c>
      <c r="N18" s="107" t="n">
        <v>0.359550561797753</v>
      </c>
      <c r="O18" s="108" t="n">
        <v>0.213483146067416</v>
      </c>
      <c r="P18" s="108" t="n">
        <v>0.101123595505618</v>
      </c>
      <c r="Q18" s="108" t="n">
        <v>0.0898876404494382</v>
      </c>
      <c r="R18" s="108" t="n">
        <v>0.0955056179775281</v>
      </c>
      <c r="S18" s="109" t="n">
        <v>0.140449438202247</v>
      </c>
      <c r="T18" s="110" t="n">
        <v>0.9</v>
      </c>
      <c r="U18" s="111" t="n">
        <v>0.08</v>
      </c>
      <c r="V18" s="111" t="n">
        <v>0.015</v>
      </c>
      <c r="W18" s="111" t="n">
        <v>0.004</v>
      </c>
      <c r="X18" s="111" t="n">
        <v>0.001</v>
      </c>
      <c r="Y18" s="112" t="n">
        <v>0</v>
      </c>
      <c r="Z18" s="113" t="n">
        <f aca="false">N18*$G18</f>
        <v>6.1123595505618</v>
      </c>
      <c r="AA18" s="114" t="n">
        <f aca="false">O18*$G18</f>
        <v>3.62921348314607</v>
      </c>
      <c r="AB18" s="114" t="n">
        <f aca="false">P18*$G18</f>
        <v>1.71910112359551</v>
      </c>
      <c r="AC18" s="114" t="n">
        <f aca="false">Q18*$G18</f>
        <v>1.52808988764045</v>
      </c>
      <c r="AD18" s="114" t="n">
        <f aca="false">R18*$G18</f>
        <v>1.62359550561798</v>
      </c>
      <c r="AE18" s="115" t="n">
        <f aca="false">S18*$G18</f>
        <v>2.3876404494382</v>
      </c>
      <c r="AF18" s="113" t="n">
        <f aca="false">T18*$L18</f>
        <v>0.9</v>
      </c>
      <c r="AG18" s="114" t="n">
        <f aca="false">U18*$L18</f>
        <v>0.08</v>
      </c>
      <c r="AH18" s="114" t="n">
        <f aca="false">V18*$L18</f>
        <v>0.015</v>
      </c>
      <c r="AI18" s="114" t="n">
        <f aca="false">W18*$L18</f>
        <v>0.004</v>
      </c>
      <c r="AJ18" s="114" t="n">
        <f aca="false">X18*$L18</f>
        <v>0.001</v>
      </c>
      <c r="AK18" s="115" t="n">
        <f aca="false">Y18*$L18</f>
        <v>0</v>
      </c>
      <c r="AL18" s="116" t="n">
        <f aca="false">Input!$C$11*QBs!D18+Input!$C$12*QBs!C18+Input!$C$13*QBs!E18+Input!$C$14*QBs!H18+Input!$C$15*QBs!Z18+Input!$C$16*QBs!AA18+Input!$C$17*QBs!AB18+Input!$C$18*QBs!AC18+Input!$C$19*QBs!AD18+Input!$C$20*QBs!AE18+Input!$C$21*QBs!F18+Input!$C$22*QBs!I18+Input!$C$23*QBs!J18+Input!$C$24*QBs!AF18+Input!$C$25*QBs!AG18+Input!$C$26*QBs!AH18+Input!$C$27*QBs!AI18+Input!$C$28*QBs!AJ18+Input!$C$29*QBs!AK18+Input!$C$30*QBs!K18+Input!$C$40*QBs!M18</f>
        <v>278.885269662921</v>
      </c>
    </row>
    <row r="19" customFormat="false" ht="12.75" hidden="false" customHeight="false" outlineLevel="0" collapsed="false">
      <c r="A19" s="92" t="s">
        <v>167</v>
      </c>
      <c r="B19" s="93" t="s">
        <v>168</v>
      </c>
      <c r="C19" s="94" t="n">
        <v>288</v>
      </c>
      <c r="D19" s="95" t="n">
        <v>480</v>
      </c>
      <c r="E19" s="96" t="n">
        <f aca="false">7.15*D19</f>
        <v>3432</v>
      </c>
      <c r="F19" s="96" t="n">
        <v>2</v>
      </c>
      <c r="G19" s="96" t="n">
        <v>21</v>
      </c>
      <c r="H19" s="97" t="n">
        <v>13</v>
      </c>
      <c r="I19" s="98" t="n">
        <v>22</v>
      </c>
      <c r="J19" s="96" t="n">
        <f aca="false">2.2*I19</f>
        <v>48.4</v>
      </c>
      <c r="K19" s="96" t="n">
        <v>0</v>
      </c>
      <c r="L19" s="97" t="n">
        <v>1</v>
      </c>
      <c r="M19" s="96" t="n">
        <v>2</v>
      </c>
      <c r="N19" s="107" t="n">
        <v>0.359550561797753</v>
      </c>
      <c r="O19" s="108" t="n">
        <v>0.213483146067416</v>
      </c>
      <c r="P19" s="108" t="n">
        <v>0.101123595505618</v>
      </c>
      <c r="Q19" s="108" t="n">
        <v>0.0898876404494382</v>
      </c>
      <c r="R19" s="108" t="n">
        <v>0.0955056179775281</v>
      </c>
      <c r="S19" s="109" t="n">
        <v>0.140449438202247</v>
      </c>
      <c r="T19" s="110" t="n">
        <v>0.9</v>
      </c>
      <c r="U19" s="111" t="n">
        <v>0.08</v>
      </c>
      <c r="V19" s="111" t="n">
        <v>0.015</v>
      </c>
      <c r="W19" s="111" t="n">
        <v>0.004</v>
      </c>
      <c r="X19" s="111" t="n">
        <v>0.001</v>
      </c>
      <c r="Y19" s="112" t="n">
        <v>0</v>
      </c>
      <c r="Z19" s="113" t="n">
        <f aca="false">N19*$G19</f>
        <v>7.55056179775281</v>
      </c>
      <c r="AA19" s="114" t="n">
        <f aca="false">O19*$G19</f>
        <v>4.48314606741573</v>
      </c>
      <c r="AB19" s="114" t="n">
        <f aca="false">P19*$G19</f>
        <v>2.12359550561798</v>
      </c>
      <c r="AC19" s="114" t="n">
        <f aca="false">Q19*$G19</f>
        <v>1.8876404494382</v>
      </c>
      <c r="AD19" s="114" t="n">
        <f aca="false">R19*$G19</f>
        <v>2.00561797752809</v>
      </c>
      <c r="AE19" s="115" t="n">
        <f aca="false">S19*$G19</f>
        <v>2.94943820224719</v>
      </c>
      <c r="AF19" s="113" t="n">
        <f aca="false">T19*$L19</f>
        <v>0.9</v>
      </c>
      <c r="AG19" s="114" t="n">
        <f aca="false">U19*$L19</f>
        <v>0.08</v>
      </c>
      <c r="AH19" s="114" t="n">
        <f aca="false">V19*$L19</f>
        <v>0.015</v>
      </c>
      <c r="AI19" s="114" t="n">
        <f aca="false">W19*$L19</f>
        <v>0.004</v>
      </c>
      <c r="AJ19" s="114" t="n">
        <f aca="false">X19*$L19</f>
        <v>0.001</v>
      </c>
      <c r="AK19" s="115" t="n">
        <f aca="false">Y19*$L19</f>
        <v>0</v>
      </c>
      <c r="AL19" s="116" t="n">
        <f aca="false">Input!$C$11*QBs!D19+Input!$C$12*QBs!C19+Input!$C$13*QBs!E19+Input!$C$14*QBs!H19+Input!$C$15*QBs!Z19+Input!$C$16*QBs!AA19+Input!$C$17*QBs!AB19+Input!$C$18*QBs!AC19+Input!$C$19*QBs!AD19+Input!$C$20*QBs!AE19+Input!$C$21*QBs!F19+Input!$C$22*QBs!I19+Input!$C$23*QBs!J19+Input!$C$24*QBs!AF19+Input!$C$25*QBs!AG19+Input!$C$26*QBs!AH19+Input!$C$27*QBs!AI19+Input!$C$28*QBs!AJ19+Input!$C$29*QBs!AK19+Input!$C$30*QBs!K19+Input!$C$40*QBs!M19</f>
        <v>286.728921348315</v>
      </c>
    </row>
    <row r="20" customFormat="false" ht="12.75" hidden="false" customHeight="false" outlineLevel="0" collapsed="false">
      <c r="A20" s="92" t="s">
        <v>169</v>
      </c>
      <c r="B20" s="93" t="s">
        <v>170</v>
      </c>
      <c r="C20" s="94" t="n">
        <v>273</v>
      </c>
      <c r="D20" s="95" t="n">
        <v>480</v>
      </c>
      <c r="E20" s="96" t="n">
        <f aca="false">5.9*D20</f>
        <v>2832</v>
      </c>
      <c r="F20" s="95" t="n">
        <v>0</v>
      </c>
      <c r="G20" s="95" t="n">
        <v>16</v>
      </c>
      <c r="H20" s="122" t="n">
        <v>16</v>
      </c>
      <c r="I20" s="94" t="n">
        <v>80</v>
      </c>
      <c r="J20" s="95" t="n">
        <f aca="false">6.3*I20</f>
        <v>504</v>
      </c>
      <c r="K20" s="95" t="n">
        <v>1</v>
      </c>
      <c r="L20" s="122" t="n">
        <v>3</v>
      </c>
      <c r="M20" s="95" t="n">
        <v>8</v>
      </c>
      <c r="N20" s="107" t="n">
        <v>0.443609022556391</v>
      </c>
      <c r="O20" s="108" t="n">
        <v>0.240601503759398</v>
      </c>
      <c r="P20" s="108" t="n">
        <v>0.218045112781955</v>
      </c>
      <c r="Q20" s="108" t="n">
        <v>0.0300751879699248</v>
      </c>
      <c r="R20" s="108" t="n">
        <v>0.0451127819548872</v>
      </c>
      <c r="S20" s="109" t="n">
        <v>0.0225563909774436</v>
      </c>
      <c r="T20" s="110" t="n">
        <v>0.9</v>
      </c>
      <c r="U20" s="111" t="n">
        <v>0.08</v>
      </c>
      <c r="V20" s="111" t="n">
        <v>0.015</v>
      </c>
      <c r="W20" s="111" t="n">
        <v>0.004</v>
      </c>
      <c r="X20" s="111" t="n">
        <v>0.001</v>
      </c>
      <c r="Y20" s="112" t="n">
        <v>0</v>
      </c>
      <c r="Z20" s="113" t="n">
        <f aca="false">N20*$G20</f>
        <v>7.09774436090226</v>
      </c>
      <c r="AA20" s="114" t="n">
        <f aca="false">O20*$G20</f>
        <v>3.84962406015038</v>
      </c>
      <c r="AB20" s="114" t="n">
        <f aca="false">P20*$G20</f>
        <v>3.48872180451128</v>
      </c>
      <c r="AC20" s="114" t="n">
        <f aca="false">Q20*$G20</f>
        <v>0.481203007518797</v>
      </c>
      <c r="AD20" s="114" t="n">
        <f aca="false">R20*$G20</f>
        <v>0.721804511278195</v>
      </c>
      <c r="AE20" s="115" t="n">
        <f aca="false">S20*$G20</f>
        <v>0.360902255639098</v>
      </c>
      <c r="AF20" s="113" t="n">
        <f aca="false">T20*$L20</f>
        <v>2.7</v>
      </c>
      <c r="AG20" s="114" t="n">
        <f aca="false">U20*$L20</f>
        <v>0.24</v>
      </c>
      <c r="AH20" s="114" t="n">
        <f aca="false">V20*$L20</f>
        <v>0.045</v>
      </c>
      <c r="AI20" s="114" t="n">
        <f aca="false">W20*$L20</f>
        <v>0.012</v>
      </c>
      <c r="AJ20" s="114" t="n">
        <f aca="false">X20*$L20</f>
        <v>0.003</v>
      </c>
      <c r="AK20" s="115" t="n">
        <f aca="false">Y20*$L20</f>
        <v>0</v>
      </c>
      <c r="AL20" s="116" t="n">
        <f aca="false">Input!$C$11*QBs!D20+Input!$C$12*QBs!C20+Input!$C$13*QBs!E20+Input!$C$14*QBs!H20+Input!$C$15*QBs!Z20+Input!$C$16*QBs!AA20+Input!$C$17*QBs!AB20+Input!$C$18*QBs!AC20+Input!$C$19*QBs!AD20+Input!$C$20*QBs!AE20+Input!$C$21*QBs!F20+Input!$C$22*QBs!I20+Input!$C$23*QBs!J20+Input!$C$24*QBs!AF20+Input!$C$25*QBs!AG20+Input!$C$26*QBs!AH20+Input!$C$27*QBs!AI20+Input!$C$28*QBs!AJ20+Input!$C$29*QBs!AK20+Input!$C$30*QBs!K20+Input!$C$40*QBs!M20</f>
        <v>270.340406015038</v>
      </c>
    </row>
    <row r="21" customFormat="false" ht="12.75" hidden="false" customHeight="false" outlineLevel="0" collapsed="false">
      <c r="A21" s="92" t="s">
        <v>171</v>
      </c>
      <c r="B21" s="93" t="s">
        <v>172</v>
      </c>
      <c r="C21" s="94" t="n">
        <v>287</v>
      </c>
      <c r="D21" s="95" t="n">
        <v>480</v>
      </c>
      <c r="E21" s="96" t="n">
        <f aca="false">6.7*D21</f>
        <v>3216</v>
      </c>
      <c r="F21" s="96" t="n">
        <v>1</v>
      </c>
      <c r="G21" s="96" t="n">
        <v>22</v>
      </c>
      <c r="H21" s="97" t="n">
        <v>15</v>
      </c>
      <c r="I21" s="98" t="n">
        <v>25</v>
      </c>
      <c r="J21" s="96" t="n">
        <f aca="false">2*I21</f>
        <v>50</v>
      </c>
      <c r="K21" s="96" t="n">
        <v>0</v>
      </c>
      <c r="L21" s="97" t="n">
        <v>1</v>
      </c>
      <c r="M21" s="96" t="n">
        <v>3</v>
      </c>
      <c r="N21" s="107" t="n">
        <v>0.247933884297521</v>
      </c>
      <c r="O21" s="108" t="n">
        <v>0.239669421487603</v>
      </c>
      <c r="P21" s="108" t="n">
        <v>0.107438016528926</v>
      </c>
      <c r="Q21" s="108" t="n">
        <v>0.12396694214876</v>
      </c>
      <c r="R21" s="108" t="n">
        <v>0.0661157024793388</v>
      </c>
      <c r="S21" s="109" t="n">
        <v>0.214876033057851</v>
      </c>
      <c r="T21" s="110" t="n">
        <v>0.9</v>
      </c>
      <c r="U21" s="111" t="n">
        <v>0.08</v>
      </c>
      <c r="V21" s="111" t="n">
        <v>0.015</v>
      </c>
      <c r="W21" s="111" t="n">
        <v>0.004</v>
      </c>
      <c r="X21" s="111" t="n">
        <v>0.001</v>
      </c>
      <c r="Y21" s="112" t="n">
        <v>0</v>
      </c>
      <c r="Z21" s="113" t="n">
        <f aca="false">N21*$G21</f>
        <v>5.45454545454546</v>
      </c>
      <c r="AA21" s="114" t="n">
        <f aca="false">O21*$G21</f>
        <v>5.27272727272727</v>
      </c>
      <c r="AB21" s="114" t="n">
        <f aca="false">P21*$G21</f>
        <v>2.36363636363636</v>
      </c>
      <c r="AC21" s="114" t="n">
        <f aca="false">Q21*$G21</f>
        <v>2.72727272727273</v>
      </c>
      <c r="AD21" s="114" t="n">
        <f aca="false">R21*$G21</f>
        <v>1.45454545454545</v>
      </c>
      <c r="AE21" s="115" t="n">
        <f aca="false">S21*$G21</f>
        <v>4.72727272727273</v>
      </c>
      <c r="AF21" s="113" t="n">
        <f aca="false">T21*$L21</f>
        <v>0.9</v>
      </c>
      <c r="AG21" s="114" t="n">
        <f aca="false">U21*$L21</f>
        <v>0.08</v>
      </c>
      <c r="AH21" s="114" t="n">
        <f aca="false">V21*$L21</f>
        <v>0.015</v>
      </c>
      <c r="AI21" s="114" t="n">
        <f aca="false">W21*$L21</f>
        <v>0.004</v>
      </c>
      <c r="AJ21" s="114" t="n">
        <f aca="false">X21*$L21</f>
        <v>0.001</v>
      </c>
      <c r="AK21" s="115" t="n">
        <f aca="false">Y21*$L21</f>
        <v>0</v>
      </c>
      <c r="AL21" s="116" t="n">
        <f aca="false">Input!$C$11*QBs!D21+Input!$C$12*QBs!C21+Input!$C$13*QBs!E21+Input!$C$14*QBs!H21+Input!$C$15*QBs!Z21+Input!$C$16*QBs!AA21+Input!$C$17*QBs!AB21+Input!$C$18*QBs!AC21+Input!$C$19*QBs!AD21+Input!$C$20*QBs!AE21+Input!$C$21*QBs!F21+Input!$C$22*QBs!I21+Input!$C$23*QBs!J21+Input!$C$24*QBs!AF21+Input!$C$25*QBs!AG21+Input!$C$26*QBs!AH21+Input!$C$27*QBs!AI21+Input!$C$28*QBs!AJ21+Input!$C$29*QBs!AK21+Input!$C$30*QBs!K21+Input!$C$40*QBs!M21</f>
        <v>285.562363636364</v>
      </c>
    </row>
    <row r="22" customFormat="false" ht="12.75" hidden="false" customHeight="false" outlineLevel="0" collapsed="false">
      <c r="A22" s="92" t="s">
        <v>173</v>
      </c>
      <c r="B22" s="93" t="s">
        <v>174</v>
      </c>
      <c r="C22" s="94" t="n">
        <v>299</v>
      </c>
      <c r="D22" s="95" t="n">
        <v>530</v>
      </c>
      <c r="E22" s="96" t="n">
        <f aca="false">6.75*D22</f>
        <v>3577.5</v>
      </c>
      <c r="F22" s="96" t="n">
        <v>3</v>
      </c>
      <c r="G22" s="96" t="n">
        <v>18</v>
      </c>
      <c r="H22" s="97" t="n">
        <v>17</v>
      </c>
      <c r="I22" s="98" t="n">
        <v>40</v>
      </c>
      <c r="J22" s="96" t="n">
        <f aca="false">1.7*I22</f>
        <v>68</v>
      </c>
      <c r="K22" s="96" t="n">
        <v>0</v>
      </c>
      <c r="L22" s="97" t="n">
        <v>0</v>
      </c>
      <c r="M22" s="96" t="n">
        <v>4</v>
      </c>
      <c r="N22" s="107" t="n">
        <v>0.247933884297521</v>
      </c>
      <c r="O22" s="108" t="n">
        <v>0.239669421487603</v>
      </c>
      <c r="P22" s="108" t="n">
        <v>0.107438016528926</v>
      </c>
      <c r="Q22" s="108" t="n">
        <v>0.12396694214876</v>
      </c>
      <c r="R22" s="108" t="n">
        <v>0.0661157024793388</v>
      </c>
      <c r="S22" s="109" t="n">
        <v>0.214876033057851</v>
      </c>
      <c r="T22" s="110" t="n">
        <v>0.9</v>
      </c>
      <c r="U22" s="111" t="n">
        <v>0.08</v>
      </c>
      <c r="V22" s="111" t="n">
        <v>0.015</v>
      </c>
      <c r="W22" s="111" t="n">
        <v>0.004</v>
      </c>
      <c r="X22" s="111" t="n">
        <v>0.001</v>
      </c>
      <c r="Y22" s="112" t="n">
        <v>0</v>
      </c>
      <c r="Z22" s="113" t="n">
        <f aca="false">N22*$G22</f>
        <v>4.46280991735537</v>
      </c>
      <c r="AA22" s="114" t="n">
        <f aca="false">O22*$G22</f>
        <v>4.31404958677686</v>
      </c>
      <c r="AB22" s="114" t="n">
        <f aca="false">P22*$G22</f>
        <v>1.93388429752066</v>
      </c>
      <c r="AC22" s="114" t="n">
        <f aca="false">Q22*$G22</f>
        <v>2.23140495867769</v>
      </c>
      <c r="AD22" s="114" t="n">
        <f aca="false">R22*$G22</f>
        <v>1.1900826446281</v>
      </c>
      <c r="AE22" s="115" t="n">
        <f aca="false">S22*$G22</f>
        <v>3.86776859504132</v>
      </c>
      <c r="AF22" s="113" t="n">
        <f aca="false">T22*$L22</f>
        <v>0</v>
      </c>
      <c r="AG22" s="114" t="n">
        <f aca="false">U22*$L22</f>
        <v>0</v>
      </c>
      <c r="AH22" s="114" t="n">
        <f aca="false">V22*$L22</f>
        <v>0</v>
      </c>
      <c r="AI22" s="114" t="n">
        <f aca="false">W22*$L22</f>
        <v>0</v>
      </c>
      <c r="AJ22" s="114" t="n">
        <f aca="false">X22*$L22</f>
        <v>0</v>
      </c>
      <c r="AK22" s="115" t="n">
        <f aca="false">Y22*$L22</f>
        <v>0</v>
      </c>
      <c r="AL22" s="116" t="n">
        <f aca="false">Input!$C$11*QBs!D22+Input!$C$12*QBs!C22+Input!$C$13*QBs!E22+Input!$C$14*QBs!H22+Input!$C$15*QBs!Z22+Input!$C$16*QBs!AA22+Input!$C$17*QBs!AB22+Input!$C$18*QBs!AC22+Input!$C$19*QBs!AD22+Input!$C$20*QBs!AE22+Input!$C$21*QBs!F22+Input!$C$22*QBs!I22+Input!$C$23*QBs!J22+Input!$C$24*QBs!AF22+Input!$C$25*QBs!AG22+Input!$C$26*QBs!AH22+Input!$C$27*QBs!AI22+Input!$C$28*QBs!AJ22+Input!$C$29*QBs!AK22+Input!$C$30*QBs!K22+Input!$C$40*QBs!M22</f>
        <v>283.65020661157</v>
      </c>
    </row>
    <row r="23" customFormat="false" ht="12.75" hidden="false" customHeight="false" outlineLevel="0" collapsed="false">
      <c r="A23" s="92" t="s">
        <v>175</v>
      </c>
      <c r="B23" s="93" t="s">
        <v>176</v>
      </c>
      <c r="C23" s="94" t="n">
        <v>234</v>
      </c>
      <c r="D23" s="95" t="n">
        <v>420</v>
      </c>
      <c r="E23" s="96" t="n">
        <f aca="false">7.6*D23</f>
        <v>3192</v>
      </c>
      <c r="F23" s="96" t="n">
        <v>2</v>
      </c>
      <c r="G23" s="96" t="n">
        <v>19</v>
      </c>
      <c r="H23" s="97" t="n">
        <v>14</v>
      </c>
      <c r="I23" s="98" t="n">
        <v>50</v>
      </c>
      <c r="J23" s="96" t="n">
        <f aca="false">5*I23</f>
        <v>250</v>
      </c>
      <c r="K23" s="96" t="n">
        <v>0</v>
      </c>
      <c r="L23" s="97" t="n">
        <v>1</v>
      </c>
      <c r="M23" s="96" t="n">
        <v>4</v>
      </c>
      <c r="N23" s="107" t="n">
        <v>0.443609022556391</v>
      </c>
      <c r="O23" s="108" t="n">
        <v>0.240601503759398</v>
      </c>
      <c r="P23" s="108" t="n">
        <v>0.218045112781955</v>
      </c>
      <c r="Q23" s="108" t="n">
        <v>0.0300751879699248</v>
      </c>
      <c r="R23" s="108" t="n">
        <v>0.0451127819548872</v>
      </c>
      <c r="S23" s="109" t="n">
        <v>0.0225563909774436</v>
      </c>
      <c r="T23" s="110" t="n">
        <v>0.9</v>
      </c>
      <c r="U23" s="111" t="n">
        <v>0.08</v>
      </c>
      <c r="V23" s="111" t="n">
        <v>0.015</v>
      </c>
      <c r="W23" s="111" t="n">
        <v>0.004</v>
      </c>
      <c r="X23" s="111" t="n">
        <v>0.001</v>
      </c>
      <c r="Y23" s="112" t="n">
        <v>0</v>
      </c>
      <c r="Z23" s="113" t="n">
        <f aca="false">N23*$G23</f>
        <v>8.42857142857143</v>
      </c>
      <c r="AA23" s="114" t="n">
        <f aca="false">O23*$G23</f>
        <v>4.57142857142857</v>
      </c>
      <c r="AB23" s="114" t="n">
        <f aca="false">P23*$G23</f>
        <v>4.14285714285714</v>
      </c>
      <c r="AC23" s="114" t="n">
        <f aca="false">Q23*$G23</f>
        <v>0.571428571428571</v>
      </c>
      <c r="AD23" s="114" t="n">
        <f aca="false">R23*$G23</f>
        <v>0.857142857142857</v>
      </c>
      <c r="AE23" s="115" t="n">
        <f aca="false">S23*$G23</f>
        <v>0.428571428571429</v>
      </c>
      <c r="AF23" s="113" t="n">
        <f aca="false">T23*$L23</f>
        <v>0.9</v>
      </c>
      <c r="AG23" s="114" t="n">
        <f aca="false">U23*$L23</f>
        <v>0.08</v>
      </c>
      <c r="AH23" s="114" t="n">
        <f aca="false">V23*$L23</f>
        <v>0.015</v>
      </c>
      <c r="AI23" s="114" t="n">
        <f aca="false">W23*$L23</f>
        <v>0.004</v>
      </c>
      <c r="AJ23" s="114" t="n">
        <f aca="false">X23*$L23</f>
        <v>0.001</v>
      </c>
      <c r="AK23" s="115" t="n">
        <f aca="false">Y23*$L23</f>
        <v>0</v>
      </c>
      <c r="AL23" s="116" t="n">
        <f aca="false">Input!$C$11*QBs!D23+Input!$C$12*QBs!C23+Input!$C$13*QBs!E23+Input!$C$14*QBs!H23+Input!$C$15*QBs!Z23+Input!$C$16*QBs!AA23+Input!$C$17*QBs!AB23+Input!$C$18*QBs!AC23+Input!$C$19*QBs!AD23+Input!$C$20*QBs!AE23+Input!$C$21*QBs!F23+Input!$C$22*QBs!I23+Input!$C$23*QBs!J23+Input!$C$24*QBs!AF23+Input!$C$25*QBs!AG23+Input!$C$26*QBs!AH23+Input!$C$27*QBs!AI23+Input!$C$28*QBs!AJ23+Input!$C$29*QBs!AK23+Input!$C$30*QBs!K23+Input!$C$40*QBs!M23</f>
        <v>269.868857142857</v>
      </c>
    </row>
    <row r="24" customFormat="false" ht="12.75" hidden="false" customHeight="false" outlineLevel="0" collapsed="false">
      <c r="A24" s="92" t="s">
        <v>177</v>
      </c>
      <c r="B24" s="93" t="s">
        <v>178</v>
      </c>
      <c r="C24" s="94" t="n">
        <v>249</v>
      </c>
      <c r="D24" s="95" t="n">
        <v>430</v>
      </c>
      <c r="E24" s="96" t="n">
        <f aca="false">6.8*D24</f>
        <v>2924</v>
      </c>
      <c r="F24" s="96" t="n">
        <v>2</v>
      </c>
      <c r="G24" s="96" t="n">
        <v>19</v>
      </c>
      <c r="H24" s="97" t="n">
        <v>13</v>
      </c>
      <c r="I24" s="98" t="n">
        <v>30</v>
      </c>
      <c r="J24" s="96" t="n">
        <f aca="false">4.2*I24</f>
        <v>126</v>
      </c>
      <c r="K24" s="96" t="n">
        <v>0</v>
      </c>
      <c r="L24" s="97" t="n">
        <v>1</v>
      </c>
      <c r="M24" s="96" t="n">
        <v>3</v>
      </c>
      <c r="N24" s="107" t="n">
        <v>0.443609022556391</v>
      </c>
      <c r="O24" s="108" t="n">
        <v>0.240601503759398</v>
      </c>
      <c r="P24" s="108" t="n">
        <v>0.218045112781955</v>
      </c>
      <c r="Q24" s="108" t="n">
        <v>0.0300751879699248</v>
      </c>
      <c r="R24" s="108" t="n">
        <v>0.0451127819548872</v>
      </c>
      <c r="S24" s="109" t="n">
        <v>0.0225563909774436</v>
      </c>
      <c r="T24" s="110" t="n">
        <v>0.9</v>
      </c>
      <c r="U24" s="111" t="n">
        <v>0.08</v>
      </c>
      <c r="V24" s="111" t="n">
        <v>0.015</v>
      </c>
      <c r="W24" s="111" t="n">
        <v>0.004</v>
      </c>
      <c r="X24" s="111" t="n">
        <v>0.001</v>
      </c>
      <c r="Y24" s="112" t="n">
        <v>0</v>
      </c>
      <c r="Z24" s="113" t="n">
        <f aca="false">N24*$G24</f>
        <v>8.42857142857143</v>
      </c>
      <c r="AA24" s="114" t="n">
        <f aca="false">O24*$G24</f>
        <v>4.57142857142857</v>
      </c>
      <c r="AB24" s="114" t="n">
        <f aca="false">P24*$G24</f>
        <v>4.14285714285714</v>
      </c>
      <c r="AC24" s="114" t="n">
        <f aca="false">Q24*$G24</f>
        <v>0.571428571428571</v>
      </c>
      <c r="AD24" s="114" t="n">
        <f aca="false">R24*$G24</f>
        <v>0.857142857142857</v>
      </c>
      <c r="AE24" s="115" t="n">
        <f aca="false">S24*$G24</f>
        <v>0.428571428571429</v>
      </c>
      <c r="AF24" s="113" t="n">
        <f aca="false">T24*$L24</f>
        <v>0.9</v>
      </c>
      <c r="AG24" s="114" t="n">
        <f aca="false">U24*$L24</f>
        <v>0.08</v>
      </c>
      <c r="AH24" s="114" t="n">
        <f aca="false">V24*$L24</f>
        <v>0.015</v>
      </c>
      <c r="AI24" s="114" t="n">
        <f aca="false">W24*$L24</f>
        <v>0.004</v>
      </c>
      <c r="AJ24" s="114" t="n">
        <f aca="false">X24*$L24</f>
        <v>0.001</v>
      </c>
      <c r="AK24" s="115" t="n">
        <f aca="false">Y24*$L24</f>
        <v>0</v>
      </c>
      <c r="AL24" s="116" t="n">
        <f aca="false">Input!$C$11*QBs!D24+Input!$C$12*QBs!C24+Input!$C$13*QBs!E24+Input!$C$14*QBs!H24+Input!$C$15*QBs!Z24+Input!$C$16*QBs!AA24+Input!$C$17*QBs!AB24+Input!$C$18*QBs!AC24+Input!$C$19*QBs!AD24+Input!$C$20*QBs!AE24+Input!$C$21*QBs!F24+Input!$C$22*QBs!I24+Input!$C$23*QBs!J24+Input!$C$24*QBs!AF24+Input!$C$25*QBs!AG24+Input!$C$26*QBs!AH24+Input!$C$27*QBs!AI24+Input!$C$28*QBs!AJ24+Input!$C$29*QBs!AK24+Input!$C$30*QBs!K24+Input!$C$40*QBs!M24</f>
        <v>245.068857142857</v>
      </c>
    </row>
    <row r="25" customFormat="false" ht="12.75" hidden="false" customHeight="false" outlineLevel="0" collapsed="false">
      <c r="A25" s="92" t="s">
        <v>179</v>
      </c>
      <c r="B25" s="93" t="s">
        <v>180</v>
      </c>
      <c r="C25" s="117" t="n">
        <v>244</v>
      </c>
      <c r="D25" s="118" t="n">
        <v>450</v>
      </c>
      <c r="E25" s="96" t="n">
        <f aca="false">6.7*D25</f>
        <v>3015</v>
      </c>
      <c r="F25" s="96" t="n">
        <v>2</v>
      </c>
      <c r="G25" s="96" t="n">
        <v>17</v>
      </c>
      <c r="H25" s="97" t="n">
        <v>19</v>
      </c>
      <c r="I25" s="98" t="n">
        <v>50</v>
      </c>
      <c r="J25" s="96" t="n">
        <f aca="false">4*I25</f>
        <v>200</v>
      </c>
      <c r="K25" s="96" t="n">
        <v>0</v>
      </c>
      <c r="L25" s="97" t="n">
        <v>2</v>
      </c>
      <c r="M25" s="96" t="n">
        <v>2</v>
      </c>
      <c r="N25" s="107" t="n">
        <v>0.443609022556391</v>
      </c>
      <c r="O25" s="108" t="n">
        <v>0.240601503759398</v>
      </c>
      <c r="P25" s="108" t="n">
        <v>0.218045112781955</v>
      </c>
      <c r="Q25" s="108" t="n">
        <v>0.0300751879699248</v>
      </c>
      <c r="R25" s="108" t="n">
        <v>0.0451127819548872</v>
      </c>
      <c r="S25" s="109" t="n">
        <v>0.0225563909774436</v>
      </c>
      <c r="T25" s="110" t="n">
        <v>0.9</v>
      </c>
      <c r="U25" s="111" t="n">
        <v>0.08</v>
      </c>
      <c r="V25" s="111" t="n">
        <v>0.015</v>
      </c>
      <c r="W25" s="111" t="n">
        <v>0.004</v>
      </c>
      <c r="X25" s="111" t="n">
        <v>0.001</v>
      </c>
      <c r="Y25" s="112" t="n">
        <v>0</v>
      </c>
      <c r="Z25" s="113" t="n">
        <f aca="false">N25*$G25</f>
        <v>7.54135338345865</v>
      </c>
      <c r="AA25" s="114" t="n">
        <f aca="false">O25*$G25</f>
        <v>4.09022556390977</v>
      </c>
      <c r="AB25" s="114" t="n">
        <f aca="false">P25*$G25</f>
        <v>3.70676691729323</v>
      </c>
      <c r="AC25" s="114" t="n">
        <f aca="false">Q25*$G25</f>
        <v>0.511278195488722</v>
      </c>
      <c r="AD25" s="114" t="n">
        <f aca="false">R25*$G25</f>
        <v>0.766917293233083</v>
      </c>
      <c r="AE25" s="115" t="n">
        <f aca="false">S25*$G25</f>
        <v>0.383458646616541</v>
      </c>
      <c r="AF25" s="113" t="n">
        <f aca="false">T25*$L25</f>
        <v>1.8</v>
      </c>
      <c r="AG25" s="114" t="n">
        <f aca="false">U25*$L25</f>
        <v>0.16</v>
      </c>
      <c r="AH25" s="114" t="n">
        <f aca="false">V25*$L25</f>
        <v>0.03</v>
      </c>
      <c r="AI25" s="114" t="n">
        <f aca="false">W25*$L25</f>
        <v>0.008</v>
      </c>
      <c r="AJ25" s="114" t="n">
        <f aca="false">X25*$L25</f>
        <v>0.002</v>
      </c>
      <c r="AK25" s="115" t="n">
        <f aca="false">Y25*$L25</f>
        <v>0</v>
      </c>
      <c r="AL25" s="116" t="n">
        <f aca="false">Input!$C$11*QBs!D25+Input!$C$12*QBs!C25+Input!$C$13*QBs!E25+Input!$C$14*QBs!H25+Input!$C$15*QBs!Z25+Input!$C$16*QBs!AA25+Input!$C$17*QBs!AB25+Input!$C$18*QBs!AC25+Input!$C$19*QBs!AD25+Input!$C$20*QBs!AE25+Input!$C$21*QBs!F25+Input!$C$22*QBs!I25+Input!$C$23*QBs!J25+Input!$C$24*QBs!AF25+Input!$C$25*QBs!AG25+Input!$C$26*QBs!AH25+Input!$C$27*QBs!AI25+Input!$C$28*QBs!AJ25+Input!$C$29*QBs!AK25+Input!$C$30*QBs!K25+Input!$C$40*QBs!M25</f>
        <v>256.024556390977</v>
      </c>
    </row>
    <row r="26" customFormat="false" ht="12.75" hidden="false" customHeight="false" outlineLevel="0" collapsed="false">
      <c r="A26" s="92" t="s">
        <v>181</v>
      </c>
      <c r="B26" s="93" t="s">
        <v>182</v>
      </c>
      <c r="C26" s="94" t="n">
        <v>257</v>
      </c>
      <c r="D26" s="95" t="n">
        <v>450</v>
      </c>
      <c r="E26" s="96" t="n">
        <f aca="false">6.55*D26</f>
        <v>2947.5</v>
      </c>
      <c r="F26" s="96" t="n">
        <v>0</v>
      </c>
      <c r="G26" s="96" t="n">
        <v>18</v>
      </c>
      <c r="H26" s="97" t="n">
        <v>14</v>
      </c>
      <c r="I26" s="98" t="n">
        <v>40</v>
      </c>
      <c r="J26" s="96" t="n">
        <f aca="false">3.4*I26</f>
        <v>136</v>
      </c>
      <c r="K26" s="96" t="n">
        <v>0</v>
      </c>
      <c r="L26" s="97" t="n">
        <v>2</v>
      </c>
      <c r="M26" s="96" t="n">
        <v>4</v>
      </c>
      <c r="N26" s="107" t="n">
        <v>0.443609022556391</v>
      </c>
      <c r="O26" s="108" t="n">
        <v>0.240601503759398</v>
      </c>
      <c r="P26" s="108" t="n">
        <v>0.218045112781955</v>
      </c>
      <c r="Q26" s="108" t="n">
        <v>0.0300751879699248</v>
      </c>
      <c r="R26" s="108" t="n">
        <v>0.0451127819548872</v>
      </c>
      <c r="S26" s="109" t="n">
        <v>0.0225563909774436</v>
      </c>
      <c r="T26" s="110" t="n">
        <v>0.9</v>
      </c>
      <c r="U26" s="111" t="n">
        <v>0.08</v>
      </c>
      <c r="V26" s="111" t="n">
        <v>0.015</v>
      </c>
      <c r="W26" s="111" t="n">
        <v>0.004</v>
      </c>
      <c r="X26" s="111" t="n">
        <v>0.001</v>
      </c>
      <c r="Y26" s="112" t="n">
        <v>0</v>
      </c>
      <c r="Z26" s="113" t="n">
        <f aca="false">N26*$G26</f>
        <v>7.98496240601504</v>
      </c>
      <c r="AA26" s="114" t="n">
        <f aca="false">O26*$G26</f>
        <v>4.33082706766917</v>
      </c>
      <c r="AB26" s="114" t="n">
        <f aca="false">P26*$G26</f>
        <v>3.92481203007519</v>
      </c>
      <c r="AC26" s="114" t="n">
        <f aca="false">Q26*$G26</f>
        <v>0.541353383458647</v>
      </c>
      <c r="AD26" s="114" t="n">
        <f aca="false">R26*$G26</f>
        <v>0.81203007518797</v>
      </c>
      <c r="AE26" s="115" t="n">
        <f aca="false">S26*$G26</f>
        <v>0.406015037593985</v>
      </c>
      <c r="AF26" s="113" t="n">
        <f aca="false">T26*$L26</f>
        <v>1.8</v>
      </c>
      <c r="AG26" s="114" t="n">
        <f aca="false">U26*$L26</f>
        <v>0.16</v>
      </c>
      <c r="AH26" s="114" t="n">
        <f aca="false">V26*$L26</f>
        <v>0.03</v>
      </c>
      <c r="AI26" s="114" t="n">
        <f aca="false">W26*$L26</f>
        <v>0.008</v>
      </c>
      <c r="AJ26" s="114" t="n">
        <f aca="false">X26*$L26</f>
        <v>0.002</v>
      </c>
      <c r="AK26" s="115" t="n">
        <f aca="false">Y26*$L26</f>
        <v>0</v>
      </c>
      <c r="AL26" s="116" t="n">
        <f aca="false">Input!$C$11*QBs!D26+Input!$C$12*QBs!C26+Input!$C$13*QBs!E26+Input!$C$14*QBs!H26+Input!$C$15*QBs!Z26+Input!$C$16*QBs!AA26+Input!$C$17*QBs!AB26+Input!$C$18*QBs!AC26+Input!$C$19*QBs!AD26+Input!$C$20*QBs!AE26+Input!$C$21*QBs!F26+Input!$C$22*QBs!I26+Input!$C$23*QBs!J26+Input!$C$24*QBs!AF26+Input!$C$25*QBs!AG26+Input!$C$26*QBs!AH26+Input!$C$27*QBs!AI26+Input!$C$28*QBs!AJ26+Input!$C$29*QBs!AK26+Input!$C$30*QBs!K26+Input!$C$40*QBs!M26</f>
        <v>242.309706766917</v>
      </c>
    </row>
    <row r="27" customFormat="false" ht="12.75" hidden="false" customHeight="false" outlineLevel="0" collapsed="false">
      <c r="A27" s="92" t="s">
        <v>183</v>
      </c>
      <c r="B27" s="93" t="s">
        <v>184</v>
      </c>
      <c r="C27" s="94" t="n">
        <v>249</v>
      </c>
      <c r="D27" s="95" t="n">
        <v>455</v>
      </c>
      <c r="E27" s="96" t="n">
        <f aca="false">6.7*D27</f>
        <v>3048.5</v>
      </c>
      <c r="F27" s="96" t="n">
        <v>2</v>
      </c>
      <c r="G27" s="96" t="n">
        <v>18</v>
      </c>
      <c r="H27" s="97" t="n">
        <v>14</v>
      </c>
      <c r="I27" s="98" t="n">
        <v>40</v>
      </c>
      <c r="J27" s="96" t="n">
        <f aca="false">3.9*I27</f>
        <v>156</v>
      </c>
      <c r="K27" s="96" t="n">
        <v>0</v>
      </c>
      <c r="L27" s="97" t="n">
        <v>1</v>
      </c>
      <c r="M27" s="96" t="n">
        <v>6</v>
      </c>
      <c r="N27" s="107" t="n">
        <v>0.247933884297521</v>
      </c>
      <c r="O27" s="108" t="n">
        <v>0.239669421487603</v>
      </c>
      <c r="P27" s="108" t="n">
        <v>0.107438016528926</v>
      </c>
      <c r="Q27" s="108" t="n">
        <v>0.12396694214876</v>
      </c>
      <c r="R27" s="108" t="n">
        <v>0.0661157024793388</v>
      </c>
      <c r="S27" s="109" t="n">
        <v>0.214876033057851</v>
      </c>
      <c r="T27" s="110" t="n">
        <v>0.9</v>
      </c>
      <c r="U27" s="111" t="n">
        <v>0.08</v>
      </c>
      <c r="V27" s="111" t="n">
        <v>0.015</v>
      </c>
      <c r="W27" s="111" t="n">
        <v>0.004</v>
      </c>
      <c r="X27" s="111" t="n">
        <v>0.001</v>
      </c>
      <c r="Y27" s="112" t="n">
        <v>0</v>
      </c>
      <c r="Z27" s="113" t="n">
        <f aca="false">N27*$G27</f>
        <v>4.46280991735537</v>
      </c>
      <c r="AA27" s="114" t="n">
        <f aca="false">O27*$G27</f>
        <v>4.31404958677686</v>
      </c>
      <c r="AB27" s="114" t="n">
        <f aca="false">P27*$G27</f>
        <v>1.93388429752066</v>
      </c>
      <c r="AC27" s="114" t="n">
        <f aca="false">Q27*$G27</f>
        <v>2.23140495867769</v>
      </c>
      <c r="AD27" s="114" t="n">
        <f aca="false">R27*$G27</f>
        <v>1.1900826446281</v>
      </c>
      <c r="AE27" s="115" t="n">
        <f aca="false">S27*$G27</f>
        <v>3.86776859504132</v>
      </c>
      <c r="AF27" s="113" t="n">
        <f aca="false">T27*$L27</f>
        <v>0.9</v>
      </c>
      <c r="AG27" s="114" t="n">
        <f aca="false">U27*$L27</f>
        <v>0.08</v>
      </c>
      <c r="AH27" s="114" t="n">
        <f aca="false">V27*$L27</f>
        <v>0.015</v>
      </c>
      <c r="AI27" s="114" t="n">
        <f aca="false">W27*$L27</f>
        <v>0.004</v>
      </c>
      <c r="AJ27" s="114" t="n">
        <f aca="false">X27*$L27</f>
        <v>0.001</v>
      </c>
      <c r="AK27" s="115" t="n">
        <f aca="false">Y27*$L27</f>
        <v>0</v>
      </c>
      <c r="AL27" s="116" t="n">
        <f aca="false">Input!$C$11*QBs!D27+Input!$C$12*QBs!C27+Input!$C$13*QBs!E27+Input!$C$14*QBs!H27+Input!$C$15*QBs!Z27+Input!$C$16*QBs!AA27+Input!$C$17*QBs!AB27+Input!$C$18*QBs!AC27+Input!$C$19*QBs!AD27+Input!$C$20*QBs!AE27+Input!$C$21*QBs!F27+Input!$C$22*QBs!I27+Input!$C$23*QBs!J27+Input!$C$24*QBs!AF27+Input!$C$25*QBs!AG27+Input!$C$26*QBs!AH27+Input!$C$27*QBs!AI27+Input!$C$28*QBs!AJ27+Input!$C$29*QBs!AK27+Input!$C$30*QBs!K27+Input!$C$40*QBs!M27</f>
        <v>267.12620661157</v>
      </c>
    </row>
    <row r="28" customFormat="false" ht="12.75" hidden="false" customHeight="false" outlineLevel="0" collapsed="false">
      <c r="A28" s="92" t="s">
        <v>185</v>
      </c>
      <c r="B28" s="93" t="s">
        <v>186</v>
      </c>
      <c r="C28" s="94" t="n">
        <v>212</v>
      </c>
      <c r="D28" s="95" t="n">
        <v>360</v>
      </c>
      <c r="E28" s="96" t="n">
        <f aca="false">8.1*D28</f>
        <v>2916</v>
      </c>
      <c r="F28" s="96" t="n">
        <v>2</v>
      </c>
      <c r="G28" s="96" t="n">
        <v>21</v>
      </c>
      <c r="H28" s="97" t="n">
        <v>13</v>
      </c>
      <c r="I28" s="98" t="n">
        <v>20</v>
      </c>
      <c r="J28" s="96" t="n">
        <f aca="false">3.5*I28</f>
        <v>70</v>
      </c>
      <c r="K28" s="96" t="n">
        <v>0</v>
      </c>
      <c r="L28" s="97" t="n">
        <v>1</v>
      </c>
      <c r="M28" s="96" t="n">
        <v>2</v>
      </c>
      <c r="N28" s="107" t="n">
        <v>0.443609022556391</v>
      </c>
      <c r="O28" s="108" t="n">
        <v>0.240601503759398</v>
      </c>
      <c r="P28" s="108" t="n">
        <v>0.218045112781955</v>
      </c>
      <c r="Q28" s="108" t="n">
        <v>0.0300751879699248</v>
      </c>
      <c r="R28" s="108" t="n">
        <v>0.0451127819548872</v>
      </c>
      <c r="S28" s="109" t="n">
        <v>0.0225563909774436</v>
      </c>
      <c r="T28" s="110" t="n">
        <v>0.9</v>
      </c>
      <c r="U28" s="111" t="n">
        <v>0.08</v>
      </c>
      <c r="V28" s="111" t="n">
        <v>0.015</v>
      </c>
      <c r="W28" s="111" t="n">
        <v>0.004</v>
      </c>
      <c r="X28" s="111" t="n">
        <v>0.001</v>
      </c>
      <c r="Y28" s="112" t="n">
        <v>0</v>
      </c>
      <c r="Z28" s="113" t="n">
        <f aca="false">N28*$G28</f>
        <v>9.31578947368421</v>
      </c>
      <c r="AA28" s="114" t="n">
        <f aca="false">O28*$G28</f>
        <v>5.05263157894737</v>
      </c>
      <c r="AB28" s="114" t="n">
        <f aca="false">P28*$G28</f>
        <v>4.57894736842105</v>
      </c>
      <c r="AC28" s="114" t="n">
        <f aca="false">Q28*$G28</f>
        <v>0.631578947368421</v>
      </c>
      <c r="AD28" s="114" t="n">
        <f aca="false">R28*$G28</f>
        <v>0.947368421052632</v>
      </c>
      <c r="AE28" s="115" t="n">
        <f aca="false">S28*$G28</f>
        <v>0.473684210526316</v>
      </c>
      <c r="AF28" s="113" t="n">
        <f aca="false">T28*$L28</f>
        <v>0.9</v>
      </c>
      <c r="AG28" s="114" t="n">
        <f aca="false">U28*$L28</f>
        <v>0.08</v>
      </c>
      <c r="AH28" s="114" t="n">
        <f aca="false">V28*$L28</f>
        <v>0.015</v>
      </c>
      <c r="AI28" s="114" t="n">
        <f aca="false">W28*$L28</f>
        <v>0.004</v>
      </c>
      <c r="AJ28" s="114" t="n">
        <f aca="false">X28*$L28</f>
        <v>0.001</v>
      </c>
      <c r="AK28" s="115" t="n">
        <f aca="false">Y28*$L28</f>
        <v>0</v>
      </c>
      <c r="AL28" s="116" t="n">
        <f aca="false">Input!$C$11*QBs!D28+Input!$C$12*QBs!C28+Input!$C$13*QBs!E28+Input!$C$14*QBs!H28+Input!$C$15*QBs!Z28+Input!$C$16*QBs!AA28+Input!$C$17*QBs!AB28+Input!$C$18*QBs!AC28+Input!$C$19*QBs!AD28+Input!$C$20*QBs!AE28+Input!$C$21*QBs!F28+Input!$C$22*QBs!I28+Input!$C$23*QBs!J28+Input!$C$24*QBs!AF28+Input!$C$25*QBs!AG28+Input!$C$26*QBs!AH28+Input!$C$27*QBs!AI28+Input!$C$28*QBs!AJ28+Input!$C$29*QBs!AK28+Input!$C$30*QBs!K28+Input!$C$40*QBs!M28</f>
        <v>248.189157894737</v>
      </c>
    </row>
    <row r="29" customFormat="false" ht="12.75" hidden="false" customHeight="false" outlineLevel="0" collapsed="false">
      <c r="A29" s="92" t="s">
        <v>187</v>
      </c>
      <c r="B29" s="93" t="s">
        <v>188</v>
      </c>
      <c r="C29" s="94" t="n">
        <v>240</v>
      </c>
      <c r="D29" s="95" t="n">
        <v>420</v>
      </c>
      <c r="E29" s="96" t="n">
        <f aca="false">7.15*D29</f>
        <v>3003</v>
      </c>
      <c r="F29" s="96" t="n">
        <v>1</v>
      </c>
      <c r="G29" s="96" t="n">
        <v>17</v>
      </c>
      <c r="H29" s="97" t="n">
        <v>10</v>
      </c>
      <c r="I29" s="98" t="n">
        <v>40</v>
      </c>
      <c r="J29" s="96" t="n">
        <f aca="false">4.5*I29</f>
        <v>180</v>
      </c>
      <c r="K29" s="96" t="n">
        <v>0</v>
      </c>
      <c r="L29" s="97" t="n">
        <v>1</v>
      </c>
      <c r="M29" s="96" t="n">
        <v>2</v>
      </c>
      <c r="N29" s="107" t="n">
        <v>0.359550561797753</v>
      </c>
      <c r="O29" s="108" t="n">
        <v>0.213483146067416</v>
      </c>
      <c r="P29" s="108" t="n">
        <v>0.101123595505618</v>
      </c>
      <c r="Q29" s="108" t="n">
        <v>0.0898876404494382</v>
      </c>
      <c r="R29" s="108" t="n">
        <v>0.0955056179775281</v>
      </c>
      <c r="S29" s="109" t="n">
        <v>0.140449438202247</v>
      </c>
      <c r="T29" s="110" t="n">
        <v>0.9</v>
      </c>
      <c r="U29" s="111" t="n">
        <v>0.08</v>
      </c>
      <c r="V29" s="111" t="n">
        <v>0.015</v>
      </c>
      <c r="W29" s="111" t="n">
        <v>0.004</v>
      </c>
      <c r="X29" s="111" t="n">
        <v>0.001</v>
      </c>
      <c r="Y29" s="112" t="n">
        <v>0</v>
      </c>
      <c r="Z29" s="113" t="n">
        <f aca="false">N29*$G29</f>
        <v>6.1123595505618</v>
      </c>
      <c r="AA29" s="114" t="n">
        <f aca="false">O29*$G29</f>
        <v>3.62921348314607</v>
      </c>
      <c r="AB29" s="114" t="n">
        <f aca="false">P29*$G29</f>
        <v>1.71910112359551</v>
      </c>
      <c r="AC29" s="114" t="n">
        <f aca="false">Q29*$G29</f>
        <v>1.52808988764045</v>
      </c>
      <c r="AD29" s="114" t="n">
        <f aca="false">R29*$G29</f>
        <v>1.62359550561798</v>
      </c>
      <c r="AE29" s="115" t="n">
        <f aca="false">S29*$G29</f>
        <v>2.3876404494382</v>
      </c>
      <c r="AF29" s="113" t="n">
        <f aca="false">T29*$L29</f>
        <v>0.9</v>
      </c>
      <c r="AG29" s="114" t="n">
        <f aca="false">U29*$L29</f>
        <v>0.08</v>
      </c>
      <c r="AH29" s="114" t="n">
        <f aca="false">V29*$L29</f>
        <v>0.015</v>
      </c>
      <c r="AI29" s="114" t="n">
        <f aca="false">W29*$L29</f>
        <v>0.004</v>
      </c>
      <c r="AJ29" s="114" t="n">
        <f aca="false">X29*$L29</f>
        <v>0.001</v>
      </c>
      <c r="AK29" s="115" t="n">
        <f aca="false">Y29*$L29</f>
        <v>0</v>
      </c>
      <c r="AL29" s="116" t="n">
        <f aca="false">Input!$C$11*QBs!D29+Input!$C$12*QBs!C29+Input!$C$13*QBs!E29+Input!$C$14*QBs!H29+Input!$C$15*QBs!Z29+Input!$C$16*QBs!AA29+Input!$C$17*QBs!AB29+Input!$C$18*QBs!AC29+Input!$C$19*QBs!AD29+Input!$C$20*QBs!AE29+Input!$C$21*QBs!F29+Input!$C$22*QBs!I29+Input!$C$23*QBs!J29+Input!$C$24*QBs!AF29+Input!$C$25*QBs!AG29+Input!$C$26*QBs!AH29+Input!$C$27*QBs!AI29+Input!$C$28*QBs!AJ29+Input!$C$29*QBs!AK29+Input!$C$30*QBs!K29+Input!$C$40*QBs!M29</f>
        <v>256.360269662921</v>
      </c>
    </row>
    <row r="30" customFormat="false" ht="12.75" hidden="false" customHeight="false" outlineLevel="0" collapsed="false">
      <c r="A30" s="92" t="s">
        <v>189</v>
      </c>
      <c r="B30" s="93" t="s">
        <v>190</v>
      </c>
      <c r="C30" s="94" t="n">
        <v>213</v>
      </c>
      <c r="D30" s="95" t="n">
        <v>380</v>
      </c>
      <c r="E30" s="96" t="n">
        <f aca="false">6.3*D30</f>
        <v>2394</v>
      </c>
      <c r="F30" s="96" t="n">
        <v>0</v>
      </c>
      <c r="G30" s="96" t="n">
        <v>14</v>
      </c>
      <c r="H30" s="97" t="n">
        <v>14</v>
      </c>
      <c r="I30" s="98" t="n">
        <v>45</v>
      </c>
      <c r="J30" s="96" t="n">
        <f aca="false">4.7*I30</f>
        <v>211.5</v>
      </c>
      <c r="K30" s="96" t="n">
        <v>0</v>
      </c>
      <c r="L30" s="97" t="n">
        <v>3</v>
      </c>
      <c r="M30" s="96" t="n">
        <v>1</v>
      </c>
      <c r="N30" s="107" t="n">
        <v>0.443609022556391</v>
      </c>
      <c r="O30" s="108" t="n">
        <v>0.240601503759398</v>
      </c>
      <c r="P30" s="108" t="n">
        <v>0.218045112781955</v>
      </c>
      <c r="Q30" s="108" t="n">
        <v>0.0300751879699248</v>
      </c>
      <c r="R30" s="108" t="n">
        <v>0.0451127819548872</v>
      </c>
      <c r="S30" s="109" t="n">
        <v>0.0225563909774436</v>
      </c>
      <c r="T30" s="110" t="n">
        <v>0.9</v>
      </c>
      <c r="U30" s="111" t="n">
        <v>0.08</v>
      </c>
      <c r="V30" s="111" t="n">
        <v>0.015</v>
      </c>
      <c r="W30" s="111" t="n">
        <v>0.004</v>
      </c>
      <c r="X30" s="111" t="n">
        <v>0.001</v>
      </c>
      <c r="Y30" s="112" t="n">
        <v>0</v>
      </c>
      <c r="Z30" s="113" t="n">
        <f aca="false">N30*$G30</f>
        <v>6.21052631578947</v>
      </c>
      <c r="AA30" s="114" t="n">
        <f aca="false">O30*$G30</f>
        <v>3.36842105263158</v>
      </c>
      <c r="AB30" s="114" t="n">
        <f aca="false">P30*$G30</f>
        <v>3.05263157894737</v>
      </c>
      <c r="AC30" s="114" t="n">
        <f aca="false">Q30*$G30</f>
        <v>0.421052631578947</v>
      </c>
      <c r="AD30" s="114" t="n">
        <f aca="false">R30*$G30</f>
        <v>0.631578947368421</v>
      </c>
      <c r="AE30" s="115" t="n">
        <f aca="false">S30*$G30</f>
        <v>0.315789473684211</v>
      </c>
      <c r="AF30" s="113" t="n">
        <f aca="false">T30*$L30</f>
        <v>2.7</v>
      </c>
      <c r="AG30" s="114" t="n">
        <f aca="false">U30*$L30</f>
        <v>0.24</v>
      </c>
      <c r="AH30" s="114" t="n">
        <f aca="false">V30*$L30</f>
        <v>0.045</v>
      </c>
      <c r="AI30" s="114" t="n">
        <f aca="false">W30*$L30</f>
        <v>0.012</v>
      </c>
      <c r="AJ30" s="114" t="n">
        <f aca="false">X30*$L30</f>
        <v>0.003</v>
      </c>
      <c r="AK30" s="115" t="n">
        <f aca="false">Y30*$L30</f>
        <v>0</v>
      </c>
      <c r="AL30" s="116" t="n">
        <f aca="false">Input!$C$11*QBs!D30+Input!$C$12*QBs!C30+Input!$C$13*QBs!E30+Input!$C$14*QBs!H30+Input!$C$15*QBs!Z30+Input!$C$16*QBs!AA30+Input!$C$17*QBs!AB30+Input!$C$18*QBs!AC30+Input!$C$19*QBs!AD30+Input!$C$20*QBs!AE30+Input!$C$21*QBs!F30+Input!$C$22*QBs!I30+Input!$C$23*QBs!J30+Input!$C$24*QBs!AF30+Input!$C$25*QBs!AG30+Input!$C$26*QBs!AH30+Input!$C$27*QBs!AI30+Input!$C$28*QBs!AJ30+Input!$C$29*QBs!AK30+Input!$C$30*QBs!K30+Input!$C$40*QBs!M30</f>
        <v>215.070105263158</v>
      </c>
    </row>
    <row r="31" customFormat="false" ht="12.75" hidden="false" customHeight="false" outlineLevel="0" collapsed="false">
      <c r="A31" s="92" t="s">
        <v>191</v>
      </c>
      <c r="B31" s="93" t="s">
        <v>192</v>
      </c>
      <c r="C31" s="94" t="n">
        <v>180</v>
      </c>
      <c r="D31" s="95" t="n">
        <v>345</v>
      </c>
      <c r="E31" s="96" t="n">
        <v>2139</v>
      </c>
      <c r="F31" s="96" t="n">
        <v>0</v>
      </c>
      <c r="G31" s="96" t="n">
        <v>10</v>
      </c>
      <c r="H31" s="97" t="n">
        <v>13</v>
      </c>
      <c r="I31" s="98" t="n">
        <v>38</v>
      </c>
      <c r="J31" s="96" t="n">
        <f aca="false">6*I31</f>
        <v>228</v>
      </c>
      <c r="K31" s="96" t="n">
        <v>0</v>
      </c>
      <c r="L31" s="97" t="n">
        <v>1</v>
      </c>
      <c r="M31" s="96" t="n">
        <v>4</v>
      </c>
      <c r="N31" s="107" t="n">
        <v>0.443609022556391</v>
      </c>
      <c r="O31" s="108" t="n">
        <v>0.240601503759398</v>
      </c>
      <c r="P31" s="108" t="n">
        <v>0.218045112781955</v>
      </c>
      <c r="Q31" s="108" t="n">
        <v>0.0300751879699248</v>
      </c>
      <c r="R31" s="108" t="n">
        <v>0.0451127819548872</v>
      </c>
      <c r="S31" s="109" t="n">
        <v>0.0225563909774436</v>
      </c>
      <c r="T31" s="110" t="n">
        <v>0.9</v>
      </c>
      <c r="U31" s="111" t="n">
        <v>0.08</v>
      </c>
      <c r="V31" s="111" t="n">
        <v>0.015</v>
      </c>
      <c r="W31" s="111" t="n">
        <v>0.004</v>
      </c>
      <c r="X31" s="111" t="n">
        <v>0.001</v>
      </c>
      <c r="Y31" s="112" t="n">
        <v>0</v>
      </c>
      <c r="Z31" s="113" t="n">
        <f aca="false">N31*$G31</f>
        <v>4.43609022556391</v>
      </c>
      <c r="AA31" s="114" t="n">
        <f aca="false">O31*$G31</f>
        <v>2.40601503759399</v>
      </c>
      <c r="AB31" s="114" t="n">
        <f aca="false">P31*$G31</f>
        <v>2.18045112781955</v>
      </c>
      <c r="AC31" s="114" t="n">
        <f aca="false">Q31*$G31</f>
        <v>0.300751879699248</v>
      </c>
      <c r="AD31" s="114" t="n">
        <f aca="false">R31*$G31</f>
        <v>0.451127819548872</v>
      </c>
      <c r="AE31" s="115" t="n">
        <f aca="false">S31*$G31</f>
        <v>0.225563909774436</v>
      </c>
      <c r="AF31" s="113" t="n">
        <f aca="false">T31*$L31</f>
        <v>0.9</v>
      </c>
      <c r="AG31" s="114" t="n">
        <f aca="false">U31*$L31</f>
        <v>0.08</v>
      </c>
      <c r="AH31" s="114" t="n">
        <f aca="false">V31*$L31</f>
        <v>0.015</v>
      </c>
      <c r="AI31" s="114" t="n">
        <f aca="false">W31*$L31</f>
        <v>0.004</v>
      </c>
      <c r="AJ31" s="114" t="n">
        <f aca="false">X31*$L31</f>
        <v>0.001</v>
      </c>
      <c r="AK31" s="115" t="n">
        <f aca="false">Y31*$L31</f>
        <v>0</v>
      </c>
      <c r="AL31" s="116" t="n">
        <f aca="false">Input!$C$11*QBs!D31+Input!$C$12*QBs!C31+Input!$C$13*QBs!E31+Input!$C$14*QBs!H31+Input!$C$15*QBs!Z31+Input!$C$16*QBs!AA31+Input!$C$17*QBs!AB31+Input!$C$18*QBs!AC31+Input!$C$19*QBs!AD31+Input!$C$20*QBs!AE31+Input!$C$21*QBs!F31+Input!$C$22*QBs!I31+Input!$C$23*QBs!J31+Input!$C$24*QBs!AF31+Input!$C$25*QBs!AG31+Input!$C$26*QBs!AH31+Input!$C$27*QBs!AI31+Input!$C$28*QBs!AJ31+Input!$C$29*QBs!AK31+Input!$C$30*QBs!K31+Input!$C$40*QBs!M31</f>
        <v>172.477503759399</v>
      </c>
    </row>
    <row r="32" customFormat="false" ht="12.75" hidden="false" customHeight="false" outlineLevel="0" collapsed="false">
      <c r="A32" s="92" t="s">
        <v>193</v>
      </c>
      <c r="B32" s="93" t="s">
        <v>194</v>
      </c>
      <c r="C32" s="94" t="n">
        <v>195</v>
      </c>
      <c r="D32" s="95" t="n">
        <v>340</v>
      </c>
      <c r="E32" s="96" t="n">
        <f aca="false">6.55*D32</f>
        <v>2227</v>
      </c>
      <c r="F32" s="96" t="n">
        <v>0</v>
      </c>
      <c r="G32" s="96" t="n">
        <v>11</v>
      </c>
      <c r="H32" s="97" t="n">
        <v>8</v>
      </c>
      <c r="I32" s="98" t="n">
        <v>35</v>
      </c>
      <c r="J32" s="96" t="n">
        <f aca="false">4.4*I32</f>
        <v>154</v>
      </c>
      <c r="K32" s="96" t="n">
        <v>0</v>
      </c>
      <c r="L32" s="97" t="n">
        <v>1</v>
      </c>
      <c r="M32" s="96" t="n">
        <v>2</v>
      </c>
      <c r="N32" s="107" t="n">
        <v>0.354166666666667</v>
      </c>
      <c r="O32" s="108" t="n">
        <v>0.229166666666667</v>
      </c>
      <c r="P32" s="108" t="n">
        <v>0.138888888888889</v>
      </c>
      <c r="Q32" s="108" t="n">
        <v>0.0810185185185185</v>
      </c>
      <c r="R32" s="108" t="n">
        <v>0.0717592592592593</v>
      </c>
      <c r="S32" s="109" t="n">
        <v>0.125</v>
      </c>
      <c r="T32" s="110" t="n">
        <v>0.9</v>
      </c>
      <c r="U32" s="111" t="n">
        <v>0.08</v>
      </c>
      <c r="V32" s="111" t="n">
        <v>0.015</v>
      </c>
      <c r="W32" s="111" t="n">
        <v>0.004</v>
      </c>
      <c r="X32" s="111" t="n">
        <v>0.001</v>
      </c>
      <c r="Y32" s="112" t="n">
        <v>0</v>
      </c>
      <c r="Z32" s="113" t="n">
        <f aca="false">N32*$G32</f>
        <v>3.89583333333333</v>
      </c>
      <c r="AA32" s="114" t="n">
        <f aca="false">O32*$G32</f>
        <v>2.52083333333333</v>
      </c>
      <c r="AB32" s="114" t="n">
        <f aca="false">P32*$G32</f>
        <v>1.52777777777778</v>
      </c>
      <c r="AC32" s="114" t="n">
        <f aca="false">Q32*$G32</f>
        <v>0.891203703703704</v>
      </c>
      <c r="AD32" s="114" t="n">
        <f aca="false">R32*$G32</f>
        <v>0.789351851851852</v>
      </c>
      <c r="AE32" s="115" t="n">
        <f aca="false">S32*$G32</f>
        <v>1.375</v>
      </c>
      <c r="AF32" s="113" t="n">
        <f aca="false">T32*$L32</f>
        <v>0.9</v>
      </c>
      <c r="AG32" s="114" t="n">
        <f aca="false">U32*$L32</f>
        <v>0.08</v>
      </c>
      <c r="AH32" s="114" t="n">
        <f aca="false">V32*$L32</f>
        <v>0.015</v>
      </c>
      <c r="AI32" s="114" t="n">
        <f aca="false">W32*$L32</f>
        <v>0.004</v>
      </c>
      <c r="AJ32" s="114" t="n">
        <f aca="false">X32*$L32</f>
        <v>0.001</v>
      </c>
      <c r="AK32" s="115" t="n">
        <f aca="false">Y32*$L32</f>
        <v>0</v>
      </c>
      <c r="AL32" s="116" t="n">
        <f aca="false">Input!$C$11*QBs!D32+Input!$C$12*QBs!C32+Input!$C$13*QBs!E32+Input!$C$14*QBs!H32+Input!$C$15*QBs!Z32+Input!$C$16*QBs!AA32+Input!$C$17*QBs!AB32+Input!$C$18*QBs!AC32+Input!$C$19*QBs!AD32+Input!$C$20*QBs!AE32+Input!$C$21*QBs!F32+Input!$C$22*QBs!I32+Input!$C$23*QBs!J32+Input!$C$24*QBs!AF32+Input!$C$25*QBs!AG32+Input!$C$26*QBs!AH32+Input!$C$27*QBs!AI32+Input!$C$28*QBs!AJ32+Input!$C$29*QBs!AK32+Input!$C$30*QBs!K32+Input!$C$40*QBs!M32</f>
        <v>182.158407407407</v>
      </c>
    </row>
    <row r="33" customFormat="false" ht="12.75" hidden="false" customHeight="false" outlineLevel="0" collapsed="false">
      <c r="A33" s="92" t="s">
        <v>195</v>
      </c>
      <c r="B33" s="93" t="s">
        <v>196</v>
      </c>
      <c r="C33" s="94" t="n">
        <v>136</v>
      </c>
      <c r="D33" s="95" t="n">
        <v>235</v>
      </c>
      <c r="E33" s="96" t="n">
        <f aca="false">6.4*D33</f>
        <v>1504</v>
      </c>
      <c r="F33" s="96" t="n">
        <v>1</v>
      </c>
      <c r="G33" s="96" t="n">
        <v>7</v>
      </c>
      <c r="H33" s="97" t="n">
        <v>7</v>
      </c>
      <c r="I33" s="98" t="n">
        <v>30</v>
      </c>
      <c r="J33" s="96" t="n">
        <f aca="false">4*I33</f>
        <v>120</v>
      </c>
      <c r="K33" s="96" t="n">
        <v>0</v>
      </c>
      <c r="L33" s="97" t="n">
        <v>1</v>
      </c>
      <c r="M33" s="96" t="n">
        <v>2</v>
      </c>
      <c r="N33" s="107" t="n">
        <v>0.354166666666667</v>
      </c>
      <c r="O33" s="108" t="n">
        <v>0.229166666666667</v>
      </c>
      <c r="P33" s="108" t="n">
        <v>0.138888888888889</v>
      </c>
      <c r="Q33" s="108" t="n">
        <v>0.0810185185185185</v>
      </c>
      <c r="R33" s="108" t="n">
        <v>0.0717592592592593</v>
      </c>
      <c r="S33" s="109" t="n">
        <v>0.125</v>
      </c>
      <c r="T33" s="110" t="n">
        <v>0.9</v>
      </c>
      <c r="U33" s="111" t="n">
        <v>0.08</v>
      </c>
      <c r="V33" s="111" t="n">
        <v>0.015</v>
      </c>
      <c r="W33" s="111" t="n">
        <v>0.004</v>
      </c>
      <c r="X33" s="111" t="n">
        <v>0.001</v>
      </c>
      <c r="Y33" s="112" t="n">
        <v>0</v>
      </c>
      <c r="Z33" s="113" t="n">
        <f aca="false">N33*$G33</f>
        <v>2.47916666666667</v>
      </c>
      <c r="AA33" s="114" t="n">
        <f aca="false">O33*$G33</f>
        <v>1.60416666666667</v>
      </c>
      <c r="AB33" s="114" t="n">
        <f aca="false">P33*$G33</f>
        <v>0.972222222222222</v>
      </c>
      <c r="AC33" s="114" t="n">
        <f aca="false">Q33*$G33</f>
        <v>0.56712962962963</v>
      </c>
      <c r="AD33" s="114" t="n">
        <f aca="false">R33*$G33</f>
        <v>0.502314814814815</v>
      </c>
      <c r="AE33" s="115" t="n">
        <f aca="false">S33*$G33</f>
        <v>0.875</v>
      </c>
      <c r="AF33" s="113" t="n">
        <f aca="false">T33*$L33</f>
        <v>0.9</v>
      </c>
      <c r="AG33" s="114" t="n">
        <f aca="false">U33*$L33</f>
        <v>0.08</v>
      </c>
      <c r="AH33" s="114" t="n">
        <f aca="false">V33*$L33</f>
        <v>0.015</v>
      </c>
      <c r="AI33" s="114" t="n">
        <f aca="false">W33*$L33</f>
        <v>0.004</v>
      </c>
      <c r="AJ33" s="114" t="n">
        <f aca="false">X33*$L33</f>
        <v>0.001</v>
      </c>
      <c r="AK33" s="115" t="n">
        <f aca="false">Y33*$L33</f>
        <v>0</v>
      </c>
      <c r="AL33" s="116" t="n">
        <f aca="false">Input!$C$11*QBs!D33+Input!$C$12*QBs!C33+Input!$C$13*QBs!E33+Input!$C$14*QBs!H33+Input!$C$15*QBs!Z33+Input!$C$16*QBs!AA33+Input!$C$17*QBs!AB33+Input!$C$18*QBs!AC33+Input!$C$19*QBs!AD33+Input!$C$20*QBs!AE33+Input!$C$21*QBs!F33+Input!$C$22*QBs!I33+Input!$C$23*QBs!J33+Input!$C$24*QBs!AF33+Input!$C$25*QBs!AG33+Input!$C$26*QBs!AH33+Input!$C$27*QBs!AI33+Input!$C$28*QBs!AJ33+Input!$C$29*QBs!AK33+Input!$C$30*QBs!K33+Input!$C$40*QBs!M33</f>
        <v>126.960259259259</v>
      </c>
    </row>
    <row r="34" customFormat="false" ht="12.75" hidden="false" customHeight="false" outlineLevel="0" collapsed="false">
      <c r="A34" s="92" t="s">
        <v>197</v>
      </c>
      <c r="B34" s="93" t="s">
        <v>194</v>
      </c>
      <c r="C34" s="94" t="n">
        <v>133</v>
      </c>
      <c r="D34" s="95" t="n">
        <v>230</v>
      </c>
      <c r="E34" s="96" t="n">
        <f aca="false">6.7*D34</f>
        <v>1541</v>
      </c>
      <c r="F34" s="96" t="n">
        <v>0</v>
      </c>
      <c r="G34" s="96" t="n">
        <v>8</v>
      </c>
      <c r="H34" s="97" t="n">
        <v>6</v>
      </c>
      <c r="I34" s="98" t="n">
        <v>25</v>
      </c>
      <c r="J34" s="96" t="n">
        <f aca="false">2*I34</f>
        <v>50</v>
      </c>
      <c r="K34" s="96" t="n">
        <v>0</v>
      </c>
      <c r="L34" s="97" t="n">
        <v>0</v>
      </c>
      <c r="M34" s="96" t="n">
        <v>2</v>
      </c>
      <c r="N34" s="107" t="n">
        <v>0.354166666666667</v>
      </c>
      <c r="O34" s="108" t="n">
        <v>0.229166666666667</v>
      </c>
      <c r="P34" s="108" t="n">
        <v>0.138888888888889</v>
      </c>
      <c r="Q34" s="108" t="n">
        <v>0.0810185185185185</v>
      </c>
      <c r="R34" s="108" t="n">
        <v>0.0717592592592593</v>
      </c>
      <c r="S34" s="109" t="n">
        <v>0.125</v>
      </c>
      <c r="T34" s="110" t="n">
        <v>0.9</v>
      </c>
      <c r="U34" s="111" t="n">
        <v>0.08</v>
      </c>
      <c r="V34" s="111" t="n">
        <v>0.015</v>
      </c>
      <c r="W34" s="111" t="n">
        <v>0.004</v>
      </c>
      <c r="X34" s="111" t="n">
        <v>0.001</v>
      </c>
      <c r="Y34" s="112" t="n">
        <v>0</v>
      </c>
      <c r="Z34" s="113" t="n">
        <f aca="false">N34*$G34</f>
        <v>2.83333333333333</v>
      </c>
      <c r="AA34" s="114" t="n">
        <f aca="false">O34*$G34</f>
        <v>1.83333333333333</v>
      </c>
      <c r="AB34" s="114" t="n">
        <f aca="false">P34*$G34</f>
        <v>1.11111111111111</v>
      </c>
      <c r="AC34" s="114" t="n">
        <f aca="false">Q34*$G34</f>
        <v>0.648148148148148</v>
      </c>
      <c r="AD34" s="114" t="n">
        <f aca="false">R34*$G34</f>
        <v>0.574074074074074</v>
      </c>
      <c r="AE34" s="115" t="n">
        <f aca="false">S34*$G34</f>
        <v>1</v>
      </c>
      <c r="AF34" s="113" t="n">
        <f aca="false">T34*$L34</f>
        <v>0</v>
      </c>
      <c r="AG34" s="114" t="n">
        <f aca="false">U34*$L34</f>
        <v>0</v>
      </c>
      <c r="AH34" s="114" t="n">
        <f aca="false">V34*$L34</f>
        <v>0</v>
      </c>
      <c r="AI34" s="114" t="n">
        <f aca="false">W34*$L34</f>
        <v>0</v>
      </c>
      <c r="AJ34" s="114" t="n">
        <f aca="false">X34*$L34</f>
        <v>0</v>
      </c>
      <c r="AK34" s="115" t="n">
        <f aca="false">Y34*$L34</f>
        <v>0</v>
      </c>
      <c r="AL34" s="116" t="n">
        <f aca="false">Input!$C$11*QBs!D34+Input!$C$12*QBs!C34+Input!$C$13*QBs!E34+Input!$C$14*QBs!H34+Input!$C$15*QBs!Z34+Input!$C$16*QBs!AA34+Input!$C$17*QBs!AB34+Input!$C$18*QBs!AC34+Input!$C$19*QBs!AD34+Input!$C$20*QBs!AE34+Input!$C$21*QBs!F34+Input!$C$22*QBs!I34+Input!$C$23*QBs!J34+Input!$C$24*QBs!AF34+Input!$C$25*QBs!AG34+Input!$C$26*QBs!AH34+Input!$C$27*QBs!AI34+Input!$C$28*QBs!AJ34+Input!$C$29*QBs!AK34+Input!$C$30*QBs!K34+Input!$C$40*QBs!M34</f>
        <v>117.346296296296</v>
      </c>
    </row>
    <row r="35" customFormat="false" ht="12.75" hidden="false" customHeight="false" outlineLevel="0" collapsed="false">
      <c r="A35" s="92" t="s">
        <v>198</v>
      </c>
      <c r="B35" s="93" t="s">
        <v>192</v>
      </c>
      <c r="C35" s="94" t="n">
        <v>102</v>
      </c>
      <c r="D35" s="95" t="n">
        <v>190</v>
      </c>
      <c r="E35" s="96" t="n">
        <f aca="false">6.3*D35</f>
        <v>1197</v>
      </c>
      <c r="F35" s="96" t="n">
        <v>0</v>
      </c>
      <c r="G35" s="96" t="n">
        <v>6</v>
      </c>
      <c r="H35" s="97" t="n">
        <v>6</v>
      </c>
      <c r="I35" s="98" t="n">
        <v>15</v>
      </c>
      <c r="J35" s="96" t="n">
        <f aca="false">2.6*I35</f>
        <v>39</v>
      </c>
      <c r="K35" s="96" t="n">
        <v>0</v>
      </c>
      <c r="L35" s="97" t="n">
        <v>0</v>
      </c>
      <c r="M35" s="96" t="n">
        <v>2</v>
      </c>
      <c r="N35" s="107" t="n">
        <v>0.354166666666667</v>
      </c>
      <c r="O35" s="108" t="n">
        <v>0.229166666666667</v>
      </c>
      <c r="P35" s="108" t="n">
        <v>0.138888888888889</v>
      </c>
      <c r="Q35" s="108" t="n">
        <v>0.0810185185185185</v>
      </c>
      <c r="R35" s="108" t="n">
        <v>0.0717592592592593</v>
      </c>
      <c r="S35" s="109" t="n">
        <v>0.125</v>
      </c>
      <c r="T35" s="110" t="n">
        <v>0.9</v>
      </c>
      <c r="U35" s="111" t="n">
        <v>0.08</v>
      </c>
      <c r="V35" s="111" t="n">
        <v>0.015</v>
      </c>
      <c r="W35" s="111" t="n">
        <v>0.004</v>
      </c>
      <c r="X35" s="111" t="n">
        <v>0.001</v>
      </c>
      <c r="Y35" s="112" t="n">
        <v>0</v>
      </c>
      <c r="Z35" s="113" t="n">
        <f aca="false">N35*$G35</f>
        <v>2.125</v>
      </c>
      <c r="AA35" s="114" t="n">
        <f aca="false">O35*$G35</f>
        <v>1.375</v>
      </c>
      <c r="AB35" s="114" t="n">
        <f aca="false">P35*$G35</f>
        <v>0.833333333333333</v>
      </c>
      <c r="AC35" s="114" t="n">
        <f aca="false">Q35*$G35</f>
        <v>0.486111111111111</v>
      </c>
      <c r="AD35" s="114" t="n">
        <f aca="false">R35*$G35</f>
        <v>0.430555555555556</v>
      </c>
      <c r="AE35" s="115" t="n">
        <f aca="false">S35*$G35</f>
        <v>0.75</v>
      </c>
      <c r="AF35" s="113" t="n">
        <f aca="false">T35*$L35</f>
        <v>0</v>
      </c>
      <c r="AG35" s="114" t="n">
        <f aca="false">U35*$L35</f>
        <v>0</v>
      </c>
      <c r="AH35" s="114" t="n">
        <f aca="false">V35*$L35</f>
        <v>0</v>
      </c>
      <c r="AI35" s="114" t="n">
        <f aca="false">W35*$L35</f>
        <v>0</v>
      </c>
      <c r="AJ35" s="114" t="n">
        <f aca="false">X35*$L35</f>
        <v>0</v>
      </c>
      <c r="AK35" s="115" t="n">
        <f aca="false">Y35*$L35</f>
        <v>0</v>
      </c>
      <c r="AL35" s="116" t="n">
        <f aca="false">Input!$C$11*QBs!D35+Input!$C$12*QBs!C35+Input!$C$13*QBs!E35+Input!$C$14*QBs!H35+Input!$C$15*QBs!Z35+Input!$C$16*QBs!AA35+Input!$C$17*QBs!AB35+Input!$C$18*QBs!AC35+Input!$C$19*QBs!AD35+Input!$C$20*QBs!AE35+Input!$C$21*QBs!F35+Input!$C$22*QBs!I35+Input!$C$23*QBs!J35+Input!$C$24*QBs!AF35+Input!$C$25*QBs!AG35+Input!$C$26*QBs!AH35+Input!$C$27*QBs!AI35+Input!$C$28*QBs!AJ35+Input!$C$29*QBs!AK35+Input!$C$30*QBs!K35+Input!$C$40*QBs!M35</f>
        <v>89.7222222222222</v>
      </c>
    </row>
    <row r="36" customFormat="false" ht="12.75" hidden="false" customHeight="false" outlineLevel="0" collapsed="false">
      <c r="A36" s="92" t="s">
        <v>199</v>
      </c>
      <c r="B36" s="93" t="s">
        <v>196</v>
      </c>
      <c r="C36" s="94" t="n">
        <v>142</v>
      </c>
      <c r="D36" s="95" t="n">
        <v>245</v>
      </c>
      <c r="E36" s="96" t="n">
        <f aca="false">6.3*D36</f>
        <v>1543.5</v>
      </c>
      <c r="F36" s="96" t="n">
        <v>1</v>
      </c>
      <c r="G36" s="96" t="n">
        <v>9</v>
      </c>
      <c r="H36" s="97" t="n">
        <v>8</v>
      </c>
      <c r="I36" s="98" t="n">
        <v>30</v>
      </c>
      <c r="J36" s="96" t="n">
        <f aca="false">3*I36</f>
        <v>90</v>
      </c>
      <c r="K36" s="96" t="n">
        <v>0</v>
      </c>
      <c r="L36" s="97" t="n">
        <v>0</v>
      </c>
      <c r="M36" s="96" t="n">
        <v>2</v>
      </c>
      <c r="N36" s="107" t="n">
        <v>0.354166666666667</v>
      </c>
      <c r="O36" s="108" t="n">
        <v>0.229166666666667</v>
      </c>
      <c r="P36" s="108" t="n">
        <v>0.138888888888889</v>
      </c>
      <c r="Q36" s="108" t="n">
        <v>0.0810185185185185</v>
      </c>
      <c r="R36" s="108" t="n">
        <v>0.0717592592592593</v>
      </c>
      <c r="S36" s="109" t="n">
        <v>0.125</v>
      </c>
      <c r="T36" s="110" t="n">
        <v>0.9</v>
      </c>
      <c r="U36" s="111" t="n">
        <v>0.08</v>
      </c>
      <c r="V36" s="111" t="n">
        <v>0.015</v>
      </c>
      <c r="W36" s="111" t="n">
        <v>0.004</v>
      </c>
      <c r="X36" s="111" t="n">
        <v>0.001</v>
      </c>
      <c r="Y36" s="112" t="n">
        <v>0</v>
      </c>
      <c r="Z36" s="113" t="n">
        <f aca="false">N36*$G36</f>
        <v>3.1875</v>
      </c>
      <c r="AA36" s="114" t="n">
        <f aca="false">O36*$G36</f>
        <v>2.0625</v>
      </c>
      <c r="AB36" s="114" t="n">
        <f aca="false">P36*$G36</f>
        <v>1.25</v>
      </c>
      <c r="AC36" s="114" t="n">
        <f aca="false">Q36*$G36</f>
        <v>0.729166666666667</v>
      </c>
      <c r="AD36" s="114" t="n">
        <f aca="false">R36*$G36</f>
        <v>0.645833333333333</v>
      </c>
      <c r="AE36" s="115" t="n">
        <f aca="false">S36*$G36</f>
        <v>1.125</v>
      </c>
      <c r="AF36" s="113" t="n">
        <f aca="false">T36*$L36</f>
        <v>0</v>
      </c>
      <c r="AG36" s="114" t="n">
        <f aca="false">U36*$L36</f>
        <v>0</v>
      </c>
      <c r="AH36" s="114" t="n">
        <f aca="false">V36*$L36</f>
        <v>0</v>
      </c>
      <c r="AI36" s="114" t="n">
        <f aca="false">W36*$L36</f>
        <v>0</v>
      </c>
      <c r="AJ36" s="114" t="n">
        <f aca="false">X36*$L36</f>
        <v>0</v>
      </c>
      <c r="AK36" s="115" t="n">
        <f aca="false">Y36*$L36</f>
        <v>0</v>
      </c>
      <c r="AL36" s="116" t="n">
        <f aca="false">Input!$C$11*QBs!D36+Input!$C$12*QBs!C36+Input!$C$13*QBs!E36+Input!$C$14*QBs!H36+Input!$C$15*QBs!Z36+Input!$C$16*QBs!AA36+Input!$C$17*QBs!AB36+Input!$C$18*QBs!AC36+Input!$C$19*QBs!AD36+Input!$C$20*QBs!AE36+Input!$C$21*QBs!F36+Input!$C$22*QBs!I36+Input!$C$23*QBs!J36+Input!$C$24*QBs!AF36+Input!$C$25*QBs!AG36+Input!$C$26*QBs!AH36+Input!$C$27*QBs!AI36+Input!$C$28*QBs!AJ36+Input!$C$29*QBs!AK36+Input!$C$30*QBs!K36+Input!$C$40*QBs!M36</f>
        <v>129.133333333333</v>
      </c>
    </row>
    <row r="37" customFormat="false" ht="12.75" hidden="false" customHeight="false" outlineLevel="0" collapsed="false">
      <c r="A37" s="92" t="s">
        <v>200</v>
      </c>
      <c r="B37" s="93" t="s">
        <v>190</v>
      </c>
      <c r="C37" s="94" t="n">
        <v>82</v>
      </c>
      <c r="D37" s="95" t="n">
        <v>150</v>
      </c>
      <c r="E37" s="96" t="n">
        <f aca="false">6*D37</f>
        <v>900</v>
      </c>
      <c r="F37" s="96" t="n">
        <v>0</v>
      </c>
      <c r="G37" s="96" t="n">
        <v>4</v>
      </c>
      <c r="H37" s="97" t="n">
        <v>5</v>
      </c>
      <c r="I37" s="98" t="n">
        <v>30</v>
      </c>
      <c r="J37" s="96" t="n">
        <f aca="false">4*I37</f>
        <v>120</v>
      </c>
      <c r="K37" s="96" t="n">
        <v>0</v>
      </c>
      <c r="L37" s="97" t="n">
        <v>1</v>
      </c>
      <c r="M37" s="96" t="n">
        <v>1</v>
      </c>
      <c r="N37" s="107" t="n">
        <v>0.354166666666667</v>
      </c>
      <c r="O37" s="108" t="n">
        <v>0.229166666666667</v>
      </c>
      <c r="P37" s="108" t="n">
        <v>0.138888888888889</v>
      </c>
      <c r="Q37" s="108" t="n">
        <v>0.0810185185185185</v>
      </c>
      <c r="R37" s="108" t="n">
        <v>0.0717592592592593</v>
      </c>
      <c r="S37" s="109" t="n">
        <v>0.125</v>
      </c>
      <c r="T37" s="110" t="n">
        <v>0.9</v>
      </c>
      <c r="U37" s="111" t="n">
        <v>0.08</v>
      </c>
      <c r="V37" s="111" t="n">
        <v>0.015</v>
      </c>
      <c r="W37" s="111" t="n">
        <v>0.004</v>
      </c>
      <c r="X37" s="111" t="n">
        <v>0.001</v>
      </c>
      <c r="Y37" s="112" t="n">
        <v>0</v>
      </c>
      <c r="Z37" s="113" t="n">
        <f aca="false">N37*$G37</f>
        <v>1.41666666666667</v>
      </c>
      <c r="AA37" s="114" t="n">
        <f aca="false">O37*$G37</f>
        <v>0.916666666666667</v>
      </c>
      <c r="AB37" s="114" t="n">
        <f aca="false">P37*$G37</f>
        <v>0.555555555555556</v>
      </c>
      <c r="AC37" s="114" t="n">
        <f aca="false">Q37*$G37</f>
        <v>0.324074074074074</v>
      </c>
      <c r="AD37" s="114" t="n">
        <f aca="false">R37*$G37</f>
        <v>0.287037037037037</v>
      </c>
      <c r="AE37" s="115" t="n">
        <f aca="false">S37*$G37</f>
        <v>0.5</v>
      </c>
      <c r="AF37" s="113" t="n">
        <f aca="false">T37*$L37</f>
        <v>0.9</v>
      </c>
      <c r="AG37" s="114" t="n">
        <f aca="false">U37*$L37</f>
        <v>0.08</v>
      </c>
      <c r="AH37" s="114" t="n">
        <f aca="false">V37*$L37</f>
        <v>0.015</v>
      </c>
      <c r="AI37" s="114" t="n">
        <f aca="false">W37*$L37</f>
        <v>0.004</v>
      </c>
      <c r="AJ37" s="114" t="n">
        <f aca="false">X37*$L37</f>
        <v>0.001</v>
      </c>
      <c r="AK37" s="115" t="n">
        <f aca="false">Y37*$L37</f>
        <v>0</v>
      </c>
      <c r="AL37" s="116" t="n">
        <f aca="false">Input!$C$11*QBs!D37+Input!$C$12*QBs!C37+Input!$C$13*QBs!E37+Input!$C$14*QBs!H37+Input!$C$15*QBs!Z37+Input!$C$16*QBs!AA37+Input!$C$17*QBs!AB37+Input!$C$18*QBs!AC37+Input!$C$19*QBs!AD37+Input!$C$20*QBs!AE37+Input!$C$21*QBs!F37+Input!$C$22*QBs!I37+Input!$C$23*QBs!J37+Input!$C$24*QBs!AF37+Input!$C$25*QBs!AG37+Input!$C$26*QBs!AH37+Input!$C$27*QBs!AI37+Input!$C$28*QBs!AJ37+Input!$C$29*QBs!AK37+Input!$C$30*QBs!K37+Input!$C$40*QBs!M37</f>
        <v>80.7741481481482</v>
      </c>
    </row>
    <row r="38" customFormat="false" ht="12.75" hidden="false" customHeight="false" outlineLevel="0" collapsed="false">
      <c r="A38" s="92" t="s">
        <v>201</v>
      </c>
      <c r="B38" s="93" t="s">
        <v>186</v>
      </c>
      <c r="C38" s="94" t="n">
        <v>80</v>
      </c>
      <c r="D38" s="95" t="n">
        <v>145</v>
      </c>
      <c r="E38" s="96" t="n">
        <f aca="false">6.7*D38</f>
        <v>971.5</v>
      </c>
      <c r="F38" s="96" t="n">
        <v>0</v>
      </c>
      <c r="G38" s="96" t="n">
        <v>4</v>
      </c>
      <c r="H38" s="97" t="n">
        <v>6</v>
      </c>
      <c r="I38" s="98" t="n">
        <v>10</v>
      </c>
      <c r="J38" s="96" t="n">
        <f aca="false">1.2*I38</f>
        <v>12</v>
      </c>
      <c r="K38" s="96" t="n">
        <v>0</v>
      </c>
      <c r="L38" s="97" t="n">
        <v>0</v>
      </c>
      <c r="M38" s="96" t="n">
        <v>1</v>
      </c>
      <c r="N38" s="107" t="n">
        <v>0.354166666666667</v>
      </c>
      <c r="O38" s="108" t="n">
        <v>0.229166666666667</v>
      </c>
      <c r="P38" s="108" t="n">
        <v>0.138888888888889</v>
      </c>
      <c r="Q38" s="108" t="n">
        <v>0.0810185185185185</v>
      </c>
      <c r="R38" s="108" t="n">
        <v>0.0717592592592593</v>
      </c>
      <c r="S38" s="109" t="n">
        <v>0.125</v>
      </c>
      <c r="T38" s="110" t="n">
        <v>0.9</v>
      </c>
      <c r="U38" s="111" t="n">
        <v>0.08</v>
      </c>
      <c r="V38" s="111" t="n">
        <v>0.015</v>
      </c>
      <c r="W38" s="111" t="n">
        <v>0.004</v>
      </c>
      <c r="X38" s="111" t="n">
        <v>0.001</v>
      </c>
      <c r="Y38" s="112" t="n">
        <v>0</v>
      </c>
      <c r="Z38" s="113" t="n">
        <f aca="false">N38*$G38</f>
        <v>1.41666666666667</v>
      </c>
      <c r="AA38" s="114" t="n">
        <f aca="false">O38*$G38</f>
        <v>0.916666666666667</v>
      </c>
      <c r="AB38" s="114" t="n">
        <f aca="false">P38*$G38</f>
        <v>0.555555555555556</v>
      </c>
      <c r="AC38" s="114" t="n">
        <f aca="false">Q38*$G38</f>
        <v>0.324074074074074</v>
      </c>
      <c r="AD38" s="114" t="n">
        <f aca="false">R38*$G38</f>
        <v>0.287037037037037</v>
      </c>
      <c r="AE38" s="115" t="n">
        <f aca="false">S38*$G38</f>
        <v>0.5</v>
      </c>
      <c r="AF38" s="113" t="n">
        <f aca="false">T38*$L38</f>
        <v>0</v>
      </c>
      <c r="AG38" s="114" t="n">
        <f aca="false">U38*$L38</f>
        <v>0</v>
      </c>
      <c r="AH38" s="114" t="n">
        <f aca="false">V38*$L38</f>
        <v>0</v>
      </c>
      <c r="AI38" s="114" t="n">
        <f aca="false">W38*$L38</f>
        <v>0</v>
      </c>
      <c r="AJ38" s="114" t="n">
        <f aca="false">X38*$L38</f>
        <v>0</v>
      </c>
      <c r="AK38" s="115" t="n">
        <f aca="false">Y38*$L38</f>
        <v>0</v>
      </c>
      <c r="AL38" s="116" t="n">
        <f aca="false">Input!$C$11*QBs!D38+Input!$C$12*QBs!C38+Input!$C$13*QBs!E38+Input!$C$14*QBs!H38+Input!$C$15*QBs!Z38+Input!$C$16*QBs!AA38+Input!$C$17*QBs!AB38+Input!$C$18*QBs!AC38+Input!$C$19*QBs!AD38+Input!$C$20*QBs!AE38+Input!$C$21*QBs!F38+Input!$C$22*QBs!I38+Input!$C$23*QBs!J38+Input!$C$24*QBs!AF38+Input!$C$25*QBs!AG38+Input!$C$26*QBs!AH38+Input!$C$27*QBs!AI38+Input!$C$28*QBs!AJ38+Input!$C$29*QBs!AK38+Input!$C$30*QBs!K38+Input!$C$40*QBs!M38</f>
        <v>67.4231481481481</v>
      </c>
    </row>
    <row r="39" customFormat="false" ht="12.75" hidden="false" customHeight="false" outlineLevel="0" collapsed="false">
      <c r="A39" s="92" t="s">
        <v>202</v>
      </c>
      <c r="B39" s="93" t="s">
        <v>196</v>
      </c>
      <c r="C39" s="94" t="n">
        <v>45</v>
      </c>
      <c r="D39" s="95" t="n">
        <v>80</v>
      </c>
      <c r="E39" s="96" t="n">
        <f aca="false">6.4*D39</f>
        <v>512</v>
      </c>
      <c r="F39" s="96" t="n">
        <v>0</v>
      </c>
      <c r="G39" s="96" t="n">
        <v>2</v>
      </c>
      <c r="H39" s="97" t="n">
        <v>4</v>
      </c>
      <c r="I39" s="98" t="n">
        <f aca="false">13</f>
        <v>13</v>
      </c>
      <c r="J39" s="96" t="n">
        <f aca="false">3*I39</f>
        <v>39</v>
      </c>
      <c r="K39" s="96" t="n">
        <v>0</v>
      </c>
      <c r="L39" s="97" t="n">
        <v>0</v>
      </c>
      <c r="M39" s="96" t="n">
        <v>1</v>
      </c>
      <c r="N39" s="107" t="n">
        <v>0.354166666666667</v>
      </c>
      <c r="O39" s="108" t="n">
        <v>0.229166666666667</v>
      </c>
      <c r="P39" s="108" t="n">
        <v>0.138888888888889</v>
      </c>
      <c r="Q39" s="108" t="n">
        <v>0.0810185185185185</v>
      </c>
      <c r="R39" s="108" t="n">
        <v>0.0717592592592593</v>
      </c>
      <c r="S39" s="109" t="n">
        <v>0.125</v>
      </c>
      <c r="T39" s="110" t="n">
        <v>0.9</v>
      </c>
      <c r="U39" s="111" t="n">
        <v>0.08</v>
      </c>
      <c r="V39" s="111" t="n">
        <v>0.015</v>
      </c>
      <c r="W39" s="111" t="n">
        <v>0.004</v>
      </c>
      <c r="X39" s="111" t="n">
        <v>0.001</v>
      </c>
      <c r="Y39" s="112" t="n">
        <v>0</v>
      </c>
      <c r="Z39" s="113" t="n">
        <f aca="false">N39*$G39</f>
        <v>0.708333333333333</v>
      </c>
      <c r="AA39" s="114" t="n">
        <f aca="false">O39*$G39</f>
        <v>0.458333333333333</v>
      </c>
      <c r="AB39" s="114" t="n">
        <f aca="false">P39*$G39</f>
        <v>0.277777777777778</v>
      </c>
      <c r="AC39" s="114" t="n">
        <f aca="false">Q39*$G39</f>
        <v>0.162037037037037</v>
      </c>
      <c r="AD39" s="114" t="n">
        <f aca="false">R39*$G39</f>
        <v>0.143518518518519</v>
      </c>
      <c r="AE39" s="115" t="n">
        <f aca="false">S39*$G39</f>
        <v>0.25</v>
      </c>
      <c r="AF39" s="113" t="n">
        <f aca="false">T39*$L39</f>
        <v>0</v>
      </c>
      <c r="AG39" s="114" t="n">
        <f aca="false">U39*$L39</f>
        <v>0</v>
      </c>
      <c r="AH39" s="114" t="n">
        <f aca="false">V39*$L39</f>
        <v>0</v>
      </c>
      <c r="AI39" s="114" t="n">
        <f aca="false">W39*$L39</f>
        <v>0</v>
      </c>
      <c r="AJ39" s="114" t="n">
        <f aca="false">X39*$L39</f>
        <v>0</v>
      </c>
      <c r="AK39" s="115" t="n">
        <f aca="false">Y39*$L39</f>
        <v>0</v>
      </c>
      <c r="AL39" s="116" t="n">
        <f aca="false">Input!$C$11*QBs!D39+Input!$C$12*QBs!C39+Input!$C$13*QBs!E39+Input!$C$14*QBs!H39+Input!$C$15*QBs!Z39+Input!$C$16*QBs!AA39+Input!$C$17*QBs!AB39+Input!$C$18*QBs!AC39+Input!$C$19*QBs!AD39+Input!$C$20*QBs!AE39+Input!$C$21*QBs!F39+Input!$C$22*QBs!I39+Input!$C$23*QBs!J39+Input!$C$24*QBs!AF39+Input!$C$25*QBs!AG39+Input!$C$26*QBs!AH39+Input!$C$27*QBs!AI39+Input!$C$28*QBs!AJ39+Input!$C$29*QBs!AK39+Input!$C$30*QBs!K39+Input!$C$40*QBs!M39</f>
        <v>37.8240740740741</v>
      </c>
    </row>
    <row r="40" customFormat="false" ht="12.75" hidden="false" customHeight="false" outlineLevel="0" collapsed="false">
      <c r="A40" s="92" t="s">
        <v>203</v>
      </c>
      <c r="B40" s="93" t="s">
        <v>184</v>
      </c>
      <c r="C40" s="94" t="n">
        <v>53</v>
      </c>
      <c r="D40" s="95" t="n">
        <v>100</v>
      </c>
      <c r="E40" s="96" t="n">
        <f aca="false">6.4*D40</f>
        <v>640</v>
      </c>
      <c r="F40" s="96" t="n">
        <v>0</v>
      </c>
      <c r="G40" s="96" t="n">
        <v>5</v>
      </c>
      <c r="H40" s="97" t="n">
        <v>4</v>
      </c>
      <c r="I40" s="98" t="n">
        <v>13</v>
      </c>
      <c r="J40" s="96" t="n">
        <f aca="false">3.5*I40</f>
        <v>45.5</v>
      </c>
      <c r="K40" s="96" t="n">
        <v>0</v>
      </c>
      <c r="L40" s="97" t="n">
        <v>0</v>
      </c>
      <c r="M40" s="96" t="n">
        <v>1</v>
      </c>
      <c r="N40" s="107" t="n">
        <v>0.354166666666667</v>
      </c>
      <c r="O40" s="108" t="n">
        <v>0.229166666666667</v>
      </c>
      <c r="P40" s="108" t="n">
        <v>0.138888888888889</v>
      </c>
      <c r="Q40" s="108" t="n">
        <v>0.0810185185185185</v>
      </c>
      <c r="R40" s="108" t="n">
        <v>0.0717592592592593</v>
      </c>
      <c r="S40" s="109" t="n">
        <v>0.125</v>
      </c>
      <c r="T40" s="110" t="n">
        <v>0.9</v>
      </c>
      <c r="U40" s="111" t="n">
        <v>0.08</v>
      </c>
      <c r="V40" s="111" t="n">
        <v>0.015</v>
      </c>
      <c r="W40" s="111" t="n">
        <v>0.004</v>
      </c>
      <c r="X40" s="111" t="n">
        <v>0.001</v>
      </c>
      <c r="Y40" s="112" t="n">
        <v>0</v>
      </c>
      <c r="Z40" s="113" t="n">
        <f aca="false">N40*$G40</f>
        <v>1.77083333333333</v>
      </c>
      <c r="AA40" s="114" t="n">
        <f aca="false">O40*$G40</f>
        <v>1.14583333333333</v>
      </c>
      <c r="AB40" s="114" t="n">
        <f aca="false">P40*$G40</f>
        <v>0.694444444444444</v>
      </c>
      <c r="AC40" s="114" t="n">
        <f aca="false">Q40*$G40</f>
        <v>0.405092592592593</v>
      </c>
      <c r="AD40" s="114" t="n">
        <f aca="false">R40*$G40</f>
        <v>0.358796296296296</v>
      </c>
      <c r="AE40" s="115" t="n">
        <f aca="false">S40*$G40</f>
        <v>0.625</v>
      </c>
      <c r="AF40" s="113" t="n">
        <f aca="false">T40*$L40</f>
        <v>0</v>
      </c>
      <c r="AG40" s="114" t="n">
        <f aca="false">U40*$L40</f>
        <v>0</v>
      </c>
      <c r="AH40" s="114" t="n">
        <f aca="false">V40*$L40</f>
        <v>0</v>
      </c>
      <c r="AI40" s="114" t="n">
        <f aca="false">W40*$L40</f>
        <v>0</v>
      </c>
      <c r="AJ40" s="114" t="n">
        <f aca="false">X40*$L40</f>
        <v>0</v>
      </c>
      <c r="AK40" s="115" t="n">
        <f aca="false">Y40*$L40</f>
        <v>0</v>
      </c>
      <c r="AL40" s="116" t="n">
        <f aca="false">Input!$C$11*QBs!D40+Input!$C$12*QBs!C40+Input!$C$13*QBs!E40+Input!$C$14*QBs!H40+Input!$C$15*QBs!Z40+Input!$C$16*QBs!AA40+Input!$C$17*QBs!AB40+Input!$C$18*QBs!AC40+Input!$C$19*QBs!AD40+Input!$C$20*QBs!AE40+Input!$C$21*QBs!F40+Input!$C$22*QBs!I40+Input!$C$23*QBs!J40+Input!$C$24*QBs!AF40+Input!$C$25*QBs!AG40+Input!$C$26*QBs!AH40+Input!$C$27*QBs!AI40+Input!$C$28*QBs!AJ40+Input!$C$29*QBs!AK40+Input!$C$30*QBs!K40+Input!$C$40*QBs!M40</f>
        <v>58.8601851851852</v>
      </c>
    </row>
    <row r="41" customFormat="false" ht="12.75" hidden="false" customHeight="false" outlineLevel="0" collapsed="false">
      <c r="A41" s="92" t="s">
        <v>204</v>
      </c>
      <c r="B41" s="93" t="s">
        <v>160</v>
      </c>
      <c r="C41" s="94" t="n">
        <v>46</v>
      </c>
      <c r="D41" s="95" t="n">
        <v>80</v>
      </c>
      <c r="E41" s="96" t="n">
        <f aca="false">6.5*D41</f>
        <v>520</v>
      </c>
      <c r="F41" s="96" t="n">
        <v>0</v>
      </c>
      <c r="G41" s="96" t="n">
        <v>4</v>
      </c>
      <c r="H41" s="97" t="n">
        <v>2</v>
      </c>
      <c r="I41" s="98" t="n">
        <v>11</v>
      </c>
      <c r="J41" s="96" t="n">
        <f aca="false">5*I41</f>
        <v>55</v>
      </c>
      <c r="K41" s="96" t="n">
        <v>0</v>
      </c>
      <c r="L41" s="97" t="n">
        <v>0</v>
      </c>
      <c r="M41" s="96" t="n">
        <v>1</v>
      </c>
      <c r="N41" s="107" t="n">
        <v>0.354166666666667</v>
      </c>
      <c r="O41" s="108" t="n">
        <v>0.229166666666667</v>
      </c>
      <c r="P41" s="108" t="n">
        <v>0.138888888888889</v>
      </c>
      <c r="Q41" s="108" t="n">
        <v>0.0810185185185185</v>
      </c>
      <c r="R41" s="108" t="n">
        <v>0.0717592592592593</v>
      </c>
      <c r="S41" s="109" t="n">
        <v>0.125</v>
      </c>
      <c r="T41" s="110" t="n">
        <v>0.9</v>
      </c>
      <c r="U41" s="111" t="n">
        <v>0.08</v>
      </c>
      <c r="V41" s="111" t="n">
        <v>0.015</v>
      </c>
      <c r="W41" s="111" t="n">
        <v>0.004</v>
      </c>
      <c r="X41" s="111" t="n">
        <v>0.001</v>
      </c>
      <c r="Y41" s="112" t="n">
        <v>0</v>
      </c>
      <c r="Z41" s="113" t="n">
        <f aca="false">N41*$G41</f>
        <v>1.41666666666667</v>
      </c>
      <c r="AA41" s="114" t="n">
        <f aca="false">O41*$G41</f>
        <v>0.916666666666667</v>
      </c>
      <c r="AB41" s="114" t="n">
        <f aca="false">P41*$G41</f>
        <v>0.555555555555556</v>
      </c>
      <c r="AC41" s="114" t="n">
        <f aca="false">Q41*$G41</f>
        <v>0.324074074074074</v>
      </c>
      <c r="AD41" s="114" t="n">
        <f aca="false">R41*$G41</f>
        <v>0.287037037037037</v>
      </c>
      <c r="AE41" s="115" t="n">
        <f aca="false">S41*$G41</f>
        <v>0.5</v>
      </c>
      <c r="AF41" s="113" t="n">
        <f aca="false">T41*$L41</f>
        <v>0</v>
      </c>
      <c r="AG41" s="114" t="n">
        <f aca="false">U41*$L41</f>
        <v>0</v>
      </c>
      <c r="AH41" s="114" t="n">
        <f aca="false">V41*$L41</f>
        <v>0</v>
      </c>
      <c r="AI41" s="114" t="n">
        <f aca="false">W41*$L41</f>
        <v>0</v>
      </c>
      <c r="AJ41" s="114" t="n">
        <f aca="false">X41*$L41</f>
        <v>0</v>
      </c>
      <c r="AK41" s="115" t="n">
        <f aca="false">Y41*$L41</f>
        <v>0</v>
      </c>
      <c r="AL41" s="116" t="n">
        <f aca="false">Input!$C$11*QBs!D41+Input!$C$12*QBs!C41+Input!$C$13*QBs!E41+Input!$C$14*QBs!H41+Input!$C$15*QBs!Z41+Input!$C$16*QBs!AA41+Input!$C$17*QBs!AB41+Input!$C$18*QBs!AC41+Input!$C$19*QBs!AD41+Input!$C$20*QBs!AE41+Input!$C$21*QBs!F41+Input!$C$22*QBs!I41+Input!$C$23*QBs!J41+Input!$C$24*QBs!AF41+Input!$C$25*QBs!AG41+Input!$C$26*QBs!AH41+Input!$C$27*QBs!AI41+Input!$C$28*QBs!AJ41+Input!$C$29*QBs!AK41+Input!$C$30*QBs!K41+Input!$C$40*QBs!M41</f>
        <v>49.1481481481481</v>
      </c>
    </row>
    <row r="42" customFormat="false" ht="12.75" hidden="false" customHeight="false" outlineLevel="0" collapsed="false">
      <c r="A42" s="92" t="s">
        <v>205</v>
      </c>
      <c r="B42" s="93" t="s">
        <v>188</v>
      </c>
      <c r="C42" s="94" t="n">
        <v>56</v>
      </c>
      <c r="D42" s="95" t="n">
        <v>100</v>
      </c>
      <c r="E42" s="96" t="n">
        <f aca="false">6.5*D42</f>
        <v>650</v>
      </c>
      <c r="F42" s="96" t="n">
        <v>0</v>
      </c>
      <c r="G42" s="96" t="n">
        <v>4</v>
      </c>
      <c r="H42" s="97" t="n">
        <v>4</v>
      </c>
      <c r="I42" s="98" t="n">
        <v>8</v>
      </c>
      <c r="J42" s="96" t="n">
        <f aca="false">2*I42</f>
        <v>16</v>
      </c>
      <c r="K42" s="96" t="n">
        <v>0</v>
      </c>
      <c r="L42" s="97" t="n">
        <v>0</v>
      </c>
      <c r="M42" s="96" t="n">
        <v>1</v>
      </c>
      <c r="N42" s="107" t="n">
        <v>0.354166666666667</v>
      </c>
      <c r="O42" s="108" t="n">
        <v>0.229166666666667</v>
      </c>
      <c r="P42" s="108" t="n">
        <v>0.138888888888889</v>
      </c>
      <c r="Q42" s="108" t="n">
        <v>0.0810185185185185</v>
      </c>
      <c r="R42" s="108" t="n">
        <v>0.0717592592592593</v>
      </c>
      <c r="S42" s="109" t="n">
        <v>0.125</v>
      </c>
      <c r="T42" s="110" t="n">
        <v>0.9</v>
      </c>
      <c r="U42" s="111" t="n">
        <v>0.08</v>
      </c>
      <c r="V42" s="111" t="n">
        <v>0.015</v>
      </c>
      <c r="W42" s="111" t="n">
        <v>0.004</v>
      </c>
      <c r="X42" s="111" t="n">
        <v>0.001</v>
      </c>
      <c r="Y42" s="112" t="n">
        <v>0</v>
      </c>
      <c r="Z42" s="113" t="n">
        <f aca="false">N42*$G42</f>
        <v>1.41666666666667</v>
      </c>
      <c r="AA42" s="114" t="n">
        <f aca="false">O42*$G42</f>
        <v>0.916666666666667</v>
      </c>
      <c r="AB42" s="114" t="n">
        <f aca="false">P42*$G42</f>
        <v>0.555555555555556</v>
      </c>
      <c r="AC42" s="114" t="n">
        <f aca="false">Q42*$G42</f>
        <v>0.324074074074074</v>
      </c>
      <c r="AD42" s="114" t="n">
        <f aca="false">R42*$G42</f>
        <v>0.287037037037037</v>
      </c>
      <c r="AE42" s="115" t="n">
        <f aca="false">S42*$G42</f>
        <v>0.5</v>
      </c>
      <c r="AF42" s="113" t="n">
        <f aca="false">T42*$L42</f>
        <v>0</v>
      </c>
      <c r="AG42" s="114" t="n">
        <f aca="false">U42*$L42</f>
        <v>0</v>
      </c>
      <c r="AH42" s="114" t="n">
        <f aca="false">V42*$L42</f>
        <v>0</v>
      </c>
      <c r="AI42" s="114" t="n">
        <f aca="false">W42*$L42</f>
        <v>0</v>
      </c>
      <c r="AJ42" s="114" t="n">
        <f aca="false">X42*$L42</f>
        <v>0</v>
      </c>
      <c r="AK42" s="115" t="n">
        <f aca="false">Y42*$L42</f>
        <v>0</v>
      </c>
      <c r="AL42" s="116" t="n">
        <f aca="false">Input!$C$11*QBs!D42+Input!$C$12*QBs!C42+Input!$C$13*QBs!E42+Input!$C$14*QBs!H42+Input!$C$15*QBs!Z42+Input!$C$16*QBs!AA42+Input!$C$17*QBs!AB42+Input!$C$18*QBs!AC42+Input!$C$19*QBs!AD42+Input!$C$20*QBs!AE42+Input!$C$21*QBs!F42+Input!$C$22*QBs!I42+Input!$C$23*QBs!J42+Input!$C$24*QBs!AF42+Input!$C$25*QBs!AG42+Input!$C$26*QBs!AH42+Input!$C$27*QBs!AI42+Input!$C$28*QBs!AJ42+Input!$C$29*QBs!AK42+Input!$C$30*QBs!K42+Input!$C$40*QBs!M42</f>
        <v>51.7481481481482</v>
      </c>
    </row>
    <row r="43" customFormat="false" ht="12.75" hidden="false" customHeight="false" outlineLevel="0" collapsed="false">
      <c r="A43" s="92" t="s">
        <v>206</v>
      </c>
      <c r="B43" s="93" t="s">
        <v>176</v>
      </c>
      <c r="C43" s="94" t="n">
        <v>44</v>
      </c>
      <c r="D43" s="95" t="n">
        <v>80</v>
      </c>
      <c r="E43" s="96" t="n">
        <f aca="false">7.1*D43</f>
        <v>568</v>
      </c>
      <c r="F43" s="96" t="n">
        <v>0</v>
      </c>
      <c r="G43" s="96" t="n">
        <v>2</v>
      </c>
      <c r="H43" s="97" t="n">
        <v>2</v>
      </c>
      <c r="I43" s="98" t="n">
        <v>16</v>
      </c>
      <c r="J43" s="96" t="n">
        <f aca="false">5.3*I43</f>
        <v>84.8</v>
      </c>
      <c r="K43" s="96" t="n">
        <v>0</v>
      </c>
      <c r="L43" s="97" t="n">
        <v>0</v>
      </c>
      <c r="M43" s="96" t="n">
        <v>1</v>
      </c>
      <c r="N43" s="107" t="n">
        <v>0.354166666666667</v>
      </c>
      <c r="O43" s="108" t="n">
        <v>0.229166666666667</v>
      </c>
      <c r="P43" s="108" t="n">
        <v>0.138888888888889</v>
      </c>
      <c r="Q43" s="108" t="n">
        <v>0.0810185185185185</v>
      </c>
      <c r="R43" s="108" t="n">
        <v>0.0717592592592593</v>
      </c>
      <c r="S43" s="109" t="n">
        <v>0.125</v>
      </c>
      <c r="T43" s="110" t="n">
        <v>0.9</v>
      </c>
      <c r="U43" s="111" t="n">
        <v>0.08</v>
      </c>
      <c r="V43" s="111" t="n">
        <v>0.015</v>
      </c>
      <c r="W43" s="111" t="n">
        <v>0.004</v>
      </c>
      <c r="X43" s="111" t="n">
        <v>0.001</v>
      </c>
      <c r="Y43" s="112" t="n">
        <v>0</v>
      </c>
      <c r="Z43" s="113" t="n">
        <f aca="false">N43*$G43</f>
        <v>0.708333333333333</v>
      </c>
      <c r="AA43" s="114" t="n">
        <f aca="false">O43*$G43</f>
        <v>0.458333333333333</v>
      </c>
      <c r="AB43" s="114" t="n">
        <f aca="false">P43*$G43</f>
        <v>0.277777777777778</v>
      </c>
      <c r="AC43" s="114" t="n">
        <f aca="false">Q43*$G43</f>
        <v>0.162037037037037</v>
      </c>
      <c r="AD43" s="114" t="n">
        <f aca="false">R43*$G43</f>
        <v>0.143518518518519</v>
      </c>
      <c r="AE43" s="115" t="n">
        <f aca="false">S43*$G43</f>
        <v>0.25</v>
      </c>
      <c r="AF43" s="113" t="n">
        <f aca="false">T43*$L43</f>
        <v>0</v>
      </c>
      <c r="AG43" s="114" t="n">
        <f aca="false">U43*$L43</f>
        <v>0</v>
      </c>
      <c r="AH43" s="114" t="n">
        <f aca="false">V43*$L43</f>
        <v>0</v>
      </c>
      <c r="AI43" s="114" t="n">
        <f aca="false">W43*$L43</f>
        <v>0</v>
      </c>
      <c r="AJ43" s="114" t="n">
        <f aca="false">X43*$L43</f>
        <v>0</v>
      </c>
      <c r="AK43" s="115" t="n">
        <f aca="false">Y43*$L43</f>
        <v>0</v>
      </c>
      <c r="AL43" s="116" t="n">
        <f aca="false">Input!$C$11*QBs!D43+Input!$C$12*QBs!C43+Input!$C$13*QBs!E43+Input!$C$14*QBs!H43+Input!$C$15*QBs!Z43+Input!$C$16*QBs!AA43+Input!$C$17*QBs!AB43+Input!$C$18*QBs!AC43+Input!$C$19*QBs!AD43+Input!$C$20*QBs!AE43+Input!$C$21*QBs!F43+Input!$C$22*QBs!I43+Input!$C$23*QBs!J43+Input!$C$24*QBs!AF43+Input!$C$25*QBs!AG43+Input!$C$26*QBs!AH43+Input!$C$27*QBs!AI43+Input!$C$28*QBs!AJ43+Input!$C$29*QBs!AK43+Input!$C$30*QBs!K43+Input!$C$40*QBs!M43</f>
        <v>45.2040740740741</v>
      </c>
    </row>
    <row r="44" customFormat="false" ht="12.75" hidden="false" customHeight="false" outlineLevel="0" collapsed="false">
      <c r="A44" s="92" t="s">
        <v>207</v>
      </c>
      <c r="B44" s="93" t="s">
        <v>144</v>
      </c>
      <c r="C44" s="94" t="n">
        <v>60</v>
      </c>
      <c r="D44" s="95" t="n">
        <v>100</v>
      </c>
      <c r="E44" s="96" t="n">
        <f aca="false">6.9*D44</f>
        <v>690</v>
      </c>
      <c r="F44" s="96" t="n">
        <v>0</v>
      </c>
      <c r="G44" s="96" t="n">
        <v>4</v>
      </c>
      <c r="H44" s="97" t="n">
        <v>3</v>
      </c>
      <c r="I44" s="98" t="n">
        <v>2</v>
      </c>
      <c r="J44" s="96" t="n">
        <f aca="false">2*I44</f>
        <v>4</v>
      </c>
      <c r="K44" s="96" t="n">
        <v>0</v>
      </c>
      <c r="L44" s="97" t="n">
        <v>0</v>
      </c>
      <c r="M44" s="96" t="n">
        <v>1</v>
      </c>
      <c r="N44" s="107" t="n">
        <v>0.354166666666667</v>
      </c>
      <c r="O44" s="108" t="n">
        <v>0.229166666666667</v>
      </c>
      <c r="P44" s="108" t="n">
        <v>0.138888888888889</v>
      </c>
      <c r="Q44" s="108" t="n">
        <v>0.0810185185185185</v>
      </c>
      <c r="R44" s="108" t="n">
        <v>0.0717592592592593</v>
      </c>
      <c r="S44" s="109" t="n">
        <v>0.125</v>
      </c>
      <c r="T44" s="110" t="n">
        <v>0.9</v>
      </c>
      <c r="U44" s="111" t="n">
        <v>0.08</v>
      </c>
      <c r="V44" s="111" t="n">
        <v>0.015</v>
      </c>
      <c r="W44" s="111" t="n">
        <v>0.004</v>
      </c>
      <c r="X44" s="111" t="n">
        <v>0.001</v>
      </c>
      <c r="Y44" s="112" t="n">
        <v>0</v>
      </c>
      <c r="Z44" s="113" t="n">
        <f aca="false">N44*$G44</f>
        <v>1.41666666666667</v>
      </c>
      <c r="AA44" s="114" t="n">
        <f aca="false">O44*$G44</f>
        <v>0.916666666666667</v>
      </c>
      <c r="AB44" s="114" t="n">
        <f aca="false">P44*$G44</f>
        <v>0.555555555555556</v>
      </c>
      <c r="AC44" s="114" t="n">
        <f aca="false">Q44*$G44</f>
        <v>0.324074074074074</v>
      </c>
      <c r="AD44" s="114" t="n">
        <f aca="false">R44*$G44</f>
        <v>0.287037037037037</v>
      </c>
      <c r="AE44" s="115" t="n">
        <f aca="false">S44*$G44</f>
        <v>0.5</v>
      </c>
      <c r="AF44" s="113" t="n">
        <f aca="false">T44*$L44</f>
        <v>0</v>
      </c>
      <c r="AG44" s="114" t="n">
        <f aca="false">U44*$L44</f>
        <v>0</v>
      </c>
      <c r="AH44" s="114" t="n">
        <f aca="false">V44*$L44</f>
        <v>0</v>
      </c>
      <c r="AI44" s="114" t="n">
        <f aca="false">W44*$L44</f>
        <v>0</v>
      </c>
      <c r="AJ44" s="114" t="n">
        <f aca="false">X44*$L44</f>
        <v>0</v>
      </c>
      <c r="AK44" s="115" t="n">
        <f aca="false">Y44*$L44</f>
        <v>0</v>
      </c>
      <c r="AL44" s="116" t="n">
        <f aca="false">Input!$C$11*QBs!D44+Input!$C$12*QBs!C44+Input!$C$13*QBs!E44+Input!$C$14*QBs!H44+Input!$C$15*QBs!Z44+Input!$C$16*QBs!AA44+Input!$C$17*QBs!AB44+Input!$C$18*QBs!AC44+Input!$C$19*QBs!AD44+Input!$C$20*QBs!AE44+Input!$C$21*QBs!F44+Input!$C$22*QBs!I44+Input!$C$23*QBs!J44+Input!$C$24*QBs!AF44+Input!$C$25*QBs!AG44+Input!$C$26*QBs!AH44+Input!$C$27*QBs!AI44+Input!$C$28*QBs!AJ44+Input!$C$29*QBs!AK44+Input!$C$30*QBs!K44+Input!$C$40*QBs!M44</f>
        <v>52.5481481481481</v>
      </c>
    </row>
    <row r="45" customFormat="false" ht="12.75" hidden="false" customHeight="false" outlineLevel="0" collapsed="false">
      <c r="A45" s="92" t="s">
        <v>208</v>
      </c>
      <c r="B45" s="93" t="s">
        <v>178</v>
      </c>
      <c r="C45" s="94" t="n">
        <v>45</v>
      </c>
      <c r="D45" s="95" t="n">
        <v>80</v>
      </c>
      <c r="E45" s="96" t="n">
        <f aca="false">6.2*D45</f>
        <v>496</v>
      </c>
      <c r="F45" s="96" t="n">
        <v>0</v>
      </c>
      <c r="G45" s="96" t="n">
        <v>1</v>
      </c>
      <c r="H45" s="97" t="n">
        <v>2</v>
      </c>
      <c r="I45" s="98" t="n">
        <v>14</v>
      </c>
      <c r="J45" s="96" t="n">
        <f aca="false">4.3*I45</f>
        <v>60.2</v>
      </c>
      <c r="K45" s="96" t="n">
        <v>0</v>
      </c>
      <c r="L45" s="97" t="n">
        <v>0</v>
      </c>
      <c r="M45" s="96" t="n">
        <v>1</v>
      </c>
      <c r="N45" s="107" t="n">
        <v>0.354166666666667</v>
      </c>
      <c r="O45" s="108" t="n">
        <v>0.229166666666667</v>
      </c>
      <c r="P45" s="108" t="n">
        <v>0.138888888888889</v>
      </c>
      <c r="Q45" s="108" t="n">
        <v>0.0810185185185185</v>
      </c>
      <c r="R45" s="108" t="n">
        <v>0.0717592592592593</v>
      </c>
      <c r="S45" s="109" t="n">
        <v>0.125</v>
      </c>
      <c r="T45" s="110" t="n">
        <v>0.9</v>
      </c>
      <c r="U45" s="111" t="n">
        <v>0.08</v>
      </c>
      <c r="V45" s="111" t="n">
        <v>0.015</v>
      </c>
      <c r="W45" s="111" t="n">
        <v>0.004</v>
      </c>
      <c r="X45" s="111" t="n">
        <v>0.001</v>
      </c>
      <c r="Y45" s="112" t="n">
        <v>0</v>
      </c>
      <c r="Z45" s="113" t="n">
        <f aca="false">N45*$G45</f>
        <v>0.354166666666667</v>
      </c>
      <c r="AA45" s="114" t="n">
        <f aca="false">O45*$G45</f>
        <v>0.229166666666667</v>
      </c>
      <c r="AB45" s="114" t="n">
        <f aca="false">P45*$G45</f>
        <v>0.138888888888889</v>
      </c>
      <c r="AC45" s="114" t="n">
        <f aca="false">Q45*$G45</f>
        <v>0.0810185185185185</v>
      </c>
      <c r="AD45" s="114" t="n">
        <f aca="false">R45*$G45</f>
        <v>0.0717592592592593</v>
      </c>
      <c r="AE45" s="115" t="n">
        <f aca="false">S45*$G45</f>
        <v>0.125</v>
      </c>
      <c r="AF45" s="113" t="n">
        <f aca="false">T45*$L45</f>
        <v>0</v>
      </c>
      <c r="AG45" s="114" t="n">
        <f aca="false">U45*$L45</f>
        <v>0</v>
      </c>
      <c r="AH45" s="114" t="n">
        <f aca="false">V45*$L45</f>
        <v>0</v>
      </c>
      <c r="AI45" s="114" t="n">
        <f aca="false">W45*$L45</f>
        <v>0</v>
      </c>
      <c r="AJ45" s="114" t="n">
        <f aca="false">X45*$L45</f>
        <v>0</v>
      </c>
      <c r="AK45" s="115" t="n">
        <f aca="false">Y45*$L45</f>
        <v>0</v>
      </c>
      <c r="AL45" s="116" t="n">
        <f aca="false">Input!$C$11*QBs!D45+Input!$C$12*QBs!C45+Input!$C$13*QBs!E45+Input!$C$14*QBs!H45+Input!$C$15*QBs!Z45+Input!$C$16*QBs!AA45+Input!$C$17*QBs!AB45+Input!$C$18*QBs!AC45+Input!$C$19*QBs!AD45+Input!$C$20*QBs!AE45+Input!$C$21*QBs!F45+Input!$C$22*QBs!I45+Input!$C$23*QBs!J45+Input!$C$24*QBs!AF45+Input!$C$25*QBs!AG45+Input!$C$26*QBs!AH45+Input!$C$27*QBs!AI45+Input!$C$28*QBs!AJ45+Input!$C$29*QBs!AK45+Input!$C$30*QBs!K45+Input!$C$40*QBs!M45</f>
        <v>34.482037037037</v>
      </c>
    </row>
    <row r="46" customFormat="false" ht="12.75" hidden="false" customHeight="false" outlineLevel="0" collapsed="false">
      <c r="A46" s="92" t="s">
        <v>209</v>
      </c>
      <c r="B46" s="93" t="s">
        <v>180</v>
      </c>
      <c r="C46" s="94" t="n">
        <v>47</v>
      </c>
      <c r="D46" s="95" t="n">
        <v>90</v>
      </c>
      <c r="E46" s="96" t="n">
        <f aca="false">5.8*D46</f>
        <v>522</v>
      </c>
      <c r="F46" s="96" t="n">
        <v>0</v>
      </c>
      <c r="G46" s="96" t="n">
        <v>3</v>
      </c>
      <c r="H46" s="97" t="n">
        <v>4</v>
      </c>
      <c r="I46" s="98" t="n">
        <v>10</v>
      </c>
      <c r="J46" s="96" t="n">
        <f aca="false">3*I46</f>
        <v>30</v>
      </c>
      <c r="K46" s="96" t="n">
        <v>0</v>
      </c>
      <c r="L46" s="97" t="n">
        <v>0</v>
      </c>
      <c r="M46" s="96" t="n">
        <v>1</v>
      </c>
      <c r="N46" s="107" t="n">
        <v>0.354166666666667</v>
      </c>
      <c r="O46" s="108" t="n">
        <v>0.229166666666667</v>
      </c>
      <c r="P46" s="108" t="n">
        <v>0.138888888888889</v>
      </c>
      <c r="Q46" s="108" t="n">
        <v>0.0810185185185185</v>
      </c>
      <c r="R46" s="108" t="n">
        <v>0.0717592592592593</v>
      </c>
      <c r="S46" s="109" t="n">
        <v>0.125</v>
      </c>
      <c r="T46" s="110" t="n">
        <v>0.9</v>
      </c>
      <c r="U46" s="111" t="n">
        <v>0.08</v>
      </c>
      <c r="V46" s="111" t="n">
        <v>0.015</v>
      </c>
      <c r="W46" s="111" t="n">
        <v>0.004</v>
      </c>
      <c r="X46" s="111" t="n">
        <v>0.001</v>
      </c>
      <c r="Y46" s="112" t="n">
        <v>0</v>
      </c>
      <c r="Z46" s="113" t="n">
        <f aca="false">N46*$G46</f>
        <v>1.0625</v>
      </c>
      <c r="AA46" s="114" t="n">
        <f aca="false">O46*$G46</f>
        <v>0.6875</v>
      </c>
      <c r="AB46" s="114" t="n">
        <f aca="false">P46*$G46</f>
        <v>0.416666666666667</v>
      </c>
      <c r="AC46" s="114" t="n">
        <f aca="false">Q46*$G46</f>
        <v>0.243055555555556</v>
      </c>
      <c r="AD46" s="114" t="n">
        <f aca="false">R46*$G46</f>
        <v>0.215277777777778</v>
      </c>
      <c r="AE46" s="115" t="n">
        <f aca="false">S46*$G46</f>
        <v>0.375</v>
      </c>
      <c r="AF46" s="113" t="n">
        <f aca="false">T46*$L46</f>
        <v>0</v>
      </c>
      <c r="AG46" s="114" t="n">
        <f aca="false">U46*$L46</f>
        <v>0</v>
      </c>
      <c r="AH46" s="114" t="n">
        <f aca="false">V46*$L46</f>
        <v>0</v>
      </c>
      <c r="AI46" s="114" t="n">
        <f aca="false">W46*$L46</f>
        <v>0</v>
      </c>
      <c r="AJ46" s="114" t="n">
        <f aca="false">X46*$L46</f>
        <v>0</v>
      </c>
      <c r="AK46" s="115" t="n">
        <f aca="false">Y46*$L46</f>
        <v>0</v>
      </c>
      <c r="AL46" s="116" t="n">
        <f aca="false">Input!$C$11*QBs!D46+Input!$C$12*QBs!C46+Input!$C$13*QBs!E46+Input!$C$14*QBs!H46+Input!$C$15*QBs!Z46+Input!$C$16*QBs!AA46+Input!$C$17*QBs!AB46+Input!$C$18*QBs!AC46+Input!$C$19*QBs!AD46+Input!$C$20*QBs!AE46+Input!$C$21*QBs!F46+Input!$C$22*QBs!I46+Input!$C$23*QBs!J46+Input!$C$24*QBs!AF46+Input!$C$25*QBs!AG46+Input!$C$26*QBs!AH46+Input!$C$27*QBs!AI46+Input!$C$28*QBs!AJ46+Input!$C$29*QBs!AK46+Input!$C$30*QBs!K46+Input!$C$40*QBs!M46</f>
        <v>42.0861111111111</v>
      </c>
    </row>
    <row r="47" customFormat="false" ht="12.75" hidden="false" customHeight="false" outlineLevel="0" collapsed="false">
      <c r="A47" s="92" t="s">
        <v>210</v>
      </c>
      <c r="B47" s="93" t="s">
        <v>162</v>
      </c>
      <c r="C47" s="94" t="n">
        <v>24</v>
      </c>
      <c r="D47" s="95" t="n">
        <v>45</v>
      </c>
      <c r="E47" s="96" t="n">
        <f aca="false">6.6*D47</f>
        <v>297</v>
      </c>
      <c r="F47" s="96" t="n">
        <v>0</v>
      </c>
      <c r="G47" s="96" t="n">
        <v>3</v>
      </c>
      <c r="H47" s="97" t="n">
        <v>4</v>
      </c>
      <c r="I47" s="98" t="n">
        <v>4</v>
      </c>
      <c r="J47" s="96" t="n">
        <f aca="false">2*I47</f>
        <v>8</v>
      </c>
      <c r="K47" s="96" t="n">
        <v>0</v>
      </c>
      <c r="L47" s="97" t="n">
        <v>0</v>
      </c>
      <c r="M47" s="96" t="n">
        <v>1</v>
      </c>
      <c r="N47" s="107" t="n">
        <v>0.354166666666667</v>
      </c>
      <c r="O47" s="108" t="n">
        <v>0.229166666666667</v>
      </c>
      <c r="P47" s="108" t="n">
        <v>0.138888888888889</v>
      </c>
      <c r="Q47" s="108" t="n">
        <v>0.0810185185185185</v>
      </c>
      <c r="R47" s="108" t="n">
        <v>0.0717592592592593</v>
      </c>
      <c r="S47" s="109" t="n">
        <v>0.125</v>
      </c>
      <c r="T47" s="110" t="n">
        <v>0.9</v>
      </c>
      <c r="U47" s="111" t="n">
        <v>0.08</v>
      </c>
      <c r="V47" s="111" t="n">
        <v>0.015</v>
      </c>
      <c r="W47" s="111" t="n">
        <v>0.004</v>
      </c>
      <c r="X47" s="111" t="n">
        <v>0.001</v>
      </c>
      <c r="Y47" s="112" t="n">
        <v>0</v>
      </c>
      <c r="Z47" s="113" t="n">
        <f aca="false">N47*$G47</f>
        <v>1.0625</v>
      </c>
      <c r="AA47" s="114" t="n">
        <f aca="false">O47*$G47</f>
        <v>0.6875</v>
      </c>
      <c r="AB47" s="114" t="n">
        <f aca="false">P47*$G47</f>
        <v>0.416666666666667</v>
      </c>
      <c r="AC47" s="114" t="n">
        <f aca="false">Q47*$G47</f>
        <v>0.243055555555556</v>
      </c>
      <c r="AD47" s="114" t="n">
        <f aca="false">R47*$G47</f>
        <v>0.215277777777778</v>
      </c>
      <c r="AE47" s="115" t="n">
        <f aca="false">S47*$G47</f>
        <v>0.375</v>
      </c>
      <c r="AF47" s="113" t="n">
        <f aca="false">T47*$L47</f>
        <v>0</v>
      </c>
      <c r="AG47" s="114" t="n">
        <f aca="false">U47*$L47</f>
        <v>0</v>
      </c>
      <c r="AH47" s="114" t="n">
        <f aca="false">V47*$L47</f>
        <v>0</v>
      </c>
      <c r="AI47" s="114" t="n">
        <f aca="false">W47*$L47</f>
        <v>0</v>
      </c>
      <c r="AJ47" s="114" t="n">
        <f aca="false">X47*$L47</f>
        <v>0</v>
      </c>
      <c r="AK47" s="115" t="n">
        <f aca="false">Y47*$L47</f>
        <v>0</v>
      </c>
      <c r="AL47" s="116" t="n">
        <f aca="false">Input!$C$11*QBs!D47+Input!$C$12*QBs!C47+Input!$C$13*QBs!E47+Input!$C$14*QBs!H47+Input!$C$15*QBs!Z47+Input!$C$16*QBs!AA47+Input!$C$17*QBs!AB47+Input!$C$18*QBs!AC47+Input!$C$19*QBs!AD47+Input!$C$20*QBs!AE47+Input!$C$21*QBs!F47+Input!$C$22*QBs!I47+Input!$C$23*QBs!J47+Input!$C$24*QBs!AF47+Input!$C$25*QBs!AG47+Input!$C$26*QBs!AH47+Input!$C$27*QBs!AI47+Input!$C$28*QBs!AJ47+Input!$C$29*QBs!AK47+Input!$C$30*QBs!K47+Input!$C$40*QBs!M47</f>
        <v>28.6361111111111</v>
      </c>
    </row>
    <row r="48" customFormat="false" ht="12.75" hidden="false" customHeight="false" outlineLevel="0" collapsed="false">
      <c r="A48" s="92" t="s">
        <v>211</v>
      </c>
      <c r="B48" s="93" t="s">
        <v>156</v>
      </c>
      <c r="C48" s="94" t="n">
        <v>40</v>
      </c>
      <c r="D48" s="95" t="n">
        <v>75</v>
      </c>
      <c r="E48" s="96" t="n">
        <f aca="false">5.5*D48</f>
        <v>412.5</v>
      </c>
      <c r="F48" s="96" t="n">
        <v>0</v>
      </c>
      <c r="G48" s="96" t="n">
        <v>2</v>
      </c>
      <c r="H48" s="97" t="n">
        <v>2</v>
      </c>
      <c r="I48" s="98" t="n">
        <v>10</v>
      </c>
      <c r="J48" s="96" t="n">
        <f aca="false">3*I48</f>
        <v>30</v>
      </c>
      <c r="K48" s="96" t="n">
        <v>0</v>
      </c>
      <c r="L48" s="97" t="n">
        <v>0</v>
      </c>
      <c r="M48" s="96" t="n">
        <v>1</v>
      </c>
      <c r="N48" s="107" t="n">
        <v>0.354166666666667</v>
      </c>
      <c r="O48" s="108" t="n">
        <v>0.229166666666667</v>
      </c>
      <c r="P48" s="108" t="n">
        <v>0.138888888888889</v>
      </c>
      <c r="Q48" s="108" t="n">
        <v>0.0810185185185185</v>
      </c>
      <c r="R48" s="108" t="n">
        <v>0.0717592592592593</v>
      </c>
      <c r="S48" s="109" t="n">
        <v>0.125</v>
      </c>
      <c r="T48" s="110" t="n">
        <v>0.9</v>
      </c>
      <c r="U48" s="111" t="n">
        <v>0.08</v>
      </c>
      <c r="V48" s="111" t="n">
        <v>0.015</v>
      </c>
      <c r="W48" s="111" t="n">
        <v>0.004</v>
      </c>
      <c r="X48" s="111" t="n">
        <v>0.001</v>
      </c>
      <c r="Y48" s="112" t="n">
        <v>0</v>
      </c>
      <c r="Z48" s="113" t="n">
        <f aca="false">N48*$G48</f>
        <v>0.708333333333333</v>
      </c>
      <c r="AA48" s="114" t="n">
        <f aca="false">O48*$G48</f>
        <v>0.458333333333333</v>
      </c>
      <c r="AB48" s="114" t="n">
        <f aca="false">P48*$G48</f>
        <v>0.277777777777778</v>
      </c>
      <c r="AC48" s="114" t="n">
        <f aca="false">Q48*$G48</f>
        <v>0.162037037037037</v>
      </c>
      <c r="AD48" s="114" t="n">
        <f aca="false">R48*$G48</f>
        <v>0.143518518518519</v>
      </c>
      <c r="AE48" s="115" t="n">
        <f aca="false">S48*$G48</f>
        <v>0.25</v>
      </c>
      <c r="AF48" s="113" t="n">
        <f aca="false">T48*$L48</f>
        <v>0</v>
      </c>
      <c r="AG48" s="114" t="n">
        <f aca="false">U48*$L48</f>
        <v>0</v>
      </c>
      <c r="AH48" s="114" t="n">
        <f aca="false">V48*$L48</f>
        <v>0</v>
      </c>
      <c r="AI48" s="114" t="n">
        <f aca="false">W48*$L48</f>
        <v>0</v>
      </c>
      <c r="AJ48" s="114" t="n">
        <f aca="false">X48*$L48</f>
        <v>0</v>
      </c>
      <c r="AK48" s="115" t="n">
        <f aca="false">Y48*$L48</f>
        <v>0</v>
      </c>
      <c r="AL48" s="116" t="n">
        <f aca="false">Input!$C$11*QBs!D48+Input!$C$12*QBs!C48+Input!$C$13*QBs!E48+Input!$C$14*QBs!H48+Input!$C$15*QBs!Z48+Input!$C$16*QBs!AA48+Input!$C$17*QBs!AB48+Input!$C$18*QBs!AC48+Input!$C$19*QBs!AD48+Input!$C$20*QBs!AE48+Input!$C$21*QBs!F48+Input!$C$22*QBs!I48+Input!$C$23*QBs!J48+Input!$C$24*QBs!AF48+Input!$C$25*QBs!AG48+Input!$C$26*QBs!AH48+Input!$C$27*QBs!AI48+Input!$C$28*QBs!AJ48+Input!$C$29*QBs!AK48+Input!$C$30*QBs!K48+Input!$C$40*QBs!M48</f>
        <v>31.9490740740741</v>
      </c>
    </row>
    <row r="49" customFormat="false" ht="12.75" hidden="false" customHeight="false" outlineLevel="0" collapsed="false">
      <c r="A49" s="92" t="s">
        <v>212</v>
      </c>
      <c r="B49" s="93" t="s">
        <v>168</v>
      </c>
      <c r="C49" s="94" t="n">
        <v>23</v>
      </c>
      <c r="D49" s="95" t="n">
        <v>40</v>
      </c>
      <c r="E49" s="96" t="n">
        <f aca="false">6.9*D49</f>
        <v>276</v>
      </c>
      <c r="F49" s="96" t="n">
        <v>0</v>
      </c>
      <c r="G49" s="96" t="n">
        <v>2</v>
      </c>
      <c r="H49" s="97" t="n">
        <v>1</v>
      </c>
      <c r="I49" s="98" t="n">
        <v>8</v>
      </c>
      <c r="J49" s="96" t="n">
        <f aca="false">5.2*I49</f>
        <v>41.6</v>
      </c>
      <c r="K49" s="96" t="n">
        <v>0</v>
      </c>
      <c r="L49" s="97" t="n">
        <v>0</v>
      </c>
      <c r="M49" s="96" t="n">
        <v>0</v>
      </c>
      <c r="N49" s="107" t="n">
        <v>0.354166666666667</v>
      </c>
      <c r="O49" s="108" t="n">
        <v>0.229166666666667</v>
      </c>
      <c r="P49" s="108" t="n">
        <v>0.138888888888889</v>
      </c>
      <c r="Q49" s="108" t="n">
        <v>0.0810185185185185</v>
      </c>
      <c r="R49" s="108" t="n">
        <v>0.0717592592592593</v>
      </c>
      <c r="S49" s="109" t="n">
        <v>0.125</v>
      </c>
      <c r="T49" s="110" t="n">
        <v>0.9</v>
      </c>
      <c r="U49" s="111" t="n">
        <v>0.08</v>
      </c>
      <c r="V49" s="111" t="n">
        <v>0.015</v>
      </c>
      <c r="W49" s="111" t="n">
        <v>0.004</v>
      </c>
      <c r="X49" s="111" t="n">
        <v>0.001</v>
      </c>
      <c r="Y49" s="112" t="n">
        <v>0</v>
      </c>
      <c r="Z49" s="113" t="n">
        <f aca="false">N49*$G49</f>
        <v>0.708333333333333</v>
      </c>
      <c r="AA49" s="114" t="n">
        <f aca="false">O49*$G49</f>
        <v>0.458333333333333</v>
      </c>
      <c r="AB49" s="114" t="n">
        <f aca="false">P49*$G49</f>
        <v>0.277777777777778</v>
      </c>
      <c r="AC49" s="114" t="n">
        <f aca="false">Q49*$G49</f>
        <v>0.162037037037037</v>
      </c>
      <c r="AD49" s="114" t="n">
        <f aca="false">R49*$G49</f>
        <v>0.143518518518519</v>
      </c>
      <c r="AE49" s="115" t="n">
        <f aca="false">S49*$G49</f>
        <v>0.25</v>
      </c>
      <c r="AF49" s="113" t="n">
        <f aca="false">T49*$L49</f>
        <v>0</v>
      </c>
      <c r="AG49" s="114" t="n">
        <f aca="false">U49*$L49</f>
        <v>0</v>
      </c>
      <c r="AH49" s="114" t="n">
        <f aca="false">V49*$L49</f>
        <v>0</v>
      </c>
      <c r="AI49" s="114" t="n">
        <f aca="false">W49*$L49</f>
        <v>0</v>
      </c>
      <c r="AJ49" s="114" t="n">
        <f aca="false">X49*$L49</f>
        <v>0</v>
      </c>
      <c r="AK49" s="115" t="n">
        <f aca="false">Y49*$L49</f>
        <v>0</v>
      </c>
      <c r="AL49" s="116" t="n">
        <f aca="false">Input!$C$11*QBs!D49+Input!$C$12*QBs!C49+Input!$C$13*QBs!E49+Input!$C$14*QBs!H49+Input!$C$15*QBs!Z49+Input!$C$16*QBs!AA49+Input!$C$17*QBs!AB49+Input!$C$18*QBs!AC49+Input!$C$19*QBs!AD49+Input!$C$20*QBs!AE49+Input!$C$21*QBs!F49+Input!$C$22*QBs!I49+Input!$C$23*QBs!J49+Input!$C$24*QBs!AF49+Input!$C$25*QBs!AG49+Input!$C$26*QBs!AH49+Input!$C$27*QBs!AI49+Input!$C$28*QBs!AJ49+Input!$C$29*QBs!AK49+Input!$C$30*QBs!K49+Input!$C$40*QBs!M49</f>
        <v>27.2840740740741</v>
      </c>
    </row>
    <row r="50" customFormat="false" ht="12.75" hidden="false" customHeight="false" outlineLevel="0" collapsed="false">
      <c r="A50" s="92" t="s">
        <v>213</v>
      </c>
      <c r="B50" s="93" t="s">
        <v>154</v>
      </c>
      <c r="C50" s="94" t="n">
        <v>22</v>
      </c>
      <c r="D50" s="95" t="n">
        <v>40</v>
      </c>
      <c r="E50" s="96" t="n">
        <f aca="false">6.1*D50</f>
        <v>244</v>
      </c>
      <c r="F50" s="96" t="n">
        <v>0</v>
      </c>
      <c r="G50" s="96" t="n">
        <v>2</v>
      </c>
      <c r="H50" s="97" t="n">
        <v>1</v>
      </c>
      <c r="I50" s="98" t="n">
        <v>8</v>
      </c>
      <c r="J50" s="96" t="n">
        <f aca="false">7*I50</f>
        <v>56</v>
      </c>
      <c r="K50" s="96" t="n">
        <v>0</v>
      </c>
      <c r="L50" s="97" t="n">
        <v>0</v>
      </c>
      <c r="M50" s="96" t="n">
        <v>0</v>
      </c>
      <c r="N50" s="107" t="n">
        <v>0.354166666666667</v>
      </c>
      <c r="O50" s="108" t="n">
        <v>0.229166666666667</v>
      </c>
      <c r="P50" s="108" t="n">
        <v>0.138888888888889</v>
      </c>
      <c r="Q50" s="108" t="n">
        <v>0.0810185185185185</v>
      </c>
      <c r="R50" s="108" t="n">
        <v>0.0717592592592593</v>
      </c>
      <c r="S50" s="109" t="n">
        <v>0.125</v>
      </c>
      <c r="T50" s="110" t="n">
        <v>0.9</v>
      </c>
      <c r="U50" s="111" t="n">
        <v>0.08</v>
      </c>
      <c r="V50" s="111" t="n">
        <v>0.015</v>
      </c>
      <c r="W50" s="111" t="n">
        <v>0.004</v>
      </c>
      <c r="X50" s="111" t="n">
        <v>0.001</v>
      </c>
      <c r="Y50" s="112" t="n">
        <v>0</v>
      </c>
      <c r="Z50" s="113" t="n">
        <f aca="false">N50*$G50</f>
        <v>0.708333333333333</v>
      </c>
      <c r="AA50" s="114" t="n">
        <f aca="false">O50*$G50</f>
        <v>0.458333333333333</v>
      </c>
      <c r="AB50" s="114" t="n">
        <f aca="false">P50*$G50</f>
        <v>0.277777777777778</v>
      </c>
      <c r="AC50" s="114" t="n">
        <f aca="false">Q50*$G50</f>
        <v>0.162037037037037</v>
      </c>
      <c r="AD50" s="114" t="n">
        <f aca="false">R50*$G50</f>
        <v>0.143518518518519</v>
      </c>
      <c r="AE50" s="115" t="n">
        <f aca="false">S50*$G50</f>
        <v>0.25</v>
      </c>
      <c r="AF50" s="113" t="n">
        <f aca="false">T50*$L50</f>
        <v>0</v>
      </c>
      <c r="AG50" s="114" t="n">
        <f aca="false">U50*$L50</f>
        <v>0</v>
      </c>
      <c r="AH50" s="114" t="n">
        <f aca="false">V50*$L50</f>
        <v>0</v>
      </c>
      <c r="AI50" s="114" t="n">
        <f aca="false">W50*$L50</f>
        <v>0</v>
      </c>
      <c r="AJ50" s="114" t="n">
        <f aca="false">X50*$L50</f>
        <v>0</v>
      </c>
      <c r="AK50" s="115" t="n">
        <f aca="false">Y50*$L50</f>
        <v>0</v>
      </c>
      <c r="AL50" s="116" t="n">
        <f aca="false">Input!$C$11*QBs!D50+Input!$C$12*QBs!C50+Input!$C$13*QBs!E50+Input!$C$14*QBs!H50+Input!$C$15*QBs!Z50+Input!$C$16*QBs!AA50+Input!$C$17*QBs!AB50+Input!$C$18*QBs!AC50+Input!$C$19*QBs!AD50+Input!$C$20*QBs!AE50+Input!$C$21*QBs!F50+Input!$C$22*QBs!I50+Input!$C$23*QBs!J50+Input!$C$24*QBs!AF50+Input!$C$25*QBs!AG50+Input!$C$26*QBs!AH50+Input!$C$27*QBs!AI50+Input!$C$28*QBs!AJ50+Input!$C$29*QBs!AK50+Input!$C$30*QBs!K50+Input!$C$40*QBs!M50</f>
        <v>27.1240740740741</v>
      </c>
    </row>
    <row r="51" customFormat="false" ht="12.75" hidden="false" customHeight="false" outlineLevel="0" collapsed="false">
      <c r="A51" s="92" t="s">
        <v>214</v>
      </c>
      <c r="B51" s="93" t="s">
        <v>172</v>
      </c>
      <c r="C51" s="94" t="n">
        <v>32</v>
      </c>
      <c r="D51" s="95" t="n">
        <v>55</v>
      </c>
      <c r="E51" s="96" t="n">
        <f aca="false">6.37*D51</f>
        <v>350.35</v>
      </c>
      <c r="F51" s="96" t="n">
        <v>0</v>
      </c>
      <c r="G51" s="96" t="n">
        <v>1</v>
      </c>
      <c r="H51" s="97" t="n">
        <v>1</v>
      </c>
      <c r="I51" s="98" t="n">
        <v>3</v>
      </c>
      <c r="J51" s="96" t="n">
        <f aca="false">3.2*I51</f>
        <v>9.6</v>
      </c>
      <c r="K51" s="96" t="n">
        <v>0</v>
      </c>
      <c r="L51" s="97" t="n">
        <v>0</v>
      </c>
      <c r="M51" s="96" t="n">
        <v>0</v>
      </c>
      <c r="N51" s="107" t="n">
        <v>0.354166666666667</v>
      </c>
      <c r="O51" s="108" t="n">
        <v>0.229166666666667</v>
      </c>
      <c r="P51" s="108" t="n">
        <v>0.138888888888889</v>
      </c>
      <c r="Q51" s="108" t="n">
        <v>0.0810185185185185</v>
      </c>
      <c r="R51" s="108" t="n">
        <v>0.0717592592592593</v>
      </c>
      <c r="S51" s="109" t="n">
        <v>0.125</v>
      </c>
      <c r="T51" s="110" t="n">
        <v>0.9</v>
      </c>
      <c r="U51" s="111" t="n">
        <v>0.08</v>
      </c>
      <c r="V51" s="111" t="n">
        <v>0.015</v>
      </c>
      <c r="W51" s="111" t="n">
        <v>0.004</v>
      </c>
      <c r="X51" s="111" t="n">
        <v>0.001</v>
      </c>
      <c r="Y51" s="112" t="n">
        <v>0</v>
      </c>
      <c r="Z51" s="113" t="n">
        <f aca="false">N51*$G51</f>
        <v>0.354166666666667</v>
      </c>
      <c r="AA51" s="114" t="n">
        <f aca="false">O51*$G51</f>
        <v>0.229166666666667</v>
      </c>
      <c r="AB51" s="114" t="n">
        <f aca="false">P51*$G51</f>
        <v>0.138888888888889</v>
      </c>
      <c r="AC51" s="114" t="n">
        <f aca="false">Q51*$G51</f>
        <v>0.0810185185185185</v>
      </c>
      <c r="AD51" s="114" t="n">
        <f aca="false">R51*$G51</f>
        <v>0.0717592592592593</v>
      </c>
      <c r="AE51" s="115" t="n">
        <f aca="false">S51*$G51</f>
        <v>0.125</v>
      </c>
      <c r="AF51" s="113" t="n">
        <f aca="false">T51*$L51</f>
        <v>0</v>
      </c>
      <c r="AG51" s="114" t="n">
        <f aca="false">U51*$L51</f>
        <v>0</v>
      </c>
      <c r="AH51" s="114" t="n">
        <f aca="false">V51*$L51</f>
        <v>0</v>
      </c>
      <c r="AI51" s="114" t="n">
        <f aca="false">W51*$L51</f>
        <v>0</v>
      </c>
      <c r="AJ51" s="114" t="n">
        <f aca="false">X51*$L51</f>
        <v>0</v>
      </c>
      <c r="AK51" s="115" t="n">
        <f aca="false">Y51*$L51</f>
        <v>0</v>
      </c>
      <c r="AL51" s="116" t="n">
        <f aca="false">Input!$C$11*QBs!D51+Input!$C$12*QBs!C51+Input!$C$13*QBs!E51+Input!$C$14*QBs!H51+Input!$C$15*QBs!Z51+Input!$C$16*QBs!AA51+Input!$C$17*QBs!AB51+Input!$C$18*QBs!AC51+Input!$C$19*QBs!AD51+Input!$C$20*QBs!AE51+Input!$C$21*QBs!F51+Input!$C$22*QBs!I51+Input!$C$23*QBs!J51+Input!$C$24*QBs!AF51+Input!$C$25*QBs!AG51+Input!$C$26*QBs!AH51+Input!$C$27*QBs!AI51+Input!$C$28*QBs!AJ51+Input!$C$29*QBs!AK51+Input!$C$30*QBs!K51+Input!$C$40*QBs!M51</f>
        <v>23.139537037037</v>
      </c>
    </row>
    <row r="52" customFormat="false" ht="12.75" hidden="false" customHeight="false" outlineLevel="0" collapsed="false">
      <c r="A52" s="92" t="s">
        <v>215</v>
      </c>
      <c r="B52" s="93" t="s">
        <v>142</v>
      </c>
      <c r="C52" s="94" t="n">
        <v>23</v>
      </c>
      <c r="D52" s="95" t="n">
        <v>40</v>
      </c>
      <c r="E52" s="96" t="n">
        <f aca="false">6.6*D52</f>
        <v>264</v>
      </c>
      <c r="F52" s="96" t="n">
        <v>0</v>
      </c>
      <c r="G52" s="96" t="n">
        <v>2</v>
      </c>
      <c r="H52" s="97" t="n">
        <v>1</v>
      </c>
      <c r="I52" s="98" t="n">
        <v>2</v>
      </c>
      <c r="J52" s="96" t="n">
        <f aca="false">2.2*I52</f>
        <v>4.4</v>
      </c>
      <c r="K52" s="96" t="n">
        <v>0</v>
      </c>
      <c r="L52" s="97" t="n">
        <v>0</v>
      </c>
      <c r="M52" s="96" t="n">
        <v>0</v>
      </c>
      <c r="N52" s="107" t="n">
        <v>0.354166666666667</v>
      </c>
      <c r="O52" s="108" t="n">
        <v>0.229166666666667</v>
      </c>
      <c r="P52" s="108" t="n">
        <v>0.138888888888889</v>
      </c>
      <c r="Q52" s="108" t="n">
        <v>0.0810185185185185</v>
      </c>
      <c r="R52" s="108" t="n">
        <v>0.0717592592592593</v>
      </c>
      <c r="S52" s="109" t="n">
        <v>0.125</v>
      </c>
      <c r="T52" s="110" t="n">
        <v>0.9</v>
      </c>
      <c r="U52" s="111" t="n">
        <v>0.08</v>
      </c>
      <c r="V52" s="111" t="n">
        <v>0.015</v>
      </c>
      <c r="W52" s="111" t="n">
        <v>0.004</v>
      </c>
      <c r="X52" s="111" t="n">
        <v>0.001</v>
      </c>
      <c r="Y52" s="112" t="n">
        <v>0</v>
      </c>
      <c r="Z52" s="113" t="n">
        <f aca="false">N52*$G52</f>
        <v>0.708333333333333</v>
      </c>
      <c r="AA52" s="114" t="n">
        <f aca="false">O52*$G52</f>
        <v>0.458333333333333</v>
      </c>
      <c r="AB52" s="114" t="n">
        <f aca="false">P52*$G52</f>
        <v>0.277777777777778</v>
      </c>
      <c r="AC52" s="114" t="n">
        <f aca="false">Q52*$G52</f>
        <v>0.162037037037037</v>
      </c>
      <c r="AD52" s="114" t="n">
        <f aca="false">R52*$G52</f>
        <v>0.143518518518519</v>
      </c>
      <c r="AE52" s="115" t="n">
        <f aca="false">S52*$G52</f>
        <v>0.25</v>
      </c>
      <c r="AF52" s="113" t="n">
        <f aca="false">T52*$L52</f>
        <v>0</v>
      </c>
      <c r="AG52" s="114" t="n">
        <f aca="false">U52*$L52</f>
        <v>0</v>
      </c>
      <c r="AH52" s="114" t="n">
        <f aca="false">V52*$L52</f>
        <v>0</v>
      </c>
      <c r="AI52" s="114" t="n">
        <f aca="false">W52*$L52</f>
        <v>0</v>
      </c>
      <c r="AJ52" s="114" t="n">
        <f aca="false">X52*$L52</f>
        <v>0</v>
      </c>
      <c r="AK52" s="115" t="n">
        <f aca="false">Y52*$L52</f>
        <v>0</v>
      </c>
      <c r="AL52" s="116" t="n">
        <f aca="false">Input!$C$11*QBs!D52+Input!$C$12*QBs!C52+Input!$C$13*QBs!E52+Input!$C$14*QBs!H52+Input!$C$15*QBs!Z52+Input!$C$16*QBs!AA52+Input!$C$17*QBs!AB52+Input!$C$18*QBs!AC52+Input!$C$19*QBs!AD52+Input!$C$20*QBs!AE52+Input!$C$21*QBs!F52+Input!$C$22*QBs!I52+Input!$C$23*QBs!J52+Input!$C$24*QBs!AF52+Input!$C$25*QBs!AG52+Input!$C$26*QBs!AH52+Input!$C$27*QBs!AI52+Input!$C$28*QBs!AJ52+Input!$C$29*QBs!AK52+Input!$C$30*QBs!K52+Input!$C$40*QBs!M52</f>
        <v>22.9640740740741</v>
      </c>
    </row>
    <row r="53" customFormat="false" ht="12.75" hidden="false" customHeight="false" outlineLevel="0" collapsed="false">
      <c r="A53" s="92" t="s">
        <v>216</v>
      </c>
      <c r="B53" s="93" t="s">
        <v>166</v>
      </c>
      <c r="C53" s="94" t="n">
        <v>24</v>
      </c>
      <c r="D53" s="95" t="n">
        <v>40</v>
      </c>
      <c r="E53" s="96" t="n">
        <f aca="false">6.4*D53</f>
        <v>256</v>
      </c>
      <c r="F53" s="96" t="n">
        <v>0</v>
      </c>
      <c r="G53" s="96" t="n">
        <v>2</v>
      </c>
      <c r="H53" s="97" t="n">
        <v>3</v>
      </c>
      <c r="I53" s="98" t="n">
        <v>5</v>
      </c>
      <c r="J53" s="96" t="n">
        <f aca="false">0.8*I53</f>
        <v>4</v>
      </c>
      <c r="K53" s="96" t="n">
        <v>0</v>
      </c>
      <c r="L53" s="97" t="n">
        <v>0</v>
      </c>
      <c r="M53" s="96" t="n">
        <v>0</v>
      </c>
      <c r="N53" s="107" t="n">
        <v>0.354166666666667</v>
      </c>
      <c r="O53" s="108" t="n">
        <v>0.229166666666667</v>
      </c>
      <c r="P53" s="108" t="n">
        <v>0.138888888888889</v>
      </c>
      <c r="Q53" s="108" t="n">
        <v>0.0810185185185185</v>
      </c>
      <c r="R53" s="108" t="n">
        <v>0.0717592592592593</v>
      </c>
      <c r="S53" s="109" t="n">
        <v>0.125</v>
      </c>
      <c r="T53" s="110" t="n">
        <v>0.9</v>
      </c>
      <c r="U53" s="111" t="n">
        <v>0.08</v>
      </c>
      <c r="V53" s="111" t="n">
        <v>0.015</v>
      </c>
      <c r="W53" s="111" t="n">
        <v>0.004</v>
      </c>
      <c r="X53" s="111" t="n">
        <v>0.001</v>
      </c>
      <c r="Y53" s="112" t="n">
        <v>0</v>
      </c>
      <c r="Z53" s="113" t="n">
        <f aca="false">N53*$G53</f>
        <v>0.708333333333333</v>
      </c>
      <c r="AA53" s="114" t="n">
        <f aca="false">O53*$G53</f>
        <v>0.458333333333333</v>
      </c>
      <c r="AB53" s="114" t="n">
        <f aca="false">P53*$G53</f>
        <v>0.277777777777778</v>
      </c>
      <c r="AC53" s="114" t="n">
        <f aca="false">Q53*$G53</f>
        <v>0.162037037037037</v>
      </c>
      <c r="AD53" s="114" t="n">
        <f aca="false">R53*$G53</f>
        <v>0.143518518518519</v>
      </c>
      <c r="AE53" s="115" t="n">
        <f aca="false">S53*$G53</f>
        <v>0.25</v>
      </c>
      <c r="AF53" s="113" t="n">
        <f aca="false">T53*$L53</f>
        <v>0</v>
      </c>
      <c r="AG53" s="114" t="n">
        <f aca="false">U53*$L53</f>
        <v>0</v>
      </c>
      <c r="AH53" s="114" t="n">
        <f aca="false">V53*$L53</f>
        <v>0</v>
      </c>
      <c r="AI53" s="114" t="n">
        <f aca="false">W53*$L53</f>
        <v>0</v>
      </c>
      <c r="AJ53" s="114" t="n">
        <f aca="false">X53*$L53</f>
        <v>0</v>
      </c>
      <c r="AK53" s="115" t="n">
        <f aca="false">Y53*$L53</f>
        <v>0</v>
      </c>
      <c r="AL53" s="116" t="n">
        <f aca="false">Input!$C$11*QBs!D53+Input!$C$12*QBs!C53+Input!$C$13*QBs!E53+Input!$C$14*QBs!H53+Input!$C$15*QBs!Z53+Input!$C$16*QBs!AA53+Input!$C$17*QBs!AB53+Input!$C$18*QBs!AC53+Input!$C$19*QBs!AD53+Input!$C$20*QBs!AE53+Input!$C$21*QBs!F53+Input!$C$22*QBs!I53+Input!$C$23*QBs!J53+Input!$C$24*QBs!AF53+Input!$C$25*QBs!AG53+Input!$C$26*QBs!AH53+Input!$C$27*QBs!AI53+Input!$C$28*QBs!AJ53+Input!$C$29*QBs!AK53+Input!$C$30*QBs!K53+Input!$C$40*QBs!M53</f>
        <v>22.5240740740741</v>
      </c>
    </row>
    <row r="54" customFormat="false" ht="12.75" hidden="false" customHeight="false" outlineLevel="0" collapsed="false">
      <c r="A54" s="92" t="s">
        <v>217</v>
      </c>
      <c r="B54" s="93" t="s">
        <v>150</v>
      </c>
      <c r="C54" s="94" t="n">
        <v>23</v>
      </c>
      <c r="D54" s="95" t="n">
        <v>40</v>
      </c>
      <c r="E54" s="96" t="n">
        <f aca="false">7.1*D54</f>
        <v>284</v>
      </c>
      <c r="F54" s="96" t="n">
        <v>0</v>
      </c>
      <c r="G54" s="96" t="n">
        <v>2</v>
      </c>
      <c r="H54" s="97" t="n">
        <v>1</v>
      </c>
      <c r="I54" s="98" t="n">
        <v>3</v>
      </c>
      <c r="J54" s="96" t="n">
        <f aca="false">2*I54</f>
        <v>6</v>
      </c>
      <c r="K54" s="96" t="n">
        <v>0</v>
      </c>
      <c r="L54" s="97" t="n">
        <v>0</v>
      </c>
      <c r="M54" s="96" t="n">
        <v>0</v>
      </c>
      <c r="N54" s="107" t="n">
        <v>0.354166666666667</v>
      </c>
      <c r="O54" s="108" t="n">
        <v>0.229166666666667</v>
      </c>
      <c r="P54" s="108" t="n">
        <v>0.138888888888889</v>
      </c>
      <c r="Q54" s="108" t="n">
        <v>0.0810185185185185</v>
      </c>
      <c r="R54" s="108" t="n">
        <v>0.0717592592592593</v>
      </c>
      <c r="S54" s="109" t="n">
        <v>0.125</v>
      </c>
      <c r="T54" s="110" t="n">
        <v>0.9</v>
      </c>
      <c r="U54" s="111" t="n">
        <v>0.08</v>
      </c>
      <c r="V54" s="111" t="n">
        <v>0.015</v>
      </c>
      <c r="W54" s="111" t="n">
        <v>0.004</v>
      </c>
      <c r="X54" s="111" t="n">
        <v>0.001</v>
      </c>
      <c r="Y54" s="112" t="n">
        <v>0</v>
      </c>
      <c r="Z54" s="113" t="n">
        <f aca="false">N54*$G54</f>
        <v>0.708333333333333</v>
      </c>
      <c r="AA54" s="114" t="n">
        <f aca="false">O54*$G54</f>
        <v>0.458333333333333</v>
      </c>
      <c r="AB54" s="114" t="n">
        <f aca="false">P54*$G54</f>
        <v>0.277777777777778</v>
      </c>
      <c r="AC54" s="114" t="n">
        <f aca="false">Q54*$G54</f>
        <v>0.162037037037037</v>
      </c>
      <c r="AD54" s="114" t="n">
        <f aca="false">R54*$G54</f>
        <v>0.143518518518519</v>
      </c>
      <c r="AE54" s="115" t="n">
        <f aca="false">S54*$G54</f>
        <v>0.25</v>
      </c>
      <c r="AF54" s="113" t="n">
        <f aca="false">T54*$L54</f>
        <v>0</v>
      </c>
      <c r="AG54" s="114" t="n">
        <f aca="false">U54*$L54</f>
        <v>0</v>
      </c>
      <c r="AH54" s="114" t="n">
        <f aca="false">V54*$L54</f>
        <v>0</v>
      </c>
      <c r="AI54" s="114" t="n">
        <f aca="false">W54*$L54</f>
        <v>0</v>
      </c>
      <c r="AJ54" s="114" t="n">
        <f aca="false">X54*$L54</f>
        <v>0</v>
      </c>
      <c r="AK54" s="115" t="n">
        <f aca="false">Y54*$L54</f>
        <v>0</v>
      </c>
      <c r="AL54" s="116" t="n">
        <f aca="false">Input!$C$11*QBs!D54+Input!$C$12*QBs!C54+Input!$C$13*QBs!E54+Input!$C$14*QBs!H54+Input!$C$15*QBs!Z54+Input!$C$16*QBs!AA54+Input!$C$17*QBs!AB54+Input!$C$18*QBs!AC54+Input!$C$19*QBs!AD54+Input!$C$20*QBs!AE54+Input!$C$21*QBs!F54+Input!$C$22*QBs!I54+Input!$C$23*QBs!J54+Input!$C$24*QBs!AF54+Input!$C$25*QBs!AG54+Input!$C$26*QBs!AH54+Input!$C$27*QBs!AI54+Input!$C$28*QBs!AJ54+Input!$C$29*QBs!AK54+Input!$C$30*QBs!K54+Input!$C$40*QBs!M54</f>
        <v>24.1240740740741</v>
      </c>
    </row>
    <row r="55" customFormat="false" ht="12.75" hidden="false" customHeight="false" outlineLevel="0" collapsed="false">
      <c r="A55" s="92" t="s">
        <v>218</v>
      </c>
      <c r="B55" s="93" t="s">
        <v>152</v>
      </c>
      <c r="C55" s="94" t="n">
        <v>20</v>
      </c>
      <c r="D55" s="95" t="n">
        <v>40</v>
      </c>
      <c r="E55" s="96" t="n">
        <f aca="false">6.8*D55</f>
        <v>272</v>
      </c>
      <c r="F55" s="96" t="n">
        <v>0</v>
      </c>
      <c r="G55" s="96" t="n">
        <v>1</v>
      </c>
      <c r="H55" s="97" t="n">
        <v>2</v>
      </c>
      <c r="I55" s="98" t="n">
        <v>3</v>
      </c>
      <c r="J55" s="96" t="n">
        <f aca="false">3.2*I55</f>
        <v>9.6</v>
      </c>
      <c r="K55" s="96" t="n">
        <v>0</v>
      </c>
      <c r="L55" s="97" t="n">
        <v>0</v>
      </c>
      <c r="M55" s="96" t="n">
        <v>0</v>
      </c>
      <c r="N55" s="107" t="n">
        <v>0.354166666666667</v>
      </c>
      <c r="O55" s="108" t="n">
        <v>0.229166666666667</v>
      </c>
      <c r="P55" s="108" t="n">
        <v>0.138888888888889</v>
      </c>
      <c r="Q55" s="108" t="n">
        <v>0.0810185185185185</v>
      </c>
      <c r="R55" s="108" t="n">
        <v>0.0717592592592593</v>
      </c>
      <c r="S55" s="109" t="n">
        <v>0.125</v>
      </c>
      <c r="T55" s="110" t="n">
        <v>0.9</v>
      </c>
      <c r="U55" s="111" t="n">
        <v>0.08</v>
      </c>
      <c r="V55" s="111" t="n">
        <v>0.015</v>
      </c>
      <c r="W55" s="111" t="n">
        <v>0.004</v>
      </c>
      <c r="X55" s="111" t="n">
        <v>0.001</v>
      </c>
      <c r="Y55" s="112" t="n">
        <v>0</v>
      </c>
      <c r="Z55" s="113" t="n">
        <f aca="false">N55*$G55</f>
        <v>0.354166666666667</v>
      </c>
      <c r="AA55" s="114" t="n">
        <f aca="false">O55*$G55</f>
        <v>0.229166666666667</v>
      </c>
      <c r="AB55" s="114" t="n">
        <f aca="false">P55*$G55</f>
        <v>0.138888888888889</v>
      </c>
      <c r="AC55" s="114" t="n">
        <f aca="false">Q55*$G55</f>
        <v>0.0810185185185185</v>
      </c>
      <c r="AD55" s="114" t="n">
        <f aca="false">R55*$G55</f>
        <v>0.0717592592592593</v>
      </c>
      <c r="AE55" s="115" t="n">
        <f aca="false">S55*$G55</f>
        <v>0.125</v>
      </c>
      <c r="AF55" s="113" t="n">
        <f aca="false">T55*$L55</f>
        <v>0</v>
      </c>
      <c r="AG55" s="114" t="n">
        <f aca="false">U55*$L55</f>
        <v>0</v>
      </c>
      <c r="AH55" s="114" t="n">
        <f aca="false">V55*$L55</f>
        <v>0</v>
      </c>
      <c r="AI55" s="114" t="n">
        <f aca="false">W55*$L55</f>
        <v>0</v>
      </c>
      <c r="AJ55" s="114" t="n">
        <f aca="false">X55*$L55</f>
        <v>0</v>
      </c>
      <c r="AK55" s="115" t="n">
        <f aca="false">Y55*$L55</f>
        <v>0</v>
      </c>
      <c r="AL55" s="116" t="n">
        <f aca="false">Input!$C$11*QBs!D55+Input!$C$12*QBs!C55+Input!$C$13*QBs!E55+Input!$C$14*QBs!H55+Input!$C$15*QBs!Z55+Input!$C$16*QBs!AA55+Input!$C$17*QBs!AB55+Input!$C$18*QBs!AC55+Input!$C$19*QBs!AD55+Input!$C$20*QBs!AE55+Input!$C$21*QBs!F55+Input!$C$22*QBs!I55+Input!$C$23*QBs!J55+Input!$C$24*QBs!AF55+Input!$C$25*QBs!AG55+Input!$C$26*QBs!AH55+Input!$C$27*QBs!AI55+Input!$C$28*QBs!AJ55+Input!$C$29*QBs!AK55+Input!$C$30*QBs!K55+Input!$C$40*QBs!M55</f>
        <v>19.222037037037</v>
      </c>
    </row>
    <row r="56" customFormat="false" ht="12.75" hidden="false" customHeight="false" outlineLevel="0" collapsed="false">
      <c r="A56" s="92" t="s">
        <v>219</v>
      </c>
      <c r="B56" s="93" t="s">
        <v>148</v>
      </c>
      <c r="C56" s="94" t="n">
        <v>16</v>
      </c>
      <c r="D56" s="95" t="n">
        <v>30</v>
      </c>
      <c r="E56" s="96" t="n">
        <f aca="false">6.4*D56</f>
        <v>192</v>
      </c>
      <c r="F56" s="96" t="n">
        <v>0</v>
      </c>
      <c r="G56" s="96" t="n">
        <v>1</v>
      </c>
      <c r="H56" s="97" t="n">
        <v>1</v>
      </c>
      <c r="I56" s="98" t="n">
        <v>3</v>
      </c>
      <c r="J56" s="96" t="n">
        <f aca="false">3*I56</f>
        <v>9</v>
      </c>
      <c r="K56" s="96" t="n">
        <v>0</v>
      </c>
      <c r="L56" s="97" t="n">
        <v>0</v>
      </c>
      <c r="M56" s="96" t="n">
        <v>0</v>
      </c>
      <c r="N56" s="107" t="n">
        <v>0.354166666666667</v>
      </c>
      <c r="O56" s="108" t="n">
        <v>0.229166666666667</v>
      </c>
      <c r="P56" s="108" t="n">
        <v>0.138888888888889</v>
      </c>
      <c r="Q56" s="108" t="n">
        <v>0.0810185185185185</v>
      </c>
      <c r="R56" s="108" t="n">
        <v>0.0717592592592593</v>
      </c>
      <c r="S56" s="109" t="n">
        <v>0.125</v>
      </c>
      <c r="T56" s="110" t="n">
        <v>0.9</v>
      </c>
      <c r="U56" s="111" t="n">
        <v>0.08</v>
      </c>
      <c r="V56" s="111" t="n">
        <v>0.015</v>
      </c>
      <c r="W56" s="111" t="n">
        <v>0.004</v>
      </c>
      <c r="X56" s="111" t="n">
        <v>0.001</v>
      </c>
      <c r="Y56" s="112" t="n">
        <v>0</v>
      </c>
      <c r="Z56" s="113" t="n">
        <f aca="false">N56*$G56</f>
        <v>0.354166666666667</v>
      </c>
      <c r="AA56" s="114" t="n">
        <f aca="false">O56*$G56</f>
        <v>0.229166666666667</v>
      </c>
      <c r="AB56" s="114" t="n">
        <f aca="false">P56*$G56</f>
        <v>0.138888888888889</v>
      </c>
      <c r="AC56" s="114" t="n">
        <f aca="false">Q56*$G56</f>
        <v>0.0810185185185185</v>
      </c>
      <c r="AD56" s="114" t="n">
        <f aca="false">R56*$G56</f>
        <v>0.0717592592592593</v>
      </c>
      <c r="AE56" s="115" t="n">
        <f aca="false">S56*$G56</f>
        <v>0.125</v>
      </c>
      <c r="AF56" s="113" t="n">
        <f aca="false">T56*$L56</f>
        <v>0</v>
      </c>
      <c r="AG56" s="114" t="n">
        <f aca="false">U56*$L56</f>
        <v>0</v>
      </c>
      <c r="AH56" s="114" t="n">
        <f aca="false">V56*$L56</f>
        <v>0</v>
      </c>
      <c r="AI56" s="114" t="n">
        <f aca="false">W56*$L56</f>
        <v>0</v>
      </c>
      <c r="AJ56" s="114" t="n">
        <f aca="false">X56*$L56</f>
        <v>0</v>
      </c>
      <c r="AK56" s="115" t="n">
        <f aca="false">Y56*$L56</f>
        <v>0</v>
      </c>
      <c r="AL56" s="116" t="n">
        <f aca="false">Input!$C$11*QBs!D56+Input!$C$12*QBs!C56+Input!$C$13*QBs!E56+Input!$C$14*QBs!H56+Input!$C$15*QBs!Z56+Input!$C$16*QBs!AA56+Input!$C$17*QBs!AB56+Input!$C$18*QBs!AC56+Input!$C$19*QBs!AD56+Input!$C$20*QBs!AE56+Input!$C$21*QBs!F56+Input!$C$22*QBs!I56+Input!$C$23*QBs!J56+Input!$C$24*QBs!AF56+Input!$C$25*QBs!AG56+Input!$C$26*QBs!AH56+Input!$C$27*QBs!AI56+Input!$C$28*QBs!AJ56+Input!$C$29*QBs!AK56+Input!$C$30*QBs!K56+Input!$C$40*QBs!M56</f>
        <v>15.162037037037</v>
      </c>
    </row>
    <row r="57" customFormat="false" ht="12.75" hidden="false" customHeight="false" outlineLevel="0" collapsed="false">
      <c r="A57" s="92" t="s">
        <v>220</v>
      </c>
      <c r="B57" s="93" t="s">
        <v>140</v>
      </c>
      <c r="C57" s="94" t="n">
        <v>19</v>
      </c>
      <c r="D57" s="95" t="n">
        <v>35</v>
      </c>
      <c r="E57" s="96" t="n">
        <f aca="false">6.8*D57</f>
        <v>238</v>
      </c>
      <c r="F57" s="96" t="n">
        <v>0</v>
      </c>
      <c r="G57" s="96" t="n">
        <v>1</v>
      </c>
      <c r="H57" s="97" t="n">
        <v>0</v>
      </c>
      <c r="I57" s="98" t="n">
        <v>8</v>
      </c>
      <c r="J57" s="96" t="n">
        <f aca="false">3*I57</f>
        <v>24</v>
      </c>
      <c r="K57" s="96" t="n">
        <v>0</v>
      </c>
      <c r="L57" s="97" t="n">
        <v>0</v>
      </c>
      <c r="M57" s="96" t="n">
        <v>0</v>
      </c>
      <c r="N57" s="107" t="n">
        <v>0.354166666666667</v>
      </c>
      <c r="O57" s="108" t="n">
        <v>0.229166666666667</v>
      </c>
      <c r="P57" s="108" t="n">
        <v>0.138888888888889</v>
      </c>
      <c r="Q57" s="108" t="n">
        <v>0.0810185185185185</v>
      </c>
      <c r="R57" s="108" t="n">
        <v>0.0717592592592593</v>
      </c>
      <c r="S57" s="109" t="n">
        <v>0.125</v>
      </c>
      <c r="T57" s="110" t="n">
        <v>0.9</v>
      </c>
      <c r="U57" s="111" t="n">
        <v>0.08</v>
      </c>
      <c r="V57" s="111" t="n">
        <v>0.015</v>
      </c>
      <c r="W57" s="111" t="n">
        <v>0.004</v>
      </c>
      <c r="X57" s="111" t="n">
        <v>0.001</v>
      </c>
      <c r="Y57" s="112" t="n">
        <v>0</v>
      </c>
      <c r="Z57" s="113" t="n">
        <f aca="false">N57*$G57</f>
        <v>0.354166666666667</v>
      </c>
      <c r="AA57" s="114" t="n">
        <f aca="false">O57*$G57</f>
        <v>0.229166666666667</v>
      </c>
      <c r="AB57" s="114" t="n">
        <f aca="false">P57*$G57</f>
        <v>0.138888888888889</v>
      </c>
      <c r="AC57" s="114" t="n">
        <f aca="false">Q57*$G57</f>
        <v>0.0810185185185185</v>
      </c>
      <c r="AD57" s="114" t="n">
        <f aca="false">R57*$G57</f>
        <v>0.0717592592592593</v>
      </c>
      <c r="AE57" s="115" t="n">
        <f aca="false">S57*$G57</f>
        <v>0.125</v>
      </c>
      <c r="AF57" s="113" t="n">
        <f aca="false">T57*$L57</f>
        <v>0</v>
      </c>
      <c r="AG57" s="114" t="n">
        <f aca="false">U57*$L57</f>
        <v>0</v>
      </c>
      <c r="AH57" s="114" t="n">
        <f aca="false">V57*$L57</f>
        <v>0</v>
      </c>
      <c r="AI57" s="114" t="n">
        <f aca="false">W57*$L57</f>
        <v>0</v>
      </c>
      <c r="AJ57" s="114" t="n">
        <f aca="false">X57*$L57</f>
        <v>0</v>
      </c>
      <c r="AK57" s="115" t="n">
        <f aca="false">Y57*$L57</f>
        <v>0</v>
      </c>
      <c r="AL57" s="116" t="n">
        <f aca="false">Input!$C$11*QBs!D57+Input!$C$12*QBs!C57+Input!$C$13*QBs!E57+Input!$C$14*QBs!H57+Input!$C$15*QBs!Z57+Input!$C$16*QBs!AA57+Input!$C$17*QBs!AB57+Input!$C$18*QBs!AC57+Input!$C$19*QBs!AD57+Input!$C$20*QBs!AE57+Input!$C$21*QBs!F57+Input!$C$22*QBs!I57+Input!$C$23*QBs!J57+Input!$C$24*QBs!AF57+Input!$C$25*QBs!AG57+Input!$C$26*QBs!AH57+Input!$C$27*QBs!AI57+Input!$C$28*QBs!AJ57+Input!$C$29*QBs!AK57+Input!$C$30*QBs!K57+Input!$C$40*QBs!M57</f>
        <v>18.962037037037</v>
      </c>
    </row>
    <row r="58" customFormat="false" ht="12.75" hidden="false" customHeight="false" outlineLevel="0" collapsed="false">
      <c r="A58" s="92" t="s">
        <v>221</v>
      </c>
      <c r="B58" s="93" t="s">
        <v>170</v>
      </c>
      <c r="C58" s="94" t="n">
        <v>25</v>
      </c>
      <c r="D58" s="95" t="n">
        <v>45</v>
      </c>
      <c r="E58" s="95" t="n">
        <f aca="false">5.9*D58</f>
        <v>265.5</v>
      </c>
      <c r="F58" s="95" t="n">
        <v>0</v>
      </c>
      <c r="G58" s="95" t="n">
        <v>1</v>
      </c>
      <c r="H58" s="122" t="n">
        <v>2</v>
      </c>
      <c r="I58" s="94" t="n">
        <v>7</v>
      </c>
      <c r="J58" s="95" t="n">
        <f aca="false">0.7*I58</f>
        <v>4.9</v>
      </c>
      <c r="K58" s="96" t="n">
        <v>0</v>
      </c>
      <c r="L58" s="122" t="n">
        <v>0</v>
      </c>
      <c r="M58" s="95" t="n">
        <v>0</v>
      </c>
      <c r="N58" s="107" t="n">
        <v>0.354166666666667</v>
      </c>
      <c r="O58" s="108" t="n">
        <v>0.229166666666667</v>
      </c>
      <c r="P58" s="108" t="n">
        <v>0.138888888888889</v>
      </c>
      <c r="Q58" s="108" t="n">
        <v>0.0810185185185185</v>
      </c>
      <c r="R58" s="108" t="n">
        <v>0.0717592592592593</v>
      </c>
      <c r="S58" s="109" t="n">
        <v>0.125</v>
      </c>
      <c r="T58" s="110" t="n">
        <v>0.9</v>
      </c>
      <c r="U58" s="111" t="n">
        <v>0.08</v>
      </c>
      <c r="V58" s="111" t="n">
        <v>0.015</v>
      </c>
      <c r="W58" s="111" t="n">
        <v>0.004</v>
      </c>
      <c r="X58" s="111" t="n">
        <v>0.001</v>
      </c>
      <c r="Y58" s="112" t="n">
        <v>0</v>
      </c>
      <c r="Z58" s="113" t="n">
        <f aca="false">N58*$G58</f>
        <v>0.354166666666667</v>
      </c>
      <c r="AA58" s="114" t="n">
        <f aca="false">O58*$G58</f>
        <v>0.229166666666667</v>
      </c>
      <c r="AB58" s="114" t="n">
        <f aca="false">P58*$G58</f>
        <v>0.138888888888889</v>
      </c>
      <c r="AC58" s="114" t="n">
        <f aca="false">Q58*$G58</f>
        <v>0.0810185185185185</v>
      </c>
      <c r="AD58" s="114" t="n">
        <f aca="false">R58*$G58</f>
        <v>0.0717592592592593</v>
      </c>
      <c r="AE58" s="115" t="n">
        <f aca="false">S58*$G58</f>
        <v>0.125</v>
      </c>
      <c r="AF58" s="113" t="n">
        <f aca="false">T58*$L58</f>
        <v>0</v>
      </c>
      <c r="AG58" s="114" t="n">
        <f aca="false">U58*$L58</f>
        <v>0</v>
      </c>
      <c r="AH58" s="114" t="n">
        <f aca="false">V58*$L58</f>
        <v>0</v>
      </c>
      <c r="AI58" s="114" t="n">
        <f aca="false">W58*$L58</f>
        <v>0</v>
      </c>
      <c r="AJ58" s="114" t="n">
        <f aca="false">X58*$L58</f>
        <v>0</v>
      </c>
      <c r="AK58" s="115" t="n">
        <f aca="false">Y58*$L58</f>
        <v>0</v>
      </c>
      <c r="AL58" s="116" t="n">
        <f aca="false">Input!$C$11*QBs!D58+Input!$C$12*QBs!C58+Input!$C$13*QBs!E58+Input!$C$14*QBs!H58+Input!$C$15*QBs!Z58+Input!$C$16*QBs!AA58+Input!$C$17*QBs!AB58+Input!$C$18*QBs!AC58+Input!$C$19*QBs!AD58+Input!$C$20*QBs!AE58+Input!$C$21*QBs!F58+Input!$C$22*QBs!I58+Input!$C$23*QBs!J58+Input!$C$24*QBs!AF58+Input!$C$25*QBs!AG58+Input!$C$26*QBs!AH58+Input!$C$27*QBs!AI58+Input!$C$28*QBs!AJ58+Input!$C$29*QBs!AK58+Input!$C$30*QBs!K58+Input!$C$40*QBs!M58</f>
        <v>18.427037037037</v>
      </c>
    </row>
    <row r="59" customFormat="false" ht="12.75" hidden="false" customHeight="false" outlineLevel="0" collapsed="false">
      <c r="A59" s="92" t="s">
        <v>222</v>
      </c>
      <c r="B59" s="93" t="s">
        <v>182</v>
      </c>
      <c r="C59" s="94" t="n">
        <v>22</v>
      </c>
      <c r="D59" s="95" t="n">
        <v>40</v>
      </c>
      <c r="E59" s="96" t="n">
        <f aca="false">6.3*D59</f>
        <v>252</v>
      </c>
      <c r="F59" s="96" t="n">
        <v>0</v>
      </c>
      <c r="G59" s="96" t="n">
        <v>1</v>
      </c>
      <c r="H59" s="97" t="n">
        <v>1</v>
      </c>
      <c r="I59" s="98" t="n">
        <v>3</v>
      </c>
      <c r="J59" s="96" t="n">
        <f aca="false">3*I59</f>
        <v>9</v>
      </c>
      <c r="K59" s="96" t="n">
        <v>0</v>
      </c>
      <c r="L59" s="97" t="n">
        <v>0</v>
      </c>
      <c r="M59" s="96" t="n">
        <v>0</v>
      </c>
      <c r="N59" s="107" t="n">
        <v>0.354166666666667</v>
      </c>
      <c r="O59" s="108" t="n">
        <v>0.229166666666667</v>
      </c>
      <c r="P59" s="108" t="n">
        <v>0.138888888888889</v>
      </c>
      <c r="Q59" s="108" t="n">
        <v>0.0810185185185185</v>
      </c>
      <c r="R59" s="108" t="n">
        <v>0.0717592592592593</v>
      </c>
      <c r="S59" s="109" t="n">
        <v>0.125</v>
      </c>
      <c r="T59" s="110" t="n">
        <v>0.9</v>
      </c>
      <c r="U59" s="111" t="n">
        <v>0.08</v>
      </c>
      <c r="V59" s="111" t="n">
        <v>0.015</v>
      </c>
      <c r="W59" s="111" t="n">
        <v>0.004</v>
      </c>
      <c r="X59" s="111" t="n">
        <v>0.001</v>
      </c>
      <c r="Y59" s="112" t="n">
        <v>0</v>
      </c>
      <c r="Z59" s="113" t="n">
        <f aca="false">N59*$G59</f>
        <v>0.354166666666667</v>
      </c>
      <c r="AA59" s="114" t="n">
        <f aca="false">O59*$G59</f>
        <v>0.229166666666667</v>
      </c>
      <c r="AB59" s="114" t="n">
        <f aca="false">P59*$G59</f>
        <v>0.138888888888889</v>
      </c>
      <c r="AC59" s="114" t="n">
        <f aca="false">Q59*$G59</f>
        <v>0.0810185185185185</v>
      </c>
      <c r="AD59" s="114" t="n">
        <f aca="false">R59*$G59</f>
        <v>0.0717592592592593</v>
      </c>
      <c r="AE59" s="115" t="n">
        <f aca="false">S59*$G59</f>
        <v>0.125</v>
      </c>
      <c r="AF59" s="113" t="n">
        <f aca="false">T59*$L59</f>
        <v>0</v>
      </c>
      <c r="AG59" s="114" t="n">
        <f aca="false">U59*$L59</f>
        <v>0</v>
      </c>
      <c r="AH59" s="114" t="n">
        <f aca="false">V59*$L59</f>
        <v>0</v>
      </c>
      <c r="AI59" s="114" t="n">
        <f aca="false">W59*$L59</f>
        <v>0</v>
      </c>
      <c r="AJ59" s="114" t="n">
        <f aca="false">X59*$L59</f>
        <v>0</v>
      </c>
      <c r="AK59" s="115" t="n">
        <f aca="false">Y59*$L59</f>
        <v>0</v>
      </c>
      <c r="AL59" s="116" t="n">
        <f aca="false">Input!$C$11*QBs!D59+Input!$C$12*QBs!C59+Input!$C$13*QBs!E59+Input!$C$14*QBs!H59+Input!$C$15*QBs!Z59+Input!$C$16*QBs!AA59+Input!$C$17*QBs!AB59+Input!$C$18*QBs!AC59+Input!$C$19*QBs!AD59+Input!$C$20*QBs!AE59+Input!$C$21*QBs!F59+Input!$C$22*QBs!I59+Input!$C$23*QBs!J59+Input!$C$24*QBs!AF59+Input!$C$25*QBs!AG59+Input!$C$26*QBs!AH59+Input!$C$27*QBs!AI59+Input!$C$28*QBs!AJ59+Input!$C$29*QBs!AK59+Input!$C$30*QBs!K59+Input!$C$40*QBs!M59</f>
        <v>18.162037037037</v>
      </c>
    </row>
    <row r="60" customFormat="false" ht="12.75" hidden="false" customHeight="false" outlineLevel="0" collapsed="false">
      <c r="A60" s="92" t="s">
        <v>223</v>
      </c>
      <c r="B60" s="93" t="s">
        <v>136</v>
      </c>
      <c r="C60" s="94" t="n">
        <v>16</v>
      </c>
      <c r="D60" s="95" t="n">
        <v>30</v>
      </c>
      <c r="E60" s="96" t="n">
        <f aca="false">7*D60</f>
        <v>210</v>
      </c>
      <c r="F60" s="96" t="n">
        <v>0</v>
      </c>
      <c r="G60" s="96" t="n">
        <v>1</v>
      </c>
      <c r="H60" s="97" t="n">
        <v>1</v>
      </c>
      <c r="I60" s="98" t="n">
        <v>2</v>
      </c>
      <c r="J60" s="96" t="n">
        <f aca="false">2.8*I60</f>
        <v>5.6</v>
      </c>
      <c r="K60" s="96" t="n">
        <v>0</v>
      </c>
      <c r="L60" s="97" t="n">
        <v>0</v>
      </c>
      <c r="M60" s="96" t="n">
        <v>0</v>
      </c>
      <c r="N60" s="107" t="n">
        <v>0.354166666666667</v>
      </c>
      <c r="O60" s="108" t="n">
        <v>0.229166666666667</v>
      </c>
      <c r="P60" s="108" t="n">
        <v>0.138888888888889</v>
      </c>
      <c r="Q60" s="108" t="n">
        <v>0.0810185185185185</v>
      </c>
      <c r="R60" s="108" t="n">
        <v>0.0717592592592593</v>
      </c>
      <c r="S60" s="109" t="n">
        <v>0.125</v>
      </c>
      <c r="T60" s="110" t="n">
        <v>0.9</v>
      </c>
      <c r="U60" s="111" t="n">
        <v>0.08</v>
      </c>
      <c r="V60" s="111" t="n">
        <v>0.015</v>
      </c>
      <c r="W60" s="111" t="n">
        <v>0.004</v>
      </c>
      <c r="X60" s="111" t="n">
        <v>0.001</v>
      </c>
      <c r="Y60" s="112" t="n">
        <v>0</v>
      </c>
      <c r="Z60" s="113" t="n">
        <f aca="false">N60*$G60</f>
        <v>0.354166666666667</v>
      </c>
      <c r="AA60" s="114" t="n">
        <f aca="false">O60*$G60</f>
        <v>0.229166666666667</v>
      </c>
      <c r="AB60" s="114" t="n">
        <f aca="false">P60*$G60</f>
        <v>0.138888888888889</v>
      </c>
      <c r="AC60" s="114" t="n">
        <f aca="false">Q60*$G60</f>
        <v>0.0810185185185185</v>
      </c>
      <c r="AD60" s="114" t="n">
        <f aca="false">R60*$G60</f>
        <v>0.0717592592592593</v>
      </c>
      <c r="AE60" s="115" t="n">
        <f aca="false">S60*$G60</f>
        <v>0.125</v>
      </c>
      <c r="AF60" s="113" t="n">
        <f aca="false">T60*$L60</f>
        <v>0</v>
      </c>
      <c r="AG60" s="114" t="n">
        <f aca="false">U60*$L60</f>
        <v>0</v>
      </c>
      <c r="AH60" s="114" t="n">
        <f aca="false">V60*$L60</f>
        <v>0</v>
      </c>
      <c r="AI60" s="114" t="n">
        <f aca="false">W60*$L60</f>
        <v>0</v>
      </c>
      <c r="AJ60" s="114" t="n">
        <f aca="false">X60*$L60</f>
        <v>0</v>
      </c>
      <c r="AK60" s="115" t="n">
        <f aca="false">Y60*$L60</f>
        <v>0</v>
      </c>
      <c r="AL60" s="116" t="n">
        <f aca="false">Input!$C$11*QBs!D60+Input!$C$12*QBs!C60+Input!$C$13*QBs!E60+Input!$C$14*QBs!H60+Input!$C$15*QBs!Z60+Input!$C$16*QBs!AA60+Input!$C$17*QBs!AB60+Input!$C$18*QBs!AC60+Input!$C$19*QBs!AD60+Input!$C$20*QBs!AE60+Input!$C$21*QBs!F60+Input!$C$22*QBs!I60+Input!$C$23*QBs!J60+Input!$C$24*QBs!AF60+Input!$C$25*QBs!AG60+Input!$C$26*QBs!AH60+Input!$C$27*QBs!AI60+Input!$C$28*QBs!AJ60+Input!$C$29*QBs!AK60+Input!$C$30*QBs!K60+Input!$C$40*QBs!M60</f>
        <v>15.722037037037</v>
      </c>
    </row>
    <row r="61" customFormat="false" ht="12.75" hidden="false" customHeight="false" outlineLevel="0" collapsed="false">
      <c r="A61" s="92" t="s">
        <v>224</v>
      </c>
      <c r="B61" s="93" t="s">
        <v>158</v>
      </c>
      <c r="C61" s="94" t="n">
        <v>17</v>
      </c>
      <c r="D61" s="95" t="n">
        <v>30</v>
      </c>
      <c r="E61" s="96" t="n">
        <f aca="false">6.6*D61</f>
        <v>198</v>
      </c>
      <c r="F61" s="96" t="n">
        <v>0</v>
      </c>
      <c r="G61" s="96" t="n">
        <v>1</v>
      </c>
      <c r="H61" s="97" t="n">
        <v>1</v>
      </c>
      <c r="I61" s="98" t="n">
        <v>3</v>
      </c>
      <c r="J61" s="96" t="n">
        <f aca="false">3*I61</f>
        <v>9</v>
      </c>
      <c r="K61" s="96" t="n">
        <v>0</v>
      </c>
      <c r="L61" s="97" t="n">
        <v>0</v>
      </c>
      <c r="M61" s="96" t="n">
        <v>0</v>
      </c>
      <c r="N61" s="107" t="n">
        <v>0.354166666666667</v>
      </c>
      <c r="O61" s="108" t="n">
        <v>0.229166666666667</v>
      </c>
      <c r="P61" s="108" t="n">
        <v>0.138888888888889</v>
      </c>
      <c r="Q61" s="108" t="n">
        <v>0.0810185185185185</v>
      </c>
      <c r="R61" s="108" t="n">
        <v>0.0717592592592593</v>
      </c>
      <c r="S61" s="109" t="n">
        <v>0.125</v>
      </c>
      <c r="T61" s="110" t="n">
        <v>0.9</v>
      </c>
      <c r="U61" s="111" t="n">
        <v>0.08</v>
      </c>
      <c r="V61" s="111" t="n">
        <v>0.015</v>
      </c>
      <c r="W61" s="111" t="n">
        <v>0.004</v>
      </c>
      <c r="X61" s="111" t="n">
        <v>0.001</v>
      </c>
      <c r="Y61" s="112" t="n">
        <v>0</v>
      </c>
      <c r="Z61" s="113" t="n">
        <f aca="false">N61*$G61</f>
        <v>0.354166666666667</v>
      </c>
      <c r="AA61" s="114" t="n">
        <f aca="false">O61*$G61</f>
        <v>0.229166666666667</v>
      </c>
      <c r="AB61" s="114" t="n">
        <f aca="false">P61*$G61</f>
        <v>0.138888888888889</v>
      </c>
      <c r="AC61" s="114" t="n">
        <f aca="false">Q61*$G61</f>
        <v>0.0810185185185185</v>
      </c>
      <c r="AD61" s="114" t="n">
        <f aca="false">R61*$G61</f>
        <v>0.0717592592592593</v>
      </c>
      <c r="AE61" s="115" t="n">
        <f aca="false">S61*$G61</f>
        <v>0.125</v>
      </c>
      <c r="AF61" s="113" t="n">
        <f aca="false">T61*$L61</f>
        <v>0</v>
      </c>
      <c r="AG61" s="114" t="n">
        <f aca="false">U61*$L61</f>
        <v>0</v>
      </c>
      <c r="AH61" s="114" t="n">
        <f aca="false">V61*$L61</f>
        <v>0</v>
      </c>
      <c r="AI61" s="114" t="n">
        <f aca="false">W61*$L61</f>
        <v>0</v>
      </c>
      <c r="AJ61" s="114" t="n">
        <f aca="false">X61*$L61</f>
        <v>0</v>
      </c>
      <c r="AK61" s="115" t="n">
        <f aca="false">Y61*$L61</f>
        <v>0</v>
      </c>
      <c r="AL61" s="116" t="n">
        <f aca="false">Input!$C$11*QBs!D61+Input!$C$12*QBs!C61+Input!$C$13*QBs!E61+Input!$C$14*QBs!H61+Input!$C$15*QBs!Z61+Input!$C$16*QBs!AA61+Input!$C$17*QBs!AB61+Input!$C$18*QBs!AC61+Input!$C$19*QBs!AD61+Input!$C$20*QBs!AE61+Input!$C$21*QBs!F61+Input!$C$22*QBs!I61+Input!$C$23*QBs!J61+Input!$C$24*QBs!AF61+Input!$C$25*QBs!AG61+Input!$C$26*QBs!AH61+Input!$C$27*QBs!AI61+Input!$C$28*QBs!AJ61+Input!$C$29*QBs!AK61+Input!$C$30*QBs!K61+Input!$C$40*QBs!M61</f>
        <v>15.462037037037</v>
      </c>
    </row>
    <row r="62" customFormat="false" ht="12.75" hidden="false" customHeight="false" outlineLevel="0" collapsed="false">
      <c r="A62" s="92" t="s">
        <v>225</v>
      </c>
      <c r="B62" s="93" t="s">
        <v>164</v>
      </c>
      <c r="C62" s="94" t="n">
        <v>17</v>
      </c>
      <c r="D62" s="95" t="n">
        <v>30</v>
      </c>
      <c r="E62" s="96" t="n">
        <f aca="false">6.6*D62</f>
        <v>198</v>
      </c>
      <c r="F62" s="96" t="n">
        <v>0</v>
      </c>
      <c r="G62" s="96" t="n">
        <v>1</v>
      </c>
      <c r="H62" s="97" t="n">
        <v>1</v>
      </c>
      <c r="I62" s="98" t="n">
        <v>2</v>
      </c>
      <c r="J62" s="96" t="n">
        <f aca="false">1.7*I62</f>
        <v>3.4</v>
      </c>
      <c r="K62" s="96" t="n">
        <v>0</v>
      </c>
      <c r="L62" s="97" t="n">
        <v>0</v>
      </c>
      <c r="M62" s="96" t="n">
        <v>0</v>
      </c>
      <c r="N62" s="107" t="n">
        <v>0.354166666666667</v>
      </c>
      <c r="O62" s="108" t="n">
        <v>0.229166666666667</v>
      </c>
      <c r="P62" s="108" t="n">
        <v>0.138888888888889</v>
      </c>
      <c r="Q62" s="108" t="n">
        <v>0.0810185185185185</v>
      </c>
      <c r="R62" s="108" t="n">
        <v>0.0717592592592593</v>
      </c>
      <c r="S62" s="109" t="n">
        <v>0.125</v>
      </c>
      <c r="T62" s="110" t="n">
        <v>0.9</v>
      </c>
      <c r="U62" s="111" t="n">
        <v>0.08</v>
      </c>
      <c r="V62" s="111" t="n">
        <v>0.015</v>
      </c>
      <c r="W62" s="111" t="n">
        <v>0.004</v>
      </c>
      <c r="X62" s="111" t="n">
        <v>0.001</v>
      </c>
      <c r="Y62" s="112" t="n">
        <v>0</v>
      </c>
      <c r="Z62" s="113" t="n">
        <f aca="false">N62*$G62</f>
        <v>0.354166666666667</v>
      </c>
      <c r="AA62" s="114" t="n">
        <f aca="false">O62*$G62</f>
        <v>0.229166666666667</v>
      </c>
      <c r="AB62" s="114" t="n">
        <f aca="false">P62*$G62</f>
        <v>0.138888888888889</v>
      </c>
      <c r="AC62" s="114" t="n">
        <f aca="false">Q62*$G62</f>
        <v>0.0810185185185185</v>
      </c>
      <c r="AD62" s="114" t="n">
        <f aca="false">R62*$G62</f>
        <v>0.0717592592592593</v>
      </c>
      <c r="AE62" s="115" t="n">
        <f aca="false">S62*$G62</f>
        <v>0.125</v>
      </c>
      <c r="AF62" s="113" t="n">
        <f aca="false">T62*$L62</f>
        <v>0</v>
      </c>
      <c r="AG62" s="114" t="n">
        <f aca="false">U62*$L62</f>
        <v>0</v>
      </c>
      <c r="AH62" s="114" t="n">
        <f aca="false">V62*$L62</f>
        <v>0</v>
      </c>
      <c r="AI62" s="114" t="n">
        <f aca="false">W62*$L62</f>
        <v>0</v>
      </c>
      <c r="AJ62" s="114" t="n">
        <f aca="false">X62*$L62</f>
        <v>0</v>
      </c>
      <c r="AK62" s="115" t="n">
        <f aca="false">Y62*$L62</f>
        <v>0</v>
      </c>
      <c r="AL62" s="116" t="n">
        <f aca="false">Input!$C$11*QBs!D62+Input!$C$12*QBs!C62+Input!$C$13*QBs!E62+Input!$C$14*QBs!H62+Input!$C$15*QBs!Z62+Input!$C$16*QBs!AA62+Input!$C$17*QBs!AB62+Input!$C$18*QBs!AC62+Input!$C$19*QBs!AD62+Input!$C$20*QBs!AE62+Input!$C$21*QBs!F62+Input!$C$22*QBs!I62+Input!$C$23*QBs!J62+Input!$C$24*QBs!AF62+Input!$C$25*QBs!AG62+Input!$C$26*QBs!AH62+Input!$C$27*QBs!AI62+Input!$C$28*QBs!AJ62+Input!$C$29*QBs!AK62+Input!$C$30*QBs!K62+Input!$C$40*QBs!M62</f>
        <v>14.902037037037</v>
      </c>
    </row>
    <row r="63" customFormat="false" ht="12.75" hidden="false" customHeight="false" outlineLevel="0" collapsed="false">
      <c r="A63" s="92" t="s">
        <v>226</v>
      </c>
      <c r="B63" s="93" t="s">
        <v>174</v>
      </c>
      <c r="C63" s="94" t="n">
        <v>17</v>
      </c>
      <c r="D63" s="95" t="n">
        <v>30</v>
      </c>
      <c r="E63" s="96" t="n">
        <f aca="false">6.4*D63</f>
        <v>192</v>
      </c>
      <c r="F63" s="96" t="n">
        <v>0</v>
      </c>
      <c r="G63" s="96" t="n">
        <v>1</v>
      </c>
      <c r="H63" s="97" t="n">
        <v>1</v>
      </c>
      <c r="I63" s="98" t="n">
        <v>3</v>
      </c>
      <c r="J63" s="96" t="n">
        <f aca="false">0.5*I63</f>
        <v>1.5</v>
      </c>
      <c r="K63" s="96" t="n">
        <v>0</v>
      </c>
      <c r="L63" s="97" t="n">
        <v>0</v>
      </c>
      <c r="M63" s="96" t="n">
        <v>0</v>
      </c>
      <c r="N63" s="107" t="n">
        <v>0.354166666666667</v>
      </c>
      <c r="O63" s="108" t="n">
        <v>0.229166666666667</v>
      </c>
      <c r="P63" s="108" t="n">
        <v>0.138888888888889</v>
      </c>
      <c r="Q63" s="108" t="n">
        <v>0.0810185185185185</v>
      </c>
      <c r="R63" s="108" t="n">
        <v>0.0717592592592593</v>
      </c>
      <c r="S63" s="109" t="n">
        <v>0.125</v>
      </c>
      <c r="T63" s="110" t="n">
        <v>0.9</v>
      </c>
      <c r="U63" s="111" t="n">
        <v>0.08</v>
      </c>
      <c r="V63" s="111" t="n">
        <v>0.015</v>
      </c>
      <c r="W63" s="111" t="n">
        <v>0.004</v>
      </c>
      <c r="X63" s="111" t="n">
        <v>0.001</v>
      </c>
      <c r="Y63" s="112" t="n">
        <v>0</v>
      </c>
      <c r="Z63" s="113" t="n">
        <f aca="false">N63*$G63</f>
        <v>0.354166666666667</v>
      </c>
      <c r="AA63" s="114" t="n">
        <f aca="false">O63*$G63</f>
        <v>0.229166666666667</v>
      </c>
      <c r="AB63" s="114" t="n">
        <f aca="false">P63*$G63</f>
        <v>0.138888888888889</v>
      </c>
      <c r="AC63" s="114" t="n">
        <f aca="false">Q63*$G63</f>
        <v>0.0810185185185185</v>
      </c>
      <c r="AD63" s="114" t="n">
        <f aca="false">R63*$G63</f>
        <v>0.0717592592592593</v>
      </c>
      <c r="AE63" s="115" t="n">
        <f aca="false">S63*$G63</f>
        <v>0.125</v>
      </c>
      <c r="AF63" s="113" t="n">
        <f aca="false">T63*$L63</f>
        <v>0</v>
      </c>
      <c r="AG63" s="114" t="n">
        <f aca="false">U63*$L63</f>
        <v>0</v>
      </c>
      <c r="AH63" s="114" t="n">
        <f aca="false">V63*$L63</f>
        <v>0</v>
      </c>
      <c r="AI63" s="114" t="n">
        <f aca="false">W63*$L63</f>
        <v>0</v>
      </c>
      <c r="AJ63" s="114" t="n">
        <f aca="false">X63*$L63</f>
        <v>0</v>
      </c>
      <c r="AK63" s="115" t="n">
        <f aca="false">Y63*$L63</f>
        <v>0</v>
      </c>
      <c r="AL63" s="116" t="n">
        <f aca="false">Input!$C$11*QBs!D63+Input!$C$12*QBs!C63+Input!$C$13*QBs!E63+Input!$C$14*QBs!H63+Input!$C$15*QBs!Z63+Input!$C$16*QBs!AA63+Input!$C$17*QBs!AB63+Input!$C$18*QBs!AC63+Input!$C$19*QBs!AD63+Input!$C$20*QBs!AE63+Input!$C$21*QBs!F63+Input!$C$22*QBs!I63+Input!$C$23*QBs!J63+Input!$C$24*QBs!AF63+Input!$C$25*QBs!AG63+Input!$C$26*QBs!AH63+Input!$C$27*QBs!AI63+Input!$C$28*QBs!AJ63+Input!$C$29*QBs!AK63+Input!$C$30*QBs!K63+Input!$C$40*QBs!M63</f>
        <v>14.412037037037</v>
      </c>
    </row>
    <row r="64" customFormat="false" ht="12.75" hidden="false" customHeight="false" outlineLevel="0" collapsed="false">
      <c r="A64" s="92" t="s">
        <v>227</v>
      </c>
      <c r="B64" s="93" t="s">
        <v>146</v>
      </c>
      <c r="C64" s="94" t="n">
        <v>20</v>
      </c>
      <c r="D64" s="95" t="n">
        <v>35</v>
      </c>
      <c r="E64" s="96" t="n">
        <f aca="false">6.5*D64</f>
        <v>227.5</v>
      </c>
      <c r="F64" s="96" t="n">
        <v>0</v>
      </c>
      <c r="G64" s="96" t="n">
        <v>1</v>
      </c>
      <c r="H64" s="97" t="n">
        <v>1</v>
      </c>
      <c r="I64" s="98" t="n">
        <v>5</v>
      </c>
      <c r="J64" s="96" t="n">
        <f aca="false">3.8*I64</f>
        <v>19</v>
      </c>
      <c r="K64" s="96" t="n">
        <v>0</v>
      </c>
      <c r="L64" s="97" t="n">
        <v>0</v>
      </c>
      <c r="M64" s="96" t="n">
        <v>0</v>
      </c>
      <c r="N64" s="107" t="n">
        <v>0.354166666666667</v>
      </c>
      <c r="O64" s="108" t="n">
        <v>0.229166666666667</v>
      </c>
      <c r="P64" s="108" t="n">
        <v>0.138888888888889</v>
      </c>
      <c r="Q64" s="108" t="n">
        <v>0.0810185185185185</v>
      </c>
      <c r="R64" s="108" t="n">
        <v>0.0717592592592593</v>
      </c>
      <c r="S64" s="109" t="n">
        <v>0.125</v>
      </c>
      <c r="T64" s="110" t="n">
        <v>0.9</v>
      </c>
      <c r="U64" s="111" t="n">
        <v>0.08</v>
      </c>
      <c r="V64" s="111" t="n">
        <v>0.015</v>
      </c>
      <c r="W64" s="111" t="n">
        <v>0.004</v>
      </c>
      <c r="X64" s="111" t="n">
        <v>0.001</v>
      </c>
      <c r="Y64" s="112" t="n">
        <v>0</v>
      </c>
      <c r="Z64" s="113" t="n">
        <f aca="false">N64*$G64</f>
        <v>0.354166666666667</v>
      </c>
      <c r="AA64" s="114" t="n">
        <f aca="false">O64*$G64</f>
        <v>0.229166666666667</v>
      </c>
      <c r="AB64" s="114" t="n">
        <f aca="false">P64*$G64</f>
        <v>0.138888888888889</v>
      </c>
      <c r="AC64" s="114" t="n">
        <f aca="false">Q64*$G64</f>
        <v>0.0810185185185185</v>
      </c>
      <c r="AD64" s="114" t="n">
        <f aca="false">R64*$G64</f>
        <v>0.0717592592592593</v>
      </c>
      <c r="AE64" s="115" t="n">
        <f aca="false">S64*$G64</f>
        <v>0.125</v>
      </c>
      <c r="AF64" s="113" t="n">
        <f aca="false">T64*$L64</f>
        <v>0</v>
      </c>
      <c r="AG64" s="114" t="n">
        <f aca="false">U64*$L64</f>
        <v>0</v>
      </c>
      <c r="AH64" s="114" t="n">
        <f aca="false">V64*$L64</f>
        <v>0</v>
      </c>
      <c r="AI64" s="114" t="n">
        <f aca="false">W64*$L64</f>
        <v>0</v>
      </c>
      <c r="AJ64" s="114" t="n">
        <f aca="false">X64*$L64</f>
        <v>0</v>
      </c>
      <c r="AK64" s="115" t="n">
        <f aca="false">Y64*$L64</f>
        <v>0</v>
      </c>
      <c r="AL64" s="116" t="n">
        <f aca="false">Input!$C$11*QBs!D64+Input!$C$12*QBs!C64+Input!$C$13*QBs!E64+Input!$C$14*QBs!H64+Input!$C$15*QBs!Z64+Input!$C$16*QBs!AA64+Input!$C$17*QBs!AB64+Input!$C$18*QBs!AC64+Input!$C$19*QBs!AD64+Input!$C$20*QBs!AE64+Input!$C$21*QBs!F64+Input!$C$22*QBs!I64+Input!$C$23*QBs!J64+Input!$C$24*QBs!AF64+Input!$C$25*QBs!AG64+Input!$C$26*QBs!AH64+Input!$C$27*QBs!AI64+Input!$C$28*QBs!AJ64+Input!$C$29*QBs!AK64+Input!$C$30*QBs!K64+Input!$C$40*QBs!M64</f>
        <v>17.937037037037</v>
      </c>
    </row>
    <row r="65" customFormat="false" ht="12.75" hidden="false" customHeight="false" outlineLevel="0" collapsed="false">
      <c r="A65" s="92" t="s">
        <v>228</v>
      </c>
      <c r="B65" s="93" t="s">
        <v>138</v>
      </c>
      <c r="C65" s="123" t="n">
        <v>5</v>
      </c>
      <c r="D65" s="124" t="n">
        <v>10</v>
      </c>
      <c r="E65" s="125" t="n">
        <f aca="false">6.6*D65</f>
        <v>66</v>
      </c>
      <c r="F65" s="125" t="n">
        <v>0</v>
      </c>
      <c r="G65" s="125" t="n">
        <v>0</v>
      </c>
      <c r="H65" s="126" t="n">
        <v>0</v>
      </c>
      <c r="I65" s="127" t="n">
        <v>1</v>
      </c>
      <c r="J65" s="125" t="n">
        <f aca="false">3*I65</f>
        <v>3</v>
      </c>
      <c r="K65" s="125" t="n">
        <v>0</v>
      </c>
      <c r="L65" s="126" t="n">
        <v>0</v>
      </c>
      <c r="M65" s="125" t="n">
        <v>0</v>
      </c>
      <c r="N65" s="128" t="n">
        <v>0.354166666666667</v>
      </c>
      <c r="O65" s="129" t="n">
        <v>0.229166666666667</v>
      </c>
      <c r="P65" s="129" t="n">
        <v>0.138888888888889</v>
      </c>
      <c r="Q65" s="129" t="n">
        <v>0.0810185185185185</v>
      </c>
      <c r="R65" s="129" t="n">
        <v>0.0717592592592593</v>
      </c>
      <c r="S65" s="130" t="n">
        <v>0.125</v>
      </c>
      <c r="T65" s="80" t="n">
        <v>0.9</v>
      </c>
      <c r="U65" s="81" t="n">
        <v>0.08</v>
      </c>
      <c r="V65" s="81" t="n">
        <v>0.015</v>
      </c>
      <c r="W65" s="81" t="n">
        <v>0.004</v>
      </c>
      <c r="X65" s="81" t="n">
        <v>0.001</v>
      </c>
      <c r="Y65" s="83" t="n">
        <v>0</v>
      </c>
      <c r="Z65" s="88" t="n">
        <f aca="false">N65*$G65</f>
        <v>0</v>
      </c>
      <c r="AA65" s="89" t="n">
        <f aca="false">O65*$G65</f>
        <v>0</v>
      </c>
      <c r="AB65" s="89" t="n">
        <f aca="false">P65*$G65</f>
        <v>0</v>
      </c>
      <c r="AC65" s="89" t="n">
        <f aca="false">Q65*$G65</f>
        <v>0</v>
      </c>
      <c r="AD65" s="89" t="n">
        <f aca="false">R65*$G65</f>
        <v>0</v>
      </c>
      <c r="AE65" s="90" t="n">
        <f aca="false">S65*$G65</f>
        <v>0</v>
      </c>
      <c r="AF65" s="88" t="n">
        <f aca="false">T65*$L65</f>
        <v>0</v>
      </c>
      <c r="AG65" s="89" t="n">
        <f aca="false">U65*$L65</f>
        <v>0</v>
      </c>
      <c r="AH65" s="89" t="n">
        <f aca="false">V65*$L65</f>
        <v>0</v>
      </c>
      <c r="AI65" s="89" t="n">
        <f aca="false">W65*$L65</f>
        <v>0</v>
      </c>
      <c r="AJ65" s="89" t="n">
        <f aca="false">X65*$L65</f>
        <v>0</v>
      </c>
      <c r="AK65" s="90" t="n">
        <f aca="false">Y65*$L65</f>
        <v>0</v>
      </c>
      <c r="AL65" s="91" t="n">
        <f aca="false">Input!$C$11*QBs!D65+Input!$C$12*QBs!C65+Input!$C$13*QBs!E65+Input!$C$14*QBs!H65+Input!$C$15*QBs!Z65+Input!$C$16*QBs!AA65+Input!$C$17*QBs!AB65+Input!$C$18*QBs!AC65+Input!$C$19*QBs!AD65+Input!$C$20*QBs!AE65+Input!$C$21*QBs!F65+Input!$C$22*QBs!I65+Input!$C$23*QBs!J65+Input!$C$24*QBs!AF65+Input!$C$25*QBs!AG65+Input!$C$26*QBs!AH65+Input!$C$27*QBs!AI65+Input!$C$28*QBs!AJ65+Input!$C$29*QBs!AK65+Input!$C$30*QBs!K65+Input!$C$40*QBs!M65</f>
        <v>3.6</v>
      </c>
    </row>
  </sheetData>
  <mergeCells count="6">
    <mergeCell ref="C1:H1"/>
    <mergeCell ref="I1:L1"/>
    <mergeCell ref="N1:S1"/>
    <mergeCell ref="T1:Y1"/>
    <mergeCell ref="Z1:AE1"/>
    <mergeCell ref="AF1:AK1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J1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B24" activeCellId="0" sqref="B1:B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7.14"/>
    <col collapsed="false" customWidth="true" hidden="false" outlineLevel="0" max="2" min="2" style="4" width="6.99"/>
    <col collapsed="false" customWidth="true" hidden="false" outlineLevel="0" max="3" min="3" style="66" width="4.85"/>
    <col collapsed="false" customWidth="true" hidden="false" outlineLevel="0" max="4" min="4" style="67" width="7.14"/>
    <col collapsed="false" customWidth="true" hidden="false" outlineLevel="0" max="5" min="5" style="67" width="5.99"/>
    <col collapsed="false" customWidth="true" hidden="false" outlineLevel="0" max="6" min="6" style="66" width="4.28"/>
    <col collapsed="false" customWidth="true" hidden="false" outlineLevel="0" max="7" min="7" style="66" width="4.7"/>
    <col collapsed="false" customWidth="true" hidden="false" outlineLevel="0" max="8" min="8" style="67" width="5.99"/>
    <col collapsed="false" customWidth="true" hidden="false" outlineLevel="0" max="9" min="9" style="67" width="6.28"/>
    <col collapsed="false" customWidth="true" hidden="false" outlineLevel="0" max="10" min="10" style="66" width="4.99"/>
    <col collapsed="false" customWidth="true" hidden="false" outlineLevel="0" max="11" min="11" style="66" width="7.28"/>
    <col collapsed="false" customWidth="true" hidden="true" outlineLevel="0" max="12" min="12" style="131" width="6.56"/>
    <col collapsed="false" customWidth="true" hidden="true" outlineLevel="0" max="23" min="13" style="132" width="6.56"/>
    <col collapsed="false" customWidth="true" hidden="true" outlineLevel="0" max="24" min="24" style="69" width="4.56"/>
    <col collapsed="false" customWidth="true" hidden="true" outlineLevel="0" max="28" min="25" style="69" width="5.71"/>
    <col collapsed="false" customWidth="true" hidden="true" outlineLevel="0" max="30" min="29" style="69" width="4.56"/>
    <col collapsed="false" customWidth="true" hidden="true" outlineLevel="0" max="34" min="31" style="69" width="5.71"/>
    <col collapsed="false" customWidth="true" hidden="true" outlineLevel="0" max="35" min="35" style="69" width="4.56"/>
    <col collapsed="false" customWidth="false" hidden="false" outlineLevel="0" max="36" min="36" style="70" width="9.14"/>
    <col collapsed="false" customWidth="false" hidden="false" outlineLevel="0" max="257" min="37" style="5" width="9.14"/>
  </cols>
  <sheetData>
    <row r="1" customFormat="false" ht="12.75" hidden="false" customHeight="false" outlineLevel="0" collapsed="false">
      <c r="A1" s="133"/>
      <c r="B1" s="103"/>
      <c r="C1" s="73" t="s">
        <v>113</v>
      </c>
      <c r="D1" s="73"/>
      <c r="E1" s="73"/>
      <c r="F1" s="73"/>
      <c r="G1" s="73" t="s">
        <v>229</v>
      </c>
      <c r="H1" s="73"/>
      <c r="I1" s="73"/>
      <c r="J1" s="73"/>
      <c r="K1" s="74" t="s">
        <v>114</v>
      </c>
      <c r="L1" s="75" t="s">
        <v>116</v>
      </c>
      <c r="M1" s="75"/>
      <c r="N1" s="75"/>
      <c r="O1" s="75"/>
      <c r="P1" s="75"/>
      <c r="Q1" s="75"/>
      <c r="R1" s="75" t="s">
        <v>230</v>
      </c>
      <c r="S1" s="75"/>
      <c r="T1" s="75"/>
      <c r="U1" s="75"/>
      <c r="V1" s="75"/>
      <c r="W1" s="75"/>
      <c r="X1" s="76" t="s">
        <v>118</v>
      </c>
      <c r="Y1" s="76"/>
      <c r="Z1" s="76"/>
      <c r="AA1" s="76"/>
      <c r="AB1" s="76"/>
      <c r="AC1" s="76"/>
      <c r="AD1" s="76" t="s">
        <v>231</v>
      </c>
      <c r="AE1" s="76"/>
      <c r="AF1" s="76"/>
      <c r="AG1" s="76"/>
      <c r="AH1" s="76"/>
      <c r="AI1" s="76"/>
      <c r="AJ1" s="77" t="s">
        <v>119</v>
      </c>
    </row>
    <row r="2" customFormat="false" ht="12.75" hidden="false" customHeight="false" outlineLevel="0" collapsed="false">
      <c r="A2" s="134" t="s">
        <v>74</v>
      </c>
      <c r="B2" s="83" t="s">
        <v>3</v>
      </c>
      <c r="C2" s="80" t="s">
        <v>121</v>
      </c>
      <c r="D2" s="82" t="s">
        <v>122</v>
      </c>
      <c r="E2" s="82" t="s">
        <v>126</v>
      </c>
      <c r="F2" s="83" t="s">
        <v>124</v>
      </c>
      <c r="G2" s="80" t="s">
        <v>232</v>
      </c>
      <c r="H2" s="82" t="s">
        <v>122</v>
      </c>
      <c r="I2" s="82" t="s">
        <v>126</v>
      </c>
      <c r="J2" s="83" t="s">
        <v>124</v>
      </c>
      <c r="K2" s="81" t="s">
        <v>127</v>
      </c>
      <c r="L2" s="84" t="s">
        <v>128</v>
      </c>
      <c r="M2" s="85" t="s">
        <v>129</v>
      </c>
      <c r="N2" s="85" t="s">
        <v>130</v>
      </c>
      <c r="O2" s="85" t="s">
        <v>131</v>
      </c>
      <c r="P2" s="85" t="s">
        <v>132</v>
      </c>
      <c r="Q2" s="86" t="s">
        <v>133</v>
      </c>
      <c r="R2" s="84" t="s">
        <v>128</v>
      </c>
      <c r="S2" s="85" t="s">
        <v>129</v>
      </c>
      <c r="T2" s="85" t="s">
        <v>130</v>
      </c>
      <c r="U2" s="85" t="s">
        <v>131</v>
      </c>
      <c r="V2" s="85" t="s">
        <v>132</v>
      </c>
      <c r="W2" s="86" t="s">
        <v>133</v>
      </c>
      <c r="X2" s="88" t="s">
        <v>128</v>
      </c>
      <c r="Y2" s="89" t="s">
        <v>129</v>
      </c>
      <c r="Z2" s="89" t="s">
        <v>130</v>
      </c>
      <c r="AA2" s="89" t="s">
        <v>131</v>
      </c>
      <c r="AB2" s="89" t="s">
        <v>132</v>
      </c>
      <c r="AC2" s="90" t="s">
        <v>133</v>
      </c>
      <c r="AD2" s="88" t="s">
        <v>128</v>
      </c>
      <c r="AE2" s="89" t="s">
        <v>129</v>
      </c>
      <c r="AF2" s="89" t="s">
        <v>130</v>
      </c>
      <c r="AG2" s="89" t="s">
        <v>131</v>
      </c>
      <c r="AH2" s="89" t="s">
        <v>132</v>
      </c>
      <c r="AI2" s="90" t="s">
        <v>133</v>
      </c>
      <c r="AJ2" s="116" t="s">
        <v>134</v>
      </c>
    </row>
    <row r="3" customFormat="false" ht="12.75" hidden="false" customHeight="false" outlineLevel="0" collapsed="false">
      <c r="A3" s="133" t="s">
        <v>233</v>
      </c>
      <c r="B3" s="74" t="s">
        <v>138</v>
      </c>
      <c r="C3" s="135" t="n">
        <v>330</v>
      </c>
      <c r="D3" s="136" t="n">
        <f aca="false">4.2*C3</f>
        <v>1386</v>
      </c>
      <c r="E3" s="136" t="n">
        <v>9</v>
      </c>
      <c r="F3" s="137" t="n">
        <v>13</v>
      </c>
      <c r="G3" s="135" t="n">
        <v>45</v>
      </c>
      <c r="H3" s="136" t="n">
        <f aca="false">9.5*G3</f>
        <v>427.5</v>
      </c>
      <c r="I3" s="136" t="n">
        <v>1</v>
      </c>
      <c r="J3" s="137" t="n">
        <v>3</v>
      </c>
      <c r="K3" s="136" t="n">
        <v>4</v>
      </c>
      <c r="L3" s="138" t="n">
        <v>0.727272727272727</v>
      </c>
      <c r="M3" s="139" t="n">
        <v>0.0979020979020979</v>
      </c>
      <c r="N3" s="139" t="n">
        <v>0.0629370629370629</v>
      </c>
      <c r="O3" s="139" t="n">
        <v>0.020979020979021</v>
      </c>
      <c r="P3" s="139" t="n">
        <v>0.027972027972028</v>
      </c>
      <c r="Q3" s="140" t="n">
        <v>0.0629370629370629</v>
      </c>
      <c r="R3" s="138" t="n">
        <v>0.3</v>
      </c>
      <c r="S3" s="139" t="n">
        <v>0.333333333333333</v>
      </c>
      <c r="T3" s="139" t="n">
        <v>0.166666666666667</v>
      </c>
      <c r="U3" s="139" t="n">
        <v>0.1</v>
      </c>
      <c r="V3" s="139" t="n">
        <v>0.0333333333333333</v>
      </c>
      <c r="W3" s="140" t="n">
        <v>0.0666666666666667</v>
      </c>
      <c r="X3" s="104" t="n">
        <f aca="false">$F3*L3</f>
        <v>9.45454545454546</v>
      </c>
      <c r="Y3" s="105" t="n">
        <f aca="false">$F3*M3</f>
        <v>1.27272727272727</v>
      </c>
      <c r="Z3" s="105" t="n">
        <f aca="false">$F3*N3</f>
        <v>0.818181818181818</v>
      </c>
      <c r="AA3" s="105" t="n">
        <f aca="false">$F3*O3</f>
        <v>0.272727272727273</v>
      </c>
      <c r="AB3" s="105" t="n">
        <f aca="false">$F3*P3</f>
        <v>0.363636363636364</v>
      </c>
      <c r="AC3" s="106" t="n">
        <f aca="false">$F3*Q3</f>
        <v>0.818181818181818</v>
      </c>
      <c r="AD3" s="104" t="n">
        <f aca="false">R3*$J3</f>
        <v>0.9</v>
      </c>
      <c r="AE3" s="105" t="n">
        <f aca="false">S3*$J3</f>
        <v>1</v>
      </c>
      <c r="AF3" s="105" t="n">
        <f aca="false">T3*$J3</f>
        <v>0.5</v>
      </c>
      <c r="AG3" s="105" t="n">
        <f aca="false">U3*$J3</f>
        <v>0.3</v>
      </c>
      <c r="AH3" s="105" t="n">
        <f aca="false">V3*$J3</f>
        <v>0.1</v>
      </c>
      <c r="AI3" s="105" t="n">
        <f aca="false">W3*$J3</f>
        <v>0.2</v>
      </c>
      <c r="AJ3" s="77" t="n">
        <f aca="false">Input!$D$22*RBs!C3+Input!$D$23*RBs!D3+Input!$D$24*RBs!X3+Input!$D$25*RBs!Y3+Input!$D$26*RBs!Z3+Input!$D$27*RBs!AA3+Input!$D$28*RBs!AB3+Input!$D$29*RBs!AC3+Input!$D$30*RBs!E3+Input!$D$31*RBs!G3+Input!$D$32*RBs!H3+Input!$D$33*RBs!AD3+Input!$D$34*RBs!AE3+Input!$D$35*RBs!AF3+Input!$D$36*RBs!AG3+Input!$D$37*RBs!AH3+Input!$D$38*RBs!AI3+Input!$D$39*RBs!I3+Input!$D$40*RBs!K3</f>
        <v>317.940909090909</v>
      </c>
    </row>
    <row r="4" customFormat="false" ht="12.75" hidden="false" customHeight="false" outlineLevel="0" collapsed="false">
      <c r="A4" s="141" t="s">
        <v>234</v>
      </c>
      <c r="B4" s="111" t="s">
        <v>136</v>
      </c>
      <c r="C4" s="98" t="n">
        <v>260</v>
      </c>
      <c r="D4" s="96" t="n">
        <f aca="false">4.7*C4</f>
        <v>1222</v>
      </c>
      <c r="E4" s="96" t="n">
        <v>7</v>
      </c>
      <c r="F4" s="97" t="n">
        <v>6</v>
      </c>
      <c r="G4" s="98" t="n">
        <v>75</v>
      </c>
      <c r="H4" s="96" t="n">
        <f aca="false">10.8*G4</f>
        <v>810</v>
      </c>
      <c r="I4" s="96" t="n">
        <v>2</v>
      </c>
      <c r="J4" s="97" t="n">
        <v>5</v>
      </c>
      <c r="K4" s="96" t="n">
        <v>3</v>
      </c>
      <c r="L4" s="119" t="n">
        <v>0.727272727272727</v>
      </c>
      <c r="M4" s="120" t="n">
        <v>0.0979020979020979</v>
      </c>
      <c r="N4" s="120" t="n">
        <v>0.0629370629370629</v>
      </c>
      <c r="O4" s="120" t="n">
        <v>0.020979020979021</v>
      </c>
      <c r="P4" s="120" t="n">
        <v>0.027972027972028</v>
      </c>
      <c r="Q4" s="121" t="n">
        <v>0.0629370629370629</v>
      </c>
      <c r="R4" s="119" t="n">
        <v>0.3</v>
      </c>
      <c r="S4" s="120" t="n">
        <v>0.333333333333333</v>
      </c>
      <c r="T4" s="120" t="n">
        <v>0.166666666666667</v>
      </c>
      <c r="U4" s="120" t="n">
        <v>0.1</v>
      </c>
      <c r="V4" s="120" t="n">
        <v>0.0333333333333333</v>
      </c>
      <c r="W4" s="121" t="n">
        <v>0.0666666666666667</v>
      </c>
      <c r="X4" s="113" t="n">
        <f aca="false">$F4*L4</f>
        <v>4.36363636363636</v>
      </c>
      <c r="Y4" s="114" t="n">
        <f aca="false">$F4*M4</f>
        <v>0.587412587412587</v>
      </c>
      <c r="Z4" s="114" t="n">
        <f aca="false">$F4*N4</f>
        <v>0.377622377622378</v>
      </c>
      <c r="AA4" s="114" t="n">
        <f aca="false">$F4*O4</f>
        <v>0.125874125874126</v>
      </c>
      <c r="AB4" s="114" t="n">
        <f aca="false">$F4*P4</f>
        <v>0.167832167832168</v>
      </c>
      <c r="AC4" s="115" t="n">
        <f aca="false">$F4*Q4</f>
        <v>0.377622377622378</v>
      </c>
      <c r="AD4" s="113" t="n">
        <f aca="false">R4*$J4</f>
        <v>1.5</v>
      </c>
      <c r="AE4" s="114" t="n">
        <f aca="false">S4*$J4</f>
        <v>1.66666666666667</v>
      </c>
      <c r="AF4" s="114" t="n">
        <f aca="false">T4*$J4</f>
        <v>0.833333333333333</v>
      </c>
      <c r="AG4" s="114" t="n">
        <f aca="false">U4*$J4</f>
        <v>0.5</v>
      </c>
      <c r="AH4" s="114" t="n">
        <f aca="false">V4*$J4</f>
        <v>0.166666666666667</v>
      </c>
      <c r="AI4" s="114" t="n">
        <f aca="false">W4*$J4</f>
        <v>0.333333333333333</v>
      </c>
      <c r="AJ4" s="116" t="n">
        <f aca="false">Input!$D$22*RBs!C4+Input!$D$23*RBs!D4+Input!$D$24*RBs!X4+Input!$D$25*RBs!Y4+Input!$D$26*RBs!Z4+Input!$D$27*RBs!AA4+Input!$D$28*RBs!AB4+Input!$D$29*RBs!AC4+Input!$D$30*RBs!E4+Input!$D$31*RBs!G4+Input!$D$32*RBs!H4+Input!$D$33*RBs!AD4+Input!$D$34*RBs!AE4+Input!$D$35*RBs!AF4+Input!$D$36*RBs!AG4+Input!$D$37*RBs!AH4+Input!$D$38*RBs!AI4+Input!$D$39*RBs!I4+Input!$D$40*RBs!K4</f>
        <v>305.357342657343</v>
      </c>
    </row>
    <row r="5" customFormat="false" ht="12.75" hidden="false" customHeight="false" outlineLevel="0" collapsed="false">
      <c r="A5" s="141" t="s">
        <v>235</v>
      </c>
      <c r="B5" s="111" t="s">
        <v>154</v>
      </c>
      <c r="C5" s="98" t="n">
        <v>275</v>
      </c>
      <c r="D5" s="96" t="n">
        <f aca="false">4.4*C5</f>
        <v>1210</v>
      </c>
      <c r="E5" s="96" t="n">
        <v>7</v>
      </c>
      <c r="F5" s="97" t="n">
        <v>10</v>
      </c>
      <c r="G5" s="98" t="n">
        <v>34</v>
      </c>
      <c r="H5" s="96" t="n">
        <f aca="false">9.3*G5</f>
        <v>316.2</v>
      </c>
      <c r="I5" s="96" t="n">
        <v>0</v>
      </c>
      <c r="J5" s="97" t="n">
        <v>2</v>
      </c>
      <c r="K5" s="96" t="n">
        <v>3</v>
      </c>
      <c r="L5" s="119" t="n">
        <v>0.727272727272727</v>
      </c>
      <c r="M5" s="120" t="n">
        <v>0.0979020979020979</v>
      </c>
      <c r="N5" s="120" t="n">
        <v>0.0629370629370629</v>
      </c>
      <c r="O5" s="120" t="n">
        <v>0.020979020979021</v>
      </c>
      <c r="P5" s="120" t="n">
        <v>0.027972027972028</v>
      </c>
      <c r="Q5" s="121" t="n">
        <v>0.0629370629370629</v>
      </c>
      <c r="R5" s="119" t="n">
        <v>0.3</v>
      </c>
      <c r="S5" s="120" t="n">
        <v>0.333333333333333</v>
      </c>
      <c r="T5" s="120" t="n">
        <v>0.166666666666667</v>
      </c>
      <c r="U5" s="120" t="n">
        <v>0.1</v>
      </c>
      <c r="V5" s="120" t="n">
        <v>0.0333333333333333</v>
      </c>
      <c r="W5" s="121" t="n">
        <v>0.0666666666666667</v>
      </c>
      <c r="X5" s="113" t="n">
        <f aca="false">$F5*L5</f>
        <v>7.27272727272727</v>
      </c>
      <c r="Y5" s="114" t="n">
        <f aca="false">$F5*M5</f>
        <v>0.979020979020979</v>
      </c>
      <c r="Z5" s="114" t="n">
        <f aca="false">$F5*N5</f>
        <v>0.629370629370629</v>
      </c>
      <c r="AA5" s="114" t="n">
        <f aca="false">$F5*O5</f>
        <v>0.20979020979021</v>
      </c>
      <c r="AB5" s="114" t="n">
        <f aca="false">$F5*P5</f>
        <v>0.27972027972028</v>
      </c>
      <c r="AC5" s="115" t="n">
        <f aca="false">$F5*Q5</f>
        <v>0.629370629370629</v>
      </c>
      <c r="AD5" s="113" t="n">
        <f aca="false">R5*$J5</f>
        <v>0.6</v>
      </c>
      <c r="AE5" s="114" t="n">
        <f aca="false">S5*$J5</f>
        <v>0.666666666666667</v>
      </c>
      <c r="AF5" s="114" t="n">
        <f aca="false">T5*$J5</f>
        <v>0.333333333333333</v>
      </c>
      <c r="AG5" s="114" t="n">
        <f aca="false">U5*$J5</f>
        <v>0.2</v>
      </c>
      <c r="AH5" s="114" t="n">
        <f aca="false">V5*$J5</f>
        <v>0.0666666666666667</v>
      </c>
      <c r="AI5" s="114" t="n">
        <f aca="false">W5*$J5</f>
        <v>0.133333333333333</v>
      </c>
      <c r="AJ5" s="116" t="n">
        <f aca="false">Input!$D$22*RBs!C5+Input!$D$23*RBs!D5+Input!$D$24*RBs!X5+Input!$D$25*RBs!Y5+Input!$D$26*RBs!Z5+Input!$D$27*RBs!AA5+Input!$D$28*RBs!AB5+Input!$D$29*RBs!AC5+Input!$D$30*RBs!E5+Input!$D$31*RBs!G5+Input!$D$32*RBs!H5+Input!$D$33*RBs!AD5+Input!$D$34*RBs!AE5+Input!$D$35*RBs!AF5+Input!$D$36*RBs!AG5+Input!$D$37*RBs!AH5+Input!$D$38*RBs!AI5+Input!$D$39*RBs!I5+Input!$D$40*RBs!K5</f>
        <v>253.382237762238</v>
      </c>
    </row>
    <row r="6" customFormat="false" ht="12.75" hidden="false" customHeight="false" outlineLevel="0" collapsed="false">
      <c r="A6" s="141" t="s">
        <v>236</v>
      </c>
      <c r="B6" s="111" t="s">
        <v>142</v>
      </c>
      <c r="C6" s="98" t="n">
        <v>330</v>
      </c>
      <c r="D6" s="96" t="n">
        <f aca="false">3.9*C6</f>
        <v>1287</v>
      </c>
      <c r="E6" s="96" t="n">
        <v>6</v>
      </c>
      <c r="F6" s="97" t="n">
        <v>8</v>
      </c>
      <c r="G6" s="98" t="n">
        <v>40</v>
      </c>
      <c r="H6" s="96" t="n">
        <f aca="false">9*G6</f>
        <v>360</v>
      </c>
      <c r="I6" s="96" t="n">
        <v>0</v>
      </c>
      <c r="J6" s="97" t="n">
        <v>2</v>
      </c>
      <c r="K6" s="96" t="n">
        <v>4</v>
      </c>
      <c r="L6" s="119" t="n">
        <v>0.727272727272727</v>
      </c>
      <c r="M6" s="120" t="n">
        <v>0.0979020979020979</v>
      </c>
      <c r="N6" s="120" t="n">
        <v>0.0629370629370629</v>
      </c>
      <c r="O6" s="120" t="n">
        <v>0.020979020979021</v>
      </c>
      <c r="P6" s="120" t="n">
        <v>0.027972027972028</v>
      </c>
      <c r="Q6" s="121" t="n">
        <v>0.0629370629370629</v>
      </c>
      <c r="R6" s="119" t="n">
        <v>0.3</v>
      </c>
      <c r="S6" s="120" t="n">
        <v>0.333333333333333</v>
      </c>
      <c r="T6" s="120" t="n">
        <v>0.166666666666667</v>
      </c>
      <c r="U6" s="120" t="n">
        <v>0.1</v>
      </c>
      <c r="V6" s="120" t="n">
        <v>0.0333333333333333</v>
      </c>
      <c r="W6" s="121" t="n">
        <v>0.0666666666666667</v>
      </c>
      <c r="X6" s="113" t="n">
        <f aca="false">$F6*L6</f>
        <v>5.81818181818182</v>
      </c>
      <c r="Y6" s="114" t="n">
        <f aca="false">$F6*M6</f>
        <v>0.783216783216783</v>
      </c>
      <c r="Z6" s="114" t="n">
        <f aca="false">$F6*N6</f>
        <v>0.503496503496504</v>
      </c>
      <c r="AA6" s="114" t="n">
        <f aca="false">$F6*O6</f>
        <v>0.167832167832168</v>
      </c>
      <c r="AB6" s="114" t="n">
        <f aca="false">$F6*P6</f>
        <v>0.223776223776224</v>
      </c>
      <c r="AC6" s="115" t="n">
        <f aca="false">$F6*Q6</f>
        <v>0.503496503496504</v>
      </c>
      <c r="AD6" s="113" t="n">
        <f aca="false">R6*$J6</f>
        <v>0.6</v>
      </c>
      <c r="AE6" s="114" t="n">
        <f aca="false">S6*$J6</f>
        <v>0.666666666666667</v>
      </c>
      <c r="AF6" s="114" t="n">
        <f aca="false">T6*$J6</f>
        <v>0.333333333333333</v>
      </c>
      <c r="AG6" s="114" t="n">
        <f aca="false">U6*$J6</f>
        <v>0.2</v>
      </c>
      <c r="AH6" s="114" t="n">
        <f aca="false">V6*$J6</f>
        <v>0.0666666666666667</v>
      </c>
      <c r="AI6" s="114" t="n">
        <f aca="false">W6*$J6</f>
        <v>0.133333333333333</v>
      </c>
      <c r="AJ6" s="116" t="n">
        <f aca="false">Input!$D$22*RBs!C6+Input!$D$23*RBs!D6+Input!$D$24*RBs!X6+Input!$D$25*RBs!Y6+Input!$D$26*RBs!Z6+Input!$D$27*RBs!AA6+Input!$D$28*RBs!AB6+Input!$D$29*RBs!AC6+Input!$D$30*RBs!E6+Input!$D$31*RBs!G6+Input!$D$32*RBs!H6+Input!$D$33*RBs!AD6+Input!$D$34*RBs!AE6+Input!$D$35*RBs!AF6+Input!$D$36*RBs!AG6+Input!$D$37*RBs!AH6+Input!$D$38*RBs!AI6+Input!$D$39*RBs!I6+Input!$D$40*RBs!K6</f>
        <v>247.90979020979</v>
      </c>
    </row>
    <row r="7" customFormat="false" ht="12.75" hidden="false" customHeight="false" outlineLevel="0" collapsed="false">
      <c r="A7" s="141" t="s">
        <v>237</v>
      </c>
      <c r="B7" s="111" t="s">
        <v>168</v>
      </c>
      <c r="C7" s="98" t="n">
        <v>320</v>
      </c>
      <c r="D7" s="96" t="n">
        <f aca="false">4.2*C7</f>
        <v>1344</v>
      </c>
      <c r="E7" s="96" t="n">
        <v>7</v>
      </c>
      <c r="F7" s="97" t="n">
        <v>11</v>
      </c>
      <c r="G7" s="98" t="n">
        <v>22</v>
      </c>
      <c r="H7" s="96" t="n">
        <f aca="false">5.5*G7</f>
        <v>121</v>
      </c>
      <c r="I7" s="96" t="n">
        <v>0</v>
      </c>
      <c r="J7" s="97" t="n">
        <v>2</v>
      </c>
      <c r="K7" s="96" t="n">
        <v>3</v>
      </c>
      <c r="L7" s="119" t="n">
        <v>0.727272727272727</v>
      </c>
      <c r="M7" s="120" t="n">
        <v>0.0979020979020979</v>
      </c>
      <c r="N7" s="120" t="n">
        <v>0.0629370629370629</v>
      </c>
      <c r="O7" s="120" t="n">
        <v>0.020979020979021</v>
      </c>
      <c r="P7" s="120" t="n">
        <v>0.027972027972028</v>
      </c>
      <c r="Q7" s="121" t="n">
        <v>0.0629370629370629</v>
      </c>
      <c r="R7" s="119" t="n">
        <v>0.3</v>
      </c>
      <c r="S7" s="120" t="n">
        <v>0.333333333333333</v>
      </c>
      <c r="T7" s="120" t="n">
        <v>0.166666666666667</v>
      </c>
      <c r="U7" s="120" t="n">
        <v>0.1</v>
      </c>
      <c r="V7" s="120" t="n">
        <v>0.0333333333333333</v>
      </c>
      <c r="W7" s="121" t="n">
        <v>0.0666666666666667</v>
      </c>
      <c r="X7" s="113" t="n">
        <f aca="false">$F7*L7</f>
        <v>8</v>
      </c>
      <c r="Y7" s="114" t="n">
        <f aca="false">$F7*M7</f>
        <v>1.07692307692308</v>
      </c>
      <c r="Z7" s="114" t="n">
        <f aca="false">$F7*N7</f>
        <v>0.692307692307692</v>
      </c>
      <c r="AA7" s="114" t="n">
        <f aca="false">$F7*O7</f>
        <v>0.230769230769231</v>
      </c>
      <c r="AB7" s="114" t="n">
        <f aca="false">$F7*P7</f>
        <v>0.307692307692308</v>
      </c>
      <c r="AC7" s="115" t="n">
        <f aca="false">$F7*Q7</f>
        <v>0.692307692307692</v>
      </c>
      <c r="AD7" s="113" t="n">
        <f aca="false">R7*$J7</f>
        <v>0.6</v>
      </c>
      <c r="AE7" s="114" t="n">
        <f aca="false">S7*$J7</f>
        <v>0.666666666666667</v>
      </c>
      <c r="AF7" s="114" t="n">
        <f aca="false">T7*$J7</f>
        <v>0.333333333333333</v>
      </c>
      <c r="AG7" s="114" t="n">
        <f aca="false">U7*$J7</f>
        <v>0.2</v>
      </c>
      <c r="AH7" s="114" t="n">
        <f aca="false">V7*$J7</f>
        <v>0.0666666666666667</v>
      </c>
      <c r="AI7" s="114" t="n">
        <f aca="false">W7*$J7</f>
        <v>0.133333333333333</v>
      </c>
      <c r="AJ7" s="116" t="n">
        <f aca="false">Input!$D$22*RBs!C7+Input!$D$23*RBs!D7+Input!$D$24*RBs!X7+Input!$D$25*RBs!Y7+Input!$D$26*RBs!Z7+Input!$D$27*RBs!AA7+Input!$D$28*RBs!AB7+Input!$D$29*RBs!AC7+Input!$D$30*RBs!E7+Input!$D$31*RBs!G7+Input!$D$32*RBs!H7+Input!$D$33*RBs!AD7+Input!$D$34*RBs!AE7+Input!$D$35*RBs!AF7+Input!$D$36*RBs!AG7+Input!$D$37*RBs!AH7+Input!$D$38*RBs!AI7+Input!$D$39*RBs!I7+Input!$D$40*RBs!K7</f>
        <v>254.038461538462</v>
      </c>
    </row>
    <row r="8" customFormat="false" ht="12.75" hidden="false" customHeight="false" outlineLevel="0" collapsed="false">
      <c r="A8" s="141" t="s">
        <v>238</v>
      </c>
      <c r="B8" s="111" t="s">
        <v>150</v>
      </c>
      <c r="C8" s="98" t="n">
        <v>310</v>
      </c>
      <c r="D8" s="96" t="n">
        <f aca="false">4.4*C8</f>
        <v>1364</v>
      </c>
      <c r="E8" s="96" t="n">
        <v>7</v>
      </c>
      <c r="F8" s="97" t="n">
        <v>12</v>
      </c>
      <c r="G8" s="98" t="n">
        <v>25</v>
      </c>
      <c r="H8" s="96" t="n">
        <f aca="false">8.2*G8</f>
        <v>205</v>
      </c>
      <c r="I8" s="96" t="n">
        <v>0</v>
      </c>
      <c r="J8" s="97" t="n">
        <v>1</v>
      </c>
      <c r="K8" s="96" t="n">
        <v>3</v>
      </c>
      <c r="L8" s="119" t="n">
        <v>0.727272727272727</v>
      </c>
      <c r="M8" s="120" t="n">
        <v>0.0979020979020979</v>
      </c>
      <c r="N8" s="120" t="n">
        <v>0.0629370629370629</v>
      </c>
      <c r="O8" s="120" t="n">
        <v>0.020979020979021</v>
      </c>
      <c r="P8" s="120" t="n">
        <v>0.027972027972028</v>
      </c>
      <c r="Q8" s="121" t="n">
        <v>0.0629370629370629</v>
      </c>
      <c r="R8" s="119" t="n">
        <v>0.3</v>
      </c>
      <c r="S8" s="120" t="n">
        <v>0.333333333333333</v>
      </c>
      <c r="T8" s="120" t="n">
        <v>0.166666666666667</v>
      </c>
      <c r="U8" s="120" t="n">
        <v>0.1</v>
      </c>
      <c r="V8" s="120" t="n">
        <v>0.0333333333333333</v>
      </c>
      <c r="W8" s="121" t="n">
        <v>0.0666666666666667</v>
      </c>
      <c r="X8" s="113" t="n">
        <f aca="false">$F8*L8</f>
        <v>8.72727272727273</v>
      </c>
      <c r="Y8" s="114" t="n">
        <f aca="false">$F8*M8</f>
        <v>1.17482517482517</v>
      </c>
      <c r="Z8" s="114" t="n">
        <f aca="false">$F8*N8</f>
        <v>0.755244755244755</v>
      </c>
      <c r="AA8" s="114" t="n">
        <f aca="false">$F8*O8</f>
        <v>0.251748251748252</v>
      </c>
      <c r="AB8" s="114" t="n">
        <f aca="false">$F8*P8</f>
        <v>0.335664335664336</v>
      </c>
      <c r="AC8" s="115" t="n">
        <f aca="false">$F8*Q8</f>
        <v>0.755244755244755</v>
      </c>
      <c r="AD8" s="113" t="n">
        <f aca="false">R8*$J8</f>
        <v>0.3</v>
      </c>
      <c r="AE8" s="114" t="n">
        <f aca="false">S8*$J8</f>
        <v>0.333333333333333</v>
      </c>
      <c r="AF8" s="114" t="n">
        <f aca="false">T8*$J8</f>
        <v>0.166666666666667</v>
      </c>
      <c r="AG8" s="114" t="n">
        <f aca="false">U8*$J8</f>
        <v>0.1</v>
      </c>
      <c r="AH8" s="114" t="n">
        <f aca="false">V8*$J8</f>
        <v>0.0333333333333333</v>
      </c>
      <c r="AI8" s="114" t="n">
        <f aca="false">W8*$J8</f>
        <v>0.0666666666666667</v>
      </c>
      <c r="AJ8" s="116" t="n">
        <f aca="false">Input!$D$22*RBs!C8+Input!$D$23*RBs!D8+Input!$D$24*RBs!X8+Input!$D$25*RBs!Y8+Input!$D$26*RBs!Z8+Input!$D$27*RBs!AA8+Input!$D$28*RBs!AB8+Input!$D$29*RBs!AC8+Input!$D$30*RBs!E8+Input!$D$31*RBs!G8+Input!$D$32*RBs!H8+Input!$D$33*RBs!AD8+Input!$D$34*RBs!AE8+Input!$D$35*RBs!AF8+Input!$D$36*RBs!AG8+Input!$D$37*RBs!AH8+Input!$D$38*RBs!AI8+Input!$D$39*RBs!I8+Input!$D$40*RBs!K8</f>
        <v>263.714685314685</v>
      </c>
    </row>
    <row r="9" customFormat="false" ht="12.75" hidden="false" customHeight="false" outlineLevel="0" collapsed="false">
      <c r="A9" s="141" t="s">
        <v>239</v>
      </c>
      <c r="B9" s="111" t="s">
        <v>162</v>
      </c>
      <c r="C9" s="98" t="n">
        <v>280</v>
      </c>
      <c r="D9" s="96" t="n">
        <f aca="false">4.7*C9</f>
        <v>1316</v>
      </c>
      <c r="E9" s="96" t="n">
        <v>6</v>
      </c>
      <c r="F9" s="97" t="n">
        <v>12</v>
      </c>
      <c r="G9" s="98" t="n">
        <v>20</v>
      </c>
      <c r="H9" s="96" t="n">
        <f aca="false">7.8*G9</f>
        <v>156</v>
      </c>
      <c r="I9" s="96" t="n">
        <v>0</v>
      </c>
      <c r="J9" s="97" t="n">
        <v>1</v>
      </c>
      <c r="K9" s="96" t="n">
        <v>3</v>
      </c>
      <c r="L9" s="119" t="n">
        <v>0.727272727272727</v>
      </c>
      <c r="M9" s="120" t="n">
        <v>0.0979020979020979</v>
      </c>
      <c r="N9" s="120" t="n">
        <v>0.0629370629370629</v>
      </c>
      <c r="O9" s="120" t="n">
        <v>0.020979020979021</v>
      </c>
      <c r="P9" s="120" t="n">
        <v>0.027972027972028</v>
      </c>
      <c r="Q9" s="121" t="n">
        <v>0.0629370629370629</v>
      </c>
      <c r="R9" s="119" t="n">
        <v>0.3</v>
      </c>
      <c r="S9" s="120" t="n">
        <v>0.333333333333333</v>
      </c>
      <c r="T9" s="120" t="n">
        <v>0.166666666666667</v>
      </c>
      <c r="U9" s="120" t="n">
        <v>0.1</v>
      </c>
      <c r="V9" s="120" t="n">
        <v>0.0333333333333333</v>
      </c>
      <c r="W9" s="121" t="n">
        <v>0.0666666666666667</v>
      </c>
      <c r="X9" s="113" t="n">
        <f aca="false">$F9*L9</f>
        <v>8.72727272727273</v>
      </c>
      <c r="Y9" s="114" t="n">
        <f aca="false">$F9*M9</f>
        <v>1.17482517482517</v>
      </c>
      <c r="Z9" s="114" t="n">
        <f aca="false">$F9*N9</f>
        <v>0.755244755244755</v>
      </c>
      <c r="AA9" s="114" t="n">
        <f aca="false">$F9*O9</f>
        <v>0.251748251748252</v>
      </c>
      <c r="AB9" s="114" t="n">
        <f aca="false">$F9*P9</f>
        <v>0.335664335664336</v>
      </c>
      <c r="AC9" s="115" t="n">
        <f aca="false">$F9*Q9</f>
        <v>0.755244755244755</v>
      </c>
      <c r="AD9" s="113" t="n">
        <f aca="false">R9*$J9</f>
        <v>0.3</v>
      </c>
      <c r="AE9" s="114" t="n">
        <f aca="false">S9*$J9</f>
        <v>0.333333333333333</v>
      </c>
      <c r="AF9" s="114" t="n">
        <f aca="false">T9*$J9</f>
        <v>0.166666666666667</v>
      </c>
      <c r="AG9" s="114" t="n">
        <f aca="false">U9*$J9</f>
        <v>0.1</v>
      </c>
      <c r="AH9" s="114" t="n">
        <f aca="false">V9*$J9</f>
        <v>0.0333333333333333</v>
      </c>
      <c r="AI9" s="114" t="n">
        <f aca="false">W9*$J9</f>
        <v>0.0666666666666667</v>
      </c>
      <c r="AJ9" s="116" t="n">
        <f aca="false">Input!$D$22*RBs!C9+Input!$D$23*RBs!D9+Input!$D$24*RBs!X9+Input!$D$25*RBs!Y9+Input!$D$26*RBs!Z9+Input!$D$27*RBs!AA9+Input!$D$28*RBs!AB9+Input!$D$29*RBs!AC9+Input!$D$30*RBs!E9+Input!$D$31*RBs!G9+Input!$D$32*RBs!H9+Input!$D$33*RBs!AD9+Input!$D$34*RBs!AE9+Input!$D$35*RBs!AF9+Input!$D$36*RBs!AG9+Input!$D$37*RBs!AH9+Input!$D$38*RBs!AI9+Input!$D$39*RBs!I9+Input!$D$40*RBs!K9</f>
        <v>251.014685314685</v>
      </c>
    </row>
    <row r="10" customFormat="false" ht="12.75" hidden="false" customHeight="false" outlineLevel="0" collapsed="false">
      <c r="A10" s="141" t="s">
        <v>240</v>
      </c>
      <c r="B10" s="111" t="s">
        <v>140</v>
      </c>
      <c r="C10" s="98" t="n">
        <v>300</v>
      </c>
      <c r="D10" s="96" t="n">
        <f aca="false">3.7*C10</f>
        <v>1110</v>
      </c>
      <c r="E10" s="96" t="n">
        <v>3</v>
      </c>
      <c r="F10" s="97" t="n">
        <v>7</v>
      </c>
      <c r="G10" s="98" t="n">
        <v>70</v>
      </c>
      <c r="H10" s="96" t="n">
        <f aca="false">7.7*G10</f>
        <v>539</v>
      </c>
      <c r="I10" s="96" t="n">
        <v>1</v>
      </c>
      <c r="J10" s="97" t="n">
        <v>3</v>
      </c>
      <c r="K10" s="96" t="n">
        <v>4</v>
      </c>
      <c r="L10" s="119" t="n">
        <v>0.727272727272727</v>
      </c>
      <c r="M10" s="120" t="n">
        <v>0.0979020979020979</v>
      </c>
      <c r="N10" s="120" t="n">
        <v>0.0629370629370629</v>
      </c>
      <c r="O10" s="120" t="n">
        <v>0.020979020979021</v>
      </c>
      <c r="P10" s="120" t="n">
        <v>0.027972027972028</v>
      </c>
      <c r="Q10" s="121" t="n">
        <v>0.0629370629370629</v>
      </c>
      <c r="R10" s="119" t="n">
        <v>0.3</v>
      </c>
      <c r="S10" s="120" t="n">
        <v>0.333333333333333</v>
      </c>
      <c r="T10" s="120" t="n">
        <v>0.166666666666667</v>
      </c>
      <c r="U10" s="120" t="n">
        <v>0.1</v>
      </c>
      <c r="V10" s="120" t="n">
        <v>0.0333333333333333</v>
      </c>
      <c r="W10" s="121" t="n">
        <v>0.0666666666666667</v>
      </c>
      <c r="X10" s="113" t="n">
        <f aca="false">$F10*L10</f>
        <v>5.09090909090909</v>
      </c>
      <c r="Y10" s="114" t="n">
        <f aca="false">$F10*M10</f>
        <v>0.685314685314685</v>
      </c>
      <c r="Z10" s="114" t="n">
        <f aca="false">$F10*N10</f>
        <v>0.440559440559441</v>
      </c>
      <c r="AA10" s="114" t="n">
        <f aca="false">$F10*O10</f>
        <v>0.146853146853147</v>
      </c>
      <c r="AB10" s="114" t="n">
        <f aca="false">$F10*P10</f>
        <v>0.195804195804196</v>
      </c>
      <c r="AC10" s="115" t="n">
        <f aca="false">$F10*Q10</f>
        <v>0.440559440559441</v>
      </c>
      <c r="AD10" s="113" t="n">
        <f aca="false">R10*$J10</f>
        <v>0.9</v>
      </c>
      <c r="AE10" s="114" t="n">
        <f aca="false">S10*$J10</f>
        <v>1</v>
      </c>
      <c r="AF10" s="114" t="n">
        <f aca="false">T10*$J10</f>
        <v>0.5</v>
      </c>
      <c r="AG10" s="114" t="n">
        <f aca="false">U10*$J10</f>
        <v>0.3</v>
      </c>
      <c r="AH10" s="114" t="n">
        <f aca="false">V10*$J10</f>
        <v>0.1</v>
      </c>
      <c r="AI10" s="114" t="n">
        <f aca="false">W10*$J10</f>
        <v>0.2</v>
      </c>
      <c r="AJ10" s="116" t="n">
        <f aca="false">Input!$D$22*RBs!C10+Input!$D$23*RBs!D10+Input!$D$24*RBs!X10+Input!$D$25*RBs!Y10+Input!$D$26*RBs!Z10+Input!$D$27*RBs!AA10+Input!$D$28*RBs!AB10+Input!$D$29*RBs!AC10+Input!$D$30*RBs!E10+Input!$D$31*RBs!G10+Input!$D$32*RBs!H10+Input!$D$33*RBs!AD10+Input!$D$34*RBs!AE10+Input!$D$35*RBs!AF10+Input!$D$36*RBs!AG10+Input!$D$37*RBs!AH10+Input!$D$38*RBs!AI10+Input!$D$39*RBs!I10+Input!$D$40*RBs!K10</f>
        <v>242.833566433566</v>
      </c>
    </row>
    <row r="11" customFormat="false" ht="12.75" hidden="false" customHeight="false" outlineLevel="0" collapsed="false">
      <c r="A11" s="141" t="s">
        <v>241</v>
      </c>
      <c r="B11" s="111" t="s">
        <v>178</v>
      </c>
      <c r="C11" s="98" t="n">
        <v>340</v>
      </c>
      <c r="D11" s="96" t="n">
        <f aca="false">3.8*C11</f>
        <v>1292</v>
      </c>
      <c r="E11" s="96" t="n">
        <v>5</v>
      </c>
      <c r="F11" s="97" t="n">
        <v>6</v>
      </c>
      <c r="G11" s="98" t="n">
        <v>45</v>
      </c>
      <c r="H11" s="96" t="n">
        <f aca="false">7.4*G11</f>
        <v>333</v>
      </c>
      <c r="I11" s="96" t="n">
        <v>0</v>
      </c>
      <c r="J11" s="97" t="n">
        <v>2</v>
      </c>
      <c r="K11" s="96" t="n">
        <v>3</v>
      </c>
      <c r="L11" s="119" t="n">
        <v>0.727272727272727</v>
      </c>
      <c r="M11" s="120" t="n">
        <v>0.0979020979020979</v>
      </c>
      <c r="N11" s="120" t="n">
        <v>0.0629370629370629</v>
      </c>
      <c r="O11" s="120" t="n">
        <v>0.020979020979021</v>
      </c>
      <c r="P11" s="120" t="n">
        <v>0.027972027972028</v>
      </c>
      <c r="Q11" s="121" t="n">
        <v>0.0629370629370629</v>
      </c>
      <c r="R11" s="119" t="n">
        <v>0.3</v>
      </c>
      <c r="S11" s="120" t="n">
        <v>0.333333333333333</v>
      </c>
      <c r="T11" s="120" t="n">
        <v>0.166666666666667</v>
      </c>
      <c r="U11" s="120" t="n">
        <v>0.1</v>
      </c>
      <c r="V11" s="120" t="n">
        <v>0.0333333333333333</v>
      </c>
      <c r="W11" s="121" t="n">
        <v>0.0666666666666667</v>
      </c>
      <c r="X11" s="113" t="n">
        <f aca="false">$F11*L11</f>
        <v>4.36363636363636</v>
      </c>
      <c r="Y11" s="114" t="n">
        <f aca="false">$F11*M11</f>
        <v>0.587412587412587</v>
      </c>
      <c r="Z11" s="114" t="n">
        <f aca="false">$F11*N11</f>
        <v>0.377622377622378</v>
      </c>
      <c r="AA11" s="114" t="n">
        <f aca="false">$F11*O11</f>
        <v>0.125874125874126</v>
      </c>
      <c r="AB11" s="114" t="n">
        <f aca="false">$F11*P11</f>
        <v>0.167832167832168</v>
      </c>
      <c r="AC11" s="115" t="n">
        <f aca="false">$F11*Q11</f>
        <v>0.377622377622378</v>
      </c>
      <c r="AD11" s="113" t="n">
        <f aca="false">R11*$J11</f>
        <v>0.6</v>
      </c>
      <c r="AE11" s="114" t="n">
        <f aca="false">S11*$J11</f>
        <v>0.666666666666667</v>
      </c>
      <c r="AF11" s="114" t="n">
        <f aca="false">T11*$J11</f>
        <v>0.333333333333333</v>
      </c>
      <c r="AG11" s="114" t="n">
        <f aca="false">U11*$J11</f>
        <v>0.2</v>
      </c>
      <c r="AH11" s="114" t="n">
        <f aca="false">V11*$J11</f>
        <v>0.0666666666666667</v>
      </c>
      <c r="AI11" s="114" t="n">
        <f aca="false">W11*$J11</f>
        <v>0.133333333333333</v>
      </c>
      <c r="AJ11" s="116" t="n">
        <f aca="false">Input!$D$22*RBs!C11+Input!$D$23*RBs!D11+Input!$D$24*RBs!X11+Input!$D$25*RBs!Y11+Input!$D$26*RBs!Z11+Input!$D$27*RBs!AA11+Input!$D$28*RBs!AB11+Input!$D$29*RBs!AC11+Input!$D$30*RBs!E11+Input!$D$31*RBs!G11+Input!$D$32*RBs!H11+Input!$D$33*RBs!AD11+Input!$D$34*RBs!AE11+Input!$D$35*RBs!AF11+Input!$D$36*RBs!AG11+Input!$D$37*RBs!AH11+Input!$D$38*RBs!AI11+Input!$D$39*RBs!I11+Input!$D$40*RBs!K11</f>
        <v>230.157342657343</v>
      </c>
    </row>
    <row r="12" customFormat="false" ht="12.75" hidden="false" customHeight="false" outlineLevel="0" collapsed="false">
      <c r="A12" s="141" t="s">
        <v>242</v>
      </c>
      <c r="B12" s="111" t="s">
        <v>170</v>
      </c>
      <c r="C12" s="94" t="n">
        <v>275</v>
      </c>
      <c r="D12" s="96" t="n">
        <f aca="false">4*C12</f>
        <v>1100</v>
      </c>
      <c r="E12" s="95" t="n">
        <v>5</v>
      </c>
      <c r="F12" s="122" t="n">
        <v>5</v>
      </c>
      <c r="G12" s="94" t="n">
        <v>50</v>
      </c>
      <c r="H12" s="95" t="n">
        <f aca="false">7.5*G12</f>
        <v>375</v>
      </c>
      <c r="I12" s="95" t="n">
        <v>0</v>
      </c>
      <c r="J12" s="122" t="n">
        <v>2</v>
      </c>
      <c r="K12" s="95" t="n">
        <v>5</v>
      </c>
      <c r="L12" s="119" t="n">
        <v>0.727272727272727</v>
      </c>
      <c r="M12" s="120" t="n">
        <v>0.0979020979020979</v>
      </c>
      <c r="N12" s="120" t="n">
        <v>0.0629370629370629</v>
      </c>
      <c r="O12" s="120" t="n">
        <v>0.020979020979021</v>
      </c>
      <c r="P12" s="120" t="n">
        <v>0.027972027972028</v>
      </c>
      <c r="Q12" s="121" t="n">
        <v>0.0629370629370629</v>
      </c>
      <c r="R12" s="119" t="n">
        <v>0.3</v>
      </c>
      <c r="S12" s="120" t="n">
        <v>0.333333333333333</v>
      </c>
      <c r="T12" s="120" t="n">
        <v>0.166666666666667</v>
      </c>
      <c r="U12" s="120" t="n">
        <v>0.1</v>
      </c>
      <c r="V12" s="120" t="n">
        <v>0.0333333333333333</v>
      </c>
      <c r="W12" s="121" t="n">
        <v>0.0666666666666667</v>
      </c>
      <c r="X12" s="113" t="n">
        <f aca="false">$F12*L12</f>
        <v>3.63636363636364</v>
      </c>
      <c r="Y12" s="114" t="n">
        <f aca="false">$F12*M12</f>
        <v>0.48951048951049</v>
      </c>
      <c r="Z12" s="114" t="n">
        <f aca="false">$F12*N12</f>
        <v>0.314685314685315</v>
      </c>
      <c r="AA12" s="114" t="n">
        <f aca="false">$F12*O12</f>
        <v>0.104895104895105</v>
      </c>
      <c r="AB12" s="114" t="n">
        <f aca="false">$F12*P12</f>
        <v>0.13986013986014</v>
      </c>
      <c r="AC12" s="115" t="n">
        <f aca="false">$F12*Q12</f>
        <v>0.314685314685315</v>
      </c>
      <c r="AD12" s="113" t="n">
        <f aca="false">R12*$J12</f>
        <v>0.6</v>
      </c>
      <c r="AE12" s="114" t="n">
        <f aca="false">S12*$J12</f>
        <v>0.666666666666667</v>
      </c>
      <c r="AF12" s="114" t="n">
        <f aca="false">T12*$J12</f>
        <v>0.333333333333333</v>
      </c>
      <c r="AG12" s="114" t="n">
        <f aca="false">U12*$J12</f>
        <v>0.2</v>
      </c>
      <c r="AH12" s="114" t="n">
        <f aca="false">V12*$J12</f>
        <v>0.0666666666666667</v>
      </c>
      <c r="AI12" s="114" t="n">
        <f aca="false">W12*$J12</f>
        <v>0.133333333333333</v>
      </c>
      <c r="AJ12" s="116" t="n">
        <f aca="false">Input!$D$22*RBs!C12+Input!$D$23*RBs!D12+Input!$D$24*RBs!X12+Input!$D$25*RBs!Y12+Input!$D$26*RBs!Z12+Input!$D$27*RBs!AA12+Input!$D$28*RBs!AB12+Input!$D$29*RBs!AC12+Input!$D$30*RBs!E12+Input!$D$31*RBs!G12+Input!$D$32*RBs!H12+Input!$D$33*RBs!AD12+Input!$D$34*RBs!AE12+Input!$D$35*RBs!AF12+Input!$D$36*RBs!AG12+Input!$D$37*RBs!AH12+Input!$D$38*RBs!AI12+Input!$D$39*RBs!I12+Input!$D$40*RBs!K12</f>
        <v>206.381118881119</v>
      </c>
    </row>
    <row r="13" customFormat="false" ht="12.75" hidden="false" customHeight="false" outlineLevel="0" collapsed="false">
      <c r="A13" s="141" t="s">
        <v>243</v>
      </c>
      <c r="B13" s="111" t="s">
        <v>188</v>
      </c>
      <c r="C13" s="98" t="n">
        <v>310</v>
      </c>
      <c r="D13" s="96" t="n">
        <f aca="false">3.9*C13</f>
        <v>1209</v>
      </c>
      <c r="E13" s="96" t="n">
        <v>4</v>
      </c>
      <c r="F13" s="97" t="n">
        <v>10</v>
      </c>
      <c r="G13" s="98" t="n">
        <v>18</v>
      </c>
      <c r="H13" s="96" t="n">
        <f aca="false">6*G13</f>
        <v>108</v>
      </c>
      <c r="I13" s="96" t="n">
        <v>0</v>
      </c>
      <c r="J13" s="97" t="n">
        <v>1</v>
      </c>
      <c r="K13" s="96" t="n">
        <v>4</v>
      </c>
      <c r="L13" s="119" t="n">
        <v>0.727272727272727</v>
      </c>
      <c r="M13" s="120" t="n">
        <v>0.0979020979020979</v>
      </c>
      <c r="N13" s="120" t="n">
        <v>0.0629370629370629</v>
      </c>
      <c r="O13" s="120" t="n">
        <v>0.020979020979021</v>
      </c>
      <c r="P13" s="120" t="n">
        <v>0.027972027972028</v>
      </c>
      <c r="Q13" s="121" t="n">
        <v>0.0629370629370629</v>
      </c>
      <c r="R13" s="119" t="n">
        <v>0.3</v>
      </c>
      <c r="S13" s="120" t="n">
        <v>0.333333333333333</v>
      </c>
      <c r="T13" s="120" t="n">
        <v>0.166666666666667</v>
      </c>
      <c r="U13" s="120" t="n">
        <v>0.1</v>
      </c>
      <c r="V13" s="120" t="n">
        <v>0.0333333333333333</v>
      </c>
      <c r="W13" s="121" t="n">
        <v>0.0666666666666667</v>
      </c>
      <c r="X13" s="113" t="n">
        <f aca="false">$F13*L13</f>
        <v>7.27272727272727</v>
      </c>
      <c r="Y13" s="114" t="n">
        <f aca="false">$F13*M13</f>
        <v>0.979020979020979</v>
      </c>
      <c r="Z13" s="114" t="n">
        <f aca="false">$F13*N13</f>
        <v>0.629370629370629</v>
      </c>
      <c r="AA13" s="114" t="n">
        <f aca="false">$F13*O13</f>
        <v>0.20979020979021</v>
      </c>
      <c r="AB13" s="114" t="n">
        <f aca="false">$F13*P13</f>
        <v>0.27972027972028</v>
      </c>
      <c r="AC13" s="115" t="n">
        <f aca="false">$F13*Q13</f>
        <v>0.629370629370629</v>
      </c>
      <c r="AD13" s="113" t="n">
        <f aca="false">R13*$J13</f>
        <v>0.3</v>
      </c>
      <c r="AE13" s="114" t="n">
        <f aca="false">S13*$J13</f>
        <v>0.333333333333333</v>
      </c>
      <c r="AF13" s="114" t="n">
        <f aca="false">T13*$J13</f>
        <v>0.166666666666667</v>
      </c>
      <c r="AG13" s="114" t="n">
        <f aca="false">U13*$J13</f>
        <v>0.1</v>
      </c>
      <c r="AH13" s="114" t="n">
        <f aca="false">V13*$J13</f>
        <v>0.0333333333333333</v>
      </c>
      <c r="AI13" s="114" t="n">
        <f aca="false">W13*$J13</f>
        <v>0.0666666666666667</v>
      </c>
      <c r="AJ13" s="116" t="n">
        <f aca="false">Input!$D$22*RBs!C13+Input!$D$23*RBs!D13+Input!$D$24*RBs!X13+Input!$D$25*RBs!Y13+Input!$D$26*RBs!Z13+Input!$D$27*RBs!AA13+Input!$D$28*RBs!AB13+Input!$D$29*RBs!AC13+Input!$D$30*RBs!E13+Input!$D$31*RBs!G13+Input!$D$32*RBs!H13+Input!$D$33*RBs!AD13+Input!$D$34*RBs!AE13+Input!$D$35*RBs!AF13+Input!$D$36*RBs!AG13+Input!$D$37*RBs!AH13+Input!$D$38*RBs!AI13+Input!$D$39*RBs!I13+Input!$D$40*RBs!K13</f>
        <v>214.962237762238</v>
      </c>
    </row>
    <row r="14" customFormat="false" ht="12.75" hidden="false" customHeight="false" outlineLevel="0" collapsed="false">
      <c r="A14" s="141" t="s">
        <v>244</v>
      </c>
      <c r="B14" s="111" t="s">
        <v>160</v>
      </c>
      <c r="C14" s="98" t="n">
        <v>275</v>
      </c>
      <c r="D14" s="96" t="n">
        <f aca="false">4.7*C14</f>
        <v>1292.5</v>
      </c>
      <c r="E14" s="96" t="n">
        <v>4</v>
      </c>
      <c r="F14" s="97" t="n">
        <v>5</v>
      </c>
      <c r="G14" s="98" t="n">
        <v>40</v>
      </c>
      <c r="H14" s="96" t="n">
        <f aca="false">6.9*G14</f>
        <v>276</v>
      </c>
      <c r="I14" s="96" t="n">
        <v>0</v>
      </c>
      <c r="J14" s="97" t="n">
        <v>1</v>
      </c>
      <c r="K14" s="96" t="n">
        <v>2</v>
      </c>
      <c r="L14" s="119" t="n">
        <v>0.727272727272727</v>
      </c>
      <c r="M14" s="120" t="n">
        <v>0.0979020979020979</v>
      </c>
      <c r="N14" s="120" t="n">
        <v>0.0629370629370629</v>
      </c>
      <c r="O14" s="120" t="n">
        <v>0.020979020979021</v>
      </c>
      <c r="P14" s="120" t="n">
        <v>0.027972027972028</v>
      </c>
      <c r="Q14" s="121" t="n">
        <v>0.0629370629370629</v>
      </c>
      <c r="R14" s="119" t="n">
        <v>0.3</v>
      </c>
      <c r="S14" s="120" t="n">
        <v>0.333333333333333</v>
      </c>
      <c r="T14" s="120" t="n">
        <v>0.166666666666667</v>
      </c>
      <c r="U14" s="120" t="n">
        <v>0.1</v>
      </c>
      <c r="V14" s="120" t="n">
        <v>0.0333333333333333</v>
      </c>
      <c r="W14" s="121" t="n">
        <v>0.0666666666666667</v>
      </c>
      <c r="X14" s="113" t="n">
        <f aca="false">$F14*L14</f>
        <v>3.63636363636364</v>
      </c>
      <c r="Y14" s="114" t="n">
        <f aca="false">$F14*M14</f>
        <v>0.48951048951049</v>
      </c>
      <c r="Z14" s="114" t="n">
        <f aca="false">$F14*N14</f>
        <v>0.314685314685315</v>
      </c>
      <c r="AA14" s="114" t="n">
        <f aca="false">$F14*O14</f>
        <v>0.104895104895105</v>
      </c>
      <c r="AB14" s="114" t="n">
        <f aca="false">$F14*P14</f>
        <v>0.13986013986014</v>
      </c>
      <c r="AC14" s="115" t="n">
        <f aca="false">$F14*Q14</f>
        <v>0.314685314685315</v>
      </c>
      <c r="AD14" s="113" t="n">
        <f aca="false">R14*$J14</f>
        <v>0.3</v>
      </c>
      <c r="AE14" s="114" t="n">
        <f aca="false">S14*$J14</f>
        <v>0.333333333333333</v>
      </c>
      <c r="AF14" s="114" t="n">
        <f aca="false">T14*$J14</f>
        <v>0.166666666666667</v>
      </c>
      <c r="AG14" s="114" t="n">
        <f aca="false">U14*$J14</f>
        <v>0.1</v>
      </c>
      <c r="AH14" s="114" t="n">
        <f aca="false">V14*$J14</f>
        <v>0.0333333333333333</v>
      </c>
      <c r="AI14" s="114" t="n">
        <f aca="false">W14*$J14</f>
        <v>0.0666666666666667</v>
      </c>
      <c r="AJ14" s="116" t="n">
        <f aca="false">Input!$D$22*RBs!C14+Input!$D$23*RBs!D14+Input!$D$24*RBs!X14+Input!$D$25*RBs!Y14+Input!$D$26*RBs!Z14+Input!$D$27*RBs!AA14+Input!$D$28*RBs!AB14+Input!$D$29*RBs!AC14+Input!$D$30*RBs!E14+Input!$D$31*RBs!G14+Input!$D$32*RBs!H14+Input!$D$33*RBs!AD14+Input!$D$34*RBs!AE14+Input!$D$35*RBs!AF14+Input!$D$36*RBs!AG14+Input!$D$37*RBs!AH14+Input!$D$38*RBs!AI14+Input!$D$39*RBs!I14+Input!$D$40*RBs!K14</f>
        <v>208.231118881119</v>
      </c>
    </row>
    <row r="15" customFormat="false" ht="12.75" hidden="false" customHeight="false" outlineLevel="0" collapsed="false">
      <c r="A15" s="141" t="s">
        <v>245</v>
      </c>
      <c r="B15" s="111" t="s">
        <v>152</v>
      </c>
      <c r="C15" s="98" t="n">
        <v>330</v>
      </c>
      <c r="D15" s="96" t="n">
        <f aca="false">3.7*C15</f>
        <v>1221</v>
      </c>
      <c r="E15" s="96" t="n">
        <v>4</v>
      </c>
      <c r="F15" s="97" t="n">
        <v>7</v>
      </c>
      <c r="G15" s="98" t="n">
        <v>40</v>
      </c>
      <c r="H15" s="96" t="n">
        <f aca="false">6.3*G15</f>
        <v>252</v>
      </c>
      <c r="I15" s="96" t="n">
        <v>0</v>
      </c>
      <c r="J15" s="97" t="n">
        <v>1</v>
      </c>
      <c r="K15" s="96" t="n">
        <v>3</v>
      </c>
      <c r="L15" s="119" t="n">
        <v>0.727272727272727</v>
      </c>
      <c r="M15" s="120" t="n">
        <v>0.0979020979020979</v>
      </c>
      <c r="N15" s="120" t="n">
        <v>0.0629370629370629</v>
      </c>
      <c r="O15" s="120" t="n">
        <v>0.020979020979021</v>
      </c>
      <c r="P15" s="120" t="n">
        <v>0.027972027972028</v>
      </c>
      <c r="Q15" s="121" t="n">
        <v>0.0629370629370629</v>
      </c>
      <c r="R15" s="119" t="n">
        <v>0.3</v>
      </c>
      <c r="S15" s="120" t="n">
        <v>0.333333333333333</v>
      </c>
      <c r="T15" s="120" t="n">
        <v>0.166666666666667</v>
      </c>
      <c r="U15" s="120" t="n">
        <v>0.1</v>
      </c>
      <c r="V15" s="120" t="n">
        <v>0.0333333333333333</v>
      </c>
      <c r="W15" s="121" t="n">
        <v>0.0666666666666667</v>
      </c>
      <c r="X15" s="113" t="n">
        <f aca="false">$F15*L15</f>
        <v>5.09090909090909</v>
      </c>
      <c r="Y15" s="114" t="n">
        <f aca="false">$F15*M15</f>
        <v>0.685314685314685</v>
      </c>
      <c r="Z15" s="114" t="n">
        <f aca="false">$F15*N15</f>
        <v>0.440559440559441</v>
      </c>
      <c r="AA15" s="114" t="n">
        <f aca="false">$F15*O15</f>
        <v>0.146853146853147</v>
      </c>
      <c r="AB15" s="114" t="n">
        <f aca="false">$F15*P15</f>
        <v>0.195804195804196</v>
      </c>
      <c r="AC15" s="115" t="n">
        <f aca="false">$F15*Q15</f>
        <v>0.440559440559441</v>
      </c>
      <c r="AD15" s="113" t="n">
        <f aca="false">R15*$J15</f>
        <v>0.3</v>
      </c>
      <c r="AE15" s="114" t="n">
        <f aca="false">S15*$J15</f>
        <v>0.333333333333333</v>
      </c>
      <c r="AF15" s="114" t="n">
        <f aca="false">T15*$J15</f>
        <v>0.166666666666667</v>
      </c>
      <c r="AG15" s="114" t="n">
        <f aca="false">U15*$J15</f>
        <v>0.1</v>
      </c>
      <c r="AH15" s="114" t="n">
        <f aca="false">V15*$J15</f>
        <v>0.0333333333333333</v>
      </c>
      <c r="AI15" s="114" t="n">
        <f aca="false">W15*$J15</f>
        <v>0.0666666666666667</v>
      </c>
      <c r="AJ15" s="116" t="n">
        <f aca="false">Input!$D$22*RBs!C15+Input!$D$23*RBs!D15+Input!$D$24*RBs!X15+Input!$D$25*RBs!Y15+Input!$D$26*RBs!Z15+Input!$D$27*RBs!AA15+Input!$D$28*RBs!AB15+Input!$D$29*RBs!AC15+Input!$D$30*RBs!E15+Input!$D$31*RBs!G15+Input!$D$32*RBs!H15+Input!$D$33*RBs!AD15+Input!$D$34*RBs!AE15+Input!$D$35*RBs!AF15+Input!$D$36*RBs!AG15+Input!$D$37*RBs!AH15+Input!$D$38*RBs!AI15+Input!$D$39*RBs!I15+Input!$D$40*RBs!K15</f>
        <v>211.233566433566</v>
      </c>
    </row>
    <row r="16" customFormat="false" ht="12.75" hidden="false" customHeight="false" outlineLevel="0" collapsed="false">
      <c r="A16" s="141" t="s">
        <v>246</v>
      </c>
      <c r="B16" s="111" t="s">
        <v>148</v>
      </c>
      <c r="C16" s="98" t="n">
        <v>240</v>
      </c>
      <c r="D16" s="96" t="n">
        <f aca="false">4.6*C16</f>
        <v>1104</v>
      </c>
      <c r="E16" s="96" t="n">
        <v>3</v>
      </c>
      <c r="F16" s="97" t="n">
        <v>4</v>
      </c>
      <c r="G16" s="98" t="n">
        <v>45</v>
      </c>
      <c r="H16" s="96" t="n">
        <f aca="false">8.4*G16</f>
        <v>378</v>
      </c>
      <c r="I16" s="96" t="n">
        <v>0</v>
      </c>
      <c r="J16" s="97" t="n">
        <v>2</v>
      </c>
      <c r="K16" s="96" t="n">
        <v>2</v>
      </c>
      <c r="L16" s="119" t="n">
        <v>0.727272727272727</v>
      </c>
      <c r="M16" s="120" t="n">
        <v>0.0979020979020979</v>
      </c>
      <c r="N16" s="120" t="n">
        <v>0.0629370629370629</v>
      </c>
      <c r="O16" s="120" t="n">
        <v>0.020979020979021</v>
      </c>
      <c r="P16" s="120" t="n">
        <v>0.027972027972028</v>
      </c>
      <c r="Q16" s="121" t="n">
        <v>0.0629370629370629</v>
      </c>
      <c r="R16" s="119" t="n">
        <v>0.3</v>
      </c>
      <c r="S16" s="120" t="n">
        <v>0.333333333333333</v>
      </c>
      <c r="T16" s="120" t="n">
        <v>0.166666666666667</v>
      </c>
      <c r="U16" s="120" t="n">
        <v>0.1</v>
      </c>
      <c r="V16" s="120" t="n">
        <v>0.0333333333333333</v>
      </c>
      <c r="W16" s="121" t="n">
        <v>0.0666666666666667</v>
      </c>
      <c r="X16" s="113" t="n">
        <f aca="false">$F16*L16</f>
        <v>2.90909090909091</v>
      </c>
      <c r="Y16" s="114" t="n">
        <f aca="false">$F16*M16</f>
        <v>0.391608391608392</v>
      </c>
      <c r="Z16" s="114" t="n">
        <f aca="false">$F16*N16</f>
        <v>0.251748251748252</v>
      </c>
      <c r="AA16" s="114" t="n">
        <f aca="false">$F16*O16</f>
        <v>0.0839160839160839</v>
      </c>
      <c r="AB16" s="114" t="n">
        <f aca="false">$F16*P16</f>
        <v>0.111888111888112</v>
      </c>
      <c r="AC16" s="115" t="n">
        <f aca="false">$F16*Q16</f>
        <v>0.251748251748252</v>
      </c>
      <c r="AD16" s="113" t="n">
        <f aca="false">R16*$J16</f>
        <v>0.6</v>
      </c>
      <c r="AE16" s="114" t="n">
        <f aca="false">S16*$J16</f>
        <v>0.666666666666667</v>
      </c>
      <c r="AF16" s="114" t="n">
        <f aca="false">T16*$J16</f>
        <v>0.333333333333333</v>
      </c>
      <c r="AG16" s="114" t="n">
        <f aca="false">U16*$J16</f>
        <v>0.2</v>
      </c>
      <c r="AH16" s="114" t="n">
        <f aca="false">V16*$J16</f>
        <v>0.0666666666666667</v>
      </c>
      <c r="AI16" s="114" t="n">
        <f aca="false">W16*$J16</f>
        <v>0.133333333333333</v>
      </c>
      <c r="AJ16" s="116" t="n">
        <f aca="false">Input!$D$22*RBs!C16+Input!$D$23*RBs!D16+Input!$D$24*RBs!X16+Input!$D$25*RBs!Y16+Input!$D$26*RBs!Z16+Input!$D$27*RBs!AA16+Input!$D$28*RBs!AB16+Input!$D$29*RBs!AC16+Input!$D$30*RBs!E16+Input!$D$31*RBs!G16+Input!$D$32*RBs!H16+Input!$D$33*RBs!AD16+Input!$D$34*RBs!AE16+Input!$D$35*RBs!AF16+Input!$D$36*RBs!AG16+Input!$D$37*RBs!AH16+Input!$D$38*RBs!AI16+Input!$D$39*RBs!I16+Input!$D$40*RBs!K16</f>
        <v>197.304895104895</v>
      </c>
    </row>
    <row r="17" customFormat="false" ht="12.75" hidden="false" customHeight="false" outlineLevel="0" collapsed="false">
      <c r="A17" s="141" t="s">
        <v>247</v>
      </c>
      <c r="B17" s="111" t="s">
        <v>144</v>
      </c>
      <c r="C17" s="98" t="n">
        <v>280</v>
      </c>
      <c r="D17" s="96" t="n">
        <f aca="false">3.7*C17</f>
        <v>1036</v>
      </c>
      <c r="E17" s="96" t="n">
        <v>2</v>
      </c>
      <c r="F17" s="97" t="n">
        <v>5</v>
      </c>
      <c r="G17" s="98" t="n">
        <v>45</v>
      </c>
      <c r="H17" s="96" t="n">
        <f aca="false">7*G17</f>
        <v>315</v>
      </c>
      <c r="I17" s="96" t="n">
        <v>0</v>
      </c>
      <c r="J17" s="97" t="n">
        <v>3</v>
      </c>
      <c r="K17" s="96" t="n">
        <v>4</v>
      </c>
      <c r="L17" s="119" t="n">
        <v>0.727272727272727</v>
      </c>
      <c r="M17" s="120" t="n">
        <v>0.0979020979020979</v>
      </c>
      <c r="N17" s="120" t="n">
        <v>0.0629370629370629</v>
      </c>
      <c r="O17" s="120" t="n">
        <v>0.020979020979021</v>
      </c>
      <c r="P17" s="120" t="n">
        <v>0.027972027972028</v>
      </c>
      <c r="Q17" s="121" t="n">
        <v>0.0629370629370629</v>
      </c>
      <c r="R17" s="119" t="n">
        <v>0.3</v>
      </c>
      <c r="S17" s="120" t="n">
        <v>0.333333333333333</v>
      </c>
      <c r="T17" s="120" t="n">
        <v>0.166666666666667</v>
      </c>
      <c r="U17" s="120" t="n">
        <v>0.1</v>
      </c>
      <c r="V17" s="120" t="n">
        <v>0.0333333333333333</v>
      </c>
      <c r="W17" s="121" t="n">
        <v>0.0666666666666667</v>
      </c>
      <c r="X17" s="113" t="n">
        <f aca="false">$F17*L17</f>
        <v>3.63636363636364</v>
      </c>
      <c r="Y17" s="114" t="n">
        <f aca="false">$F17*M17</f>
        <v>0.48951048951049</v>
      </c>
      <c r="Z17" s="114" t="n">
        <f aca="false">$F17*N17</f>
        <v>0.314685314685315</v>
      </c>
      <c r="AA17" s="114" t="n">
        <f aca="false">$F17*O17</f>
        <v>0.104895104895105</v>
      </c>
      <c r="AB17" s="114" t="n">
        <f aca="false">$F17*P17</f>
        <v>0.13986013986014</v>
      </c>
      <c r="AC17" s="115" t="n">
        <f aca="false">$F17*Q17</f>
        <v>0.314685314685315</v>
      </c>
      <c r="AD17" s="113" t="n">
        <f aca="false">R17*$J17</f>
        <v>0.9</v>
      </c>
      <c r="AE17" s="114" t="n">
        <f aca="false">S17*$J17</f>
        <v>1</v>
      </c>
      <c r="AF17" s="114" t="n">
        <f aca="false">T17*$J17</f>
        <v>0.5</v>
      </c>
      <c r="AG17" s="114" t="n">
        <f aca="false">U17*$J17</f>
        <v>0.3</v>
      </c>
      <c r="AH17" s="114" t="n">
        <f aca="false">V17*$J17</f>
        <v>0.1</v>
      </c>
      <c r="AI17" s="114" t="n">
        <f aca="false">W17*$J17</f>
        <v>0.2</v>
      </c>
      <c r="AJ17" s="116" t="n">
        <f aca="false">Input!$D$22*RBs!C17+Input!$D$23*RBs!D17+Input!$D$24*RBs!X17+Input!$D$25*RBs!Y17+Input!$D$26*RBs!Z17+Input!$D$27*RBs!AA17+Input!$D$28*RBs!AB17+Input!$D$29*RBs!AC17+Input!$D$30*RBs!E17+Input!$D$31*RBs!G17+Input!$D$32*RBs!H17+Input!$D$33*RBs!AD17+Input!$D$34*RBs!AE17+Input!$D$35*RBs!AF17+Input!$D$36*RBs!AG17+Input!$D$37*RBs!AH17+Input!$D$38*RBs!AI17+Input!$D$39*RBs!I17+Input!$D$40*RBs!K17</f>
        <v>193.481118881119</v>
      </c>
    </row>
    <row r="18" customFormat="false" ht="12.75" hidden="false" customHeight="false" outlineLevel="0" collapsed="false">
      <c r="A18" s="141" t="s">
        <v>248</v>
      </c>
      <c r="B18" s="111" t="s">
        <v>166</v>
      </c>
      <c r="C18" s="98" t="n">
        <v>275</v>
      </c>
      <c r="D18" s="96" t="n">
        <f aca="false">3.8*C18</f>
        <v>1045</v>
      </c>
      <c r="E18" s="96" t="n">
        <v>3</v>
      </c>
      <c r="F18" s="97" t="n">
        <v>10</v>
      </c>
      <c r="G18" s="98" t="n">
        <v>25</v>
      </c>
      <c r="H18" s="96" t="n">
        <f aca="false">6.7*G18</f>
        <v>167.5</v>
      </c>
      <c r="I18" s="96" t="n">
        <v>0</v>
      </c>
      <c r="J18" s="97" t="n">
        <v>1</v>
      </c>
      <c r="K18" s="96" t="n">
        <v>4</v>
      </c>
      <c r="L18" s="119" t="n">
        <v>0.727272727272727</v>
      </c>
      <c r="M18" s="120" t="n">
        <v>0.0979020979020979</v>
      </c>
      <c r="N18" s="120" t="n">
        <v>0.0629370629370629</v>
      </c>
      <c r="O18" s="120" t="n">
        <v>0.020979020979021</v>
      </c>
      <c r="P18" s="120" t="n">
        <v>0.027972027972028</v>
      </c>
      <c r="Q18" s="121" t="n">
        <v>0.0629370629370629</v>
      </c>
      <c r="R18" s="119" t="n">
        <v>0.3</v>
      </c>
      <c r="S18" s="120" t="n">
        <v>0.333333333333333</v>
      </c>
      <c r="T18" s="120" t="n">
        <v>0.166666666666667</v>
      </c>
      <c r="U18" s="120" t="n">
        <v>0.1</v>
      </c>
      <c r="V18" s="120" t="n">
        <v>0.0333333333333333</v>
      </c>
      <c r="W18" s="121" t="n">
        <v>0.0666666666666667</v>
      </c>
      <c r="X18" s="113" t="n">
        <f aca="false">$F18*L18</f>
        <v>7.27272727272727</v>
      </c>
      <c r="Y18" s="114" t="n">
        <f aca="false">$F18*M18</f>
        <v>0.979020979020979</v>
      </c>
      <c r="Z18" s="114" t="n">
        <f aca="false">$F18*N18</f>
        <v>0.629370629370629</v>
      </c>
      <c r="AA18" s="114" t="n">
        <f aca="false">$F18*O18</f>
        <v>0.20979020979021</v>
      </c>
      <c r="AB18" s="114" t="n">
        <f aca="false">$F18*P18</f>
        <v>0.27972027972028</v>
      </c>
      <c r="AC18" s="115" t="n">
        <f aca="false">$F18*Q18</f>
        <v>0.629370629370629</v>
      </c>
      <c r="AD18" s="113" t="n">
        <f aca="false">R18*$J18</f>
        <v>0.3</v>
      </c>
      <c r="AE18" s="114" t="n">
        <f aca="false">S18*$J18</f>
        <v>0.333333333333333</v>
      </c>
      <c r="AF18" s="114" t="n">
        <f aca="false">T18*$J18</f>
        <v>0.166666666666667</v>
      </c>
      <c r="AG18" s="114" t="n">
        <f aca="false">U18*$J18</f>
        <v>0.1</v>
      </c>
      <c r="AH18" s="114" t="n">
        <f aca="false">V18*$J18</f>
        <v>0.0333333333333333</v>
      </c>
      <c r="AI18" s="114" t="n">
        <f aca="false">W18*$J18</f>
        <v>0.0666666666666667</v>
      </c>
      <c r="AJ18" s="116" t="n">
        <f aca="false">Input!$D$22*RBs!C18+Input!$D$23*RBs!D18+Input!$D$24*RBs!X18+Input!$D$25*RBs!Y18+Input!$D$26*RBs!Z18+Input!$D$27*RBs!AA18+Input!$D$28*RBs!AB18+Input!$D$29*RBs!AC18+Input!$D$30*RBs!E18+Input!$D$31*RBs!G18+Input!$D$32*RBs!H18+Input!$D$33*RBs!AD18+Input!$D$34*RBs!AE18+Input!$D$35*RBs!AF18+Input!$D$36*RBs!AG18+Input!$D$37*RBs!AH18+Input!$D$38*RBs!AI18+Input!$D$39*RBs!I18+Input!$D$40*RBs!K18</f>
        <v>201.512237762238</v>
      </c>
    </row>
    <row r="19" customFormat="false" ht="12.75" hidden="false" customHeight="false" outlineLevel="0" collapsed="false">
      <c r="A19" s="141" t="s">
        <v>249</v>
      </c>
      <c r="B19" s="111" t="s">
        <v>182</v>
      </c>
      <c r="C19" s="98" t="n">
        <v>235</v>
      </c>
      <c r="D19" s="96" t="n">
        <f aca="false">3.9*C19</f>
        <v>916.5</v>
      </c>
      <c r="E19" s="96" t="n">
        <v>1</v>
      </c>
      <c r="F19" s="97" t="n">
        <v>8</v>
      </c>
      <c r="G19" s="98" t="n">
        <v>28</v>
      </c>
      <c r="H19" s="96" t="n">
        <f aca="false">7.5*G19</f>
        <v>210</v>
      </c>
      <c r="I19" s="96" t="n">
        <v>0</v>
      </c>
      <c r="J19" s="97" t="n">
        <v>1</v>
      </c>
      <c r="K19" s="96" t="n">
        <v>5</v>
      </c>
      <c r="L19" s="119" t="n">
        <v>0.727272727272727</v>
      </c>
      <c r="M19" s="120" t="n">
        <v>0.0979020979020979</v>
      </c>
      <c r="N19" s="120" t="n">
        <v>0.0629370629370629</v>
      </c>
      <c r="O19" s="120" t="n">
        <v>0.020979020979021</v>
      </c>
      <c r="P19" s="120" t="n">
        <v>0.027972027972028</v>
      </c>
      <c r="Q19" s="121" t="n">
        <v>0.0629370629370629</v>
      </c>
      <c r="R19" s="119" t="n">
        <v>0.3</v>
      </c>
      <c r="S19" s="120" t="n">
        <v>0.333333333333333</v>
      </c>
      <c r="T19" s="120" t="n">
        <v>0.166666666666667</v>
      </c>
      <c r="U19" s="120" t="n">
        <v>0.1</v>
      </c>
      <c r="V19" s="120" t="n">
        <v>0.0333333333333333</v>
      </c>
      <c r="W19" s="121" t="n">
        <v>0.0666666666666667</v>
      </c>
      <c r="X19" s="113" t="n">
        <f aca="false">$F19*L19</f>
        <v>5.81818181818182</v>
      </c>
      <c r="Y19" s="114" t="n">
        <f aca="false">$F19*M19</f>
        <v>0.783216783216783</v>
      </c>
      <c r="Z19" s="114" t="n">
        <f aca="false">$F19*N19</f>
        <v>0.503496503496504</v>
      </c>
      <c r="AA19" s="114" t="n">
        <f aca="false">$F19*O19</f>
        <v>0.167832167832168</v>
      </c>
      <c r="AB19" s="114" t="n">
        <f aca="false">$F19*P19</f>
        <v>0.223776223776224</v>
      </c>
      <c r="AC19" s="115" t="n">
        <f aca="false">$F19*Q19</f>
        <v>0.503496503496504</v>
      </c>
      <c r="AD19" s="113" t="n">
        <f aca="false">R19*$J19</f>
        <v>0.3</v>
      </c>
      <c r="AE19" s="114" t="n">
        <f aca="false">S19*$J19</f>
        <v>0.333333333333333</v>
      </c>
      <c r="AF19" s="114" t="n">
        <f aca="false">T19*$J19</f>
        <v>0.166666666666667</v>
      </c>
      <c r="AG19" s="114" t="n">
        <f aca="false">U19*$J19</f>
        <v>0.1</v>
      </c>
      <c r="AH19" s="114" t="n">
        <f aca="false">V19*$J19</f>
        <v>0.0333333333333333</v>
      </c>
      <c r="AI19" s="114" t="n">
        <f aca="false">W19*$J19</f>
        <v>0.0666666666666667</v>
      </c>
      <c r="AJ19" s="116" t="n">
        <f aca="false">Input!$D$22*RBs!C19+Input!$D$23*RBs!D19+Input!$D$24*RBs!X19+Input!$D$25*RBs!Y19+Input!$D$26*RBs!Z19+Input!$D$27*RBs!AA19+Input!$D$28*RBs!AB19+Input!$D$29*RBs!AC19+Input!$D$30*RBs!E19+Input!$D$31*RBs!G19+Input!$D$32*RBs!H19+Input!$D$33*RBs!AD19+Input!$D$34*RBs!AE19+Input!$D$35*RBs!AF19+Input!$D$36*RBs!AG19+Input!$D$37*RBs!AH19+Input!$D$38*RBs!AI19+Input!$D$39*RBs!I19+Input!$D$40*RBs!K19</f>
        <v>172.35979020979</v>
      </c>
    </row>
    <row r="20" customFormat="false" ht="12.75" hidden="false" customHeight="false" outlineLevel="0" collapsed="false">
      <c r="A20" s="141" t="s">
        <v>250</v>
      </c>
      <c r="B20" s="111" t="s">
        <v>184</v>
      </c>
      <c r="C20" s="98" t="n">
        <v>190</v>
      </c>
      <c r="D20" s="96" t="n">
        <f aca="false">3.78*C20</f>
        <v>718.2</v>
      </c>
      <c r="E20" s="96" t="n">
        <v>2</v>
      </c>
      <c r="F20" s="97" t="n">
        <v>5</v>
      </c>
      <c r="G20" s="98" t="n">
        <v>18</v>
      </c>
      <c r="H20" s="96" t="n">
        <f aca="false">8.5*G20</f>
        <v>153</v>
      </c>
      <c r="I20" s="96" t="n">
        <v>0</v>
      </c>
      <c r="J20" s="97" t="n">
        <v>1</v>
      </c>
      <c r="K20" s="96" t="n">
        <v>3</v>
      </c>
      <c r="L20" s="119" t="n">
        <v>0.727272727272727</v>
      </c>
      <c r="M20" s="120" t="n">
        <v>0.0979020979020979</v>
      </c>
      <c r="N20" s="120" t="n">
        <v>0.0629370629370629</v>
      </c>
      <c r="O20" s="120" t="n">
        <v>0.020979020979021</v>
      </c>
      <c r="P20" s="120" t="n">
        <v>0.027972027972028</v>
      </c>
      <c r="Q20" s="121" t="n">
        <v>0.0629370629370629</v>
      </c>
      <c r="R20" s="119" t="n">
        <v>0.3</v>
      </c>
      <c r="S20" s="120" t="n">
        <v>0.333333333333333</v>
      </c>
      <c r="T20" s="120" t="n">
        <v>0.166666666666667</v>
      </c>
      <c r="U20" s="120" t="n">
        <v>0.1</v>
      </c>
      <c r="V20" s="120" t="n">
        <v>0.0333333333333333</v>
      </c>
      <c r="W20" s="121" t="n">
        <v>0.0666666666666667</v>
      </c>
      <c r="X20" s="113" t="n">
        <f aca="false">$F20*L20</f>
        <v>3.63636363636364</v>
      </c>
      <c r="Y20" s="114" t="n">
        <f aca="false">$F20*M20</f>
        <v>0.48951048951049</v>
      </c>
      <c r="Z20" s="114" t="n">
        <f aca="false">$F20*N20</f>
        <v>0.314685314685315</v>
      </c>
      <c r="AA20" s="114" t="n">
        <f aca="false">$F20*O20</f>
        <v>0.104895104895105</v>
      </c>
      <c r="AB20" s="114" t="n">
        <f aca="false">$F20*P20</f>
        <v>0.13986013986014</v>
      </c>
      <c r="AC20" s="115" t="n">
        <f aca="false">$F20*Q20</f>
        <v>0.314685314685315</v>
      </c>
      <c r="AD20" s="113" t="n">
        <f aca="false">R20*$J20</f>
        <v>0.3</v>
      </c>
      <c r="AE20" s="114" t="n">
        <f aca="false">S20*$J20</f>
        <v>0.333333333333333</v>
      </c>
      <c r="AF20" s="114" t="n">
        <f aca="false">T20*$J20</f>
        <v>0.166666666666667</v>
      </c>
      <c r="AG20" s="114" t="n">
        <f aca="false">U20*$J20</f>
        <v>0.1</v>
      </c>
      <c r="AH20" s="114" t="n">
        <f aca="false">V20*$J20</f>
        <v>0.0333333333333333</v>
      </c>
      <c r="AI20" s="114" t="n">
        <f aca="false">W20*$J20</f>
        <v>0.0666666666666667</v>
      </c>
      <c r="AJ20" s="116" t="n">
        <f aca="false">Input!$D$22*RBs!C20+Input!$D$23*RBs!D20+Input!$D$24*RBs!X20+Input!$D$25*RBs!Y20+Input!$D$26*RBs!Z20+Input!$D$27*RBs!AA20+Input!$D$28*RBs!AB20+Input!$D$29*RBs!AC20+Input!$D$30*RBs!E20+Input!$D$31*RBs!G20+Input!$D$32*RBs!H20+Input!$D$33*RBs!AD20+Input!$D$34*RBs!AE20+Input!$D$35*RBs!AF20+Input!$D$36*RBs!AG20+Input!$D$37*RBs!AH20+Input!$D$38*RBs!AI20+Input!$D$39*RBs!I20+Input!$D$40*RBs!K20</f>
        <v>131.501118881119</v>
      </c>
    </row>
    <row r="21" customFormat="false" ht="12.75" hidden="false" customHeight="false" outlineLevel="0" collapsed="false">
      <c r="A21" s="141" t="s">
        <v>251</v>
      </c>
      <c r="B21" s="111" t="s">
        <v>190</v>
      </c>
      <c r="C21" s="98" t="n">
        <v>290</v>
      </c>
      <c r="D21" s="96" t="n">
        <f aca="false">3.7*C21</f>
        <v>1073</v>
      </c>
      <c r="E21" s="96" t="n">
        <v>2</v>
      </c>
      <c r="F21" s="97" t="n">
        <v>7</v>
      </c>
      <c r="G21" s="98" t="n">
        <v>25</v>
      </c>
      <c r="H21" s="96" t="n">
        <f aca="false">5.5*G21</f>
        <v>137.5</v>
      </c>
      <c r="I21" s="96" t="n">
        <v>0</v>
      </c>
      <c r="J21" s="97" t="n">
        <v>0</v>
      </c>
      <c r="K21" s="96" t="n">
        <v>2</v>
      </c>
      <c r="L21" s="119" t="n">
        <v>0.727272727272727</v>
      </c>
      <c r="M21" s="120" t="n">
        <v>0.0979020979020979</v>
      </c>
      <c r="N21" s="120" t="n">
        <v>0.0629370629370629</v>
      </c>
      <c r="O21" s="120" t="n">
        <v>0.020979020979021</v>
      </c>
      <c r="P21" s="120" t="n">
        <v>0.027972027972028</v>
      </c>
      <c r="Q21" s="121" t="n">
        <v>0.0629370629370629</v>
      </c>
      <c r="R21" s="119" t="n">
        <v>0.3</v>
      </c>
      <c r="S21" s="120" t="n">
        <v>0.333333333333333</v>
      </c>
      <c r="T21" s="120" t="n">
        <v>0.166666666666667</v>
      </c>
      <c r="U21" s="120" t="n">
        <v>0.1</v>
      </c>
      <c r="V21" s="120" t="n">
        <v>0.0333333333333333</v>
      </c>
      <c r="W21" s="121" t="n">
        <v>0.0666666666666667</v>
      </c>
      <c r="X21" s="113" t="n">
        <f aca="false">$F21*L21</f>
        <v>5.09090909090909</v>
      </c>
      <c r="Y21" s="114" t="n">
        <f aca="false">$F21*M21</f>
        <v>0.685314685314685</v>
      </c>
      <c r="Z21" s="114" t="n">
        <f aca="false">$F21*N21</f>
        <v>0.440559440559441</v>
      </c>
      <c r="AA21" s="114" t="n">
        <f aca="false">$F21*O21</f>
        <v>0.146853146853147</v>
      </c>
      <c r="AB21" s="114" t="n">
        <f aca="false">$F21*P21</f>
        <v>0.195804195804196</v>
      </c>
      <c r="AC21" s="115" t="n">
        <f aca="false">$F21*Q21</f>
        <v>0.440559440559441</v>
      </c>
      <c r="AD21" s="113" t="n">
        <f aca="false">R21*$J21</f>
        <v>0</v>
      </c>
      <c r="AE21" s="114" t="n">
        <f aca="false">S21*$J21</f>
        <v>0</v>
      </c>
      <c r="AF21" s="114" t="n">
        <f aca="false">T21*$J21</f>
        <v>0</v>
      </c>
      <c r="AG21" s="114" t="n">
        <f aca="false">U21*$J21</f>
        <v>0</v>
      </c>
      <c r="AH21" s="114" t="n">
        <f aca="false">V21*$J21</f>
        <v>0</v>
      </c>
      <c r="AI21" s="114" t="n">
        <f aca="false">W21*$J21</f>
        <v>0</v>
      </c>
      <c r="AJ21" s="116" t="n">
        <f aca="false">Input!$D$22*RBs!C21+Input!$D$23*RBs!D21+Input!$D$24*RBs!X21+Input!$D$25*RBs!Y21+Input!$D$26*RBs!Z21+Input!$D$27*RBs!AA21+Input!$D$28*RBs!AB21+Input!$D$29*RBs!AC21+Input!$D$30*RBs!E21+Input!$D$31*RBs!G21+Input!$D$32*RBs!H21+Input!$D$33*RBs!AD21+Input!$D$34*RBs!AE21+Input!$D$35*RBs!AF21+Input!$D$36*RBs!AG21+Input!$D$37*RBs!AH21+Input!$D$38*RBs!AI21+Input!$D$39*RBs!I21+Input!$D$40*RBs!K21</f>
        <v>172.483566433566</v>
      </c>
    </row>
    <row r="22" customFormat="false" ht="12.75" hidden="false" customHeight="false" outlineLevel="0" collapsed="false">
      <c r="A22" s="141" t="s">
        <v>252</v>
      </c>
      <c r="B22" s="111" t="s">
        <v>164</v>
      </c>
      <c r="C22" s="98" t="n">
        <v>250</v>
      </c>
      <c r="D22" s="96" t="n">
        <f aca="false">3.8*C22</f>
        <v>950</v>
      </c>
      <c r="E22" s="96" t="n">
        <v>2</v>
      </c>
      <c r="F22" s="97" t="n">
        <v>5</v>
      </c>
      <c r="G22" s="98" t="n">
        <v>35</v>
      </c>
      <c r="H22" s="96" t="n">
        <f aca="false">9*G22</f>
        <v>315</v>
      </c>
      <c r="I22" s="96" t="n">
        <v>0</v>
      </c>
      <c r="J22" s="97" t="n">
        <v>2</v>
      </c>
      <c r="K22" s="96" t="n">
        <v>3</v>
      </c>
      <c r="L22" s="119" t="n">
        <v>0.727272727272727</v>
      </c>
      <c r="M22" s="120" t="n">
        <v>0.0979020979020979</v>
      </c>
      <c r="N22" s="120" t="n">
        <v>0.0629370629370629</v>
      </c>
      <c r="O22" s="120" t="n">
        <v>0.020979020979021</v>
      </c>
      <c r="P22" s="120" t="n">
        <v>0.027972027972028</v>
      </c>
      <c r="Q22" s="121" t="n">
        <v>0.0629370629370629</v>
      </c>
      <c r="R22" s="119" t="n">
        <v>0.3</v>
      </c>
      <c r="S22" s="120" t="n">
        <v>0.333333333333333</v>
      </c>
      <c r="T22" s="120" t="n">
        <v>0.166666666666667</v>
      </c>
      <c r="U22" s="120" t="n">
        <v>0.1</v>
      </c>
      <c r="V22" s="120" t="n">
        <v>0.0333333333333333</v>
      </c>
      <c r="W22" s="121" t="n">
        <v>0.0666666666666667</v>
      </c>
      <c r="X22" s="113" t="n">
        <f aca="false">$F22*L22</f>
        <v>3.63636363636364</v>
      </c>
      <c r="Y22" s="114" t="n">
        <f aca="false">$F22*M22</f>
        <v>0.48951048951049</v>
      </c>
      <c r="Z22" s="114" t="n">
        <f aca="false">$F22*N22</f>
        <v>0.314685314685315</v>
      </c>
      <c r="AA22" s="114" t="n">
        <f aca="false">$F22*O22</f>
        <v>0.104895104895105</v>
      </c>
      <c r="AB22" s="114" t="n">
        <f aca="false">$F22*P22</f>
        <v>0.13986013986014</v>
      </c>
      <c r="AC22" s="115" t="n">
        <f aca="false">$F22*Q22</f>
        <v>0.314685314685315</v>
      </c>
      <c r="AD22" s="113" t="n">
        <f aca="false">R22*$J22</f>
        <v>0.6</v>
      </c>
      <c r="AE22" s="114" t="n">
        <f aca="false">S22*$J22</f>
        <v>0.666666666666667</v>
      </c>
      <c r="AF22" s="114" t="n">
        <f aca="false">T22*$J22</f>
        <v>0.333333333333333</v>
      </c>
      <c r="AG22" s="114" t="n">
        <f aca="false">U22*$J22</f>
        <v>0.2</v>
      </c>
      <c r="AH22" s="114" t="n">
        <f aca="false">V22*$J22</f>
        <v>0.0666666666666667</v>
      </c>
      <c r="AI22" s="114" t="n">
        <f aca="false">W22*$J22</f>
        <v>0.133333333333333</v>
      </c>
      <c r="AJ22" s="116" t="n">
        <f aca="false">Input!$D$22*RBs!C22+Input!$D$23*RBs!D22+Input!$D$24*RBs!X22+Input!$D$25*RBs!Y22+Input!$D$26*RBs!Z22+Input!$D$27*RBs!AA22+Input!$D$28*RBs!AB22+Input!$D$29*RBs!AC22+Input!$D$30*RBs!E22+Input!$D$31*RBs!G22+Input!$D$32*RBs!H22+Input!$D$33*RBs!AD22+Input!$D$34*RBs!AE22+Input!$D$35*RBs!AF22+Input!$D$36*RBs!AG22+Input!$D$37*RBs!AH22+Input!$D$38*RBs!AI22+Input!$D$39*RBs!I22+Input!$D$40*RBs!K22</f>
        <v>178.381118881119</v>
      </c>
    </row>
    <row r="23" customFormat="false" ht="12.75" hidden="false" customHeight="false" outlineLevel="0" collapsed="false">
      <c r="A23" s="141" t="s">
        <v>253</v>
      </c>
      <c r="B23" s="111" t="s">
        <v>186</v>
      </c>
      <c r="C23" s="98" t="n">
        <v>240</v>
      </c>
      <c r="D23" s="96" t="n">
        <f aca="false">3.9*C23</f>
        <v>936</v>
      </c>
      <c r="E23" s="96" t="n">
        <v>2</v>
      </c>
      <c r="F23" s="97" t="n">
        <v>7</v>
      </c>
      <c r="G23" s="98" t="n">
        <v>20</v>
      </c>
      <c r="H23" s="96" t="n">
        <f aca="false">10*G23</f>
        <v>200</v>
      </c>
      <c r="I23" s="96" t="n">
        <v>0</v>
      </c>
      <c r="J23" s="97" t="n">
        <v>1</v>
      </c>
      <c r="K23" s="96" t="n">
        <v>2</v>
      </c>
      <c r="L23" s="119" t="n">
        <v>0.727272727272727</v>
      </c>
      <c r="M23" s="120" t="n">
        <v>0.0979020979020979</v>
      </c>
      <c r="N23" s="120" t="n">
        <v>0.0629370629370629</v>
      </c>
      <c r="O23" s="120" t="n">
        <v>0.020979020979021</v>
      </c>
      <c r="P23" s="120" t="n">
        <v>0.027972027972028</v>
      </c>
      <c r="Q23" s="121" t="n">
        <v>0.0629370629370629</v>
      </c>
      <c r="R23" s="119" t="n">
        <v>0.3</v>
      </c>
      <c r="S23" s="120" t="n">
        <v>0.333333333333333</v>
      </c>
      <c r="T23" s="120" t="n">
        <v>0.166666666666667</v>
      </c>
      <c r="U23" s="120" t="n">
        <v>0.1</v>
      </c>
      <c r="V23" s="120" t="n">
        <v>0.0333333333333333</v>
      </c>
      <c r="W23" s="121" t="n">
        <v>0.0666666666666667</v>
      </c>
      <c r="X23" s="113" t="n">
        <f aca="false">$F23*L23</f>
        <v>5.09090909090909</v>
      </c>
      <c r="Y23" s="114" t="n">
        <f aca="false">$F23*M23</f>
        <v>0.685314685314685</v>
      </c>
      <c r="Z23" s="114" t="n">
        <f aca="false">$F23*N23</f>
        <v>0.440559440559441</v>
      </c>
      <c r="AA23" s="114" t="n">
        <f aca="false">$F23*O23</f>
        <v>0.146853146853147</v>
      </c>
      <c r="AB23" s="114" t="n">
        <f aca="false">$F23*P23</f>
        <v>0.195804195804196</v>
      </c>
      <c r="AC23" s="115" t="n">
        <f aca="false">$F23*Q23</f>
        <v>0.440559440559441</v>
      </c>
      <c r="AD23" s="113" t="n">
        <f aca="false">R23*$J23</f>
        <v>0.3</v>
      </c>
      <c r="AE23" s="114" t="n">
        <f aca="false">S23*$J23</f>
        <v>0.333333333333333</v>
      </c>
      <c r="AF23" s="114" t="n">
        <f aca="false">T23*$J23</f>
        <v>0.166666666666667</v>
      </c>
      <c r="AG23" s="114" t="n">
        <f aca="false">U23*$J23</f>
        <v>0.1</v>
      </c>
      <c r="AH23" s="114" t="n">
        <f aca="false">V23*$J23</f>
        <v>0.0333333333333333</v>
      </c>
      <c r="AI23" s="114" t="n">
        <f aca="false">W23*$J23</f>
        <v>0.0666666666666667</v>
      </c>
      <c r="AJ23" s="116" t="n">
        <f aca="false">Input!$D$22*RBs!C23+Input!$D$23*RBs!D23+Input!$D$24*RBs!X23+Input!$D$25*RBs!Y23+Input!$D$26*RBs!Z23+Input!$D$27*RBs!AA23+Input!$D$28*RBs!AB23+Input!$D$29*RBs!AC23+Input!$D$30*RBs!E23+Input!$D$31*RBs!G23+Input!$D$32*RBs!H23+Input!$D$33*RBs!AD23+Input!$D$34*RBs!AE23+Input!$D$35*RBs!AF23+Input!$D$36*RBs!AG23+Input!$D$37*RBs!AH23+Input!$D$38*RBs!AI23+Input!$D$39*RBs!I23+Input!$D$40*RBs!K23</f>
        <v>172.533566433566</v>
      </c>
    </row>
    <row r="24" customFormat="false" ht="12.75" hidden="false" customHeight="false" outlineLevel="0" collapsed="false">
      <c r="A24" s="141" t="s">
        <v>254</v>
      </c>
      <c r="B24" s="111" t="s">
        <v>158</v>
      </c>
      <c r="C24" s="98" t="n">
        <v>260</v>
      </c>
      <c r="D24" s="96" t="n">
        <f aca="false">3.6*C24</f>
        <v>936</v>
      </c>
      <c r="E24" s="96" t="n">
        <v>2</v>
      </c>
      <c r="F24" s="97" t="n">
        <v>7</v>
      </c>
      <c r="G24" s="98" t="n">
        <v>20</v>
      </c>
      <c r="H24" s="96" t="n">
        <f aca="false">6.3*G24</f>
        <v>126</v>
      </c>
      <c r="I24" s="96" t="n">
        <v>0</v>
      </c>
      <c r="J24" s="97" t="n">
        <v>1</v>
      </c>
      <c r="K24" s="96" t="n">
        <v>2</v>
      </c>
      <c r="L24" s="119" t="n">
        <v>0.727272727272727</v>
      </c>
      <c r="M24" s="120" t="n">
        <v>0.0979020979020979</v>
      </c>
      <c r="N24" s="120" t="n">
        <v>0.0629370629370629</v>
      </c>
      <c r="O24" s="120" t="n">
        <v>0.020979020979021</v>
      </c>
      <c r="P24" s="120" t="n">
        <v>0.027972027972028</v>
      </c>
      <c r="Q24" s="121" t="n">
        <v>0.0629370629370629</v>
      </c>
      <c r="R24" s="119" t="n">
        <v>0.3</v>
      </c>
      <c r="S24" s="120" t="n">
        <v>0.333333333333333</v>
      </c>
      <c r="T24" s="120" t="n">
        <v>0.166666666666667</v>
      </c>
      <c r="U24" s="120" t="n">
        <v>0.1</v>
      </c>
      <c r="V24" s="120" t="n">
        <v>0.0333333333333333</v>
      </c>
      <c r="W24" s="121" t="n">
        <v>0.0666666666666667</v>
      </c>
      <c r="X24" s="113" t="n">
        <f aca="false">$F24*L24</f>
        <v>5.09090909090909</v>
      </c>
      <c r="Y24" s="114" t="n">
        <f aca="false">$F24*M24</f>
        <v>0.685314685314685</v>
      </c>
      <c r="Z24" s="114" t="n">
        <f aca="false">$F24*N24</f>
        <v>0.440559440559441</v>
      </c>
      <c r="AA24" s="114" t="n">
        <f aca="false">$F24*O24</f>
        <v>0.146853146853147</v>
      </c>
      <c r="AB24" s="114" t="n">
        <f aca="false">$F24*P24</f>
        <v>0.195804195804196</v>
      </c>
      <c r="AC24" s="115" t="n">
        <f aca="false">$F24*Q24</f>
        <v>0.440559440559441</v>
      </c>
      <c r="AD24" s="113" t="n">
        <f aca="false">R24*$J24</f>
        <v>0.3</v>
      </c>
      <c r="AE24" s="114" t="n">
        <f aca="false">S24*$J24</f>
        <v>0.333333333333333</v>
      </c>
      <c r="AF24" s="114" t="n">
        <f aca="false">T24*$J24</f>
        <v>0.166666666666667</v>
      </c>
      <c r="AG24" s="114" t="n">
        <f aca="false">U24*$J24</f>
        <v>0.1</v>
      </c>
      <c r="AH24" s="114" t="n">
        <f aca="false">V24*$J24</f>
        <v>0.0333333333333333</v>
      </c>
      <c r="AI24" s="114" t="n">
        <f aca="false">W24*$J24</f>
        <v>0.0666666666666667</v>
      </c>
      <c r="AJ24" s="116" t="n">
        <f aca="false">Input!$D$22*RBs!C24+Input!$D$23*RBs!D24+Input!$D$24*RBs!X24+Input!$D$25*RBs!Y24+Input!$D$26*RBs!Z24+Input!$D$27*RBs!AA24+Input!$D$28*RBs!AB24+Input!$D$29*RBs!AC24+Input!$D$30*RBs!E24+Input!$D$31*RBs!G24+Input!$D$32*RBs!H24+Input!$D$33*RBs!AD24+Input!$D$34*RBs!AE24+Input!$D$35*RBs!AF24+Input!$D$36*RBs!AG24+Input!$D$37*RBs!AH24+Input!$D$38*RBs!AI24+Input!$D$39*RBs!I24+Input!$D$40*RBs!K24</f>
        <v>165.133566433566</v>
      </c>
    </row>
    <row r="25" customFormat="false" ht="12.75" hidden="false" customHeight="false" outlineLevel="0" collapsed="false">
      <c r="A25" s="141" t="s">
        <v>255</v>
      </c>
      <c r="B25" s="111" t="s">
        <v>146</v>
      </c>
      <c r="C25" s="98" t="n">
        <v>240</v>
      </c>
      <c r="D25" s="96" t="n">
        <f aca="false">3.9*C25</f>
        <v>936</v>
      </c>
      <c r="E25" s="96" t="n">
        <v>2</v>
      </c>
      <c r="F25" s="97" t="n">
        <v>6</v>
      </c>
      <c r="G25" s="98" t="n">
        <v>20</v>
      </c>
      <c r="H25" s="96" t="n">
        <f aca="false">8.5*G25</f>
        <v>170</v>
      </c>
      <c r="I25" s="96" t="n">
        <v>0</v>
      </c>
      <c r="J25" s="97" t="n">
        <v>1</v>
      </c>
      <c r="K25" s="96" t="n">
        <v>3</v>
      </c>
      <c r="L25" s="119" t="n">
        <v>0.727272727272727</v>
      </c>
      <c r="M25" s="120" t="n">
        <v>0.0979020979020979</v>
      </c>
      <c r="N25" s="120" t="n">
        <v>0.0629370629370629</v>
      </c>
      <c r="O25" s="120" t="n">
        <v>0.020979020979021</v>
      </c>
      <c r="P25" s="120" t="n">
        <v>0.027972027972028</v>
      </c>
      <c r="Q25" s="121" t="n">
        <v>0.0629370629370629</v>
      </c>
      <c r="R25" s="119" t="n">
        <v>0.3</v>
      </c>
      <c r="S25" s="120" t="n">
        <v>0.333333333333333</v>
      </c>
      <c r="T25" s="120" t="n">
        <v>0.166666666666667</v>
      </c>
      <c r="U25" s="120" t="n">
        <v>0.1</v>
      </c>
      <c r="V25" s="120" t="n">
        <v>0.0333333333333333</v>
      </c>
      <c r="W25" s="121" t="n">
        <v>0.0666666666666667</v>
      </c>
      <c r="X25" s="113" t="n">
        <f aca="false">$F25*L25</f>
        <v>4.36363636363636</v>
      </c>
      <c r="Y25" s="114" t="n">
        <f aca="false">$F25*M25</f>
        <v>0.587412587412587</v>
      </c>
      <c r="Z25" s="114" t="n">
        <f aca="false">$F25*N25</f>
        <v>0.377622377622378</v>
      </c>
      <c r="AA25" s="114" t="n">
        <f aca="false">$F25*O25</f>
        <v>0.125874125874126</v>
      </c>
      <c r="AB25" s="114" t="n">
        <f aca="false">$F25*P25</f>
        <v>0.167832167832168</v>
      </c>
      <c r="AC25" s="115" t="n">
        <f aca="false">$F25*Q25</f>
        <v>0.377622377622378</v>
      </c>
      <c r="AD25" s="113" t="n">
        <f aca="false">R25*$J25</f>
        <v>0.3</v>
      </c>
      <c r="AE25" s="114" t="n">
        <f aca="false">S25*$J25</f>
        <v>0.333333333333333</v>
      </c>
      <c r="AF25" s="114" t="n">
        <f aca="false">T25*$J25</f>
        <v>0.166666666666667</v>
      </c>
      <c r="AG25" s="114" t="n">
        <f aca="false">U25*$J25</f>
        <v>0.1</v>
      </c>
      <c r="AH25" s="114" t="n">
        <f aca="false">V25*$J25</f>
        <v>0.0333333333333333</v>
      </c>
      <c r="AI25" s="114" t="n">
        <f aca="false">W25*$J25</f>
        <v>0.0666666666666667</v>
      </c>
      <c r="AJ25" s="116" t="n">
        <f aca="false">Input!$D$22*RBs!C25+Input!$D$23*RBs!D25+Input!$D$24*RBs!X25+Input!$D$25*RBs!Y25+Input!$D$26*RBs!Z25+Input!$D$27*RBs!AA25+Input!$D$28*RBs!AB25+Input!$D$29*RBs!AC25+Input!$D$30*RBs!E25+Input!$D$31*RBs!G25+Input!$D$32*RBs!H25+Input!$D$33*RBs!AD25+Input!$D$34*RBs!AE25+Input!$D$35*RBs!AF25+Input!$D$36*RBs!AG25+Input!$D$37*RBs!AH25+Input!$D$38*RBs!AI25+Input!$D$39*RBs!I25+Input!$D$40*RBs!K25</f>
        <v>161.757342657343</v>
      </c>
    </row>
    <row r="26" customFormat="false" ht="12.75" hidden="false" customHeight="false" outlineLevel="0" collapsed="false">
      <c r="A26" s="141" t="s">
        <v>256</v>
      </c>
      <c r="B26" s="111" t="s">
        <v>182</v>
      </c>
      <c r="C26" s="98" t="n">
        <v>190</v>
      </c>
      <c r="D26" s="96" t="n">
        <f aca="false">3.8*C26</f>
        <v>722</v>
      </c>
      <c r="E26" s="96" t="n">
        <v>1</v>
      </c>
      <c r="F26" s="97" t="n">
        <v>2</v>
      </c>
      <c r="G26" s="98" t="n">
        <v>60</v>
      </c>
      <c r="H26" s="96" t="n">
        <f aca="false">8.2*G26</f>
        <v>492</v>
      </c>
      <c r="I26" s="96" t="n">
        <v>1</v>
      </c>
      <c r="J26" s="97" t="n">
        <v>2</v>
      </c>
      <c r="K26" s="96" t="n">
        <v>2</v>
      </c>
      <c r="L26" s="119" t="n">
        <v>0.727272727272727</v>
      </c>
      <c r="M26" s="120" t="n">
        <v>0.0979020979020979</v>
      </c>
      <c r="N26" s="120" t="n">
        <v>0.0629370629370629</v>
      </c>
      <c r="O26" s="120" t="n">
        <v>0.020979020979021</v>
      </c>
      <c r="P26" s="120" t="n">
        <v>0.027972027972028</v>
      </c>
      <c r="Q26" s="121" t="n">
        <v>0.0629370629370629</v>
      </c>
      <c r="R26" s="119" t="n">
        <v>0.3</v>
      </c>
      <c r="S26" s="120" t="n">
        <v>0.333333333333333</v>
      </c>
      <c r="T26" s="120" t="n">
        <v>0.166666666666667</v>
      </c>
      <c r="U26" s="120" t="n">
        <v>0.1</v>
      </c>
      <c r="V26" s="120" t="n">
        <v>0.0333333333333333</v>
      </c>
      <c r="W26" s="121" t="n">
        <v>0.0666666666666667</v>
      </c>
      <c r="X26" s="113" t="n">
        <f aca="false">$F26*L26</f>
        <v>1.45454545454545</v>
      </c>
      <c r="Y26" s="114" t="n">
        <f aca="false">$F26*M26</f>
        <v>0.195804195804196</v>
      </c>
      <c r="Z26" s="114" t="n">
        <f aca="false">$F26*N26</f>
        <v>0.125874125874126</v>
      </c>
      <c r="AA26" s="114" t="n">
        <f aca="false">$F26*O26</f>
        <v>0.041958041958042</v>
      </c>
      <c r="AB26" s="114" t="n">
        <f aca="false">$F26*P26</f>
        <v>0.0559440559440559</v>
      </c>
      <c r="AC26" s="115" t="n">
        <f aca="false">$F26*Q26</f>
        <v>0.125874125874126</v>
      </c>
      <c r="AD26" s="113" t="n">
        <f aca="false">R26*$J26</f>
        <v>0.6</v>
      </c>
      <c r="AE26" s="114" t="n">
        <f aca="false">S26*$J26</f>
        <v>0.666666666666667</v>
      </c>
      <c r="AF26" s="114" t="n">
        <f aca="false">T26*$J26</f>
        <v>0.333333333333333</v>
      </c>
      <c r="AG26" s="114" t="n">
        <f aca="false">U26*$J26</f>
        <v>0.2</v>
      </c>
      <c r="AH26" s="114" t="n">
        <f aca="false">V26*$J26</f>
        <v>0.0666666666666667</v>
      </c>
      <c r="AI26" s="114" t="n">
        <f aca="false">W26*$J26</f>
        <v>0.133333333333333</v>
      </c>
      <c r="AJ26" s="116" t="n">
        <f aca="false">Input!$D$22*RBs!C26+Input!$D$23*RBs!D26+Input!$D$24*RBs!X26+Input!$D$25*RBs!Y26+Input!$D$26*RBs!Z26+Input!$D$27*RBs!AA26+Input!$D$28*RBs!AB26+Input!$D$29*RBs!AC26+Input!$D$30*RBs!E26+Input!$D$31*RBs!G26+Input!$D$32*RBs!H26+Input!$D$33*RBs!AD26+Input!$D$34*RBs!AE26+Input!$D$35*RBs!AF26+Input!$D$36*RBs!AG26+Input!$D$37*RBs!AH26+Input!$D$38*RBs!AI26+Input!$D$39*RBs!I26+Input!$D$40*RBs!K26</f>
        <v>153.952447552448</v>
      </c>
    </row>
    <row r="27" customFormat="false" ht="12.75" hidden="false" customHeight="false" outlineLevel="0" collapsed="false">
      <c r="A27" s="141" t="s">
        <v>257</v>
      </c>
      <c r="B27" s="111" t="s">
        <v>156</v>
      </c>
      <c r="C27" s="98" t="n">
        <v>230</v>
      </c>
      <c r="D27" s="96" t="n">
        <f aca="false">4.4*C27</f>
        <v>1012</v>
      </c>
      <c r="E27" s="96" t="n">
        <v>2</v>
      </c>
      <c r="F27" s="97" t="n">
        <v>4</v>
      </c>
      <c r="G27" s="98" t="n">
        <v>28</v>
      </c>
      <c r="H27" s="96" t="n">
        <f aca="false">10*G27</f>
        <v>280</v>
      </c>
      <c r="I27" s="96" t="n">
        <v>0</v>
      </c>
      <c r="J27" s="97" t="n">
        <v>1</v>
      </c>
      <c r="K27" s="96" t="n">
        <v>2</v>
      </c>
      <c r="L27" s="119" t="n">
        <v>0.727272727272727</v>
      </c>
      <c r="M27" s="120" t="n">
        <v>0.0979020979020979</v>
      </c>
      <c r="N27" s="120" t="n">
        <v>0.0629370629370629</v>
      </c>
      <c r="O27" s="120" t="n">
        <v>0.020979020979021</v>
      </c>
      <c r="P27" s="120" t="n">
        <v>0.027972027972028</v>
      </c>
      <c r="Q27" s="121" t="n">
        <v>0.0629370629370629</v>
      </c>
      <c r="R27" s="119" t="n">
        <v>0.3</v>
      </c>
      <c r="S27" s="120" t="n">
        <v>0.333333333333333</v>
      </c>
      <c r="T27" s="120" t="n">
        <v>0.166666666666667</v>
      </c>
      <c r="U27" s="120" t="n">
        <v>0.1</v>
      </c>
      <c r="V27" s="120" t="n">
        <v>0.0333333333333333</v>
      </c>
      <c r="W27" s="121" t="n">
        <v>0.0666666666666667</v>
      </c>
      <c r="X27" s="113" t="n">
        <f aca="false">$F27*L27</f>
        <v>2.90909090909091</v>
      </c>
      <c r="Y27" s="114" t="n">
        <f aca="false">$F27*M27</f>
        <v>0.391608391608392</v>
      </c>
      <c r="Z27" s="114" t="n">
        <f aca="false">$F27*N27</f>
        <v>0.251748251748252</v>
      </c>
      <c r="AA27" s="114" t="n">
        <f aca="false">$F27*O27</f>
        <v>0.0839160839160839</v>
      </c>
      <c r="AB27" s="114" t="n">
        <f aca="false">$F27*P27</f>
        <v>0.111888111888112</v>
      </c>
      <c r="AC27" s="115" t="n">
        <f aca="false">$F27*Q27</f>
        <v>0.251748251748252</v>
      </c>
      <c r="AD27" s="113" t="n">
        <f aca="false">R27*$J27</f>
        <v>0.3</v>
      </c>
      <c r="AE27" s="114" t="n">
        <f aca="false">S27*$J27</f>
        <v>0.333333333333333</v>
      </c>
      <c r="AF27" s="114" t="n">
        <f aca="false">T27*$J27</f>
        <v>0.166666666666667</v>
      </c>
      <c r="AG27" s="114" t="n">
        <f aca="false">U27*$J27</f>
        <v>0.1</v>
      </c>
      <c r="AH27" s="114" t="n">
        <f aca="false">V27*$J27</f>
        <v>0.0333333333333333</v>
      </c>
      <c r="AI27" s="114" t="n">
        <f aca="false">W27*$J27</f>
        <v>0.0666666666666667</v>
      </c>
      <c r="AJ27" s="116" t="n">
        <f aca="false">Input!$D$22*RBs!C27+Input!$D$23*RBs!D27+Input!$D$24*RBs!X27+Input!$D$25*RBs!Y27+Input!$D$26*RBs!Z27+Input!$D$27*RBs!AA27+Input!$D$28*RBs!AB27+Input!$D$29*RBs!AC27+Input!$D$30*RBs!E27+Input!$D$31*RBs!G27+Input!$D$32*RBs!H27+Input!$D$33*RBs!AD27+Input!$D$34*RBs!AE27+Input!$D$35*RBs!AF27+Input!$D$36*RBs!AG27+Input!$D$37*RBs!AH27+Input!$D$38*RBs!AI27+Input!$D$39*RBs!I27+Input!$D$40*RBs!K27</f>
        <v>167.804895104895</v>
      </c>
    </row>
    <row r="28" customFormat="false" ht="12.75" hidden="false" customHeight="false" outlineLevel="0" collapsed="false">
      <c r="A28" s="141" t="s">
        <v>258</v>
      </c>
      <c r="B28" s="111" t="s">
        <v>194</v>
      </c>
      <c r="C28" s="98" t="n">
        <v>250</v>
      </c>
      <c r="D28" s="96" t="n">
        <f aca="false">3.7*C28</f>
        <v>925</v>
      </c>
      <c r="E28" s="96" t="n">
        <v>1</v>
      </c>
      <c r="F28" s="97" t="n">
        <v>6</v>
      </c>
      <c r="G28" s="98" t="n">
        <v>25</v>
      </c>
      <c r="H28" s="96" t="n">
        <f aca="false">6*G28</f>
        <v>150</v>
      </c>
      <c r="I28" s="96" t="n">
        <v>0</v>
      </c>
      <c r="J28" s="97" t="n">
        <v>0</v>
      </c>
      <c r="K28" s="96" t="n">
        <v>2</v>
      </c>
      <c r="L28" s="119" t="n">
        <v>0.727272727272727</v>
      </c>
      <c r="M28" s="120" t="n">
        <v>0.0979020979020979</v>
      </c>
      <c r="N28" s="120" t="n">
        <v>0.0629370629370629</v>
      </c>
      <c r="O28" s="120" t="n">
        <v>0.020979020979021</v>
      </c>
      <c r="P28" s="120" t="n">
        <v>0.027972027972028</v>
      </c>
      <c r="Q28" s="121" t="n">
        <v>0.0629370629370629</v>
      </c>
      <c r="R28" s="119" t="n">
        <v>0.3</v>
      </c>
      <c r="S28" s="120" t="n">
        <v>0.333333333333333</v>
      </c>
      <c r="T28" s="120" t="n">
        <v>0.166666666666667</v>
      </c>
      <c r="U28" s="120" t="n">
        <v>0.1</v>
      </c>
      <c r="V28" s="120" t="n">
        <v>0.0333333333333333</v>
      </c>
      <c r="W28" s="121" t="n">
        <v>0.0666666666666667</v>
      </c>
      <c r="X28" s="113" t="n">
        <f aca="false">$F28*L28</f>
        <v>4.36363636363636</v>
      </c>
      <c r="Y28" s="114" t="n">
        <f aca="false">$F28*M28</f>
        <v>0.587412587412587</v>
      </c>
      <c r="Z28" s="114" t="n">
        <f aca="false">$F28*N28</f>
        <v>0.377622377622378</v>
      </c>
      <c r="AA28" s="114" t="n">
        <f aca="false">$F28*O28</f>
        <v>0.125874125874126</v>
      </c>
      <c r="AB28" s="114" t="n">
        <f aca="false">$F28*P28</f>
        <v>0.167832167832168</v>
      </c>
      <c r="AC28" s="115" t="n">
        <f aca="false">$F28*Q28</f>
        <v>0.377622377622378</v>
      </c>
      <c r="AD28" s="113" t="n">
        <f aca="false">R28*$J28</f>
        <v>0</v>
      </c>
      <c r="AE28" s="114" t="n">
        <f aca="false">S28*$J28</f>
        <v>0</v>
      </c>
      <c r="AF28" s="114" t="n">
        <f aca="false">T28*$J28</f>
        <v>0</v>
      </c>
      <c r="AG28" s="114" t="n">
        <f aca="false">U28*$J28</f>
        <v>0</v>
      </c>
      <c r="AH28" s="114" t="n">
        <f aca="false">V28*$J28</f>
        <v>0</v>
      </c>
      <c r="AI28" s="114" t="n">
        <f aca="false">W28*$J28</f>
        <v>0</v>
      </c>
      <c r="AJ28" s="116" t="n">
        <f aca="false">Input!$D$22*RBs!C28+Input!$D$23*RBs!D28+Input!$D$24*RBs!X28+Input!$D$25*RBs!Y28+Input!$D$26*RBs!Z28+Input!$D$27*RBs!AA28+Input!$D$28*RBs!AB28+Input!$D$29*RBs!AC28+Input!$D$30*RBs!E28+Input!$D$31*RBs!G28+Input!$D$32*RBs!H28+Input!$D$33*RBs!AD28+Input!$D$34*RBs!AE28+Input!$D$35*RBs!AF28+Input!$D$36*RBs!AG28+Input!$D$37*RBs!AH28+Input!$D$38*RBs!AI28+Input!$D$39*RBs!I28+Input!$D$40*RBs!K28</f>
        <v>149.157342657343</v>
      </c>
    </row>
    <row r="29" customFormat="false" ht="12.75" hidden="false" customHeight="false" outlineLevel="0" collapsed="false">
      <c r="A29" s="141" t="s">
        <v>259</v>
      </c>
      <c r="B29" s="111" t="s">
        <v>196</v>
      </c>
      <c r="C29" s="98" t="n">
        <v>230</v>
      </c>
      <c r="D29" s="96" t="n">
        <f aca="false">3.7*C29</f>
        <v>851</v>
      </c>
      <c r="E29" s="96" t="n">
        <v>2</v>
      </c>
      <c r="F29" s="97" t="n">
        <v>6</v>
      </c>
      <c r="G29" s="98" t="n">
        <v>5</v>
      </c>
      <c r="H29" s="96" t="n">
        <f aca="false">6.5*G29</f>
        <v>32.5</v>
      </c>
      <c r="I29" s="96" t="n">
        <v>0</v>
      </c>
      <c r="J29" s="97" t="n">
        <v>0</v>
      </c>
      <c r="K29" s="96" t="n">
        <v>2</v>
      </c>
      <c r="L29" s="119" t="n">
        <v>0.727272727272727</v>
      </c>
      <c r="M29" s="120" t="n">
        <v>0.0979020979020979</v>
      </c>
      <c r="N29" s="120" t="n">
        <v>0.0629370629370629</v>
      </c>
      <c r="O29" s="120" t="n">
        <v>0.020979020979021</v>
      </c>
      <c r="P29" s="120" t="n">
        <v>0.027972027972028</v>
      </c>
      <c r="Q29" s="121" t="n">
        <v>0.0629370629370629</v>
      </c>
      <c r="R29" s="119" t="n">
        <v>0.3</v>
      </c>
      <c r="S29" s="120" t="n">
        <v>0.333333333333333</v>
      </c>
      <c r="T29" s="120" t="n">
        <v>0.166666666666667</v>
      </c>
      <c r="U29" s="120" t="n">
        <v>0.1</v>
      </c>
      <c r="V29" s="120" t="n">
        <v>0.0333333333333333</v>
      </c>
      <c r="W29" s="121" t="n">
        <v>0.0666666666666667</v>
      </c>
      <c r="X29" s="113" t="n">
        <f aca="false">$F29*L29</f>
        <v>4.36363636363636</v>
      </c>
      <c r="Y29" s="114" t="n">
        <f aca="false">$F29*M29</f>
        <v>0.587412587412587</v>
      </c>
      <c r="Z29" s="114" t="n">
        <f aca="false">$F29*N29</f>
        <v>0.377622377622378</v>
      </c>
      <c r="AA29" s="114" t="n">
        <f aca="false">$F29*O29</f>
        <v>0.125874125874126</v>
      </c>
      <c r="AB29" s="114" t="n">
        <f aca="false">$F29*P29</f>
        <v>0.167832167832168</v>
      </c>
      <c r="AC29" s="115" t="n">
        <f aca="false">$F29*Q29</f>
        <v>0.377622377622378</v>
      </c>
      <c r="AD29" s="113" t="n">
        <f aca="false">R29*$J29</f>
        <v>0</v>
      </c>
      <c r="AE29" s="114" t="n">
        <f aca="false">S29*$J29</f>
        <v>0</v>
      </c>
      <c r="AF29" s="114" t="n">
        <f aca="false">T29*$J29</f>
        <v>0</v>
      </c>
      <c r="AG29" s="114" t="n">
        <f aca="false">U29*$J29</f>
        <v>0</v>
      </c>
      <c r="AH29" s="114" t="n">
        <f aca="false">V29*$J29</f>
        <v>0</v>
      </c>
      <c r="AI29" s="114" t="n">
        <f aca="false">W29*$J29</f>
        <v>0</v>
      </c>
      <c r="AJ29" s="116" t="n">
        <f aca="false">Input!$D$22*RBs!C29+Input!$D$23*RBs!D29+Input!$D$24*RBs!X29+Input!$D$25*RBs!Y29+Input!$D$26*RBs!Z29+Input!$D$27*RBs!AA29+Input!$D$28*RBs!AB29+Input!$D$29*RBs!AC29+Input!$D$30*RBs!E29+Input!$D$31*RBs!G29+Input!$D$32*RBs!H29+Input!$D$33*RBs!AD29+Input!$D$34*RBs!AE29+Input!$D$35*RBs!AF29+Input!$D$36*RBs!AG29+Input!$D$37*RBs!AH29+Input!$D$38*RBs!AI29+Input!$D$39*RBs!I29+Input!$D$40*RBs!K29</f>
        <v>133.007342657343</v>
      </c>
    </row>
    <row r="30" customFormat="false" ht="12.75" hidden="false" customHeight="false" outlineLevel="0" collapsed="false">
      <c r="A30" s="141" t="s">
        <v>260</v>
      </c>
      <c r="B30" s="111" t="s">
        <v>174</v>
      </c>
      <c r="C30" s="98" t="n">
        <v>150</v>
      </c>
      <c r="D30" s="96" t="n">
        <f aca="false">3.6*C30</f>
        <v>540</v>
      </c>
      <c r="E30" s="96" t="n">
        <v>1</v>
      </c>
      <c r="F30" s="97" t="n">
        <v>6</v>
      </c>
      <c r="G30" s="98" t="n">
        <v>35</v>
      </c>
      <c r="H30" s="96" t="n">
        <f aca="false">6.5*G30</f>
        <v>227.5</v>
      </c>
      <c r="I30" s="96" t="n">
        <v>0</v>
      </c>
      <c r="J30" s="97" t="n">
        <v>1</v>
      </c>
      <c r="K30" s="96" t="n">
        <v>2</v>
      </c>
      <c r="L30" s="119" t="n">
        <v>0.727272727272727</v>
      </c>
      <c r="M30" s="120" t="n">
        <v>0.0979020979020979</v>
      </c>
      <c r="N30" s="120" t="n">
        <v>0.0629370629370629</v>
      </c>
      <c r="O30" s="120" t="n">
        <v>0.020979020979021</v>
      </c>
      <c r="P30" s="120" t="n">
        <v>0.027972027972028</v>
      </c>
      <c r="Q30" s="121" t="n">
        <v>0.0629370629370629</v>
      </c>
      <c r="R30" s="119" t="n">
        <v>0.3</v>
      </c>
      <c r="S30" s="120" t="n">
        <v>0.333333333333333</v>
      </c>
      <c r="T30" s="120" t="n">
        <v>0.166666666666667</v>
      </c>
      <c r="U30" s="120" t="n">
        <v>0.1</v>
      </c>
      <c r="V30" s="120" t="n">
        <v>0.0333333333333333</v>
      </c>
      <c r="W30" s="121" t="n">
        <v>0.0666666666666667</v>
      </c>
      <c r="X30" s="113" t="n">
        <f aca="false">$F30*L30</f>
        <v>4.36363636363636</v>
      </c>
      <c r="Y30" s="114" t="n">
        <f aca="false">$F30*M30</f>
        <v>0.587412587412587</v>
      </c>
      <c r="Z30" s="114" t="n">
        <f aca="false">$F30*N30</f>
        <v>0.377622377622378</v>
      </c>
      <c r="AA30" s="114" t="n">
        <f aca="false">$F30*O30</f>
        <v>0.125874125874126</v>
      </c>
      <c r="AB30" s="114" t="n">
        <f aca="false">$F30*P30</f>
        <v>0.167832167832168</v>
      </c>
      <c r="AC30" s="115" t="n">
        <f aca="false">$F30*Q30</f>
        <v>0.377622377622378</v>
      </c>
      <c r="AD30" s="113" t="n">
        <f aca="false">R30*$J30</f>
        <v>0.3</v>
      </c>
      <c r="AE30" s="114" t="n">
        <f aca="false">S30*$J30</f>
        <v>0.333333333333333</v>
      </c>
      <c r="AF30" s="114" t="n">
        <f aca="false">T30*$J30</f>
        <v>0.166666666666667</v>
      </c>
      <c r="AG30" s="114" t="n">
        <f aca="false">U30*$J30</f>
        <v>0.1</v>
      </c>
      <c r="AH30" s="114" t="n">
        <f aca="false">V30*$J30</f>
        <v>0.0333333333333333</v>
      </c>
      <c r="AI30" s="114" t="n">
        <f aca="false">W30*$J30</f>
        <v>0.0666666666666667</v>
      </c>
      <c r="AJ30" s="116" t="n">
        <f aca="false">Input!$D$22*RBs!C30+Input!$D$23*RBs!D30+Input!$D$24*RBs!X30+Input!$D$25*RBs!Y30+Input!$D$26*RBs!Z30+Input!$D$27*RBs!AA30+Input!$D$28*RBs!AB30+Input!$D$29*RBs!AC30+Input!$D$30*RBs!E30+Input!$D$31*RBs!G30+Input!$D$32*RBs!H30+Input!$D$33*RBs!AD30+Input!$D$34*RBs!AE30+Input!$D$35*RBs!AF30+Input!$D$36*RBs!AG30+Input!$D$37*RBs!AH30+Input!$D$38*RBs!AI30+Input!$D$39*RBs!I30+Input!$D$40*RBs!K30</f>
        <v>125.907342657343</v>
      </c>
    </row>
    <row r="31" customFormat="false" ht="12.75" hidden="false" customHeight="false" outlineLevel="0" collapsed="false">
      <c r="A31" s="141" t="s">
        <v>261</v>
      </c>
      <c r="B31" s="111" t="s">
        <v>180</v>
      </c>
      <c r="C31" s="98" t="n">
        <v>160</v>
      </c>
      <c r="D31" s="96" t="n">
        <f aca="false">3.5*C31</f>
        <v>560</v>
      </c>
      <c r="E31" s="96" t="n">
        <v>1</v>
      </c>
      <c r="F31" s="97" t="n">
        <v>4</v>
      </c>
      <c r="G31" s="98" t="n">
        <v>25</v>
      </c>
      <c r="H31" s="96" t="n">
        <f aca="false">8.7*G31</f>
        <v>217.5</v>
      </c>
      <c r="I31" s="96" t="n">
        <v>0</v>
      </c>
      <c r="J31" s="97" t="n">
        <v>1</v>
      </c>
      <c r="K31" s="96" t="n">
        <v>2</v>
      </c>
      <c r="L31" s="119" t="n">
        <v>0.727272727272727</v>
      </c>
      <c r="M31" s="120" t="n">
        <v>0.0979020979020979</v>
      </c>
      <c r="N31" s="120" t="n">
        <v>0.0629370629370629</v>
      </c>
      <c r="O31" s="120" t="n">
        <v>0.020979020979021</v>
      </c>
      <c r="P31" s="120" t="n">
        <v>0.027972027972028</v>
      </c>
      <c r="Q31" s="121" t="n">
        <v>0.0629370629370629</v>
      </c>
      <c r="R31" s="119" t="n">
        <v>0.3</v>
      </c>
      <c r="S31" s="120" t="n">
        <v>0.333333333333333</v>
      </c>
      <c r="T31" s="120" t="n">
        <v>0.166666666666667</v>
      </c>
      <c r="U31" s="120" t="n">
        <v>0.1</v>
      </c>
      <c r="V31" s="120" t="n">
        <v>0.0333333333333333</v>
      </c>
      <c r="W31" s="121" t="n">
        <v>0.0666666666666667</v>
      </c>
      <c r="X31" s="113" t="n">
        <f aca="false">$F31*L31</f>
        <v>2.90909090909091</v>
      </c>
      <c r="Y31" s="114" t="n">
        <f aca="false">$F31*M31</f>
        <v>0.391608391608392</v>
      </c>
      <c r="Z31" s="114" t="n">
        <f aca="false">$F31*N31</f>
        <v>0.251748251748252</v>
      </c>
      <c r="AA31" s="114" t="n">
        <f aca="false">$F31*O31</f>
        <v>0.0839160839160839</v>
      </c>
      <c r="AB31" s="114" t="n">
        <f aca="false">$F31*P31</f>
        <v>0.111888111888112</v>
      </c>
      <c r="AC31" s="115" t="n">
        <f aca="false">$F31*Q31</f>
        <v>0.251748251748252</v>
      </c>
      <c r="AD31" s="113" t="n">
        <f aca="false">R31*$J31</f>
        <v>0.3</v>
      </c>
      <c r="AE31" s="114" t="n">
        <f aca="false">S31*$J31</f>
        <v>0.333333333333333</v>
      </c>
      <c r="AF31" s="114" t="n">
        <f aca="false">T31*$J31</f>
        <v>0.166666666666667</v>
      </c>
      <c r="AG31" s="114" t="n">
        <f aca="false">U31*$J31</f>
        <v>0.1</v>
      </c>
      <c r="AH31" s="114" t="n">
        <f aca="false">V31*$J31</f>
        <v>0.0333333333333333</v>
      </c>
      <c r="AI31" s="114" t="n">
        <f aca="false">W31*$J31</f>
        <v>0.0666666666666667</v>
      </c>
      <c r="AJ31" s="116" t="n">
        <f aca="false">Input!$D$22*RBs!C31+Input!$D$23*RBs!D31+Input!$D$24*RBs!X31+Input!$D$25*RBs!Y31+Input!$D$26*RBs!Z31+Input!$D$27*RBs!AA31+Input!$D$28*RBs!AB31+Input!$D$29*RBs!AC31+Input!$D$30*RBs!E31+Input!$D$31*RBs!G31+Input!$D$32*RBs!H31+Input!$D$33*RBs!AD31+Input!$D$34*RBs!AE31+Input!$D$35*RBs!AF31+Input!$D$36*RBs!AG31+Input!$D$37*RBs!AH31+Input!$D$38*RBs!AI31+Input!$D$39*RBs!I31+Input!$D$40*RBs!K31</f>
        <v>113.354895104895</v>
      </c>
    </row>
    <row r="32" customFormat="false" ht="12.75" hidden="false" customHeight="false" outlineLevel="0" collapsed="false">
      <c r="A32" s="141" t="s">
        <v>262</v>
      </c>
      <c r="B32" s="111" t="s">
        <v>164</v>
      </c>
      <c r="C32" s="98" t="n">
        <v>170</v>
      </c>
      <c r="D32" s="96" t="n">
        <f aca="false">4*C32</f>
        <v>680</v>
      </c>
      <c r="E32" s="96" t="n">
        <v>1</v>
      </c>
      <c r="F32" s="97" t="n">
        <v>3</v>
      </c>
      <c r="G32" s="98" t="n">
        <v>25</v>
      </c>
      <c r="H32" s="96" t="n">
        <f aca="false">7.5*G32</f>
        <v>187.5</v>
      </c>
      <c r="I32" s="96" t="n">
        <v>0</v>
      </c>
      <c r="J32" s="97" t="n">
        <v>1</v>
      </c>
      <c r="K32" s="96" t="n">
        <v>2</v>
      </c>
      <c r="L32" s="119" t="n">
        <v>0.727272727272727</v>
      </c>
      <c r="M32" s="120" t="n">
        <v>0.0979020979020979</v>
      </c>
      <c r="N32" s="120" t="n">
        <v>0.0629370629370629</v>
      </c>
      <c r="O32" s="120" t="n">
        <v>0.020979020979021</v>
      </c>
      <c r="P32" s="120" t="n">
        <v>0.027972027972028</v>
      </c>
      <c r="Q32" s="121" t="n">
        <v>0.0629370629370629</v>
      </c>
      <c r="R32" s="119" t="n">
        <v>0.3</v>
      </c>
      <c r="S32" s="120" t="n">
        <v>0.333333333333333</v>
      </c>
      <c r="T32" s="120" t="n">
        <v>0.166666666666667</v>
      </c>
      <c r="U32" s="120" t="n">
        <v>0.1</v>
      </c>
      <c r="V32" s="120" t="n">
        <v>0.0333333333333333</v>
      </c>
      <c r="W32" s="121" t="n">
        <v>0.0666666666666667</v>
      </c>
      <c r="X32" s="113" t="n">
        <f aca="false">$F32*L32</f>
        <v>2.18181818181818</v>
      </c>
      <c r="Y32" s="114" t="n">
        <f aca="false">$F32*M32</f>
        <v>0.293706293706294</v>
      </c>
      <c r="Z32" s="114" t="n">
        <f aca="false">$F32*N32</f>
        <v>0.188811188811189</v>
      </c>
      <c r="AA32" s="114" t="n">
        <f aca="false">$F32*O32</f>
        <v>0.0629370629370629</v>
      </c>
      <c r="AB32" s="114" t="n">
        <f aca="false">$F32*P32</f>
        <v>0.0839160839160839</v>
      </c>
      <c r="AC32" s="115" t="n">
        <f aca="false">$F32*Q32</f>
        <v>0.188811188811189</v>
      </c>
      <c r="AD32" s="113" t="n">
        <f aca="false">R32*$J32</f>
        <v>0.3</v>
      </c>
      <c r="AE32" s="114" t="n">
        <f aca="false">S32*$J32</f>
        <v>0.333333333333333</v>
      </c>
      <c r="AF32" s="114" t="n">
        <f aca="false">T32*$J32</f>
        <v>0.166666666666667</v>
      </c>
      <c r="AG32" s="114" t="n">
        <f aca="false">U32*$J32</f>
        <v>0.1</v>
      </c>
      <c r="AH32" s="114" t="n">
        <f aca="false">V32*$J32</f>
        <v>0.0333333333333333</v>
      </c>
      <c r="AI32" s="114" t="n">
        <f aca="false">W32*$J32</f>
        <v>0.0666666666666667</v>
      </c>
      <c r="AJ32" s="116" t="n">
        <f aca="false">Input!$D$22*RBs!C32+Input!$D$23*RBs!D32+Input!$D$24*RBs!X32+Input!$D$25*RBs!Y32+Input!$D$26*RBs!Z32+Input!$D$27*RBs!AA32+Input!$D$28*RBs!AB32+Input!$D$29*RBs!AC32+Input!$D$30*RBs!E32+Input!$D$31*RBs!G32+Input!$D$32*RBs!H32+Input!$D$33*RBs!AD32+Input!$D$34*RBs!AE32+Input!$D$35*RBs!AF32+Input!$D$36*RBs!AG32+Input!$D$37*RBs!AH32+Input!$D$38*RBs!AI32+Input!$D$39*RBs!I32+Input!$D$40*RBs!K32</f>
        <v>115.578671328671</v>
      </c>
    </row>
    <row r="33" customFormat="false" ht="12.75" hidden="false" customHeight="false" outlineLevel="0" collapsed="false">
      <c r="A33" s="141" t="s">
        <v>263</v>
      </c>
      <c r="B33" s="111" t="s">
        <v>192</v>
      </c>
      <c r="C33" s="98" t="n">
        <v>120</v>
      </c>
      <c r="D33" s="96" t="n">
        <f aca="false">4.45*C33</f>
        <v>534</v>
      </c>
      <c r="E33" s="96" t="n">
        <v>1</v>
      </c>
      <c r="F33" s="97" t="n">
        <v>4</v>
      </c>
      <c r="G33" s="98" t="n">
        <v>20</v>
      </c>
      <c r="H33" s="96" t="n">
        <f aca="false">8.5*G33</f>
        <v>170</v>
      </c>
      <c r="I33" s="96" t="n">
        <v>0</v>
      </c>
      <c r="J33" s="97" t="n">
        <v>1</v>
      </c>
      <c r="K33" s="96" t="n">
        <v>2</v>
      </c>
      <c r="L33" s="119" t="n">
        <v>0.727272727272727</v>
      </c>
      <c r="M33" s="120" t="n">
        <v>0.0979020979020979</v>
      </c>
      <c r="N33" s="120" t="n">
        <v>0.0629370629370629</v>
      </c>
      <c r="O33" s="120" t="n">
        <v>0.020979020979021</v>
      </c>
      <c r="P33" s="120" t="n">
        <v>0.027972027972028</v>
      </c>
      <c r="Q33" s="121" t="n">
        <v>0.0629370629370629</v>
      </c>
      <c r="R33" s="119" t="n">
        <v>0.3</v>
      </c>
      <c r="S33" s="120" t="n">
        <v>0.333333333333333</v>
      </c>
      <c r="T33" s="120" t="n">
        <v>0.166666666666667</v>
      </c>
      <c r="U33" s="120" t="n">
        <v>0.1</v>
      </c>
      <c r="V33" s="120" t="n">
        <v>0.0333333333333333</v>
      </c>
      <c r="W33" s="121" t="n">
        <v>0.0666666666666667</v>
      </c>
      <c r="X33" s="113" t="n">
        <f aca="false">$F33*L33</f>
        <v>2.90909090909091</v>
      </c>
      <c r="Y33" s="114" t="n">
        <f aca="false">$F33*M33</f>
        <v>0.391608391608392</v>
      </c>
      <c r="Z33" s="114" t="n">
        <f aca="false">$F33*N33</f>
        <v>0.251748251748252</v>
      </c>
      <c r="AA33" s="114" t="n">
        <f aca="false">$F33*O33</f>
        <v>0.0839160839160839</v>
      </c>
      <c r="AB33" s="114" t="n">
        <f aca="false">$F33*P33</f>
        <v>0.111888111888112</v>
      </c>
      <c r="AC33" s="115" t="n">
        <f aca="false">$F33*Q33</f>
        <v>0.251748251748252</v>
      </c>
      <c r="AD33" s="113" t="n">
        <f aca="false">R33*$J33</f>
        <v>0.3</v>
      </c>
      <c r="AE33" s="114" t="n">
        <f aca="false">S33*$J33</f>
        <v>0.333333333333333</v>
      </c>
      <c r="AF33" s="114" t="n">
        <f aca="false">T33*$J33</f>
        <v>0.166666666666667</v>
      </c>
      <c r="AG33" s="114" t="n">
        <f aca="false">U33*$J33</f>
        <v>0.1</v>
      </c>
      <c r="AH33" s="114" t="n">
        <f aca="false">V33*$J33</f>
        <v>0.0333333333333333</v>
      </c>
      <c r="AI33" s="114" t="n">
        <f aca="false">W33*$J33</f>
        <v>0.0666666666666667</v>
      </c>
      <c r="AJ33" s="116" t="n">
        <f aca="false">Input!$D$22*RBs!C33+Input!$D$23*RBs!D33+Input!$D$24*RBs!X33+Input!$D$25*RBs!Y33+Input!$D$26*RBs!Z33+Input!$D$27*RBs!AA33+Input!$D$28*RBs!AB33+Input!$D$29*RBs!AC33+Input!$D$30*RBs!E33+Input!$D$31*RBs!G33+Input!$D$32*RBs!H33+Input!$D$33*RBs!AD33+Input!$D$34*RBs!AE33+Input!$D$35*RBs!AF33+Input!$D$36*RBs!AG33+Input!$D$37*RBs!AH33+Input!$D$38*RBs!AI33+Input!$D$39*RBs!I33+Input!$D$40*RBs!K33</f>
        <v>106.004895104895</v>
      </c>
    </row>
    <row r="34" customFormat="false" ht="12.75" hidden="false" customHeight="false" outlineLevel="0" collapsed="false">
      <c r="A34" s="141" t="s">
        <v>264</v>
      </c>
      <c r="B34" s="111" t="s">
        <v>176</v>
      </c>
      <c r="C34" s="98" t="n">
        <v>210</v>
      </c>
      <c r="D34" s="96" t="n">
        <f aca="false">3.8*C34</f>
        <v>798</v>
      </c>
      <c r="E34" s="96" t="n">
        <v>1</v>
      </c>
      <c r="F34" s="97" t="n">
        <v>5</v>
      </c>
      <c r="G34" s="98" t="n">
        <v>10</v>
      </c>
      <c r="H34" s="96" t="n">
        <f aca="false">6.5*G34</f>
        <v>65</v>
      </c>
      <c r="I34" s="96" t="n">
        <v>0</v>
      </c>
      <c r="J34" s="97" t="n">
        <v>0</v>
      </c>
      <c r="K34" s="96" t="n">
        <v>2</v>
      </c>
      <c r="L34" s="119" t="n">
        <v>0.727272727272727</v>
      </c>
      <c r="M34" s="120" t="n">
        <v>0.0979020979020979</v>
      </c>
      <c r="N34" s="120" t="n">
        <v>0.0629370629370629</v>
      </c>
      <c r="O34" s="120" t="n">
        <v>0.020979020979021</v>
      </c>
      <c r="P34" s="120" t="n">
        <v>0.027972027972028</v>
      </c>
      <c r="Q34" s="121" t="n">
        <v>0.0629370629370629</v>
      </c>
      <c r="R34" s="119" t="n">
        <v>0.3</v>
      </c>
      <c r="S34" s="120" t="n">
        <v>0.333333333333333</v>
      </c>
      <c r="T34" s="120" t="n">
        <v>0.166666666666667</v>
      </c>
      <c r="U34" s="120" t="n">
        <v>0.1</v>
      </c>
      <c r="V34" s="120" t="n">
        <v>0.0333333333333333</v>
      </c>
      <c r="W34" s="121" t="n">
        <v>0.0666666666666667</v>
      </c>
      <c r="X34" s="113" t="n">
        <f aca="false">$F34*L34</f>
        <v>3.63636363636364</v>
      </c>
      <c r="Y34" s="114" t="n">
        <f aca="false">$F34*M34</f>
        <v>0.48951048951049</v>
      </c>
      <c r="Z34" s="114" t="n">
        <f aca="false">$F34*N34</f>
        <v>0.314685314685315</v>
      </c>
      <c r="AA34" s="114" t="n">
        <f aca="false">$F34*O34</f>
        <v>0.104895104895105</v>
      </c>
      <c r="AB34" s="114" t="n">
        <f aca="false">$F34*P34</f>
        <v>0.13986013986014</v>
      </c>
      <c r="AC34" s="115" t="n">
        <f aca="false">$F34*Q34</f>
        <v>0.314685314685315</v>
      </c>
      <c r="AD34" s="113" t="n">
        <f aca="false">R34*$J34</f>
        <v>0</v>
      </c>
      <c r="AE34" s="114" t="n">
        <f aca="false">S34*$J34</f>
        <v>0</v>
      </c>
      <c r="AF34" s="114" t="n">
        <f aca="false">T34*$J34</f>
        <v>0</v>
      </c>
      <c r="AG34" s="114" t="n">
        <f aca="false">U34*$J34</f>
        <v>0</v>
      </c>
      <c r="AH34" s="114" t="n">
        <f aca="false">V34*$J34</f>
        <v>0</v>
      </c>
      <c r="AI34" s="114" t="n">
        <f aca="false">W34*$J34</f>
        <v>0</v>
      </c>
      <c r="AJ34" s="116" t="n">
        <f aca="false">Input!$D$22*RBs!C34+Input!$D$23*RBs!D34+Input!$D$24*RBs!X34+Input!$D$25*RBs!Y34+Input!$D$26*RBs!Z34+Input!$D$27*RBs!AA34+Input!$D$28*RBs!AB34+Input!$D$29*RBs!AC34+Input!$D$30*RBs!E34+Input!$D$31*RBs!G34+Input!$D$32*RBs!H34+Input!$D$33*RBs!AD34+Input!$D$34*RBs!AE34+Input!$D$35*RBs!AF34+Input!$D$36*RBs!AG34+Input!$D$37*RBs!AH34+Input!$D$38*RBs!AI34+Input!$D$39*RBs!I34+Input!$D$40*RBs!K34</f>
        <v>121.181118881119</v>
      </c>
    </row>
    <row r="35" customFormat="false" ht="12.75" hidden="false" customHeight="false" outlineLevel="0" collapsed="false">
      <c r="A35" s="141" t="s">
        <v>265</v>
      </c>
      <c r="B35" s="111" t="s">
        <v>148</v>
      </c>
      <c r="C35" s="98" t="n">
        <v>80</v>
      </c>
      <c r="D35" s="96" t="n">
        <f aca="false">4.7*C35</f>
        <v>376</v>
      </c>
      <c r="E35" s="96" t="n">
        <v>0</v>
      </c>
      <c r="F35" s="97" t="n">
        <v>5</v>
      </c>
      <c r="G35" s="98" t="n">
        <v>40</v>
      </c>
      <c r="H35" s="96" t="n">
        <f aca="false">8.9*G35</f>
        <v>356</v>
      </c>
      <c r="I35" s="96" t="n">
        <v>0</v>
      </c>
      <c r="J35" s="97" t="n">
        <v>1</v>
      </c>
      <c r="K35" s="96" t="n">
        <v>1</v>
      </c>
      <c r="L35" s="119" t="n">
        <v>0.727272727272727</v>
      </c>
      <c r="M35" s="120" t="n">
        <v>0.0979020979020979</v>
      </c>
      <c r="N35" s="120" t="n">
        <v>0.0629370629370629</v>
      </c>
      <c r="O35" s="120" t="n">
        <v>0.020979020979021</v>
      </c>
      <c r="P35" s="120" t="n">
        <v>0.027972027972028</v>
      </c>
      <c r="Q35" s="121" t="n">
        <v>0.0629370629370629</v>
      </c>
      <c r="R35" s="119" t="n">
        <v>0.3</v>
      </c>
      <c r="S35" s="120" t="n">
        <v>0.333333333333333</v>
      </c>
      <c r="T35" s="120" t="n">
        <v>0.166666666666667</v>
      </c>
      <c r="U35" s="120" t="n">
        <v>0.1</v>
      </c>
      <c r="V35" s="120" t="n">
        <v>0.0333333333333333</v>
      </c>
      <c r="W35" s="121" t="n">
        <v>0.0666666666666667</v>
      </c>
      <c r="X35" s="113" t="n">
        <f aca="false">$F35*L35</f>
        <v>3.63636363636364</v>
      </c>
      <c r="Y35" s="114" t="n">
        <f aca="false">$F35*M35</f>
        <v>0.48951048951049</v>
      </c>
      <c r="Z35" s="114" t="n">
        <f aca="false">$F35*N35</f>
        <v>0.314685314685315</v>
      </c>
      <c r="AA35" s="114" t="n">
        <f aca="false">$F35*O35</f>
        <v>0.104895104895105</v>
      </c>
      <c r="AB35" s="114" t="n">
        <f aca="false">$F35*P35</f>
        <v>0.13986013986014</v>
      </c>
      <c r="AC35" s="115" t="n">
        <f aca="false">$F35*Q35</f>
        <v>0.314685314685315</v>
      </c>
      <c r="AD35" s="113" t="n">
        <f aca="false">R35*$J35</f>
        <v>0.3</v>
      </c>
      <c r="AE35" s="114" t="n">
        <f aca="false">S35*$J35</f>
        <v>0.333333333333333</v>
      </c>
      <c r="AF35" s="114" t="n">
        <f aca="false">T35*$J35</f>
        <v>0.166666666666667</v>
      </c>
      <c r="AG35" s="114" t="n">
        <f aca="false">U35*$J35</f>
        <v>0.1</v>
      </c>
      <c r="AH35" s="114" t="n">
        <f aca="false">V35*$J35</f>
        <v>0.0333333333333333</v>
      </c>
      <c r="AI35" s="114" t="n">
        <f aca="false">W35*$J35</f>
        <v>0.0666666666666667</v>
      </c>
      <c r="AJ35" s="116" t="n">
        <f aca="false">Input!$D$22*RBs!C35+Input!$D$23*RBs!D35+Input!$D$24*RBs!X35+Input!$D$25*RBs!Y35+Input!$D$26*RBs!Z35+Input!$D$27*RBs!AA35+Input!$D$28*RBs!AB35+Input!$D$29*RBs!AC35+Input!$D$30*RBs!E35+Input!$D$31*RBs!G35+Input!$D$32*RBs!H35+Input!$D$33*RBs!AD35+Input!$D$34*RBs!AE35+Input!$D$35*RBs!AF35+Input!$D$36*RBs!AG35+Input!$D$37*RBs!AH35+Input!$D$38*RBs!AI35+Input!$D$39*RBs!I35+Input!$D$40*RBs!K35</f>
        <v>113.581118881119</v>
      </c>
    </row>
    <row r="36" customFormat="false" ht="12.75" hidden="false" customHeight="false" outlineLevel="0" collapsed="false">
      <c r="A36" s="141" t="s">
        <v>266</v>
      </c>
      <c r="B36" s="111" t="s">
        <v>172</v>
      </c>
      <c r="C36" s="98" t="n">
        <v>160</v>
      </c>
      <c r="D36" s="96" t="n">
        <f aca="false">4.2*C36</f>
        <v>672</v>
      </c>
      <c r="E36" s="96" t="n">
        <v>1</v>
      </c>
      <c r="F36" s="97" t="n">
        <v>3</v>
      </c>
      <c r="G36" s="98" t="n">
        <v>23</v>
      </c>
      <c r="H36" s="96" t="n">
        <f aca="false">7.3*G36</f>
        <v>167.9</v>
      </c>
      <c r="I36" s="96" t="n">
        <v>0</v>
      </c>
      <c r="J36" s="97" t="n">
        <v>1</v>
      </c>
      <c r="K36" s="96" t="n">
        <v>1</v>
      </c>
      <c r="L36" s="119" t="n">
        <v>0.727272727272727</v>
      </c>
      <c r="M36" s="120" t="n">
        <v>0.0979020979020979</v>
      </c>
      <c r="N36" s="120" t="n">
        <v>0.0629370629370629</v>
      </c>
      <c r="O36" s="120" t="n">
        <v>0.020979020979021</v>
      </c>
      <c r="P36" s="120" t="n">
        <v>0.027972027972028</v>
      </c>
      <c r="Q36" s="121" t="n">
        <v>0.0629370629370629</v>
      </c>
      <c r="R36" s="119" t="n">
        <v>0.3</v>
      </c>
      <c r="S36" s="120" t="n">
        <v>0.333333333333333</v>
      </c>
      <c r="T36" s="120" t="n">
        <v>0.166666666666667</v>
      </c>
      <c r="U36" s="120" t="n">
        <v>0.1</v>
      </c>
      <c r="V36" s="120" t="n">
        <v>0.0333333333333333</v>
      </c>
      <c r="W36" s="121" t="n">
        <v>0.0666666666666667</v>
      </c>
      <c r="X36" s="113" t="n">
        <f aca="false">$F36*L36</f>
        <v>2.18181818181818</v>
      </c>
      <c r="Y36" s="114" t="n">
        <f aca="false">$F36*M36</f>
        <v>0.293706293706294</v>
      </c>
      <c r="Z36" s="114" t="n">
        <f aca="false">$F36*N36</f>
        <v>0.188811188811189</v>
      </c>
      <c r="AA36" s="114" t="n">
        <f aca="false">$F36*O36</f>
        <v>0.0629370629370629</v>
      </c>
      <c r="AB36" s="114" t="n">
        <f aca="false">$F36*P36</f>
        <v>0.0839160839160839</v>
      </c>
      <c r="AC36" s="115" t="n">
        <f aca="false">$F36*Q36</f>
        <v>0.188811188811189</v>
      </c>
      <c r="AD36" s="113" t="n">
        <f aca="false">R36*$J36</f>
        <v>0.3</v>
      </c>
      <c r="AE36" s="114" t="n">
        <f aca="false">S36*$J36</f>
        <v>0.333333333333333</v>
      </c>
      <c r="AF36" s="114" t="n">
        <f aca="false">T36*$J36</f>
        <v>0.166666666666667</v>
      </c>
      <c r="AG36" s="114" t="n">
        <f aca="false">U36*$J36</f>
        <v>0.1</v>
      </c>
      <c r="AH36" s="114" t="n">
        <f aca="false">V36*$J36</f>
        <v>0.0333333333333333</v>
      </c>
      <c r="AI36" s="114" t="n">
        <f aca="false">W36*$J36</f>
        <v>0.0666666666666667</v>
      </c>
      <c r="AJ36" s="116" t="n">
        <f aca="false">Input!$D$22*RBs!C36+Input!$D$23*RBs!D36+Input!$D$24*RBs!X36+Input!$D$25*RBs!Y36+Input!$D$26*RBs!Z36+Input!$D$27*RBs!AA36+Input!$D$28*RBs!AB36+Input!$D$29*RBs!AC36+Input!$D$30*RBs!E36+Input!$D$31*RBs!G36+Input!$D$32*RBs!H36+Input!$D$33*RBs!AD36+Input!$D$34*RBs!AE36+Input!$D$35*RBs!AF36+Input!$D$36*RBs!AG36+Input!$D$37*RBs!AH36+Input!$D$38*RBs!AI36+Input!$D$39*RBs!I36+Input!$D$40*RBs!K36</f>
        <v>113.818671328671</v>
      </c>
    </row>
    <row r="37" customFormat="false" ht="12.75" hidden="false" customHeight="false" outlineLevel="0" collapsed="false">
      <c r="A37" s="141" t="s">
        <v>267</v>
      </c>
      <c r="B37" s="111" t="s">
        <v>146</v>
      </c>
      <c r="C37" s="98" t="n">
        <v>140</v>
      </c>
      <c r="D37" s="96" t="n">
        <f aca="false">4.4*C37</f>
        <v>616</v>
      </c>
      <c r="E37" s="96" t="n">
        <v>1</v>
      </c>
      <c r="F37" s="97" t="n">
        <v>3</v>
      </c>
      <c r="G37" s="98" t="n">
        <v>25</v>
      </c>
      <c r="H37" s="96" t="n">
        <f aca="false">8.6*G37</f>
        <v>215</v>
      </c>
      <c r="I37" s="96" t="n">
        <v>0</v>
      </c>
      <c r="J37" s="97" t="n">
        <v>1</v>
      </c>
      <c r="K37" s="96" t="n">
        <v>2</v>
      </c>
      <c r="L37" s="119" t="n">
        <v>0.727272727272727</v>
      </c>
      <c r="M37" s="120" t="n">
        <v>0.0979020979020979</v>
      </c>
      <c r="N37" s="120" t="n">
        <v>0.0629370629370629</v>
      </c>
      <c r="O37" s="120" t="n">
        <v>0.020979020979021</v>
      </c>
      <c r="P37" s="120" t="n">
        <v>0.027972027972028</v>
      </c>
      <c r="Q37" s="121" t="n">
        <v>0.0629370629370629</v>
      </c>
      <c r="R37" s="119" t="n">
        <v>0.3</v>
      </c>
      <c r="S37" s="120" t="n">
        <v>0.333333333333333</v>
      </c>
      <c r="T37" s="120" t="n">
        <v>0.166666666666667</v>
      </c>
      <c r="U37" s="120" t="n">
        <v>0.1</v>
      </c>
      <c r="V37" s="120" t="n">
        <v>0.0333333333333333</v>
      </c>
      <c r="W37" s="121" t="n">
        <v>0.0666666666666667</v>
      </c>
      <c r="X37" s="113" t="n">
        <f aca="false">$F37*L37</f>
        <v>2.18181818181818</v>
      </c>
      <c r="Y37" s="114" t="n">
        <f aca="false">$F37*M37</f>
        <v>0.293706293706294</v>
      </c>
      <c r="Z37" s="114" t="n">
        <f aca="false">$F37*N37</f>
        <v>0.188811188811189</v>
      </c>
      <c r="AA37" s="114" t="n">
        <f aca="false">$F37*O37</f>
        <v>0.0629370629370629</v>
      </c>
      <c r="AB37" s="114" t="n">
        <f aca="false">$F37*P37</f>
        <v>0.0839160839160839</v>
      </c>
      <c r="AC37" s="115" t="n">
        <f aca="false">$F37*Q37</f>
        <v>0.188811188811189</v>
      </c>
      <c r="AD37" s="113" t="n">
        <f aca="false">R37*$J37</f>
        <v>0.3</v>
      </c>
      <c r="AE37" s="114" t="n">
        <f aca="false">S37*$J37</f>
        <v>0.333333333333333</v>
      </c>
      <c r="AF37" s="114" t="n">
        <f aca="false">T37*$J37</f>
        <v>0.166666666666667</v>
      </c>
      <c r="AG37" s="114" t="n">
        <f aca="false">U37*$J37</f>
        <v>0.1</v>
      </c>
      <c r="AH37" s="114" t="n">
        <f aca="false">V37*$J37</f>
        <v>0.0333333333333333</v>
      </c>
      <c r="AI37" s="114" t="n">
        <f aca="false">W37*$J37</f>
        <v>0.0666666666666667</v>
      </c>
      <c r="AJ37" s="116" t="n">
        <f aca="false">Input!$D$22*RBs!C37+Input!$D$23*RBs!D37+Input!$D$24*RBs!X37+Input!$D$25*RBs!Y37+Input!$D$26*RBs!Z37+Input!$D$27*RBs!AA37+Input!$D$28*RBs!AB37+Input!$D$29*RBs!AC37+Input!$D$30*RBs!E37+Input!$D$31*RBs!G37+Input!$D$32*RBs!H37+Input!$D$33*RBs!AD37+Input!$D$34*RBs!AE37+Input!$D$35*RBs!AF37+Input!$D$36*RBs!AG37+Input!$D$37*RBs!AH37+Input!$D$38*RBs!AI37+Input!$D$39*RBs!I37+Input!$D$40*RBs!K37</f>
        <v>111.928671328671</v>
      </c>
    </row>
    <row r="38" customFormat="false" ht="12.75" hidden="false" customHeight="false" outlineLevel="0" collapsed="false">
      <c r="A38" s="141" t="s">
        <v>268</v>
      </c>
      <c r="B38" s="111" t="s">
        <v>156</v>
      </c>
      <c r="C38" s="98" t="n">
        <v>130</v>
      </c>
      <c r="D38" s="96" t="n">
        <f aca="false">3.7*C38</f>
        <v>481</v>
      </c>
      <c r="E38" s="96" t="n">
        <v>0</v>
      </c>
      <c r="F38" s="97" t="n">
        <v>5</v>
      </c>
      <c r="G38" s="98" t="n">
        <v>10</v>
      </c>
      <c r="H38" s="96" t="n">
        <f aca="false">6.5*G38</f>
        <v>65</v>
      </c>
      <c r="I38" s="96" t="n">
        <v>0</v>
      </c>
      <c r="J38" s="97" t="n">
        <v>0</v>
      </c>
      <c r="K38" s="96" t="n">
        <v>1</v>
      </c>
      <c r="L38" s="119" t="n">
        <v>0.727272727272727</v>
      </c>
      <c r="M38" s="120" t="n">
        <v>0.0979020979020979</v>
      </c>
      <c r="N38" s="120" t="n">
        <v>0.0629370629370629</v>
      </c>
      <c r="O38" s="120" t="n">
        <v>0.020979020979021</v>
      </c>
      <c r="P38" s="120" t="n">
        <v>0.027972027972028</v>
      </c>
      <c r="Q38" s="121" t="n">
        <v>0.0629370629370629</v>
      </c>
      <c r="R38" s="119" t="n">
        <v>0.3</v>
      </c>
      <c r="S38" s="120" t="n">
        <v>0.333333333333333</v>
      </c>
      <c r="T38" s="120" t="n">
        <v>0.166666666666667</v>
      </c>
      <c r="U38" s="120" t="n">
        <v>0.1</v>
      </c>
      <c r="V38" s="120" t="n">
        <v>0.0333333333333333</v>
      </c>
      <c r="W38" s="121" t="n">
        <v>0.0666666666666667</v>
      </c>
      <c r="X38" s="113" t="n">
        <f aca="false">$F38*L38</f>
        <v>3.63636363636364</v>
      </c>
      <c r="Y38" s="114" t="n">
        <f aca="false">$F38*M38</f>
        <v>0.48951048951049</v>
      </c>
      <c r="Z38" s="114" t="n">
        <f aca="false">$F38*N38</f>
        <v>0.314685314685315</v>
      </c>
      <c r="AA38" s="114" t="n">
        <f aca="false">$F38*O38</f>
        <v>0.104895104895105</v>
      </c>
      <c r="AB38" s="114" t="n">
        <f aca="false">$F38*P38</f>
        <v>0.13986013986014</v>
      </c>
      <c r="AC38" s="115" t="n">
        <f aca="false">$F38*Q38</f>
        <v>0.314685314685315</v>
      </c>
      <c r="AD38" s="113" t="n">
        <f aca="false">R38*$J38</f>
        <v>0</v>
      </c>
      <c r="AE38" s="114" t="n">
        <f aca="false">S38*$J38</f>
        <v>0</v>
      </c>
      <c r="AF38" s="114" t="n">
        <f aca="false">T38*$J38</f>
        <v>0</v>
      </c>
      <c r="AG38" s="114" t="n">
        <f aca="false">U38*$J38</f>
        <v>0</v>
      </c>
      <c r="AH38" s="114" t="n">
        <f aca="false">V38*$J38</f>
        <v>0</v>
      </c>
      <c r="AI38" s="114" t="n">
        <f aca="false">W38*$J38</f>
        <v>0</v>
      </c>
      <c r="AJ38" s="116" t="n">
        <f aca="false">Input!$D$22*RBs!C38+Input!$D$23*RBs!D38+Input!$D$24*RBs!X38+Input!$D$25*RBs!Y38+Input!$D$26*RBs!Z38+Input!$D$27*RBs!AA38+Input!$D$28*RBs!AB38+Input!$D$29*RBs!AC38+Input!$D$30*RBs!E38+Input!$D$31*RBs!G38+Input!$D$32*RBs!H38+Input!$D$33*RBs!AD38+Input!$D$34*RBs!AE38+Input!$D$35*RBs!AF38+Input!$D$36*RBs!AG38+Input!$D$37*RBs!AH38+Input!$D$38*RBs!AI38+Input!$D$39*RBs!I38+Input!$D$40*RBs!K38</f>
        <v>87.4811188811189</v>
      </c>
    </row>
    <row r="39" customFormat="false" ht="12.75" hidden="false" customHeight="false" outlineLevel="0" collapsed="false">
      <c r="A39" s="141" t="s">
        <v>269</v>
      </c>
      <c r="B39" s="111" t="s">
        <v>190</v>
      </c>
      <c r="C39" s="98" t="n">
        <v>120</v>
      </c>
      <c r="D39" s="96" t="n">
        <f aca="false">4.6*C39</f>
        <v>552</v>
      </c>
      <c r="E39" s="96" t="n">
        <v>1</v>
      </c>
      <c r="F39" s="97" t="n">
        <v>3</v>
      </c>
      <c r="G39" s="98" t="n">
        <v>25</v>
      </c>
      <c r="H39" s="96" t="n">
        <f aca="false">9.3*G39</f>
        <v>232.5</v>
      </c>
      <c r="I39" s="96" t="n">
        <v>0</v>
      </c>
      <c r="J39" s="97" t="n">
        <v>1</v>
      </c>
      <c r="K39" s="96" t="n">
        <v>2</v>
      </c>
      <c r="L39" s="119" t="n">
        <v>0.727272727272727</v>
      </c>
      <c r="M39" s="120" t="n">
        <v>0.0979020979020979</v>
      </c>
      <c r="N39" s="120" t="n">
        <v>0.0629370629370629</v>
      </c>
      <c r="O39" s="120" t="n">
        <v>0.020979020979021</v>
      </c>
      <c r="P39" s="120" t="n">
        <v>0.027972027972028</v>
      </c>
      <c r="Q39" s="121" t="n">
        <v>0.0629370629370629</v>
      </c>
      <c r="R39" s="119" t="n">
        <v>0.3</v>
      </c>
      <c r="S39" s="120" t="n">
        <v>0.333333333333333</v>
      </c>
      <c r="T39" s="120" t="n">
        <v>0.166666666666667</v>
      </c>
      <c r="U39" s="120" t="n">
        <v>0.1</v>
      </c>
      <c r="V39" s="120" t="n">
        <v>0.0333333333333333</v>
      </c>
      <c r="W39" s="121" t="n">
        <v>0.0666666666666667</v>
      </c>
      <c r="X39" s="113" t="n">
        <f aca="false">$F39*L39</f>
        <v>2.18181818181818</v>
      </c>
      <c r="Y39" s="114" t="n">
        <f aca="false">$F39*M39</f>
        <v>0.293706293706294</v>
      </c>
      <c r="Z39" s="114" t="n">
        <f aca="false">$F39*N39</f>
        <v>0.188811188811189</v>
      </c>
      <c r="AA39" s="114" t="n">
        <f aca="false">$F39*O39</f>
        <v>0.0629370629370629</v>
      </c>
      <c r="AB39" s="114" t="n">
        <f aca="false">$F39*P39</f>
        <v>0.0839160839160839</v>
      </c>
      <c r="AC39" s="115" t="n">
        <f aca="false">$F39*Q39</f>
        <v>0.188811188811189</v>
      </c>
      <c r="AD39" s="113" t="n">
        <f aca="false">R39*$J39</f>
        <v>0.3</v>
      </c>
      <c r="AE39" s="114" t="n">
        <f aca="false">S39*$J39</f>
        <v>0.333333333333333</v>
      </c>
      <c r="AF39" s="114" t="n">
        <f aca="false">T39*$J39</f>
        <v>0.166666666666667</v>
      </c>
      <c r="AG39" s="114" t="n">
        <f aca="false">U39*$J39</f>
        <v>0.1</v>
      </c>
      <c r="AH39" s="114" t="n">
        <f aca="false">V39*$J39</f>
        <v>0.0333333333333333</v>
      </c>
      <c r="AI39" s="114" t="n">
        <f aca="false">W39*$J39</f>
        <v>0.0666666666666667</v>
      </c>
      <c r="AJ39" s="116" t="n">
        <f aca="false">Input!$D$22*RBs!C39+Input!$D$23*RBs!D39+Input!$D$24*RBs!X39+Input!$D$25*RBs!Y39+Input!$D$26*RBs!Z39+Input!$D$27*RBs!AA39+Input!$D$28*RBs!AB39+Input!$D$29*RBs!AC39+Input!$D$30*RBs!E39+Input!$D$31*RBs!G39+Input!$D$32*RBs!H39+Input!$D$33*RBs!AD39+Input!$D$34*RBs!AE39+Input!$D$35*RBs!AF39+Input!$D$36*RBs!AG39+Input!$D$37*RBs!AH39+Input!$D$38*RBs!AI39+Input!$D$39*RBs!I39+Input!$D$40*RBs!K39</f>
        <v>107.278671328671</v>
      </c>
    </row>
    <row r="40" customFormat="false" ht="12.75" hidden="false" customHeight="false" outlineLevel="0" collapsed="false">
      <c r="A40" s="141" t="s">
        <v>270</v>
      </c>
      <c r="B40" s="111" t="s">
        <v>176</v>
      </c>
      <c r="C40" s="98" t="n">
        <v>150</v>
      </c>
      <c r="D40" s="96" t="n">
        <f aca="false">3.7*C40</f>
        <v>555</v>
      </c>
      <c r="E40" s="96" t="n">
        <v>0</v>
      </c>
      <c r="F40" s="97" t="n">
        <v>3</v>
      </c>
      <c r="G40" s="98" t="n">
        <v>25</v>
      </c>
      <c r="H40" s="96" t="n">
        <f aca="false">7.9*G40</f>
        <v>197.5</v>
      </c>
      <c r="I40" s="96" t="n">
        <v>0</v>
      </c>
      <c r="J40" s="97" t="n">
        <v>1</v>
      </c>
      <c r="K40" s="96" t="n">
        <v>2</v>
      </c>
      <c r="L40" s="119" t="n">
        <v>0.727272727272727</v>
      </c>
      <c r="M40" s="120" t="n">
        <v>0.0979020979020979</v>
      </c>
      <c r="N40" s="120" t="n">
        <v>0.0629370629370629</v>
      </c>
      <c r="O40" s="120" t="n">
        <v>0.020979020979021</v>
      </c>
      <c r="P40" s="120" t="n">
        <v>0.027972027972028</v>
      </c>
      <c r="Q40" s="121" t="n">
        <v>0.0629370629370629</v>
      </c>
      <c r="R40" s="119" t="n">
        <v>0.3</v>
      </c>
      <c r="S40" s="120" t="n">
        <v>0.333333333333333</v>
      </c>
      <c r="T40" s="120" t="n">
        <v>0.166666666666667</v>
      </c>
      <c r="U40" s="120" t="n">
        <v>0.1</v>
      </c>
      <c r="V40" s="120" t="n">
        <v>0.0333333333333333</v>
      </c>
      <c r="W40" s="121" t="n">
        <v>0.0666666666666667</v>
      </c>
      <c r="X40" s="113" t="n">
        <f aca="false">$F40*L40</f>
        <v>2.18181818181818</v>
      </c>
      <c r="Y40" s="114" t="n">
        <f aca="false">$F40*M40</f>
        <v>0.293706293706294</v>
      </c>
      <c r="Z40" s="114" t="n">
        <f aca="false">$F40*N40</f>
        <v>0.188811188811189</v>
      </c>
      <c r="AA40" s="114" t="n">
        <f aca="false">$F40*O40</f>
        <v>0.0629370629370629</v>
      </c>
      <c r="AB40" s="114" t="n">
        <f aca="false">$F40*P40</f>
        <v>0.0839160839160839</v>
      </c>
      <c r="AC40" s="115" t="n">
        <f aca="false">$F40*Q40</f>
        <v>0.188811188811189</v>
      </c>
      <c r="AD40" s="113" t="n">
        <f aca="false">R40*$J40</f>
        <v>0.3</v>
      </c>
      <c r="AE40" s="114" t="n">
        <f aca="false">S40*$J40</f>
        <v>0.333333333333333</v>
      </c>
      <c r="AF40" s="114" t="n">
        <f aca="false">T40*$J40</f>
        <v>0.166666666666667</v>
      </c>
      <c r="AG40" s="114" t="n">
        <f aca="false">U40*$J40</f>
        <v>0.1</v>
      </c>
      <c r="AH40" s="114" t="n">
        <f aca="false">V40*$J40</f>
        <v>0.0333333333333333</v>
      </c>
      <c r="AI40" s="114" t="n">
        <f aca="false">W40*$J40</f>
        <v>0.0666666666666667</v>
      </c>
      <c r="AJ40" s="116" t="n">
        <f aca="false">Input!$D$22*RBs!C40+Input!$D$23*RBs!D40+Input!$D$24*RBs!X40+Input!$D$25*RBs!Y40+Input!$D$26*RBs!Z40+Input!$D$27*RBs!AA40+Input!$D$28*RBs!AB40+Input!$D$29*RBs!AC40+Input!$D$30*RBs!E40+Input!$D$31*RBs!G40+Input!$D$32*RBs!H40+Input!$D$33*RBs!AD40+Input!$D$34*RBs!AE40+Input!$D$35*RBs!AF40+Input!$D$36*RBs!AG40+Input!$D$37*RBs!AH40+Input!$D$38*RBs!AI40+Input!$D$39*RBs!I40+Input!$D$40*RBs!K40</f>
        <v>101.078671328671</v>
      </c>
    </row>
    <row r="41" customFormat="false" ht="12.75" hidden="false" customHeight="false" outlineLevel="0" collapsed="false">
      <c r="A41" s="141" t="s">
        <v>271</v>
      </c>
      <c r="B41" s="111" t="s">
        <v>172</v>
      </c>
      <c r="C41" s="98" t="n">
        <v>170</v>
      </c>
      <c r="D41" s="96" t="n">
        <f aca="false">3.9*C41</f>
        <v>663</v>
      </c>
      <c r="E41" s="96" t="n">
        <v>0</v>
      </c>
      <c r="F41" s="97" t="n">
        <v>2</v>
      </c>
      <c r="G41" s="98" t="n">
        <v>15</v>
      </c>
      <c r="H41" s="96" t="n">
        <f aca="false">8.3*G41</f>
        <v>124.5</v>
      </c>
      <c r="I41" s="96" t="n">
        <v>0</v>
      </c>
      <c r="J41" s="97" t="n">
        <v>0</v>
      </c>
      <c r="K41" s="96" t="n">
        <v>1</v>
      </c>
      <c r="L41" s="119" t="n">
        <v>0.727272727272727</v>
      </c>
      <c r="M41" s="120" t="n">
        <v>0.0979020979020979</v>
      </c>
      <c r="N41" s="120" t="n">
        <v>0.0629370629370629</v>
      </c>
      <c r="O41" s="120" t="n">
        <v>0.020979020979021</v>
      </c>
      <c r="P41" s="120" t="n">
        <v>0.027972027972028</v>
      </c>
      <c r="Q41" s="121" t="n">
        <v>0.0629370629370629</v>
      </c>
      <c r="R41" s="119" t="n">
        <v>0.3</v>
      </c>
      <c r="S41" s="120" t="n">
        <v>0.333333333333333</v>
      </c>
      <c r="T41" s="120" t="n">
        <v>0.166666666666667</v>
      </c>
      <c r="U41" s="120" t="n">
        <v>0.1</v>
      </c>
      <c r="V41" s="120" t="n">
        <v>0.0333333333333333</v>
      </c>
      <c r="W41" s="121" t="n">
        <v>0.0666666666666667</v>
      </c>
      <c r="X41" s="113" t="n">
        <f aca="false">$F41*L41</f>
        <v>1.45454545454545</v>
      </c>
      <c r="Y41" s="114" t="n">
        <f aca="false">$F41*M41</f>
        <v>0.195804195804196</v>
      </c>
      <c r="Z41" s="114" t="n">
        <f aca="false">$F41*N41</f>
        <v>0.125874125874126</v>
      </c>
      <c r="AA41" s="114" t="n">
        <f aca="false">$F41*O41</f>
        <v>0.041958041958042</v>
      </c>
      <c r="AB41" s="114" t="n">
        <f aca="false">$F41*P41</f>
        <v>0.0559440559440559</v>
      </c>
      <c r="AC41" s="115" t="n">
        <f aca="false">$F41*Q41</f>
        <v>0.125874125874126</v>
      </c>
      <c r="AD41" s="113" t="n">
        <f aca="false">R41*$J41</f>
        <v>0</v>
      </c>
      <c r="AE41" s="114" t="n">
        <f aca="false">S41*$J41</f>
        <v>0</v>
      </c>
      <c r="AF41" s="114" t="n">
        <f aca="false">T41*$J41</f>
        <v>0</v>
      </c>
      <c r="AG41" s="114" t="n">
        <f aca="false">U41*$J41</f>
        <v>0</v>
      </c>
      <c r="AH41" s="114" t="n">
        <f aca="false">V41*$J41</f>
        <v>0</v>
      </c>
      <c r="AI41" s="114" t="n">
        <f aca="false">W41*$J41</f>
        <v>0</v>
      </c>
      <c r="AJ41" s="116" t="n">
        <f aca="false">Input!$D$22*RBs!C41+Input!$D$23*RBs!D41+Input!$D$24*RBs!X41+Input!$D$25*RBs!Y41+Input!$D$26*RBs!Z41+Input!$D$27*RBs!AA41+Input!$D$28*RBs!AB41+Input!$D$29*RBs!AC41+Input!$D$30*RBs!E41+Input!$D$31*RBs!G41+Input!$D$32*RBs!H41+Input!$D$33*RBs!AD41+Input!$D$34*RBs!AE41+Input!$D$35*RBs!AF41+Input!$D$36*RBs!AG41+Input!$D$37*RBs!AH41+Input!$D$38*RBs!AI41+Input!$D$39*RBs!I41+Input!$D$40*RBs!K41</f>
        <v>91.3024475524476</v>
      </c>
    </row>
    <row r="42" customFormat="false" ht="12.75" hidden="false" customHeight="false" outlineLevel="0" collapsed="false">
      <c r="A42" s="141" t="s">
        <v>272</v>
      </c>
      <c r="B42" s="111" t="s">
        <v>166</v>
      </c>
      <c r="C42" s="98" t="n">
        <v>60</v>
      </c>
      <c r="D42" s="96" t="n">
        <f aca="false">4*C42</f>
        <v>240</v>
      </c>
      <c r="E42" s="96" t="n">
        <v>0</v>
      </c>
      <c r="F42" s="97" t="n">
        <v>1</v>
      </c>
      <c r="G42" s="98" t="n">
        <v>58</v>
      </c>
      <c r="H42" s="96" t="n">
        <f aca="false">8.8*G42</f>
        <v>510.4</v>
      </c>
      <c r="I42" s="96" t="n">
        <v>0</v>
      </c>
      <c r="J42" s="97" t="n">
        <v>1</v>
      </c>
      <c r="K42" s="96" t="n">
        <v>1</v>
      </c>
      <c r="L42" s="119" t="n">
        <v>0.727272727272727</v>
      </c>
      <c r="M42" s="120" t="n">
        <v>0.0979020979020979</v>
      </c>
      <c r="N42" s="120" t="n">
        <v>0.0629370629370629</v>
      </c>
      <c r="O42" s="120" t="n">
        <v>0.020979020979021</v>
      </c>
      <c r="P42" s="120" t="n">
        <v>0.027972027972028</v>
      </c>
      <c r="Q42" s="121" t="n">
        <v>0.0629370629370629</v>
      </c>
      <c r="R42" s="119" t="n">
        <v>0.3</v>
      </c>
      <c r="S42" s="120" t="n">
        <v>0.333333333333333</v>
      </c>
      <c r="T42" s="120" t="n">
        <v>0.166666666666667</v>
      </c>
      <c r="U42" s="120" t="n">
        <v>0.1</v>
      </c>
      <c r="V42" s="120" t="n">
        <v>0.0333333333333333</v>
      </c>
      <c r="W42" s="121" t="n">
        <v>0.0666666666666667</v>
      </c>
      <c r="X42" s="113" t="n">
        <f aca="false">$F42*L42</f>
        <v>0.727272727272727</v>
      </c>
      <c r="Y42" s="114" t="n">
        <f aca="false">$F42*M42</f>
        <v>0.0979020979020979</v>
      </c>
      <c r="Z42" s="114" t="n">
        <f aca="false">$F42*N42</f>
        <v>0.0629370629370629</v>
      </c>
      <c r="AA42" s="114" t="n">
        <f aca="false">$F42*O42</f>
        <v>0.020979020979021</v>
      </c>
      <c r="AB42" s="114" t="n">
        <f aca="false">$F42*P42</f>
        <v>0.027972027972028</v>
      </c>
      <c r="AC42" s="115" t="n">
        <f aca="false">$F42*Q42</f>
        <v>0.0629370629370629</v>
      </c>
      <c r="AD42" s="113" t="n">
        <f aca="false">R42*$J42</f>
        <v>0.3</v>
      </c>
      <c r="AE42" s="114" t="n">
        <f aca="false">S42*$J42</f>
        <v>0.333333333333333</v>
      </c>
      <c r="AF42" s="114" t="n">
        <f aca="false">T42*$J42</f>
        <v>0.166666666666667</v>
      </c>
      <c r="AG42" s="114" t="n">
        <f aca="false">U42*$J42</f>
        <v>0.1</v>
      </c>
      <c r="AH42" s="114" t="n">
        <f aca="false">V42*$J42</f>
        <v>0.0333333333333333</v>
      </c>
      <c r="AI42" s="114" t="n">
        <f aca="false">W42*$J42</f>
        <v>0.0666666666666667</v>
      </c>
      <c r="AJ42" s="116" t="n">
        <f aca="false">Input!$D$22*RBs!C42+Input!$D$23*RBs!D42+Input!$D$24*RBs!X42+Input!$D$25*RBs!Y42+Input!$D$26*RBs!Z42+Input!$D$27*RBs!AA42+Input!$D$28*RBs!AB42+Input!$D$29*RBs!AC42+Input!$D$30*RBs!E42+Input!$D$31*RBs!G42+Input!$D$32*RBs!H42+Input!$D$33*RBs!AD42+Input!$D$34*RBs!AE42+Input!$D$35*RBs!AF42+Input!$D$36*RBs!AG42+Input!$D$37*RBs!AH42+Input!$D$38*RBs!AI42+Input!$D$39*RBs!I42+Input!$D$40*RBs!K42</f>
        <v>88.3162237762238</v>
      </c>
    </row>
    <row r="43" customFormat="false" ht="12.75" hidden="false" customHeight="false" outlineLevel="0" collapsed="false">
      <c r="A43" s="141" t="s">
        <v>273</v>
      </c>
      <c r="B43" s="111" t="s">
        <v>180</v>
      </c>
      <c r="C43" s="98" t="n">
        <v>155</v>
      </c>
      <c r="D43" s="96" t="n">
        <f aca="false">4*C43</f>
        <v>620</v>
      </c>
      <c r="E43" s="96" t="n">
        <v>0</v>
      </c>
      <c r="F43" s="97" t="n">
        <v>3</v>
      </c>
      <c r="G43" s="98" t="n">
        <v>28</v>
      </c>
      <c r="H43" s="96" t="n">
        <f aca="false">9.5*G43</f>
        <v>266</v>
      </c>
      <c r="I43" s="96" t="n">
        <v>0</v>
      </c>
      <c r="J43" s="97" t="n">
        <v>2</v>
      </c>
      <c r="K43" s="96" t="n">
        <v>1</v>
      </c>
      <c r="L43" s="119" t="n">
        <v>0.727272727272727</v>
      </c>
      <c r="M43" s="120" t="n">
        <v>0.0979020979020979</v>
      </c>
      <c r="N43" s="120" t="n">
        <v>0.0629370629370629</v>
      </c>
      <c r="O43" s="120" t="n">
        <v>0.020979020979021</v>
      </c>
      <c r="P43" s="120" t="n">
        <v>0.027972027972028</v>
      </c>
      <c r="Q43" s="121" t="n">
        <v>0.0629370629370629</v>
      </c>
      <c r="R43" s="119" t="n">
        <v>0.3</v>
      </c>
      <c r="S43" s="120" t="n">
        <v>0.333333333333333</v>
      </c>
      <c r="T43" s="120" t="n">
        <v>0.166666666666667</v>
      </c>
      <c r="U43" s="120" t="n">
        <v>0.1</v>
      </c>
      <c r="V43" s="120" t="n">
        <v>0.0333333333333333</v>
      </c>
      <c r="W43" s="121" t="n">
        <v>0.0666666666666667</v>
      </c>
      <c r="X43" s="113" t="n">
        <f aca="false">$F43*L43</f>
        <v>2.18181818181818</v>
      </c>
      <c r="Y43" s="114" t="n">
        <f aca="false">$F43*M43</f>
        <v>0.293706293706294</v>
      </c>
      <c r="Z43" s="114" t="n">
        <f aca="false">$F43*N43</f>
        <v>0.188811188811189</v>
      </c>
      <c r="AA43" s="114" t="n">
        <f aca="false">$F43*O43</f>
        <v>0.0629370629370629</v>
      </c>
      <c r="AB43" s="114" t="n">
        <f aca="false">$F43*P43</f>
        <v>0.0839160839160839</v>
      </c>
      <c r="AC43" s="115" t="n">
        <f aca="false">$F43*Q43</f>
        <v>0.188811188811189</v>
      </c>
      <c r="AD43" s="113" t="n">
        <f aca="false">R43*$J43</f>
        <v>0.6</v>
      </c>
      <c r="AE43" s="114" t="n">
        <f aca="false">S43*$J43</f>
        <v>0.666666666666667</v>
      </c>
      <c r="AF43" s="114" t="n">
        <f aca="false">T43*$J43</f>
        <v>0.333333333333333</v>
      </c>
      <c r="AG43" s="114" t="n">
        <f aca="false">U43*$J43</f>
        <v>0.2</v>
      </c>
      <c r="AH43" s="114" t="n">
        <f aca="false">V43*$J43</f>
        <v>0.0666666666666667</v>
      </c>
      <c r="AI43" s="114" t="n">
        <f aca="false">W43*$J43</f>
        <v>0.133333333333333</v>
      </c>
      <c r="AJ43" s="116" t="n">
        <f aca="false">Input!$D$22*RBs!C43+Input!$D$23*RBs!D43+Input!$D$24*RBs!X43+Input!$D$25*RBs!Y43+Input!$D$26*RBs!Z43+Input!$D$27*RBs!AA43+Input!$D$28*RBs!AB43+Input!$D$29*RBs!AC43+Input!$D$30*RBs!E43+Input!$D$31*RBs!G43+Input!$D$32*RBs!H43+Input!$D$33*RBs!AD43+Input!$D$34*RBs!AE43+Input!$D$35*RBs!AF43+Input!$D$36*RBs!AG43+Input!$D$37*RBs!AH43+Input!$D$38*RBs!AI43+Input!$D$39*RBs!I43+Input!$D$40*RBs!K43</f>
        <v>122.928671328671</v>
      </c>
    </row>
    <row r="44" customFormat="false" ht="12.75" hidden="false" customHeight="false" outlineLevel="0" collapsed="false">
      <c r="A44" s="141" t="s">
        <v>274</v>
      </c>
      <c r="B44" s="111" t="s">
        <v>168</v>
      </c>
      <c r="C44" s="98" t="n">
        <v>110</v>
      </c>
      <c r="D44" s="96" t="n">
        <f aca="false">4.3*C44</f>
        <v>473</v>
      </c>
      <c r="E44" s="96" t="n">
        <v>0</v>
      </c>
      <c r="F44" s="97" t="n">
        <v>3</v>
      </c>
      <c r="G44" s="98" t="n">
        <v>30</v>
      </c>
      <c r="H44" s="96" t="n">
        <f aca="false">6.6*G44</f>
        <v>198</v>
      </c>
      <c r="I44" s="96" t="n">
        <v>0</v>
      </c>
      <c r="J44" s="97" t="n">
        <v>1</v>
      </c>
      <c r="K44" s="96" t="n">
        <v>1</v>
      </c>
      <c r="L44" s="119" t="n">
        <v>0.727272727272727</v>
      </c>
      <c r="M44" s="120" t="n">
        <v>0.0979020979020979</v>
      </c>
      <c r="N44" s="120" t="n">
        <v>0.0629370629370629</v>
      </c>
      <c r="O44" s="120" t="n">
        <v>0.020979020979021</v>
      </c>
      <c r="P44" s="120" t="n">
        <v>0.027972027972028</v>
      </c>
      <c r="Q44" s="121" t="n">
        <v>0.0629370629370629</v>
      </c>
      <c r="R44" s="119" t="n">
        <v>0.3</v>
      </c>
      <c r="S44" s="120" t="n">
        <v>0.333333333333333</v>
      </c>
      <c r="T44" s="120" t="n">
        <v>0.166666666666667</v>
      </c>
      <c r="U44" s="120" t="n">
        <v>0.1</v>
      </c>
      <c r="V44" s="120" t="n">
        <v>0.0333333333333333</v>
      </c>
      <c r="W44" s="121" t="n">
        <v>0.0666666666666667</v>
      </c>
      <c r="X44" s="113" t="n">
        <f aca="false">$F44*L44</f>
        <v>2.18181818181818</v>
      </c>
      <c r="Y44" s="114" t="n">
        <f aca="false">$F44*M44</f>
        <v>0.293706293706294</v>
      </c>
      <c r="Z44" s="114" t="n">
        <f aca="false">$F44*N44</f>
        <v>0.188811188811189</v>
      </c>
      <c r="AA44" s="114" t="n">
        <f aca="false">$F44*O44</f>
        <v>0.0629370629370629</v>
      </c>
      <c r="AB44" s="114" t="n">
        <f aca="false">$F44*P44</f>
        <v>0.0839160839160839</v>
      </c>
      <c r="AC44" s="115" t="n">
        <f aca="false">$F44*Q44</f>
        <v>0.188811188811189</v>
      </c>
      <c r="AD44" s="113" t="n">
        <f aca="false">R44*$J44</f>
        <v>0.3</v>
      </c>
      <c r="AE44" s="114" t="n">
        <f aca="false">S44*$J44</f>
        <v>0.333333333333333</v>
      </c>
      <c r="AF44" s="114" t="n">
        <f aca="false">T44*$J44</f>
        <v>0.166666666666667</v>
      </c>
      <c r="AG44" s="114" t="n">
        <f aca="false">U44*$J44</f>
        <v>0.1</v>
      </c>
      <c r="AH44" s="114" t="n">
        <f aca="false">V44*$J44</f>
        <v>0.0333333333333333</v>
      </c>
      <c r="AI44" s="114" t="n">
        <f aca="false">W44*$J44</f>
        <v>0.0666666666666667</v>
      </c>
      <c r="AJ44" s="116" t="n">
        <f aca="false">Input!$D$22*RBs!C44+Input!$D$23*RBs!D44+Input!$D$24*RBs!X44+Input!$D$25*RBs!Y44+Input!$D$26*RBs!Z44+Input!$D$27*RBs!AA44+Input!$D$28*RBs!AB44+Input!$D$29*RBs!AC44+Input!$D$30*RBs!E44+Input!$D$31*RBs!G44+Input!$D$32*RBs!H44+Input!$D$33*RBs!AD44+Input!$D$34*RBs!AE44+Input!$D$35*RBs!AF44+Input!$D$36*RBs!AG44+Input!$D$37*RBs!AH44+Input!$D$38*RBs!AI44+Input!$D$39*RBs!I44+Input!$D$40*RBs!K44</f>
        <v>93.9286713286713</v>
      </c>
    </row>
    <row r="45" customFormat="false" ht="12.75" hidden="false" customHeight="false" outlineLevel="0" collapsed="false">
      <c r="A45" s="141" t="s">
        <v>275</v>
      </c>
      <c r="B45" s="111" t="s">
        <v>162</v>
      </c>
      <c r="C45" s="98" t="n">
        <v>120</v>
      </c>
      <c r="D45" s="96" t="n">
        <f aca="false">4.3*C45</f>
        <v>516</v>
      </c>
      <c r="E45" s="96" t="n">
        <v>0</v>
      </c>
      <c r="F45" s="97" t="n">
        <v>3</v>
      </c>
      <c r="G45" s="98" t="n">
        <v>15</v>
      </c>
      <c r="H45" s="96" t="n">
        <f aca="false">7.6*G45</f>
        <v>114</v>
      </c>
      <c r="I45" s="96" t="n">
        <v>0</v>
      </c>
      <c r="J45" s="97" t="n">
        <v>0</v>
      </c>
      <c r="K45" s="96" t="n">
        <v>1</v>
      </c>
      <c r="L45" s="119" t="n">
        <v>0.727272727272727</v>
      </c>
      <c r="M45" s="120" t="n">
        <v>0.0979020979020979</v>
      </c>
      <c r="N45" s="120" t="n">
        <v>0.0629370629370629</v>
      </c>
      <c r="O45" s="120" t="n">
        <v>0.020979020979021</v>
      </c>
      <c r="P45" s="120" t="n">
        <v>0.027972027972028</v>
      </c>
      <c r="Q45" s="121" t="n">
        <v>0.0629370629370629</v>
      </c>
      <c r="R45" s="119" t="n">
        <v>0.3</v>
      </c>
      <c r="S45" s="120" t="n">
        <v>0.333333333333333</v>
      </c>
      <c r="T45" s="120" t="n">
        <v>0.166666666666667</v>
      </c>
      <c r="U45" s="120" t="n">
        <v>0.1</v>
      </c>
      <c r="V45" s="120" t="n">
        <v>0.0333333333333333</v>
      </c>
      <c r="W45" s="121" t="n">
        <v>0.0666666666666667</v>
      </c>
      <c r="X45" s="113" t="n">
        <f aca="false">$F45*L45</f>
        <v>2.18181818181818</v>
      </c>
      <c r="Y45" s="114" t="n">
        <f aca="false">$F45*M45</f>
        <v>0.293706293706294</v>
      </c>
      <c r="Z45" s="114" t="n">
        <f aca="false">$F45*N45</f>
        <v>0.188811188811189</v>
      </c>
      <c r="AA45" s="114" t="n">
        <f aca="false">$F45*O45</f>
        <v>0.0629370629370629</v>
      </c>
      <c r="AB45" s="114" t="n">
        <f aca="false">$F45*P45</f>
        <v>0.0839160839160839</v>
      </c>
      <c r="AC45" s="115" t="n">
        <f aca="false">$F45*Q45</f>
        <v>0.188811188811189</v>
      </c>
      <c r="AD45" s="113" t="n">
        <f aca="false">R45*$J45</f>
        <v>0</v>
      </c>
      <c r="AE45" s="114" t="n">
        <f aca="false">S45*$J45</f>
        <v>0</v>
      </c>
      <c r="AF45" s="114" t="n">
        <f aca="false">T45*$J45</f>
        <v>0</v>
      </c>
      <c r="AG45" s="114" t="n">
        <f aca="false">U45*$J45</f>
        <v>0</v>
      </c>
      <c r="AH45" s="114" t="n">
        <f aca="false">V45*$J45</f>
        <v>0</v>
      </c>
      <c r="AI45" s="114" t="n">
        <f aca="false">W45*$J45</f>
        <v>0</v>
      </c>
      <c r="AJ45" s="116" t="n">
        <f aca="false">Input!$D$22*RBs!C45+Input!$D$23*RBs!D45+Input!$D$24*RBs!X45+Input!$D$25*RBs!Y45+Input!$D$26*RBs!Z45+Input!$D$27*RBs!AA45+Input!$D$28*RBs!AB45+Input!$D$29*RBs!AC45+Input!$D$30*RBs!E45+Input!$D$31*RBs!G45+Input!$D$32*RBs!H45+Input!$D$33*RBs!AD45+Input!$D$34*RBs!AE45+Input!$D$35*RBs!AF45+Input!$D$36*RBs!AG45+Input!$D$37*RBs!AH45+Input!$D$38*RBs!AI45+Input!$D$39*RBs!I45+Input!$D$40*RBs!K45</f>
        <v>82.3286713286713</v>
      </c>
    </row>
    <row r="46" customFormat="false" ht="12.75" hidden="false" customHeight="false" outlineLevel="0" collapsed="false">
      <c r="A46" s="141" t="s">
        <v>276</v>
      </c>
      <c r="B46" s="111" t="s">
        <v>174</v>
      </c>
      <c r="C46" s="98" t="n">
        <v>140</v>
      </c>
      <c r="D46" s="96" t="n">
        <f aca="false">3.5*C46</f>
        <v>490</v>
      </c>
      <c r="E46" s="96" t="n">
        <v>0</v>
      </c>
      <c r="F46" s="97" t="n">
        <v>2</v>
      </c>
      <c r="G46" s="98" t="n">
        <v>25</v>
      </c>
      <c r="H46" s="96" t="n">
        <f aca="false">6.3*G46</f>
        <v>157.5</v>
      </c>
      <c r="I46" s="96" t="n">
        <v>0</v>
      </c>
      <c r="J46" s="97" t="n">
        <v>1</v>
      </c>
      <c r="K46" s="96" t="n">
        <v>1</v>
      </c>
      <c r="L46" s="119" t="n">
        <v>0.727272727272727</v>
      </c>
      <c r="M46" s="120" t="n">
        <v>0.0979020979020979</v>
      </c>
      <c r="N46" s="120" t="n">
        <v>0.0629370629370629</v>
      </c>
      <c r="O46" s="120" t="n">
        <v>0.020979020979021</v>
      </c>
      <c r="P46" s="120" t="n">
        <v>0.027972027972028</v>
      </c>
      <c r="Q46" s="121" t="n">
        <v>0.0629370629370629</v>
      </c>
      <c r="R46" s="119" t="n">
        <v>0.3</v>
      </c>
      <c r="S46" s="120" t="n">
        <v>0.333333333333333</v>
      </c>
      <c r="T46" s="120" t="n">
        <v>0.166666666666667</v>
      </c>
      <c r="U46" s="120" t="n">
        <v>0.1</v>
      </c>
      <c r="V46" s="120" t="n">
        <v>0.0333333333333333</v>
      </c>
      <c r="W46" s="121" t="n">
        <v>0.0666666666666667</v>
      </c>
      <c r="X46" s="113" t="n">
        <f aca="false">$F46*L46</f>
        <v>1.45454545454545</v>
      </c>
      <c r="Y46" s="114" t="n">
        <f aca="false">$F46*M46</f>
        <v>0.195804195804196</v>
      </c>
      <c r="Z46" s="114" t="n">
        <f aca="false">$F46*N46</f>
        <v>0.125874125874126</v>
      </c>
      <c r="AA46" s="114" t="n">
        <f aca="false">$F46*O46</f>
        <v>0.041958041958042</v>
      </c>
      <c r="AB46" s="114" t="n">
        <f aca="false">$F46*P46</f>
        <v>0.0559440559440559</v>
      </c>
      <c r="AC46" s="115" t="n">
        <f aca="false">$F46*Q46</f>
        <v>0.125874125874126</v>
      </c>
      <c r="AD46" s="113" t="n">
        <f aca="false">R46*$J46</f>
        <v>0.3</v>
      </c>
      <c r="AE46" s="114" t="n">
        <f aca="false">S46*$J46</f>
        <v>0.333333333333333</v>
      </c>
      <c r="AF46" s="114" t="n">
        <f aca="false">T46*$J46</f>
        <v>0.166666666666667</v>
      </c>
      <c r="AG46" s="114" t="n">
        <f aca="false">U46*$J46</f>
        <v>0.1</v>
      </c>
      <c r="AH46" s="114" t="n">
        <f aca="false">V46*$J46</f>
        <v>0.0333333333333333</v>
      </c>
      <c r="AI46" s="114" t="n">
        <f aca="false">W46*$J46</f>
        <v>0.0666666666666667</v>
      </c>
      <c r="AJ46" s="116" t="n">
        <f aca="false">Input!$D$22*RBs!C46+Input!$D$23*RBs!D46+Input!$D$24*RBs!X46+Input!$D$25*RBs!Y46+Input!$D$26*RBs!Z46+Input!$D$27*RBs!AA46+Input!$D$28*RBs!AB46+Input!$D$29*RBs!AC46+Input!$D$30*RBs!E46+Input!$D$31*RBs!G46+Input!$D$32*RBs!H46+Input!$D$33*RBs!AD46+Input!$D$34*RBs!AE46+Input!$D$35*RBs!AF46+Input!$D$36*RBs!AG46+Input!$D$37*RBs!AH46+Input!$D$38*RBs!AI46+Input!$D$39*RBs!I46+Input!$D$40*RBs!K46</f>
        <v>84.8024475524476</v>
      </c>
    </row>
    <row r="47" customFormat="false" ht="12.75" hidden="false" customHeight="false" outlineLevel="0" collapsed="false">
      <c r="A47" s="141" t="s">
        <v>277</v>
      </c>
      <c r="B47" s="111" t="s">
        <v>150</v>
      </c>
      <c r="C47" s="98" t="n">
        <v>15</v>
      </c>
      <c r="D47" s="96" t="n">
        <f aca="false">3.8*C47</f>
        <v>57</v>
      </c>
      <c r="E47" s="96" t="n">
        <v>0</v>
      </c>
      <c r="F47" s="97" t="n">
        <v>0</v>
      </c>
      <c r="G47" s="98" t="n">
        <v>70</v>
      </c>
      <c r="H47" s="96" t="n">
        <f aca="false">8*G47</f>
        <v>560</v>
      </c>
      <c r="I47" s="96" t="n">
        <v>0</v>
      </c>
      <c r="J47" s="97" t="n">
        <v>3</v>
      </c>
      <c r="K47" s="96" t="n">
        <v>0</v>
      </c>
      <c r="L47" s="119" t="n">
        <v>0.727272727272727</v>
      </c>
      <c r="M47" s="120" t="n">
        <v>0.0979020979020979</v>
      </c>
      <c r="N47" s="120" t="n">
        <v>0.0629370629370629</v>
      </c>
      <c r="O47" s="120" t="n">
        <v>0.020979020979021</v>
      </c>
      <c r="P47" s="120" t="n">
        <v>0.027972027972028</v>
      </c>
      <c r="Q47" s="121" t="n">
        <v>0.0629370629370629</v>
      </c>
      <c r="R47" s="119" t="n">
        <v>0.3</v>
      </c>
      <c r="S47" s="120" t="n">
        <v>0.333333333333333</v>
      </c>
      <c r="T47" s="120" t="n">
        <v>0.166666666666667</v>
      </c>
      <c r="U47" s="120" t="n">
        <v>0.1</v>
      </c>
      <c r="V47" s="120" t="n">
        <v>0.0333333333333333</v>
      </c>
      <c r="W47" s="121" t="n">
        <v>0.0666666666666667</v>
      </c>
      <c r="X47" s="113" t="n">
        <f aca="false">$F47*L47</f>
        <v>0</v>
      </c>
      <c r="Y47" s="114" t="n">
        <f aca="false">$F47*M47</f>
        <v>0</v>
      </c>
      <c r="Z47" s="114" t="n">
        <f aca="false">$F47*N47</f>
        <v>0</v>
      </c>
      <c r="AA47" s="114" t="n">
        <f aca="false">$F47*O47</f>
        <v>0</v>
      </c>
      <c r="AB47" s="114" t="n">
        <f aca="false">$F47*P47</f>
        <v>0</v>
      </c>
      <c r="AC47" s="115" t="n">
        <f aca="false">$F47*Q47</f>
        <v>0</v>
      </c>
      <c r="AD47" s="113" t="n">
        <f aca="false">R47*$J47</f>
        <v>0.9</v>
      </c>
      <c r="AE47" s="114" t="n">
        <f aca="false">S47*$J47</f>
        <v>1</v>
      </c>
      <c r="AF47" s="114" t="n">
        <f aca="false">T47*$J47</f>
        <v>0.5</v>
      </c>
      <c r="AG47" s="114" t="n">
        <f aca="false">U47*$J47</f>
        <v>0.3</v>
      </c>
      <c r="AH47" s="114" t="n">
        <f aca="false">V47*$J47</f>
        <v>0.1</v>
      </c>
      <c r="AI47" s="114" t="n">
        <f aca="false">W47*$J47</f>
        <v>0.2</v>
      </c>
      <c r="AJ47" s="116" t="n">
        <f aca="false">Input!$D$22*RBs!C47+Input!$D$23*RBs!D47+Input!$D$24*RBs!X47+Input!$D$25*RBs!Y47+Input!$D$26*RBs!Z47+Input!$D$27*RBs!AA47+Input!$D$28*RBs!AB47+Input!$D$29*RBs!AC47+Input!$D$30*RBs!E47+Input!$D$31*RBs!G47+Input!$D$32*RBs!H47+Input!$D$33*RBs!AD47+Input!$D$34*RBs!AE47+Input!$D$35*RBs!AF47+Input!$D$36*RBs!AG47+Input!$D$37*RBs!AH47+Input!$D$38*RBs!AI47+Input!$D$39*RBs!I47+Input!$D$40*RBs!K47</f>
        <v>84.2</v>
      </c>
    </row>
    <row r="48" customFormat="false" ht="12.75" hidden="false" customHeight="false" outlineLevel="0" collapsed="false">
      <c r="A48" s="141" t="s">
        <v>278</v>
      </c>
      <c r="B48" s="111" t="s">
        <v>172</v>
      </c>
      <c r="C48" s="98" t="n">
        <v>100</v>
      </c>
      <c r="D48" s="96" t="n">
        <f aca="false">3.9*C48</f>
        <v>390</v>
      </c>
      <c r="E48" s="96" t="n">
        <v>0</v>
      </c>
      <c r="F48" s="97" t="n">
        <v>5</v>
      </c>
      <c r="G48" s="98" t="n">
        <v>8</v>
      </c>
      <c r="H48" s="96" t="n">
        <f aca="false">4.5*G48</f>
        <v>36</v>
      </c>
      <c r="I48" s="96" t="n">
        <v>0</v>
      </c>
      <c r="J48" s="97" t="n">
        <v>0</v>
      </c>
      <c r="K48" s="96" t="n">
        <v>1</v>
      </c>
      <c r="L48" s="119" t="n">
        <v>0.727272727272727</v>
      </c>
      <c r="M48" s="120" t="n">
        <v>0.0979020979020979</v>
      </c>
      <c r="N48" s="120" t="n">
        <v>0.0629370629370629</v>
      </c>
      <c r="O48" s="120" t="n">
        <v>0.020979020979021</v>
      </c>
      <c r="P48" s="120" t="n">
        <v>0.027972027972028</v>
      </c>
      <c r="Q48" s="121" t="n">
        <v>0.0629370629370629</v>
      </c>
      <c r="R48" s="119" t="n">
        <v>0.3</v>
      </c>
      <c r="S48" s="120" t="n">
        <v>0.333333333333333</v>
      </c>
      <c r="T48" s="120" t="n">
        <v>0.166666666666667</v>
      </c>
      <c r="U48" s="120" t="n">
        <v>0.1</v>
      </c>
      <c r="V48" s="120" t="n">
        <v>0.0333333333333333</v>
      </c>
      <c r="W48" s="121" t="n">
        <v>0.0666666666666667</v>
      </c>
      <c r="X48" s="113" t="n">
        <f aca="false">$F48*L48</f>
        <v>3.63636363636364</v>
      </c>
      <c r="Y48" s="114" t="n">
        <f aca="false">$F48*M48</f>
        <v>0.48951048951049</v>
      </c>
      <c r="Z48" s="114" t="n">
        <f aca="false">$F48*N48</f>
        <v>0.314685314685315</v>
      </c>
      <c r="AA48" s="114" t="n">
        <f aca="false">$F48*O48</f>
        <v>0.104895104895105</v>
      </c>
      <c r="AB48" s="114" t="n">
        <f aca="false">$F48*P48</f>
        <v>0.13986013986014</v>
      </c>
      <c r="AC48" s="115" t="n">
        <f aca="false">$F48*Q48</f>
        <v>0.314685314685315</v>
      </c>
      <c r="AD48" s="113" t="n">
        <f aca="false">R48*$J48</f>
        <v>0</v>
      </c>
      <c r="AE48" s="114" t="n">
        <f aca="false">S48*$J48</f>
        <v>0</v>
      </c>
      <c r="AF48" s="114" t="n">
        <f aca="false">T48*$J48</f>
        <v>0</v>
      </c>
      <c r="AG48" s="114" t="n">
        <f aca="false">U48*$J48</f>
        <v>0</v>
      </c>
      <c r="AH48" s="114" t="n">
        <f aca="false">V48*$J48</f>
        <v>0</v>
      </c>
      <c r="AI48" s="114" t="n">
        <f aca="false">W48*$J48</f>
        <v>0</v>
      </c>
      <c r="AJ48" s="116" t="n">
        <f aca="false">Input!$D$22*RBs!C48+Input!$D$23*RBs!D48+Input!$D$24*RBs!X48+Input!$D$25*RBs!Y48+Input!$D$26*RBs!Z48+Input!$D$27*RBs!AA48+Input!$D$28*RBs!AB48+Input!$D$29*RBs!AC48+Input!$D$30*RBs!E48+Input!$D$31*RBs!G48+Input!$D$32*RBs!H48+Input!$D$33*RBs!AD48+Input!$D$34*RBs!AE48+Input!$D$35*RBs!AF48+Input!$D$36*RBs!AG48+Input!$D$37*RBs!AH48+Input!$D$38*RBs!AI48+Input!$D$39*RBs!I48+Input!$D$40*RBs!K48</f>
        <v>75.4811188811189</v>
      </c>
    </row>
    <row r="49" customFormat="false" ht="12.75" hidden="false" customHeight="false" outlineLevel="0" collapsed="false">
      <c r="A49" s="141" t="s">
        <v>279</v>
      </c>
      <c r="B49" s="111" t="s">
        <v>192</v>
      </c>
      <c r="C49" s="98" t="n">
        <v>20</v>
      </c>
      <c r="D49" s="96" t="n">
        <f aca="false">4.5*C49</f>
        <v>90</v>
      </c>
      <c r="E49" s="96" t="n">
        <v>0</v>
      </c>
      <c r="F49" s="97" t="n">
        <v>0</v>
      </c>
      <c r="G49" s="98" t="n">
        <v>5</v>
      </c>
      <c r="H49" s="96" t="n">
        <f aca="false">10*G49</f>
        <v>50</v>
      </c>
      <c r="I49" s="96" t="n">
        <v>0</v>
      </c>
      <c r="J49" s="97" t="n">
        <v>0</v>
      </c>
      <c r="K49" s="96" t="n">
        <v>0</v>
      </c>
      <c r="L49" s="119" t="n">
        <v>0.727272727272727</v>
      </c>
      <c r="M49" s="120" t="n">
        <v>0.0979020979020979</v>
      </c>
      <c r="N49" s="120" t="n">
        <v>0.0629370629370629</v>
      </c>
      <c r="O49" s="120" t="n">
        <v>0.020979020979021</v>
      </c>
      <c r="P49" s="120" t="n">
        <v>0.027972027972028</v>
      </c>
      <c r="Q49" s="121" t="n">
        <v>0.0629370629370629</v>
      </c>
      <c r="R49" s="119" t="n">
        <v>0.3</v>
      </c>
      <c r="S49" s="120" t="n">
        <v>0.333333333333333</v>
      </c>
      <c r="T49" s="120" t="n">
        <v>0.166666666666667</v>
      </c>
      <c r="U49" s="120" t="n">
        <v>0.1</v>
      </c>
      <c r="V49" s="120" t="n">
        <v>0.0333333333333333</v>
      </c>
      <c r="W49" s="121" t="n">
        <v>0.0666666666666667</v>
      </c>
      <c r="X49" s="113" t="n">
        <f aca="false">$F49*L49</f>
        <v>0</v>
      </c>
      <c r="Y49" s="114" t="n">
        <f aca="false">$F49*M49</f>
        <v>0</v>
      </c>
      <c r="Z49" s="114" t="n">
        <f aca="false">$F49*N49</f>
        <v>0</v>
      </c>
      <c r="AA49" s="114" t="n">
        <f aca="false">$F49*O49</f>
        <v>0</v>
      </c>
      <c r="AB49" s="114" t="n">
        <f aca="false">$F49*P49</f>
        <v>0</v>
      </c>
      <c r="AC49" s="115" t="n">
        <f aca="false">$F49*Q49</f>
        <v>0</v>
      </c>
      <c r="AD49" s="113" t="n">
        <f aca="false">R49*$J49</f>
        <v>0</v>
      </c>
      <c r="AE49" s="114" t="n">
        <f aca="false">S49*$J49</f>
        <v>0</v>
      </c>
      <c r="AF49" s="114" t="n">
        <f aca="false">T49*$J49</f>
        <v>0</v>
      </c>
      <c r="AG49" s="114" t="n">
        <f aca="false">U49*$J49</f>
        <v>0</v>
      </c>
      <c r="AH49" s="114" t="n">
        <f aca="false">V49*$J49</f>
        <v>0</v>
      </c>
      <c r="AI49" s="114" t="n">
        <f aca="false">W49*$J49</f>
        <v>0</v>
      </c>
      <c r="AJ49" s="116" t="n">
        <f aca="false">Input!$D$22*RBs!C49+Input!$D$23*RBs!D49+Input!$D$24*RBs!X49+Input!$D$25*RBs!Y49+Input!$D$26*RBs!Z49+Input!$D$27*RBs!AA49+Input!$D$28*RBs!AB49+Input!$D$29*RBs!AC49+Input!$D$30*RBs!E49+Input!$D$31*RBs!G49+Input!$D$32*RBs!H49+Input!$D$33*RBs!AD49+Input!$D$34*RBs!AE49+Input!$D$35*RBs!AF49+Input!$D$36*RBs!AG49+Input!$D$37*RBs!AH49+Input!$D$38*RBs!AI49+Input!$D$39*RBs!I49+Input!$D$40*RBs!K49</f>
        <v>14</v>
      </c>
    </row>
    <row r="50" customFormat="false" ht="12.75" hidden="false" customHeight="false" outlineLevel="0" collapsed="false">
      <c r="A50" s="141" t="s">
        <v>280</v>
      </c>
      <c r="B50" s="111" t="s">
        <v>196</v>
      </c>
      <c r="C50" s="98" t="n">
        <v>60</v>
      </c>
      <c r="D50" s="96" t="n">
        <f aca="false">3.5*C50</f>
        <v>210</v>
      </c>
      <c r="E50" s="96" t="n">
        <v>0</v>
      </c>
      <c r="F50" s="97" t="n">
        <v>2</v>
      </c>
      <c r="G50" s="98" t="n">
        <v>44</v>
      </c>
      <c r="H50" s="96" t="n">
        <f aca="false">7.3*G50</f>
        <v>321.2</v>
      </c>
      <c r="I50" s="96" t="n">
        <v>0</v>
      </c>
      <c r="J50" s="97" t="n">
        <v>1</v>
      </c>
      <c r="K50" s="96" t="n">
        <v>1</v>
      </c>
      <c r="L50" s="119" t="n">
        <v>0.727272727272727</v>
      </c>
      <c r="M50" s="120" t="n">
        <v>0.0979020979020979</v>
      </c>
      <c r="N50" s="120" t="n">
        <v>0.0629370629370629</v>
      </c>
      <c r="O50" s="120" t="n">
        <v>0.020979020979021</v>
      </c>
      <c r="P50" s="120" t="n">
        <v>0.027972027972028</v>
      </c>
      <c r="Q50" s="121" t="n">
        <v>0.0629370629370629</v>
      </c>
      <c r="R50" s="119" t="n">
        <v>0.3</v>
      </c>
      <c r="S50" s="120" t="n">
        <v>0.333333333333333</v>
      </c>
      <c r="T50" s="120" t="n">
        <v>0.166666666666667</v>
      </c>
      <c r="U50" s="120" t="n">
        <v>0.1</v>
      </c>
      <c r="V50" s="120" t="n">
        <v>0.0333333333333333</v>
      </c>
      <c r="W50" s="121" t="n">
        <v>0.0666666666666667</v>
      </c>
      <c r="X50" s="113" t="n">
        <f aca="false">$F50*L50</f>
        <v>1.45454545454545</v>
      </c>
      <c r="Y50" s="114" t="n">
        <f aca="false">$F50*M50</f>
        <v>0.195804195804196</v>
      </c>
      <c r="Z50" s="114" t="n">
        <f aca="false">$F50*N50</f>
        <v>0.125874125874126</v>
      </c>
      <c r="AA50" s="114" t="n">
        <f aca="false">$F50*O50</f>
        <v>0.041958041958042</v>
      </c>
      <c r="AB50" s="114" t="n">
        <f aca="false">$F50*P50</f>
        <v>0.0559440559440559</v>
      </c>
      <c r="AC50" s="115" t="n">
        <f aca="false">$F50*Q50</f>
        <v>0.125874125874126</v>
      </c>
      <c r="AD50" s="113" t="n">
        <f aca="false">R50*$J50</f>
        <v>0.3</v>
      </c>
      <c r="AE50" s="114" t="n">
        <f aca="false">S50*$J50</f>
        <v>0.333333333333333</v>
      </c>
      <c r="AF50" s="114" t="n">
        <f aca="false">T50*$J50</f>
        <v>0.166666666666667</v>
      </c>
      <c r="AG50" s="114" t="n">
        <f aca="false">U50*$J50</f>
        <v>0.1</v>
      </c>
      <c r="AH50" s="114" t="n">
        <f aca="false">V50*$J50</f>
        <v>0.0333333333333333</v>
      </c>
      <c r="AI50" s="114" t="n">
        <f aca="false">W50*$J50</f>
        <v>0.0666666666666667</v>
      </c>
      <c r="AJ50" s="116" t="n">
        <f aca="false">Input!$D$22*RBs!C50+Input!$D$23*RBs!D50+Input!$D$24*RBs!X50+Input!$D$25*RBs!Y50+Input!$D$26*RBs!Z50+Input!$D$27*RBs!AA50+Input!$D$28*RBs!AB50+Input!$D$29*RBs!AC50+Input!$D$30*RBs!E50+Input!$D$31*RBs!G50+Input!$D$32*RBs!H50+Input!$D$33*RBs!AD50+Input!$D$34*RBs!AE50+Input!$D$35*RBs!AF50+Input!$D$36*RBs!AG50+Input!$D$37*RBs!AH50+Input!$D$38*RBs!AI50+Input!$D$39*RBs!I50+Input!$D$40*RBs!K50</f>
        <v>73.1724475524475</v>
      </c>
    </row>
    <row r="51" customFormat="false" ht="12.75" hidden="false" customHeight="false" outlineLevel="0" collapsed="false">
      <c r="A51" s="141" t="s">
        <v>281</v>
      </c>
      <c r="B51" s="111" t="s">
        <v>170</v>
      </c>
      <c r="C51" s="94" t="n">
        <v>50</v>
      </c>
      <c r="D51" s="95" t="n">
        <f aca="false">3.5*C51</f>
        <v>175</v>
      </c>
      <c r="E51" s="95" t="n">
        <v>0</v>
      </c>
      <c r="F51" s="122" t="n">
        <v>1</v>
      </c>
      <c r="G51" s="94" t="n">
        <v>45</v>
      </c>
      <c r="H51" s="95" t="n">
        <f aca="false">7.3*G51</f>
        <v>328.5</v>
      </c>
      <c r="I51" s="95" t="n">
        <v>0</v>
      </c>
      <c r="J51" s="122" t="n">
        <v>2</v>
      </c>
      <c r="K51" s="95" t="n">
        <v>1</v>
      </c>
      <c r="L51" s="119" t="n">
        <v>0.727272727272727</v>
      </c>
      <c r="M51" s="120" t="n">
        <v>0.0979020979020979</v>
      </c>
      <c r="N51" s="120" t="n">
        <v>0.0629370629370629</v>
      </c>
      <c r="O51" s="120" t="n">
        <v>0.020979020979021</v>
      </c>
      <c r="P51" s="120" t="n">
        <v>0.027972027972028</v>
      </c>
      <c r="Q51" s="121" t="n">
        <v>0.0629370629370629</v>
      </c>
      <c r="R51" s="119" t="n">
        <v>0.3</v>
      </c>
      <c r="S51" s="120" t="n">
        <v>0.333333333333333</v>
      </c>
      <c r="T51" s="120" t="n">
        <v>0.166666666666667</v>
      </c>
      <c r="U51" s="120" t="n">
        <v>0.1</v>
      </c>
      <c r="V51" s="120" t="n">
        <v>0.0333333333333333</v>
      </c>
      <c r="W51" s="121" t="n">
        <v>0.0666666666666667</v>
      </c>
      <c r="X51" s="113" t="n">
        <f aca="false">$F51*L51</f>
        <v>0.727272727272727</v>
      </c>
      <c r="Y51" s="114" t="n">
        <f aca="false">$F51*M51</f>
        <v>0.0979020979020979</v>
      </c>
      <c r="Z51" s="114" t="n">
        <f aca="false">$F51*N51</f>
        <v>0.0629370629370629</v>
      </c>
      <c r="AA51" s="114" t="n">
        <f aca="false">$F51*O51</f>
        <v>0.020979020979021</v>
      </c>
      <c r="AB51" s="114" t="n">
        <f aca="false">$F51*P51</f>
        <v>0.027972027972028</v>
      </c>
      <c r="AC51" s="115" t="n">
        <f aca="false">$F51*Q51</f>
        <v>0.0629370629370629</v>
      </c>
      <c r="AD51" s="113" t="n">
        <f aca="false">R51*$J51</f>
        <v>0.6</v>
      </c>
      <c r="AE51" s="114" t="n">
        <f aca="false">S51*$J51</f>
        <v>0.666666666666667</v>
      </c>
      <c r="AF51" s="114" t="n">
        <f aca="false">T51*$J51</f>
        <v>0.333333333333333</v>
      </c>
      <c r="AG51" s="114" t="n">
        <f aca="false">U51*$J51</f>
        <v>0.2</v>
      </c>
      <c r="AH51" s="114" t="n">
        <f aca="false">V51*$J51</f>
        <v>0.0666666666666667</v>
      </c>
      <c r="AI51" s="114" t="n">
        <f aca="false">W51*$J51</f>
        <v>0.133333333333333</v>
      </c>
      <c r="AJ51" s="116" t="n">
        <f aca="false">Input!$D$22*RBs!C51+Input!$D$23*RBs!D51+Input!$D$24*RBs!X51+Input!$D$25*RBs!Y51+Input!$D$26*RBs!Z51+Input!$D$27*RBs!AA51+Input!$D$28*RBs!AB51+Input!$D$29*RBs!AC51+Input!$D$30*RBs!E51+Input!$D$31*RBs!G51+Input!$D$32*RBs!H51+Input!$D$33*RBs!AD51+Input!$D$34*RBs!AE51+Input!$D$35*RBs!AF51+Input!$D$36*RBs!AG51+Input!$D$37*RBs!AH51+Input!$D$38*RBs!AI51+Input!$D$39*RBs!I51+Input!$D$40*RBs!K51</f>
        <v>71.1262237762238</v>
      </c>
    </row>
    <row r="52" customFormat="false" ht="12.75" hidden="false" customHeight="false" outlineLevel="0" collapsed="false">
      <c r="A52" s="141" t="s">
        <v>282</v>
      </c>
      <c r="B52" s="111" t="s">
        <v>136</v>
      </c>
      <c r="C52" s="98" t="n">
        <v>65</v>
      </c>
      <c r="D52" s="96" t="n">
        <f aca="false">3.8*C52</f>
        <v>247</v>
      </c>
      <c r="E52" s="96" t="n">
        <v>0</v>
      </c>
      <c r="F52" s="97" t="n">
        <v>4</v>
      </c>
      <c r="G52" s="98" t="n">
        <v>15</v>
      </c>
      <c r="H52" s="96" t="n">
        <f aca="false">9*G52</f>
        <v>135</v>
      </c>
      <c r="I52" s="96" t="n">
        <v>0</v>
      </c>
      <c r="J52" s="97" t="n">
        <v>1</v>
      </c>
      <c r="K52" s="96" t="n">
        <v>1</v>
      </c>
      <c r="L52" s="119" t="n">
        <v>0.727272727272727</v>
      </c>
      <c r="M52" s="120" t="n">
        <v>0.0979020979020979</v>
      </c>
      <c r="N52" s="120" t="n">
        <v>0.0629370629370629</v>
      </c>
      <c r="O52" s="120" t="n">
        <v>0.020979020979021</v>
      </c>
      <c r="P52" s="120" t="n">
        <v>0.027972027972028</v>
      </c>
      <c r="Q52" s="121" t="n">
        <v>0.0629370629370629</v>
      </c>
      <c r="R52" s="119" t="n">
        <v>0.3</v>
      </c>
      <c r="S52" s="120" t="n">
        <v>0.333333333333333</v>
      </c>
      <c r="T52" s="120" t="n">
        <v>0.166666666666667</v>
      </c>
      <c r="U52" s="120" t="n">
        <v>0.1</v>
      </c>
      <c r="V52" s="120" t="n">
        <v>0.0333333333333333</v>
      </c>
      <c r="W52" s="121" t="n">
        <v>0.0666666666666667</v>
      </c>
      <c r="X52" s="113" t="n">
        <f aca="false">$F52*L52</f>
        <v>2.90909090909091</v>
      </c>
      <c r="Y52" s="114" t="n">
        <f aca="false">$F52*M52</f>
        <v>0.391608391608392</v>
      </c>
      <c r="Z52" s="114" t="n">
        <f aca="false">$F52*N52</f>
        <v>0.251748251748252</v>
      </c>
      <c r="AA52" s="114" t="n">
        <f aca="false">$F52*O52</f>
        <v>0.0839160839160839</v>
      </c>
      <c r="AB52" s="114" t="n">
        <f aca="false">$F52*P52</f>
        <v>0.111888111888112</v>
      </c>
      <c r="AC52" s="115" t="n">
        <f aca="false">$F52*Q52</f>
        <v>0.251748251748252</v>
      </c>
      <c r="AD52" s="113" t="n">
        <f aca="false">R52*$J52</f>
        <v>0.3</v>
      </c>
      <c r="AE52" s="114" t="n">
        <f aca="false">S52*$J52</f>
        <v>0.333333333333333</v>
      </c>
      <c r="AF52" s="114" t="n">
        <f aca="false">T52*$J52</f>
        <v>0.166666666666667</v>
      </c>
      <c r="AG52" s="114" t="n">
        <f aca="false">U52*$J52</f>
        <v>0.1</v>
      </c>
      <c r="AH52" s="114" t="n">
        <f aca="false">V52*$J52</f>
        <v>0.0333333333333333</v>
      </c>
      <c r="AI52" s="114" t="n">
        <f aca="false">W52*$J52</f>
        <v>0.0666666666666667</v>
      </c>
      <c r="AJ52" s="116" t="n">
        <f aca="false">Input!$D$22*RBs!C52+Input!$D$23*RBs!D52+Input!$D$24*RBs!X52+Input!$D$25*RBs!Y52+Input!$D$26*RBs!Z52+Input!$D$27*RBs!AA52+Input!$D$28*RBs!AB52+Input!$D$29*RBs!AC52+Input!$D$30*RBs!E52+Input!$D$31*RBs!G52+Input!$D$32*RBs!H52+Input!$D$33*RBs!AD52+Input!$D$34*RBs!AE52+Input!$D$35*RBs!AF52+Input!$D$36*RBs!AG52+Input!$D$37*RBs!AH52+Input!$D$38*RBs!AI52+Input!$D$39*RBs!I52+Input!$D$40*RBs!K52</f>
        <v>71.8048951048951</v>
      </c>
    </row>
    <row r="53" customFormat="false" ht="12.75" hidden="false" customHeight="false" outlineLevel="0" collapsed="false">
      <c r="A53" s="141" t="s">
        <v>283</v>
      </c>
      <c r="B53" s="111" t="s">
        <v>184</v>
      </c>
      <c r="C53" s="98" t="n">
        <v>140</v>
      </c>
      <c r="D53" s="96" t="n">
        <f aca="false">4.2*C53</f>
        <v>588</v>
      </c>
      <c r="E53" s="96" t="n">
        <v>0</v>
      </c>
      <c r="F53" s="97" t="n">
        <v>3</v>
      </c>
      <c r="G53" s="98" t="n">
        <v>25</v>
      </c>
      <c r="H53" s="96" t="n">
        <f aca="false">7*G53</f>
        <v>175</v>
      </c>
      <c r="I53" s="96" t="n">
        <v>0</v>
      </c>
      <c r="J53" s="97" t="n">
        <v>1</v>
      </c>
      <c r="K53" s="96" t="n">
        <v>1</v>
      </c>
      <c r="L53" s="119" t="n">
        <v>0.727272727272727</v>
      </c>
      <c r="M53" s="120" t="n">
        <v>0.0979020979020979</v>
      </c>
      <c r="N53" s="120" t="n">
        <v>0.0629370629370629</v>
      </c>
      <c r="O53" s="120" t="n">
        <v>0.020979020979021</v>
      </c>
      <c r="P53" s="120" t="n">
        <v>0.027972027972028</v>
      </c>
      <c r="Q53" s="121" t="n">
        <v>0.0629370629370629</v>
      </c>
      <c r="R53" s="119" t="n">
        <v>0.3</v>
      </c>
      <c r="S53" s="120" t="n">
        <v>0.333333333333333</v>
      </c>
      <c r="T53" s="120" t="n">
        <v>0.166666666666667</v>
      </c>
      <c r="U53" s="120" t="n">
        <v>0.1</v>
      </c>
      <c r="V53" s="120" t="n">
        <v>0.0333333333333333</v>
      </c>
      <c r="W53" s="121" t="n">
        <v>0.0666666666666667</v>
      </c>
      <c r="X53" s="113" t="n">
        <f aca="false">$F53*L53</f>
        <v>2.18181818181818</v>
      </c>
      <c r="Y53" s="114" t="n">
        <f aca="false">$F53*M53</f>
        <v>0.293706293706294</v>
      </c>
      <c r="Z53" s="114" t="n">
        <f aca="false">$F53*N53</f>
        <v>0.188811188811189</v>
      </c>
      <c r="AA53" s="114" t="n">
        <f aca="false">$F53*O53</f>
        <v>0.0629370629370629</v>
      </c>
      <c r="AB53" s="114" t="n">
        <f aca="false">$F53*P53</f>
        <v>0.0839160839160839</v>
      </c>
      <c r="AC53" s="115" t="n">
        <f aca="false">$F53*Q53</f>
        <v>0.188811188811189</v>
      </c>
      <c r="AD53" s="113" t="n">
        <f aca="false">R53*$J53</f>
        <v>0.3</v>
      </c>
      <c r="AE53" s="114" t="n">
        <f aca="false">S53*$J53</f>
        <v>0.333333333333333</v>
      </c>
      <c r="AF53" s="114" t="n">
        <f aca="false">T53*$J53</f>
        <v>0.166666666666667</v>
      </c>
      <c r="AG53" s="114" t="n">
        <f aca="false">U53*$J53</f>
        <v>0.1</v>
      </c>
      <c r="AH53" s="114" t="n">
        <f aca="false">V53*$J53</f>
        <v>0.0333333333333333</v>
      </c>
      <c r="AI53" s="114" t="n">
        <f aca="false">W53*$J53</f>
        <v>0.0666666666666667</v>
      </c>
      <c r="AJ53" s="116" t="n">
        <f aca="false">Input!$D$22*RBs!C53+Input!$D$23*RBs!D53+Input!$D$24*RBs!X53+Input!$D$25*RBs!Y53+Input!$D$26*RBs!Z53+Input!$D$27*RBs!AA53+Input!$D$28*RBs!AB53+Input!$D$29*RBs!AC53+Input!$D$30*RBs!E53+Input!$D$31*RBs!G53+Input!$D$32*RBs!H53+Input!$D$33*RBs!AD53+Input!$D$34*RBs!AE53+Input!$D$35*RBs!AF53+Input!$D$36*RBs!AG53+Input!$D$37*RBs!AH53+Input!$D$38*RBs!AI53+Input!$D$39*RBs!I53+Input!$D$40*RBs!K53</f>
        <v>103.128671328671</v>
      </c>
    </row>
    <row r="54" customFormat="false" ht="12.75" hidden="false" customHeight="false" outlineLevel="0" collapsed="false">
      <c r="A54" s="141" t="s">
        <v>284</v>
      </c>
      <c r="B54" s="111" t="s">
        <v>154</v>
      </c>
      <c r="C54" s="98" t="n">
        <v>75</v>
      </c>
      <c r="D54" s="96" t="n">
        <f aca="false">4.2*C54</f>
        <v>315</v>
      </c>
      <c r="E54" s="96" t="n">
        <v>0</v>
      </c>
      <c r="F54" s="97" t="n">
        <v>2</v>
      </c>
      <c r="G54" s="98" t="n">
        <v>5</v>
      </c>
      <c r="H54" s="96" t="n">
        <f aca="false">8*G54</f>
        <v>40</v>
      </c>
      <c r="I54" s="96" t="n">
        <v>0</v>
      </c>
      <c r="J54" s="97" t="n">
        <v>0</v>
      </c>
      <c r="K54" s="96" t="n">
        <v>1</v>
      </c>
      <c r="L54" s="119" t="n">
        <v>0.727272727272727</v>
      </c>
      <c r="M54" s="120" t="n">
        <v>0.0979020979020979</v>
      </c>
      <c r="N54" s="120" t="n">
        <v>0.0629370629370629</v>
      </c>
      <c r="O54" s="120" t="n">
        <v>0.020979020979021</v>
      </c>
      <c r="P54" s="120" t="n">
        <v>0.027972027972028</v>
      </c>
      <c r="Q54" s="121" t="n">
        <v>0.0629370629370629</v>
      </c>
      <c r="R54" s="119" t="n">
        <v>0.3</v>
      </c>
      <c r="S54" s="120" t="n">
        <v>0.333333333333333</v>
      </c>
      <c r="T54" s="120" t="n">
        <v>0.166666666666667</v>
      </c>
      <c r="U54" s="120" t="n">
        <v>0.1</v>
      </c>
      <c r="V54" s="120" t="n">
        <v>0.0333333333333333</v>
      </c>
      <c r="W54" s="121" t="n">
        <v>0.0666666666666667</v>
      </c>
      <c r="X54" s="113" t="n">
        <f aca="false">$F54*L54</f>
        <v>1.45454545454545</v>
      </c>
      <c r="Y54" s="114" t="n">
        <f aca="false">$F54*M54</f>
        <v>0.195804195804196</v>
      </c>
      <c r="Z54" s="114" t="n">
        <f aca="false">$F54*N54</f>
        <v>0.125874125874126</v>
      </c>
      <c r="AA54" s="114" t="n">
        <f aca="false">$F54*O54</f>
        <v>0.041958041958042</v>
      </c>
      <c r="AB54" s="114" t="n">
        <f aca="false">$F54*P54</f>
        <v>0.0559440559440559</v>
      </c>
      <c r="AC54" s="115" t="n">
        <f aca="false">$F54*Q54</f>
        <v>0.125874125874126</v>
      </c>
      <c r="AD54" s="113" t="n">
        <f aca="false">R54*$J54</f>
        <v>0</v>
      </c>
      <c r="AE54" s="114" t="n">
        <f aca="false">S54*$J54</f>
        <v>0</v>
      </c>
      <c r="AF54" s="114" t="n">
        <f aca="false">T54*$J54</f>
        <v>0</v>
      </c>
      <c r="AG54" s="114" t="n">
        <f aca="false">U54*$J54</f>
        <v>0</v>
      </c>
      <c r="AH54" s="114" t="n">
        <f aca="false">V54*$J54</f>
        <v>0</v>
      </c>
      <c r="AI54" s="114" t="n">
        <f aca="false">W54*$J54</f>
        <v>0</v>
      </c>
      <c r="AJ54" s="116" t="n">
        <f aca="false">Input!$D$22*RBs!C54+Input!$D$23*RBs!D54+Input!$D$24*RBs!X54+Input!$D$25*RBs!Y54+Input!$D$26*RBs!Z54+Input!$D$27*RBs!AA54+Input!$D$28*RBs!AB54+Input!$D$29*RBs!AC54+Input!$D$30*RBs!E54+Input!$D$31*RBs!G54+Input!$D$32*RBs!H54+Input!$D$33*RBs!AD54+Input!$D$34*RBs!AE54+Input!$D$35*RBs!AF54+Input!$D$36*RBs!AG54+Input!$D$37*RBs!AH54+Input!$D$38*RBs!AI54+Input!$D$39*RBs!I54+Input!$D$40*RBs!K54</f>
        <v>48.0524475524476</v>
      </c>
    </row>
    <row r="55" customFormat="false" ht="12.75" hidden="false" customHeight="false" outlineLevel="0" collapsed="false">
      <c r="A55" s="141" t="s">
        <v>285</v>
      </c>
      <c r="B55" s="111" t="s">
        <v>150</v>
      </c>
      <c r="C55" s="98" t="n">
        <v>70</v>
      </c>
      <c r="D55" s="96" t="n">
        <f aca="false">3.7*C55</f>
        <v>259</v>
      </c>
      <c r="E55" s="96" t="n">
        <v>0</v>
      </c>
      <c r="F55" s="97" t="n">
        <v>2</v>
      </c>
      <c r="G55" s="98" t="n">
        <v>20</v>
      </c>
      <c r="H55" s="96" t="n">
        <f aca="false">7.9*G55</f>
        <v>158</v>
      </c>
      <c r="I55" s="96" t="n">
        <v>0</v>
      </c>
      <c r="J55" s="97" t="n">
        <v>1</v>
      </c>
      <c r="K55" s="96" t="n">
        <v>1</v>
      </c>
      <c r="L55" s="119" t="n">
        <v>0.727272727272727</v>
      </c>
      <c r="M55" s="120" t="n">
        <v>0.0979020979020979</v>
      </c>
      <c r="N55" s="120" t="n">
        <v>0.0629370629370629</v>
      </c>
      <c r="O55" s="120" t="n">
        <v>0.020979020979021</v>
      </c>
      <c r="P55" s="120" t="n">
        <v>0.027972027972028</v>
      </c>
      <c r="Q55" s="121" t="n">
        <v>0.0629370629370629</v>
      </c>
      <c r="R55" s="119" t="n">
        <v>0.3</v>
      </c>
      <c r="S55" s="120" t="n">
        <v>0.333333333333333</v>
      </c>
      <c r="T55" s="120" t="n">
        <v>0.166666666666667</v>
      </c>
      <c r="U55" s="120" t="n">
        <v>0.1</v>
      </c>
      <c r="V55" s="120" t="n">
        <v>0.0333333333333333</v>
      </c>
      <c r="W55" s="121" t="n">
        <v>0.0666666666666667</v>
      </c>
      <c r="X55" s="113" t="n">
        <f aca="false">$F55*L55</f>
        <v>1.45454545454545</v>
      </c>
      <c r="Y55" s="114" t="n">
        <f aca="false">$F55*M55</f>
        <v>0.195804195804196</v>
      </c>
      <c r="Z55" s="114" t="n">
        <f aca="false">$F55*N55</f>
        <v>0.125874125874126</v>
      </c>
      <c r="AA55" s="114" t="n">
        <f aca="false">$F55*O55</f>
        <v>0.041958041958042</v>
      </c>
      <c r="AB55" s="114" t="n">
        <f aca="false">$F55*P55</f>
        <v>0.0559440559440559</v>
      </c>
      <c r="AC55" s="115" t="n">
        <f aca="false">$F55*Q55</f>
        <v>0.125874125874126</v>
      </c>
      <c r="AD55" s="113" t="n">
        <f aca="false">R55*$J55</f>
        <v>0.3</v>
      </c>
      <c r="AE55" s="114" t="n">
        <f aca="false">S55*$J55</f>
        <v>0.333333333333333</v>
      </c>
      <c r="AF55" s="114" t="n">
        <f aca="false">T55*$J55</f>
        <v>0.166666666666667</v>
      </c>
      <c r="AG55" s="114" t="n">
        <f aca="false">U55*$J55</f>
        <v>0.1</v>
      </c>
      <c r="AH55" s="114" t="n">
        <f aca="false">V55*$J55</f>
        <v>0.0333333333333333</v>
      </c>
      <c r="AI55" s="114" t="n">
        <f aca="false">W55*$J55</f>
        <v>0.0666666666666667</v>
      </c>
      <c r="AJ55" s="116" t="n">
        <f aca="false">Input!$D$22*RBs!C55+Input!$D$23*RBs!D55+Input!$D$24*RBs!X55+Input!$D$25*RBs!Y55+Input!$D$26*RBs!Z55+Input!$D$27*RBs!AA55+Input!$D$28*RBs!AB55+Input!$D$29*RBs!AC55+Input!$D$30*RBs!E55+Input!$D$31*RBs!G55+Input!$D$32*RBs!H55+Input!$D$33*RBs!AD55+Input!$D$34*RBs!AE55+Input!$D$35*RBs!AF55+Input!$D$36*RBs!AG55+Input!$D$37*RBs!AH55+Input!$D$38*RBs!AI55+Input!$D$39*RBs!I55+Input!$D$40*RBs!K55</f>
        <v>61.7524475524476</v>
      </c>
    </row>
    <row r="56" customFormat="false" ht="12.75" hidden="false" customHeight="false" outlineLevel="0" collapsed="false">
      <c r="A56" s="141" t="s">
        <v>286</v>
      </c>
      <c r="B56" s="111" t="s">
        <v>172</v>
      </c>
      <c r="C56" s="98" t="n">
        <v>70</v>
      </c>
      <c r="D56" s="96" t="n">
        <f aca="false">4*C56</f>
        <v>280</v>
      </c>
      <c r="E56" s="96" t="n">
        <v>0</v>
      </c>
      <c r="F56" s="97" t="n">
        <v>2</v>
      </c>
      <c r="G56" s="98" t="n">
        <v>20</v>
      </c>
      <c r="H56" s="96" t="n">
        <f aca="false">5.7*G56</f>
        <v>114</v>
      </c>
      <c r="I56" s="96" t="n">
        <v>0</v>
      </c>
      <c r="J56" s="97" t="n">
        <v>1</v>
      </c>
      <c r="K56" s="96" t="n">
        <v>1</v>
      </c>
      <c r="L56" s="119" t="n">
        <v>0.727272727272727</v>
      </c>
      <c r="M56" s="120" t="n">
        <v>0.0979020979020979</v>
      </c>
      <c r="N56" s="120" t="n">
        <v>0.0629370629370629</v>
      </c>
      <c r="O56" s="120" t="n">
        <v>0.020979020979021</v>
      </c>
      <c r="P56" s="120" t="n">
        <v>0.027972027972028</v>
      </c>
      <c r="Q56" s="121" t="n">
        <v>0.0629370629370629</v>
      </c>
      <c r="R56" s="119" t="n">
        <v>0.3</v>
      </c>
      <c r="S56" s="120" t="n">
        <v>0.333333333333333</v>
      </c>
      <c r="T56" s="120" t="n">
        <v>0.166666666666667</v>
      </c>
      <c r="U56" s="120" t="n">
        <v>0.1</v>
      </c>
      <c r="V56" s="120" t="n">
        <v>0.0333333333333333</v>
      </c>
      <c r="W56" s="121" t="n">
        <v>0.0666666666666667</v>
      </c>
      <c r="X56" s="113" t="n">
        <f aca="false">$F56*L56</f>
        <v>1.45454545454545</v>
      </c>
      <c r="Y56" s="114" t="n">
        <f aca="false">$F56*M56</f>
        <v>0.195804195804196</v>
      </c>
      <c r="Z56" s="114" t="n">
        <f aca="false">$F56*N56</f>
        <v>0.125874125874126</v>
      </c>
      <c r="AA56" s="114" t="n">
        <f aca="false">$F56*O56</f>
        <v>0.041958041958042</v>
      </c>
      <c r="AB56" s="114" t="n">
        <f aca="false">$F56*P56</f>
        <v>0.0559440559440559</v>
      </c>
      <c r="AC56" s="115" t="n">
        <f aca="false">$F56*Q56</f>
        <v>0.125874125874126</v>
      </c>
      <c r="AD56" s="113" t="n">
        <f aca="false">R56*$J56</f>
        <v>0.3</v>
      </c>
      <c r="AE56" s="114" t="n">
        <f aca="false">S56*$J56</f>
        <v>0.333333333333333</v>
      </c>
      <c r="AF56" s="114" t="n">
        <f aca="false">T56*$J56</f>
        <v>0.166666666666667</v>
      </c>
      <c r="AG56" s="114" t="n">
        <f aca="false">U56*$J56</f>
        <v>0.1</v>
      </c>
      <c r="AH56" s="114" t="n">
        <f aca="false">V56*$J56</f>
        <v>0.0333333333333333</v>
      </c>
      <c r="AI56" s="114" t="n">
        <f aca="false">W56*$J56</f>
        <v>0.0666666666666667</v>
      </c>
      <c r="AJ56" s="116" t="n">
        <f aca="false">Input!$D$22*RBs!C56+Input!$D$23*RBs!D56+Input!$D$24*RBs!X56+Input!$D$25*RBs!Y56+Input!$D$26*RBs!Z56+Input!$D$27*RBs!AA56+Input!$D$28*RBs!AB56+Input!$D$29*RBs!AC56+Input!$D$30*RBs!E56+Input!$D$31*RBs!G56+Input!$D$32*RBs!H56+Input!$D$33*RBs!AD56+Input!$D$34*RBs!AE56+Input!$D$35*RBs!AF56+Input!$D$36*RBs!AG56+Input!$D$37*RBs!AH56+Input!$D$38*RBs!AI56+Input!$D$39*RBs!I56+Input!$D$40*RBs!K56</f>
        <v>59.4524475524476</v>
      </c>
    </row>
    <row r="57" customFormat="false" ht="12.75" hidden="false" customHeight="false" outlineLevel="0" collapsed="false">
      <c r="A57" s="141" t="s">
        <v>287</v>
      </c>
      <c r="B57" s="111" t="s">
        <v>186</v>
      </c>
      <c r="C57" s="98" t="n">
        <v>80</v>
      </c>
      <c r="D57" s="96" t="n">
        <f aca="false">3.9*C57</f>
        <v>312</v>
      </c>
      <c r="E57" s="96" t="n">
        <v>0</v>
      </c>
      <c r="F57" s="97" t="n">
        <v>2</v>
      </c>
      <c r="G57" s="98" t="n">
        <v>15</v>
      </c>
      <c r="H57" s="96" t="n">
        <f aca="false">9.4*G57</f>
        <v>141</v>
      </c>
      <c r="I57" s="96" t="n">
        <v>0</v>
      </c>
      <c r="J57" s="97" t="n">
        <v>1</v>
      </c>
      <c r="K57" s="96" t="n">
        <v>1</v>
      </c>
      <c r="L57" s="119" t="n">
        <v>0.727272727272727</v>
      </c>
      <c r="M57" s="120" t="n">
        <v>0.0979020979020979</v>
      </c>
      <c r="N57" s="120" t="n">
        <v>0.0629370629370629</v>
      </c>
      <c r="O57" s="120" t="n">
        <v>0.020979020979021</v>
      </c>
      <c r="P57" s="120" t="n">
        <v>0.027972027972028</v>
      </c>
      <c r="Q57" s="121" t="n">
        <v>0.0629370629370629</v>
      </c>
      <c r="R57" s="119" t="n">
        <v>0.3</v>
      </c>
      <c r="S57" s="120" t="n">
        <v>0.333333333333333</v>
      </c>
      <c r="T57" s="120" t="n">
        <v>0.166666666666667</v>
      </c>
      <c r="U57" s="120" t="n">
        <v>0.1</v>
      </c>
      <c r="V57" s="120" t="n">
        <v>0.0333333333333333</v>
      </c>
      <c r="W57" s="121" t="n">
        <v>0.0666666666666667</v>
      </c>
      <c r="X57" s="113" t="n">
        <f aca="false">$F57*L57</f>
        <v>1.45454545454545</v>
      </c>
      <c r="Y57" s="114" t="n">
        <f aca="false">$F57*M57</f>
        <v>0.195804195804196</v>
      </c>
      <c r="Z57" s="114" t="n">
        <f aca="false">$F57*N57</f>
        <v>0.125874125874126</v>
      </c>
      <c r="AA57" s="114" t="n">
        <f aca="false">$F57*O57</f>
        <v>0.041958041958042</v>
      </c>
      <c r="AB57" s="114" t="n">
        <f aca="false">$F57*P57</f>
        <v>0.0559440559440559</v>
      </c>
      <c r="AC57" s="115" t="n">
        <f aca="false">$F57*Q57</f>
        <v>0.125874125874126</v>
      </c>
      <c r="AD57" s="113" t="n">
        <f aca="false">R57*$J57</f>
        <v>0.3</v>
      </c>
      <c r="AE57" s="114" t="n">
        <f aca="false">S57*$J57</f>
        <v>0.333333333333333</v>
      </c>
      <c r="AF57" s="114" t="n">
        <f aca="false">T57*$J57</f>
        <v>0.166666666666667</v>
      </c>
      <c r="AG57" s="114" t="n">
        <f aca="false">U57*$J57</f>
        <v>0.1</v>
      </c>
      <c r="AH57" s="114" t="n">
        <f aca="false">V57*$J57</f>
        <v>0.0333333333333333</v>
      </c>
      <c r="AI57" s="114" t="n">
        <f aca="false">W57*$J57</f>
        <v>0.0666666666666667</v>
      </c>
      <c r="AJ57" s="116" t="n">
        <f aca="false">Input!$D$22*RBs!C57+Input!$D$23*RBs!D57+Input!$D$24*RBs!X57+Input!$D$25*RBs!Y57+Input!$D$26*RBs!Z57+Input!$D$27*RBs!AA57+Input!$D$28*RBs!AB57+Input!$D$29*RBs!AC57+Input!$D$30*RBs!E57+Input!$D$31*RBs!G57+Input!$D$32*RBs!H57+Input!$D$33*RBs!AD57+Input!$D$34*RBs!AE57+Input!$D$35*RBs!AF57+Input!$D$36*RBs!AG57+Input!$D$37*RBs!AH57+Input!$D$38*RBs!AI57+Input!$D$39*RBs!I57+Input!$D$40*RBs!K57</f>
        <v>65.3524475524476</v>
      </c>
    </row>
    <row r="58" customFormat="false" ht="12.75" hidden="false" customHeight="false" outlineLevel="0" collapsed="false">
      <c r="A58" s="141" t="s">
        <v>288</v>
      </c>
      <c r="B58" s="111" t="s">
        <v>144</v>
      </c>
      <c r="C58" s="98" t="n">
        <v>70</v>
      </c>
      <c r="D58" s="96" t="n">
        <f aca="false">3.9*C58</f>
        <v>273</v>
      </c>
      <c r="E58" s="96" t="n">
        <v>0</v>
      </c>
      <c r="F58" s="97" t="n">
        <v>1</v>
      </c>
      <c r="G58" s="98" t="n">
        <v>20</v>
      </c>
      <c r="H58" s="96" t="n">
        <f aca="false">9*G58</f>
        <v>180</v>
      </c>
      <c r="I58" s="96" t="n">
        <v>0</v>
      </c>
      <c r="J58" s="97" t="n">
        <v>1</v>
      </c>
      <c r="K58" s="96" t="n">
        <v>1</v>
      </c>
      <c r="L58" s="119" t="n">
        <v>0.727272727272727</v>
      </c>
      <c r="M58" s="120" t="n">
        <v>0.0979020979020979</v>
      </c>
      <c r="N58" s="120" t="n">
        <v>0.0629370629370629</v>
      </c>
      <c r="O58" s="120" t="n">
        <v>0.020979020979021</v>
      </c>
      <c r="P58" s="120" t="n">
        <v>0.027972027972028</v>
      </c>
      <c r="Q58" s="121" t="n">
        <v>0.0629370629370629</v>
      </c>
      <c r="R58" s="119" t="n">
        <v>0.3</v>
      </c>
      <c r="S58" s="120" t="n">
        <v>0.333333333333333</v>
      </c>
      <c r="T58" s="120" t="n">
        <v>0.166666666666667</v>
      </c>
      <c r="U58" s="120" t="n">
        <v>0.1</v>
      </c>
      <c r="V58" s="120" t="n">
        <v>0.0333333333333333</v>
      </c>
      <c r="W58" s="121" t="n">
        <v>0.0666666666666667</v>
      </c>
      <c r="X58" s="113" t="n">
        <f aca="false">$F58*L58</f>
        <v>0.727272727272727</v>
      </c>
      <c r="Y58" s="114" t="n">
        <f aca="false">$F58*M58</f>
        <v>0.0979020979020979</v>
      </c>
      <c r="Z58" s="114" t="n">
        <f aca="false">$F58*N58</f>
        <v>0.0629370629370629</v>
      </c>
      <c r="AA58" s="114" t="n">
        <f aca="false">$F58*O58</f>
        <v>0.020979020979021</v>
      </c>
      <c r="AB58" s="114" t="n">
        <f aca="false">$F58*P58</f>
        <v>0.027972027972028</v>
      </c>
      <c r="AC58" s="115" t="n">
        <f aca="false">$F58*Q58</f>
        <v>0.0629370629370629</v>
      </c>
      <c r="AD58" s="113" t="n">
        <f aca="false">R58*$J58</f>
        <v>0.3</v>
      </c>
      <c r="AE58" s="114" t="n">
        <f aca="false">S58*$J58</f>
        <v>0.333333333333333</v>
      </c>
      <c r="AF58" s="114" t="n">
        <f aca="false">T58*$J58</f>
        <v>0.166666666666667</v>
      </c>
      <c r="AG58" s="114" t="n">
        <f aca="false">U58*$J58</f>
        <v>0.1</v>
      </c>
      <c r="AH58" s="114" t="n">
        <f aca="false">V58*$J58</f>
        <v>0.0333333333333333</v>
      </c>
      <c r="AI58" s="114" t="n">
        <f aca="false">W58*$J58</f>
        <v>0.0666666666666667</v>
      </c>
      <c r="AJ58" s="116" t="n">
        <f aca="false">Input!$D$22*RBs!C58+Input!$D$23*RBs!D58+Input!$D$24*RBs!X58+Input!$D$25*RBs!Y58+Input!$D$26*RBs!Z58+Input!$D$27*RBs!AA58+Input!$D$28*RBs!AB58+Input!$D$29*RBs!AC58+Input!$D$30*RBs!E58+Input!$D$31*RBs!G58+Input!$D$32*RBs!H58+Input!$D$33*RBs!AD58+Input!$D$34*RBs!AE58+Input!$D$35*RBs!AF58+Input!$D$36*RBs!AG58+Input!$D$37*RBs!AH58+Input!$D$38*RBs!AI58+Input!$D$39*RBs!I58+Input!$D$40*RBs!K58</f>
        <v>58.5762237762238</v>
      </c>
    </row>
    <row r="59" customFormat="false" ht="12.75" hidden="false" customHeight="false" outlineLevel="0" collapsed="false">
      <c r="A59" s="141" t="s">
        <v>289</v>
      </c>
      <c r="B59" s="111" t="s">
        <v>194</v>
      </c>
      <c r="C59" s="98" t="n">
        <v>35</v>
      </c>
      <c r="D59" s="96" t="n">
        <f aca="false">2.8*C59</f>
        <v>98</v>
      </c>
      <c r="E59" s="96" t="n">
        <v>0</v>
      </c>
      <c r="F59" s="97" t="n">
        <v>3</v>
      </c>
      <c r="G59" s="98" t="n">
        <v>30</v>
      </c>
      <c r="H59" s="96" t="n">
        <f aca="false">7.4*G59</f>
        <v>222</v>
      </c>
      <c r="I59" s="96" t="n">
        <v>0</v>
      </c>
      <c r="J59" s="97" t="n">
        <v>1</v>
      </c>
      <c r="K59" s="96" t="n">
        <v>0</v>
      </c>
      <c r="L59" s="119" t="n">
        <v>0.727272727272727</v>
      </c>
      <c r="M59" s="120" t="n">
        <v>0.0979020979020979</v>
      </c>
      <c r="N59" s="120" t="n">
        <v>0.0629370629370629</v>
      </c>
      <c r="O59" s="120" t="n">
        <v>0.020979020979021</v>
      </c>
      <c r="P59" s="120" t="n">
        <v>0.027972027972028</v>
      </c>
      <c r="Q59" s="121" t="n">
        <v>0.0629370629370629</v>
      </c>
      <c r="R59" s="119" t="n">
        <v>0.3</v>
      </c>
      <c r="S59" s="120" t="n">
        <v>0.333333333333333</v>
      </c>
      <c r="T59" s="120" t="n">
        <v>0.166666666666667</v>
      </c>
      <c r="U59" s="120" t="n">
        <v>0.1</v>
      </c>
      <c r="V59" s="120" t="n">
        <v>0.0333333333333333</v>
      </c>
      <c r="W59" s="121" t="n">
        <v>0.0666666666666667</v>
      </c>
      <c r="X59" s="113" t="n">
        <f aca="false">$F59*L59</f>
        <v>2.18181818181818</v>
      </c>
      <c r="Y59" s="114" t="n">
        <f aca="false">$F59*M59</f>
        <v>0.293706293706294</v>
      </c>
      <c r="Z59" s="114" t="n">
        <f aca="false">$F59*N59</f>
        <v>0.188811188811189</v>
      </c>
      <c r="AA59" s="114" t="n">
        <f aca="false">$F59*O59</f>
        <v>0.0629370629370629</v>
      </c>
      <c r="AB59" s="114" t="n">
        <f aca="false">$F59*P59</f>
        <v>0.0839160839160839</v>
      </c>
      <c r="AC59" s="115" t="n">
        <f aca="false">$F59*Q59</f>
        <v>0.188811188811189</v>
      </c>
      <c r="AD59" s="113" t="n">
        <f aca="false">R59*$J59</f>
        <v>0.3</v>
      </c>
      <c r="AE59" s="114" t="n">
        <f aca="false">S59*$J59</f>
        <v>0.333333333333333</v>
      </c>
      <c r="AF59" s="114" t="n">
        <f aca="false">T59*$J59</f>
        <v>0.166666666666667</v>
      </c>
      <c r="AG59" s="114" t="n">
        <f aca="false">U59*$J59</f>
        <v>0.1</v>
      </c>
      <c r="AH59" s="114" t="n">
        <f aca="false">V59*$J59</f>
        <v>0.0333333333333333</v>
      </c>
      <c r="AI59" s="114" t="n">
        <f aca="false">W59*$J59</f>
        <v>0.0666666666666667</v>
      </c>
      <c r="AJ59" s="116" t="n">
        <f aca="false">Input!$D$22*RBs!C59+Input!$D$23*RBs!D59+Input!$D$24*RBs!X59+Input!$D$25*RBs!Y59+Input!$D$26*RBs!Z59+Input!$D$27*RBs!AA59+Input!$D$28*RBs!AB59+Input!$D$29*RBs!AC59+Input!$D$30*RBs!E59+Input!$D$31*RBs!G59+Input!$D$32*RBs!H59+Input!$D$33*RBs!AD59+Input!$D$34*RBs!AE59+Input!$D$35*RBs!AF59+Input!$D$36*RBs!AG59+Input!$D$37*RBs!AH59+Input!$D$38*RBs!AI59+Input!$D$39*RBs!I59+Input!$D$40*RBs!K59</f>
        <v>59.8286713286713</v>
      </c>
    </row>
    <row r="60" customFormat="false" ht="12.75" hidden="false" customHeight="false" outlineLevel="0" collapsed="false">
      <c r="A60" s="141" t="s">
        <v>290</v>
      </c>
      <c r="B60" s="111" t="s">
        <v>186</v>
      </c>
      <c r="C60" s="98" t="n">
        <v>70</v>
      </c>
      <c r="D60" s="96" t="n">
        <f aca="false">3.6*C60</f>
        <v>252</v>
      </c>
      <c r="E60" s="96" t="n">
        <v>0</v>
      </c>
      <c r="F60" s="97" t="n">
        <v>1</v>
      </c>
      <c r="G60" s="98" t="n">
        <v>20</v>
      </c>
      <c r="H60" s="96" t="n">
        <f aca="false">9*G60</f>
        <v>180</v>
      </c>
      <c r="I60" s="96" t="n">
        <v>0</v>
      </c>
      <c r="J60" s="97" t="n">
        <v>1</v>
      </c>
      <c r="K60" s="96" t="n">
        <v>1</v>
      </c>
      <c r="L60" s="119" t="n">
        <v>0.727272727272727</v>
      </c>
      <c r="M60" s="120" t="n">
        <v>0.0979020979020979</v>
      </c>
      <c r="N60" s="120" t="n">
        <v>0.0629370629370629</v>
      </c>
      <c r="O60" s="120" t="n">
        <v>0.020979020979021</v>
      </c>
      <c r="P60" s="120" t="n">
        <v>0.027972027972028</v>
      </c>
      <c r="Q60" s="121" t="n">
        <v>0.0629370629370629</v>
      </c>
      <c r="R60" s="119" t="n">
        <v>0.3</v>
      </c>
      <c r="S60" s="120" t="n">
        <v>0.333333333333333</v>
      </c>
      <c r="T60" s="120" t="n">
        <v>0.166666666666667</v>
      </c>
      <c r="U60" s="120" t="n">
        <v>0.1</v>
      </c>
      <c r="V60" s="120" t="n">
        <v>0.0333333333333333</v>
      </c>
      <c r="W60" s="121" t="n">
        <v>0.0666666666666667</v>
      </c>
      <c r="X60" s="113" t="n">
        <f aca="false">$F60*L60</f>
        <v>0.727272727272727</v>
      </c>
      <c r="Y60" s="114" t="n">
        <f aca="false">$F60*M60</f>
        <v>0.0979020979020979</v>
      </c>
      <c r="Z60" s="114" t="n">
        <f aca="false">$F60*N60</f>
        <v>0.0629370629370629</v>
      </c>
      <c r="AA60" s="114" t="n">
        <f aca="false">$F60*O60</f>
        <v>0.020979020979021</v>
      </c>
      <c r="AB60" s="114" t="n">
        <f aca="false">$F60*P60</f>
        <v>0.027972027972028</v>
      </c>
      <c r="AC60" s="115" t="n">
        <f aca="false">$F60*Q60</f>
        <v>0.0629370629370629</v>
      </c>
      <c r="AD60" s="113" t="n">
        <f aca="false">R60*$J60</f>
        <v>0.3</v>
      </c>
      <c r="AE60" s="114" t="n">
        <f aca="false">S60*$J60</f>
        <v>0.333333333333333</v>
      </c>
      <c r="AF60" s="114" t="n">
        <f aca="false">T60*$J60</f>
        <v>0.166666666666667</v>
      </c>
      <c r="AG60" s="114" t="n">
        <f aca="false">U60*$J60</f>
        <v>0.1</v>
      </c>
      <c r="AH60" s="114" t="n">
        <f aca="false">V60*$J60</f>
        <v>0.0333333333333333</v>
      </c>
      <c r="AI60" s="114" t="n">
        <f aca="false">W60*$J60</f>
        <v>0.0666666666666667</v>
      </c>
      <c r="AJ60" s="116" t="n">
        <f aca="false">Input!$D$22*RBs!C60+Input!$D$23*RBs!D60+Input!$D$24*RBs!X60+Input!$D$25*RBs!Y60+Input!$D$26*RBs!Z60+Input!$D$27*RBs!AA60+Input!$D$28*RBs!AB60+Input!$D$29*RBs!AC60+Input!$D$30*RBs!E60+Input!$D$31*RBs!G60+Input!$D$32*RBs!H60+Input!$D$33*RBs!AD60+Input!$D$34*RBs!AE60+Input!$D$35*RBs!AF60+Input!$D$36*RBs!AG60+Input!$D$37*RBs!AH60+Input!$D$38*RBs!AI60+Input!$D$39*RBs!I60+Input!$D$40*RBs!K60</f>
        <v>56.4762237762238</v>
      </c>
    </row>
    <row r="61" customFormat="false" ht="12.75" hidden="false" customHeight="false" outlineLevel="0" collapsed="false">
      <c r="A61" s="141" t="s">
        <v>291</v>
      </c>
      <c r="B61" s="111" t="s">
        <v>176</v>
      </c>
      <c r="C61" s="98" t="n">
        <v>88</v>
      </c>
      <c r="D61" s="96" t="n">
        <v>350</v>
      </c>
      <c r="E61" s="96" t="n">
        <v>0</v>
      </c>
      <c r="F61" s="97" t="n">
        <v>3</v>
      </c>
      <c r="G61" s="98" t="n">
        <v>5</v>
      </c>
      <c r="H61" s="96" t="n">
        <f aca="false">7*G61</f>
        <v>35</v>
      </c>
      <c r="I61" s="96" t="n">
        <v>0</v>
      </c>
      <c r="J61" s="97" t="n">
        <v>0</v>
      </c>
      <c r="K61" s="96" t="n">
        <v>1</v>
      </c>
      <c r="L61" s="119" t="n">
        <v>0.727272727272727</v>
      </c>
      <c r="M61" s="120" t="n">
        <v>0.0979020979020979</v>
      </c>
      <c r="N61" s="120" t="n">
        <v>0.0629370629370629</v>
      </c>
      <c r="O61" s="120" t="n">
        <v>0.020979020979021</v>
      </c>
      <c r="P61" s="120" t="n">
        <v>0.027972027972028</v>
      </c>
      <c r="Q61" s="121" t="n">
        <v>0.0629370629370629</v>
      </c>
      <c r="R61" s="119" t="n">
        <v>0.3</v>
      </c>
      <c r="S61" s="120" t="n">
        <v>0.333333333333333</v>
      </c>
      <c r="T61" s="120" t="n">
        <v>0.166666666666667</v>
      </c>
      <c r="U61" s="120" t="n">
        <v>0.1</v>
      </c>
      <c r="V61" s="120" t="n">
        <v>0.0333333333333333</v>
      </c>
      <c r="W61" s="121" t="n">
        <v>0.0666666666666667</v>
      </c>
      <c r="X61" s="113" t="n">
        <f aca="false">$F61*L61</f>
        <v>2.18181818181818</v>
      </c>
      <c r="Y61" s="114" t="n">
        <f aca="false">$F61*M61</f>
        <v>0.293706293706294</v>
      </c>
      <c r="Z61" s="114" t="n">
        <f aca="false">$F61*N61</f>
        <v>0.188811188811189</v>
      </c>
      <c r="AA61" s="114" t="n">
        <f aca="false">$F61*O61</f>
        <v>0.0629370629370629</v>
      </c>
      <c r="AB61" s="114" t="n">
        <f aca="false">$F61*P61</f>
        <v>0.0839160839160839</v>
      </c>
      <c r="AC61" s="115" t="n">
        <f aca="false">$F61*Q61</f>
        <v>0.188811188811189</v>
      </c>
      <c r="AD61" s="113" t="n">
        <f aca="false">R61*$J61</f>
        <v>0</v>
      </c>
      <c r="AE61" s="114" t="n">
        <f aca="false">S61*$J61</f>
        <v>0</v>
      </c>
      <c r="AF61" s="114" t="n">
        <f aca="false">T61*$J61</f>
        <v>0</v>
      </c>
      <c r="AG61" s="114" t="n">
        <f aca="false">U61*$J61</f>
        <v>0</v>
      </c>
      <c r="AH61" s="114" t="n">
        <f aca="false">V61*$J61</f>
        <v>0</v>
      </c>
      <c r="AI61" s="114" t="n">
        <f aca="false">W61*$J61</f>
        <v>0</v>
      </c>
      <c r="AJ61" s="116" t="n">
        <f aca="false">Input!$D$22*RBs!C61+Input!$D$23*RBs!D61+Input!$D$24*RBs!X61+Input!$D$25*RBs!Y61+Input!$D$26*RBs!Z61+Input!$D$27*RBs!AA61+Input!$D$28*RBs!AB61+Input!$D$29*RBs!AC61+Input!$D$30*RBs!E61+Input!$D$31*RBs!G61+Input!$D$32*RBs!H61+Input!$D$33*RBs!AD61+Input!$D$34*RBs!AE61+Input!$D$35*RBs!AF61+Input!$D$36*RBs!AG61+Input!$D$37*RBs!AH61+Input!$D$38*RBs!AI61+Input!$D$39*RBs!I61+Input!$D$40*RBs!K61</f>
        <v>57.8286713286713</v>
      </c>
    </row>
    <row r="62" customFormat="false" ht="12.75" hidden="false" customHeight="false" outlineLevel="0" collapsed="false">
      <c r="A62" s="141" t="s">
        <v>292</v>
      </c>
      <c r="B62" s="111" t="s">
        <v>158</v>
      </c>
      <c r="C62" s="98" t="n">
        <v>70</v>
      </c>
      <c r="D62" s="96" t="n">
        <f aca="false">3.6*C62</f>
        <v>252</v>
      </c>
      <c r="E62" s="96" t="n">
        <v>0</v>
      </c>
      <c r="F62" s="97" t="n">
        <v>1</v>
      </c>
      <c r="G62" s="98" t="n">
        <v>20</v>
      </c>
      <c r="H62" s="96" t="n">
        <f aca="false">8.8*G62</f>
        <v>176</v>
      </c>
      <c r="I62" s="96" t="n">
        <v>0</v>
      </c>
      <c r="J62" s="97" t="n">
        <v>1</v>
      </c>
      <c r="K62" s="96" t="n">
        <v>1</v>
      </c>
      <c r="L62" s="119" t="n">
        <v>0.727272727272727</v>
      </c>
      <c r="M62" s="120" t="n">
        <v>0.0979020979020979</v>
      </c>
      <c r="N62" s="120" t="n">
        <v>0.0629370629370629</v>
      </c>
      <c r="O62" s="120" t="n">
        <v>0.020979020979021</v>
      </c>
      <c r="P62" s="120" t="n">
        <v>0.027972027972028</v>
      </c>
      <c r="Q62" s="121" t="n">
        <v>0.0629370629370629</v>
      </c>
      <c r="R62" s="119" t="n">
        <v>0.3</v>
      </c>
      <c r="S62" s="120" t="n">
        <v>0.333333333333333</v>
      </c>
      <c r="T62" s="120" t="n">
        <v>0.166666666666667</v>
      </c>
      <c r="U62" s="120" t="n">
        <v>0.1</v>
      </c>
      <c r="V62" s="120" t="n">
        <v>0.0333333333333333</v>
      </c>
      <c r="W62" s="121" t="n">
        <v>0.0666666666666667</v>
      </c>
      <c r="X62" s="113" t="n">
        <f aca="false">$F62*L62</f>
        <v>0.727272727272727</v>
      </c>
      <c r="Y62" s="114" t="n">
        <f aca="false">$F62*M62</f>
        <v>0.0979020979020979</v>
      </c>
      <c r="Z62" s="114" t="n">
        <f aca="false">$F62*N62</f>
        <v>0.0629370629370629</v>
      </c>
      <c r="AA62" s="114" t="n">
        <f aca="false">$F62*O62</f>
        <v>0.020979020979021</v>
      </c>
      <c r="AB62" s="114" t="n">
        <f aca="false">$F62*P62</f>
        <v>0.027972027972028</v>
      </c>
      <c r="AC62" s="115" t="n">
        <f aca="false">$F62*Q62</f>
        <v>0.0629370629370629</v>
      </c>
      <c r="AD62" s="113" t="n">
        <f aca="false">R62*$J62</f>
        <v>0.3</v>
      </c>
      <c r="AE62" s="114" t="n">
        <f aca="false">S62*$J62</f>
        <v>0.333333333333333</v>
      </c>
      <c r="AF62" s="114" t="n">
        <f aca="false">T62*$J62</f>
        <v>0.166666666666667</v>
      </c>
      <c r="AG62" s="114" t="n">
        <f aca="false">U62*$J62</f>
        <v>0.1</v>
      </c>
      <c r="AH62" s="114" t="n">
        <f aca="false">V62*$J62</f>
        <v>0.0333333333333333</v>
      </c>
      <c r="AI62" s="114" t="n">
        <f aca="false">W62*$J62</f>
        <v>0.0666666666666667</v>
      </c>
      <c r="AJ62" s="116" t="n">
        <f aca="false">Input!$D$22*RBs!C62+Input!$D$23*RBs!D62+Input!$D$24*RBs!X62+Input!$D$25*RBs!Y62+Input!$D$26*RBs!Z62+Input!$D$27*RBs!AA62+Input!$D$28*RBs!AB62+Input!$D$29*RBs!AC62+Input!$D$30*RBs!E62+Input!$D$31*RBs!G62+Input!$D$32*RBs!H62+Input!$D$33*RBs!AD62+Input!$D$34*RBs!AE62+Input!$D$35*RBs!AF62+Input!$D$36*RBs!AG62+Input!$D$37*RBs!AH62+Input!$D$38*RBs!AI62+Input!$D$39*RBs!I62+Input!$D$40*RBs!K62</f>
        <v>56.0762237762238</v>
      </c>
    </row>
    <row r="63" customFormat="false" ht="12.75" hidden="false" customHeight="false" outlineLevel="0" collapsed="false">
      <c r="A63" s="141" t="s">
        <v>293</v>
      </c>
      <c r="B63" s="111" t="s">
        <v>194</v>
      </c>
      <c r="C63" s="98" t="n">
        <v>50</v>
      </c>
      <c r="D63" s="96" t="n">
        <f aca="false">4*C63</f>
        <v>200</v>
      </c>
      <c r="E63" s="96" t="n">
        <v>0</v>
      </c>
      <c r="F63" s="97" t="n">
        <v>1</v>
      </c>
      <c r="G63" s="98" t="n">
        <v>25</v>
      </c>
      <c r="H63" s="96" t="n">
        <f aca="false">8.5*G63</f>
        <v>212.5</v>
      </c>
      <c r="I63" s="96" t="n">
        <v>0</v>
      </c>
      <c r="J63" s="97" t="n">
        <v>1</v>
      </c>
      <c r="K63" s="96" t="n">
        <v>0</v>
      </c>
      <c r="L63" s="119" t="n">
        <v>0.727272727272727</v>
      </c>
      <c r="M63" s="120" t="n">
        <v>0.0979020979020979</v>
      </c>
      <c r="N63" s="120" t="n">
        <v>0.0629370629370629</v>
      </c>
      <c r="O63" s="120" t="n">
        <v>0.020979020979021</v>
      </c>
      <c r="P63" s="120" t="n">
        <v>0.027972027972028</v>
      </c>
      <c r="Q63" s="121" t="n">
        <v>0.0629370629370629</v>
      </c>
      <c r="R63" s="119" t="n">
        <v>0.3</v>
      </c>
      <c r="S63" s="120" t="n">
        <v>0.333333333333333</v>
      </c>
      <c r="T63" s="120" t="n">
        <v>0.166666666666667</v>
      </c>
      <c r="U63" s="120" t="n">
        <v>0.1</v>
      </c>
      <c r="V63" s="120" t="n">
        <v>0.0333333333333333</v>
      </c>
      <c r="W63" s="121" t="n">
        <v>0.0666666666666667</v>
      </c>
      <c r="X63" s="113" t="n">
        <f aca="false">$F63*L63</f>
        <v>0.727272727272727</v>
      </c>
      <c r="Y63" s="114" t="n">
        <f aca="false">$F63*M63</f>
        <v>0.0979020979020979</v>
      </c>
      <c r="Z63" s="114" t="n">
        <f aca="false">$F63*N63</f>
        <v>0.0629370629370629</v>
      </c>
      <c r="AA63" s="114" t="n">
        <f aca="false">$F63*O63</f>
        <v>0.020979020979021</v>
      </c>
      <c r="AB63" s="114" t="n">
        <f aca="false">$F63*P63</f>
        <v>0.027972027972028</v>
      </c>
      <c r="AC63" s="115" t="n">
        <f aca="false">$F63*Q63</f>
        <v>0.0629370629370629</v>
      </c>
      <c r="AD63" s="113" t="n">
        <f aca="false">R63*$J63</f>
        <v>0.3</v>
      </c>
      <c r="AE63" s="114" t="n">
        <f aca="false">S63*$J63</f>
        <v>0.333333333333333</v>
      </c>
      <c r="AF63" s="114" t="n">
        <f aca="false">T63*$J63</f>
        <v>0.166666666666667</v>
      </c>
      <c r="AG63" s="114" t="n">
        <f aca="false">U63*$J63</f>
        <v>0.1</v>
      </c>
      <c r="AH63" s="114" t="n">
        <f aca="false">V63*$J63</f>
        <v>0.0333333333333333</v>
      </c>
      <c r="AI63" s="114" t="n">
        <f aca="false">W63*$J63</f>
        <v>0.0666666666666667</v>
      </c>
      <c r="AJ63" s="116" t="n">
        <f aca="false">Input!$D$22*RBs!C63+Input!$D$23*RBs!D63+Input!$D$24*RBs!X63+Input!$D$25*RBs!Y63+Input!$D$26*RBs!Z63+Input!$D$27*RBs!AA63+Input!$D$28*RBs!AB63+Input!$D$29*RBs!AC63+Input!$D$30*RBs!E63+Input!$D$31*RBs!G63+Input!$D$32*RBs!H63+Input!$D$33*RBs!AD63+Input!$D$34*RBs!AE63+Input!$D$35*RBs!AF63+Input!$D$36*RBs!AG63+Input!$D$37*RBs!AH63+Input!$D$38*RBs!AI63+Input!$D$39*RBs!I63+Input!$D$40*RBs!K63</f>
        <v>55.5262237762238</v>
      </c>
    </row>
    <row r="64" customFormat="false" ht="12.75" hidden="false" customHeight="false" outlineLevel="0" collapsed="false">
      <c r="A64" s="141" t="s">
        <v>294</v>
      </c>
      <c r="B64" s="111" t="s">
        <v>138</v>
      </c>
      <c r="C64" s="98" t="n">
        <v>50</v>
      </c>
      <c r="D64" s="96" t="n">
        <f aca="false">3.6*C64</f>
        <v>180</v>
      </c>
      <c r="E64" s="96" t="n">
        <v>0</v>
      </c>
      <c r="F64" s="97" t="n">
        <v>2</v>
      </c>
      <c r="G64" s="98" t="n">
        <v>14</v>
      </c>
      <c r="H64" s="96" t="n">
        <f aca="false">8*G64</f>
        <v>112</v>
      </c>
      <c r="I64" s="96" t="n">
        <v>0</v>
      </c>
      <c r="J64" s="97" t="n">
        <v>1</v>
      </c>
      <c r="K64" s="96" t="n">
        <v>0</v>
      </c>
      <c r="L64" s="119" t="n">
        <v>0.727272727272727</v>
      </c>
      <c r="M64" s="120" t="n">
        <v>0.0979020979020979</v>
      </c>
      <c r="N64" s="120" t="n">
        <v>0.0629370629370629</v>
      </c>
      <c r="O64" s="120" t="n">
        <v>0.020979020979021</v>
      </c>
      <c r="P64" s="120" t="n">
        <v>0.027972027972028</v>
      </c>
      <c r="Q64" s="121" t="n">
        <v>0.0629370629370629</v>
      </c>
      <c r="R64" s="119" t="n">
        <v>0.3</v>
      </c>
      <c r="S64" s="120" t="n">
        <v>0.333333333333333</v>
      </c>
      <c r="T64" s="120" t="n">
        <v>0.166666666666667</v>
      </c>
      <c r="U64" s="120" t="n">
        <v>0.1</v>
      </c>
      <c r="V64" s="120" t="n">
        <v>0.0333333333333333</v>
      </c>
      <c r="W64" s="121" t="n">
        <v>0.0666666666666667</v>
      </c>
      <c r="X64" s="113" t="n">
        <f aca="false">$F64*L64</f>
        <v>1.45454545454545</v>
      </c>
      <c r="Y64" s="114" t="n">
        <f aca="false">$F64*M64</f>
        <v>0.195804195804196</v>
      </c>
      <c r="Z64" s="114" t="n">
        <f aca="false">$F64*N64</f>
        <v>0.125874125874126</v>
      </c>
      <c r="AA64" s="114" t="n">
        <f aca="false">$F64*O64</f>
        <v>0.041958041958042</v>
      </c>
      <c r="AB64" s="114" t="n">
        <f aca="false">$F64*P64</f>
        <v>0.0559440559440559</v>
      </c>
      <c r="AC64" s="115" t="n">
        <f aca="false">$F64*Q64</f>
        <v>0.125874125874126</v>
      </c>
      <c r="AD64" s="113" t="n">
        <f aca="false">R64*$J64</f>
        <v>0.3</v>
      </c>
      <c r="AE64" s="114" t="n">
        <f aca="false">S64*$J64</f>
        <v>0.333333333333333</v>
      </c>
      <c r="AF64" s="114" t="n">
        <f aca="false">T64*$J64</f>
        <v>0.166666666666667</v>
      </c>
      <c r="AG64" s="114" t="n">
        <f aca="false">U64*$J64</f>
        <v>0.1</v>
      </c>
      <c r="AH64" s="114" t="n">
        <f aca="false">V64*$J64</f>
        <v>0.0333333333333333</v>
      </c>
      <c r="AI64" s="114" t="n">
        <f aca="false">W64*$J64</f>
        <v>0.0666666666666667</v>
      </c>
      <c r="AJ64" s="116" t="n">
        <f aca="false">Input!$D$22*RBs!C64+Input!$D$23*RBs!D64+Input!$D$24*RBs!X64+Input!$D$25*RBs!Y64+Input!$D$26*RBs!Z64+Input!$D$27*RBs!AA64+Input!$D$28*RBs!AB64+Input!$D$29*RBs!AC64+Input!$D$30*RBs!E64+Input!$D$31*RBs!G64+Input!$D$32*RBs!H64+Input!$D$33*RBs!AD64+Input!$D$34*RBs!AE64+Input!$D$35*RBs!AF64+Input!$D$36*RBs!AG64+Input!$D$37*RBs!AH64+Input!$D$38*RBs!AI64+Input!$D$39*RBs!I64+Input!$D$40*RBs!K64</f>
        <v>50.2524475524476</v>
      </c>
    </row>
    <row r="65" customFormat="false" ht="12.75" hidden="false" customHeight="false" outlineLevel="0" collapsed="false">
      <c r="A65" s="141" t="s">
        <v>295</v>
      </c>
      <c r="B65" s="111" t="s">
        <v>174</v>
      </c>
      <c r="C65" s="98" t="n">
        <v>100</v>
      </c>
      <c r="D65" s="96" t="n">
        <f aca="false">3.5*C65</f>
        <v>350</v>
      </c>
      <c r="E65" s="96" t="n">
        <v>0</v>
      </c>
      <c r="F65" s="97" t="n">
        <v>1</v>
      </c>
      <c r="G65" s="98" t="n">
        <v>20</v>
      </c>
      <c r="H65" s="96" t="n">
        <f aca="false">8.8*G65</f>
        <v>176</v>
      </c>
      <c r="I65" s="96" t="n">
        <v>0</v>
      </c>
      <c r="J65" s="97" t="n">
        <v>1</v>
      </c>
      <c r="K65" s="96" t="n">
        <v>1</v>
      </c>
      <c r="L65" s="119" t="n">
        <v>0.727272727272727</v>
      </c>
      <c r="M65" s="120" t="n">
        <v>0.0979020979020979</v>
      </c>
      <c r="N65" s="120" t="n">
        <v>0.0629370629370629</v>
      </c>
      <c r="O65" s="120" t="n">
        <v>0.020979020979021</v>
      </c>
      <c r="P65" s="120" t="n">
        <v>0.027972027972028</v>
      </c>
      <c r="Q65" s="121" t="n">
        <v>0.0629370629370629</v>
      </c>
      <c r="R65" s="119" t="n">
        <v>0.3</v>
      </c>
      <c r="S65" s="120" t="n">
        <v>0.333333333333333</v>
      </c>
      <c r="T65" s="120" t="n">
        <v>0.166666666666667</v>
      </c>
      <c r="U65" s="120" t="n">
        <v>0.1</v>
      </c>
      <c r="V65" s="120" t="n">
        <v>0.0333333333333333</v>
      </c>
      <c r="W65" s="121" t="n">
        <v>0.0666666666666667</v>
      </c>
      <c r="X65" s="113" t="n">
        <f aca="false">$F65*L65</f>
        <v>0.727272727272727</v>
      </c>
      <c r="Y65" s="114" t="n">
        <f aca="false">$F65*M65</f>
        <v>0.0979020979020979</v>
      </c>
      <c r="Z65" s="114" t="n">
        <f aca="false">$F65*N65</f>
        <v>0.0629370629370629</v>
      </c>
      <c r="AA65" s="114" t="n">
        <f aca="false">$F65*O65</f>
        <v>0.020979020979021</v>
      </c>
      <c r="AB65" s="114" t="n">
        <f aca="false">$F65*P65</f>
        <v>0.027972027972028</v>
      </c>
      <c r="AC65" s="115" t="n">
        <f aca="false">$F65*Q65</f>
        <v>0.0629370629370629</v>
      </c>
      <c r="AD65" s="113" t="n">
        <f aca="false">R65*$J65</f>
        <v>0.3</v>
      </c>
      <c r="AE65" s="114" t="n">
        <f aca="false">S65*$J65</f>
        <v>0.333333333333333</v>
      </c>
      <c r="AF65" s="114" t="n">
        <f aca="false">T65*$J65</f>
        <v>0.166666666666667</v>
      </c>
      <c r="AG65" s="114" t="n">
        <f aca="false">U65*$J65</f>
        <v>0.1</v>
      </c>
      <c r="AH65" s="114" t="n">
        <f aca="false">V65*$J65</f>
        <v>0.0333333333333333</v>
      </c>
      <c r="AI65" s="114" t="n">
        <f aca="false">W65*$J65</f>
        <v>0.0666666666666667</v>
      </c>
      <c r="AJ65" s="116" t="n">
        <f aca="false">Input!$D$22*RBs!C65+Input!$D$23*RBs!D65+Input!$D$24*RBs!X65+Input!$D$25*RBs!Y65+Input!$D$26*RBs!Z65+Input!$D$27*RBs!AA65+Input!$D$28*RBs!AB65+Input!$D$29*RBs!AC65+Input!$D$30*RBs!E65+Input!$D$31*RBs!G65+Input!$D$32*RBs!H65+Input!$D$33*RBs!AD65+Input!$D$34*RBs!AE65+Input!$D$35*RBs!AF65+Input!$D$36*RBs!AG65+Input!$D$37*RBs!AH65+Input!$D$38*RBs!AI65+Input!$D$39*RBs!I65+Input!$D$40*RBs!K65</f>
        <v>65.8762237762238</v>
      </c>
    </row>
    <row r="66" customFormat="false" ht="12.75" hidden="false" customHeight="false" outlineLevel="0" collapsed="false">
      <c r="A66" s="141" t="s">
        <v>296</v>
      </c>
      <c r="B66" s="111" t="s">
        <v>194</v>
      </c>
      <c r="C66" s="98" t="n">
        <v>75</v>
      </c>
      <c r="D66" s="96" t="n">
        <f aca="false">3.5*C66</f>
        <v>262.5</v>
      </c>
      <c r="E66" s="96" t="n">
        <v>0</v>
      </c>
      <c r="F66" s="97" t="n">
        <v>1</v>
      </c>
      <c r="G66" s="98" t="n">
        <v>10</v>
      </c>
      <c r="H66" s="96" t="n">
        <f aca="false">8.5*G66</f>
        <v>85</v>
      </c>
      <c r="I66" s="96" t="n">
        <v>0</v>
      </c>
      <c r="J66" s="97" t="n">
        <v>0</v>
      </c>
      <c r="K66" s="96" t="n">
        <v>1</v>
      </c>
      <c r="L66" s="119" t="n">
        <v>0.727272727272727</v>
      </c>
      <c r="M66" s="120" t="n">
        <v>0.0979020979020979</v>
      </c>
      <c r="N66" s="120" t="n">
        <v>0.0629370629370629</v>
      </c>
      <c r="O66" s="120" t="n">
        <v>0.020979020979021</v>
      </c>
      <c r="P66" s="120" t="n">
        <v>0.027972027972028</v>
      </c>
      <c r="Q66" s="121" t="n">
        <v>0.0629370629370629</v>
      </c>
      <c r="R66" s="119" t="n">
        <v>0.3</v>
      </c>
      <c r="S66" s="120" t="n">
        <v>0.333333333333333</v>
      </c>
      <c r="T66" s="120" t="n">
        <v>0.166666666666667</v>
      </c>
      <c r="U66" s="120" t="n">
        <v>0.1</v>
      </c>
      <c r="V66" s="120" t="n">
        <v>0.0333333333333333</v>
      </c>
      <c r="W66" s="121" t="n">
        <v>0.0666666666666667</v>
      </c>
      <c r="X66" s="113" t="n">
        <f aca="false">$F66*L66</f>
        <v>0.727272727272727</v>
      </c>
      <c r="Y66" s="114" t="n">
        <f aca="false">$F66*M66</f>
        <v>0.0979020979020979</v>
      </c>
      <c r="Z66" s="114" t="n">
        <f aca="false">$F66*N66</f>
        <v>0.0629370629370629</v>
      </c>
      <c r="AA66" s="114" t="n">
        <f aca="false">$F66*O66</f>
        <v>0.020979020979021</v>
      </c>
      <c r="AB66" s="114" t="n">
        <f aca="false">$F66*P66</f>
        <v>0.027972027972028</v>
      </c>
      <c r="AC66" s="115" t="n">
        <f aca="false">$F66*Q66</f>
        <v>0.0629370629370629</v>
      </c>
      <c r="AD66" s="113" t="n">
        <f aca="false">R66*$J66</f>
        <v>0</v>
      </c>
      <c r="AE66" s="114" t="n">
        <f aca="false">S66*$J66</f>
        <v>0</v>
      </c>
      <c r="AF66" s="114" t="n">
        <f aca="false">T66*$J66</f>
        <v>0</v>
      </c>
      <c r="AG66" s="114" t="n">
        <f aca="false">U66*$J66</f>
        <v>0</v>
      </c>
      <c r="AH66" s="114" t="n">
        <f aca="false">V66*$J66</f>
        <v>0</v>
      </c>
      <c r="AI66" s="114" t="n">
        <f aca="false">W66*$J66</f>
        <v>0</v>
      </c>
      <c r="AJ66" s="116" t="n">
        <f aca="false">Input!$D$22*RBs!C66+Input!$D$23*RBs!D66+Input!$D$24*RBs!X66+Input!$D$25*RBs!Y66+Input!$D$26*RBs!Z66+Input!$D$27*RBs!AA66+Input!$D$28*RBs!AB66+Input!$D$29*RBs!AC66+Input!$D$30*RBs!E66+Input!$D$31*RBs!G66+Input!$D$32*RBs!H66+Input!$D$33*RBs!AD66+Input!$D$34*RBs!AE66+Input!$D$35*RBs!AF66+Input!$D$36*RBs!AG66+Input!$D$37*RBs!AH66+Input!$D$38*RBs!AI66+Input!$D$39*RBs!I66+Input!$D$40*RBs!K66</f>
        <v>40.5262237762238</v>
      </c>
    </row>
    <row r="67" customFormat="false" ht="12.75" hidden="false" customHeight="false" outlineLevel="0" collapsed="false">
      <c r="A67" s="141" t="s">
        <v>297</v>
      </c>
      <c r="B67" s="111" t="s">
        <v>136</v>
      </c>
      <c r="C67" s="98" t="n">
        <v>65</v>
      </c>
      <c r="D67" s="96" t="n">
        <f aca="false">3.8*C67</f>
        <v>247</v>
      </c>
      <c r="E67" s="96" t="n">
        <v>0</v>
      </c>
      <c r="F67" s="97" t="n">
        <v>2</v>
      </c>
      <c r="G67" s="98" t="n">
        <v>10</v>
      </c>
      <c r="H67" s="96" t="n">
        <f aca="false">8.5*G67</f>
        <v>85</v>
      </c>
      <c r="I67" s="96" t="n">
        <v>0</v>
      </c>
      <c r="J67" s="97" t="n">
        <v>0</v>
      </c>
      <c r="K67" s="96" t="n">
        <v>0</v>
      </c>
      <c r="L67" s="119" t="n">
        <v>0.727272727272727</v>
      </c>
      <c r="M67" s="120" t="n">
        <v>0.0979020979020979</v>
      </c>
      <c r="N67" s="120" t="n">
        <v>0.0629370629370629</v>
      </c>
      <c r="O67" s="120" t="n">
        <v>0.020979020979021</v>
      </c>
      <c r="P67" s="120" t="n">
        <v>0.027972027972028</v>
      </c>
      <c r="Q67" s="121" t="n">
        <v>0.0629370629370629</v>
      </c>
      <c r="R67" s="119" t="n">
        <v>0.3</v>
      </c>
      <c r="S67" s="120" t="n">
        <v>0.333333333333333</v>
      </c>
      <c r="T67" s="120" t="n">
        <v>0.166666666666667</v>
      </c>
      <c r="U67" s="120" t="n">
        <v>0.1</v>
      </c>
      <c r="V67" s="120" t="n">
        <v>0.0333333333333333</v>
      </c>
      <c r="W67" s="121" t="n">
        <v>0.0666666666666667</v>
      </c>
      <c r="X67" s="113" t="n">
        <f aca="false">$F67*L67</f>
        <v>1.45454545454545</v>
      </c>
      <c r="Y67" s="114" t="n">
        <f aca="false">$F67*M67</f>
        <v>0.195804195804196</v>
      </c>
      <c r="Z67" s="114" t="n">
        <f aca="false">$F67*N67</f>
        <v>0.125874125874126</v>
      </c>
      <c r="AA67" s="114" t="n">
        <f aca="false">$F67*O67</f>
        <v>0.041958041958042</v>
      </c>
      <c r="AB67" s="114" t="n">
        <f aca="false">$F67*P67</f>
        <v>0.0559440559440559</v>
      </c>
      <c r="AC67" s="115" t="n">
        <f aca="false">$F67*Q67</f>
        <v>0.125874125874126</v>
      </c>
      <c r="AD67" s="113" t="n">
        <f aca="false">R67*$J67</f>
        <v>0</v>
      </c>
      <c r="AE67" s="114" t="n">
        <f aca="false">S67*$J67</f>
        <v>0</v>
      </c>
      <c r="AF67" s="114" t="n">
        <f aca="false">T67*$J67</f>
        <v>0</v>
      </c>
      <c r="AG67" s="114" t="n">
        <f aca="false">U67*$J67</f>
        <v>0</v>
      </c>
      <c r="AH67" s="114" t="n">
        <f aca="false">V67*$J67</f>
        <v>0</v>
      </c>
      <c r="AI67" s="114" t="n">
        <f aca="false">W67*$J67</f>
        <v>0</v>
      </c>
      <c r="AJ67" s="116" t="n">
        <f aca="false">Input!$D$22*RBs!C67+Input!$D$23*RBs!D67+Input!$D$24*RBs!X67+Input!$D$25*RBs!Y67+Input!$D$26*RBs!Z67+Input!$D$27*RBs!AA67+Input!$D$28*RBs!AB67+Input!$D$29*RBs!AC67+Input!$D$30*RBs!E67+Input!$D$31*RBs!G67+Input!$D$32*RBs!H67+Input!$D$33*RBs!AD67+Input!$D$34*RBs!AE67+Input!$D$35*RBs!AF67+Input!$D$36*RBs!AG67+Input!$D$37*RBs!AH67+Input!$D$38*RBs!AI67+Input!$D$39*RBs!I67+Input!$D$40*RBs!K67</f>
        <v>46.7524475524476</v>
      </c>
    </row>
    <row r="68" customFormat="false" ht="12.75" hidden="false" customHeight="false" outlineLevel="0" collapsed="false">
      <c r="A68" s="141" t="s">
        <v>298</v>
      </c>
      <c r="B68" s="111" t="s">
        <v>178</v>
      </c>
      <c r="C68" s="98" t="n">
        <v>75</v>
      </c>
      <c r="D68" s="96" t="n">
        <f aca="false">3.7*C68</f>
        <v>277.5</v>
      </c>
      <c r="E68" s="96" t="n">
        <v>0</v>
      </c>
      <c r="F68" s="97" t="n">
        <v>1</v>
      </c>
      <c r="G68" s="98" t="n">
        <v>15</v>
      </c>
      <c r="H68" s="96" t="n">
        <f aca="false">7.5*G68</f>
        <v>112.5</v>
      </c>
      <c r="I68" s="96" t="n">
        <v>0</v>
      </c>
      <c r="J68" s="97" t="n">
        <v>0</v>
      </c>
      <c r="K68" s="96" t="n">
        <v>1</v>
      </c>
      <c r="L68" s="119" t="n">
        <v>0.727272727272727</v>
      </c>
      <c r="M68" s="120" t="n">
        <v>0.0979020979020979</v>
      </c>
      <c r="N68" s="120" t="n">
        <v>0.0629370629370629</v>
      </c>
      <c r="O68" s="120" t="n">
        <v>0.020979020979021</v>
      </c>
      <c r="P68" s="120" t="n">
        <v>0.027972027972028</v>
      </c>
      <c r="Q68" s="121" t="n">
        <v>0.0629370629370629</v>
      </c>
      <c r="R68" s="119" t="n">
        <v>0.3</v>
      </c>
      <c r="S68" s="120" t="n">
        <v>0.333333333333333</v>
      </c>
      <c r="T68" s="120" t="n">
        <v>0.166666666666667</v>
      </c>
      <c r="U68" s="120" t="n">
        <v>0.1</v>
      </c>
      <c r="V68" s="120" t="n">
        <v>0.0333333333333333</v>
      </c>
      <c r="W68" s="121" t="n">
        <v>0.0666666666666667</v>
      </c>
      <c r="X68" s="113" t="n">
        <f aca="false">$F68*L68</f>
        <v>0.727272727272727</v>
      </c>
      <c r="Y68" s="114" t="n">
        <f aca="false">$F68*M68</f>
        <v>0.0979020979020979</v>
      </c>
      <c r="Z68" s="114" t="n">
        <f aca="false">$F68*N68</f>
        <v>0.0629370629370629</v>
      </c>
      <c r="AA68" s="114" t="n">
        <f aca="false">$F68*O68</f>
        <v>0.020979020979021</v>
      </c>
      <c r="AB68" s="114" t="n">
        <f aca="false">$F68*P68</f>
        <v>0.027972027972028</v>
      </c>
      <c r="AC68" s="115" t="n">
        <f aca="false">$F68*Q68</f>
        <v>0.0629370629370629</v>
      </c>
      <c r="AD68" s="113" t="n">
        <f aca="false">R68*$J68</f>
        <v>0</v>
      </c>
      <c r="AE68" s="114" t="n">
        <f aca="false">S68*$J68</f>
        <v>0</v>
      </c>
      <c r="AF68" s="114" t="n">
        <f aca="false">T68*$J68</f>
        <v>0</v>
      </c>
      <c r="AG68" s="114" t="n">
        <f aca="false">U68*$J68</f>
        <v>0</v>
      </c>
      <c r="AH68" s="114" t="n">
        <f aca="false">V68*$J68</f>
        <v>0</v>
      </c>
      <c r="AI68" s="114" t="n">
        <f aca="false">W68*$J68</f>
        <v>0</v>
      </c>
      <c r="AJ68" s="116" t="n">
        <f aca="false">Input!$D$22*RBs!C68+Input!$D$23*RBs!D68+Input!$D$24*RBs!X68+Input!$D$25*RBs!Y68+Input!$D$26*RBs!Z68+Input!$D$27*RBs!AA68+Input!$D$28*RBs!AB68+Input!$D$29*RBs!AC68+Input!$D$30*RBs!E68+Input!$D$31*RBs!G68+Input!$D$32*RBs!H68+Input!$D$33*RBs!AD68+Input!$D$34*RBs!AE68+Input!$D$35*RBs!AF68+Input!$D$36*RBs!AG68+Input!$D$37*RBs!AH68+Input!$D$38*RBs!AI68+Input!$D$39*RBs!I68+Input!$D$40*RBs!K68</f>
        <v>44.7762237762238</v>
      </c>
    </row>
    <row r="69" customFormat="false" ht="12.75" hidden="false" customHeight="false" outlineLevel="0" collapsed="false">
      <c r="A69" s="141" t="s">
        <v>299</v>
      </c>
      <c r="B69" s="111" t="s">
        <v>178</v>
      </c>
      <c r="C69" s="98" t="n">
        <v>20</v>
      </c>
      <c r="D69" s="96" t="n">
        <f aca="false">4*C69</f>
        <v>80</v>
      </c>
      <c r="E69" s="96" t="n">
        <v>0</v>
      </c>
      <c r="F69" s="97" t="n">
        <v>0</v>
      </c>
      <c r="G69" s="98" t="n">
        <v>30</v>
      </c>
      <c r="H69" s="96" t="n">
        <f aca="false">8.2*G69</f>
        <v>246</v>
      </c>
      <c r="I69" s="96" t="n">
        <v>0</v>
      </c>
      <c r="J69" s="97" t="n">
        <v>1</v>
      </c>
      <c r="K69" s="96" t="n">
        <v>0</v>
      </c>
      <c r="L69" s="119" t="n">
        <v>0.727272727272727</v>
      </c>
      <c r="M69" s="120" t="n">
        <v>0.0979020979020979</v>
      </c>
      <c r="N69" s="120" t="n">
        <v>0.0629370629370629</v>
      </c>
      <c r="O69" s="120" t="n">
        <v>0.020979020979021</v>
      </c>
      <c r="P69" s="120" t="n">
        <v>0.027972027972028</v>
      </c>
      <c r="Q69" s="121" t="n">
        <v>0.0629370629370629</v>
      </c>
      <c r="R69" s="119" t="n">
        <v>0.3</v>
      </c>
      <c r="S69" s="120" t="n">
        <v>0.333333333333333</v>
      </c>
      <c r="T69" s="120" t="n">
        <v>0.166666666666667</v>
      </c>
      <c r="U69" s="120" t="n">
        <v>0.1</v>
      </c>
      <c r="V69" s="120" t="n">
        <v>0.0333333333333333</v>
      </c>
      <c r="W69" s="121" t="n">
        <v>0.0666666666666667</v>
      </c>
      <c r="X69" s="113" t="n">
        <f aca="false">$F69*L69</f>
        <v>0</v>
      </c>
      <c r="Y69" s="114" t="n">
        <f aca="false">$F69*M69</f>
        <v>0</v>
      </c>
      <c r="Z69" s="114" t="n">
        <f aca="false">$F69*N69</f>
        <v>0</v>
      </c>
      <c r="AA69" s="114" t="n">
        <f aca="false">$F69*O69</f>
        <v>0</v>
      </c>
      <c r="AB69" s="114" t="n">
        <f aca="false">$F69*P69</f>
        <v>0</v>
      </c>
      <c r="AC69" s="115" t="n">
        <f aca="false">$F69*Q69</f>
        <v>0</v>
      </c>
      <c r="AD69" s="113" t="n">
        <f aca="false">R69*$J69</f>
        <v>0.3</v>
      </c>
      <c r="AE69" s="114" t="n">
        <f aca="false">S69*$J69</f>
        <v>0.333333333333333</v>
      </c>
      <c r="AF69" s="114" t="n">
        <f aca="false">T69*$J69</f>
        <v>0.166666666666667</v>
      </c>
      <c r="AG69" s="114" t="n">
        <f aca="false">U69*$J69</f>
        <v>0.1</v>
      </c>
      <c r="AH69" s="114" t="n">
        <f aca="false">V69*$J69</f>
        <v>0.0333333333333333</v>
      </c>
      <c r="AI69" s="114" t="n">
        <f aca="false">W69*$J69</f>
        <v>0.0666666666666667</v>
      </c>
      <c r="AJ69" s="116" t="n">
        <f aca="false">Input!$D$22*RBs!C69+Input!$D$23*RBs!D69+Input!$D$24*RBs!X69+Input!$D$25*RBs!Y69+Input!$D$26*RBs!Z69+Input!$D$27*RBs!AA69+Input!$D$28*RBs!AB69+Input!$D$29*RBs!AC69+Input!$D$30*RBs!E69+Input!$D$31*RBs!G69+Input!$D$32*RBs!H69+Input!$D$33*RBs!AD69+Input!$D$34*RBs!AE69+Input!$D$35*RBs!AF69+Input!$D$36*RBs!AG69+Input!$D$37*RBs!AH69+Input!$D$38*RBs!AI69+Input!$D$39*RBs!I69+Input!$D$40*RBs!K69</f>
        <v>40.1</v>
      </c>
    </row>
    <row r="70" customFormat="false" ht="12.75" hidden="false" customHeight="false" outlineLevel="0" collapsed="false">
      <c r="A70" s="141" t="s">
        <v>300</v>
      </c>
      <c r="B70" s="111" t="s">
        <v>160</v>
      </c>
      <c r="C70" s="98" t="n">
        <v>60</v>
      </c>
      <c r="D70" s="96" t="n">
        <f aca="false">3.7*C70</f>
        <v>222</v>
      </c>
      <c r="E70" s="96" t="n">
        <v>0</v>
      </c>
      <c r="F70" s="97" t="n">
        <v>1</v>
      </c>
      <c r="G70" s="98" t="n">
        <v>3</v>
      </c>
      <c r="H70" s="96" t="n">
        <f aca="false">9*G70</f>
        <v>27</v>
      </c>
      <c r="I70" s="96" t="n">
        <v>0</v>
      </c>
      <c r="J70" s="97" t="n">
        <v>0</v>
      </c>
      <c r="K70" s="96" t="n">
        <v>0</v>
      </c>
      <c r="L70" s="119" t="n">
        <v>0.727272727272727</v>
      </c>
      <c r="M70" s="120" t="n">
        <v>0.0979020979020979</v>
      </c>
      <c r="N70" s="120" t="n">
        <v>0.0629370629370629</v>
      </c>
      <c r="O70" s="120" t="n">
        <v>0.020979020979021</v>
      </c>
      <c r="P70" s="120" t="n">
        <v>0.027972027972028</v>
      </c>
      <c r="Q70" s="121" t="n">
        <v>0.0629370629370629</v>
      </c>
      <c r="R70" s="119" t="n">
        <v>0.3</v>
      </c>
      <c r="S70" s="120" t="n">
        <v>0.333333333333333</v>
      </c>
      <c r="T70" s="120" t="n">
        <v>0.166666666666667</v>
      </c>
      <c r="U70" s="120" t="n">
        <v>0.1</v>
      </c>
      <c r="V70" s="120" t="n">
        <v>0.0333333333333333</v>
      </c>
      <c r="W70" s="121" t="n">
        <v>0.0666666666666667</v>
      </c>
      <c r="X70" s="113" t="n">
        <f aca="false">$F70*L70</f>
        <v>0.727272727272727</v>
      </c>
      <c r="Y70" s="114" t="n">
        <f aca="false">$F70*M70</f>
        <v>0.0979020979020979</v>
      </c>
      <c r="Z70" s="114" t="n">
        <f aca="false">$F70*N70</f>
        <v>0.0629370629370629</v>
      </c>
      <c r="AA70" s="114" t="n">
        <f aca="false">$F70*O70</f>
        <v>0.020979020979021</v>
      </c>
      <c r="AB70" s="114" t="n">
        <f aca="false">$F70*P70</f>
        <v>0.027972027972028</v>
      </c>
      <c r="AC70" s="115" t="n">
        <f aca="false">$F70*Q70</f>
        <v>0.0629370629370629</v>
      </c>
      <c r="AD70" s="113" t="n">
        <f aca="false">R70*$J70</f>
        <v>0</v>
      </c>
      <c r="AE70" s="114" t="n">
        <f aca="false">S70*$J70</f>
        <v>0</v>
      </c>
      <c r="AF70" s="114" t="n">
        <f aca="false">T70*$J70</f>
        <v>0</v>
      </c>
      <c r="AG70" s="114" t="n">
        <f aca="false">U70*$J70</f>
        <v>0</v>
      </c>
      <c r="AH70" s="114" t="n">
        <f aca="false">V70*$J70</f>
        <v>0</v>
      </c>
      <c r="AI70" s="114" t="n">
        <f aca="false">W70*$J70</f>
        <v>0</v>
      </c>
      <c r="AJ70" s="116" t="n">
        <f aca="false">Input!$D$22*RBs!C70+Input!$D$23*RBs!D70+Input!$D$24*RBs!X70+Input!$D$25*RBs!Y70+Input!$D$26*RBs!Z70+Input!$D$27*RBs!AA70+Input!$D$28*RBs!AB70+Input!$D$29*RBs!AC70+Input!$D$30*RBs!E70+Input!$D$31*RBs!G70+Input!$D$32*RBs!H70+Input!$D$33*RBs!AD70+Input!$D$34*RBs!AE70+Input!$D$35*RBs!AF70+Input!$D$36*RBs!AG70+Input!$D$37*RBs!AH70+Input!$D$38*RBs!AI70+Input!$D$39*RBs!I70+Input!$D$40*RBs!K70</f>
        <v>31.6762237762238</v>
      </c>
    </row>
    <row r="71" customFormat="false" ht="12.75" hidden="false" customHeight="false" outlineLevel="0" collapsed="false">
      <c r="A71" s="141" t="s">
        <v>301</v>
      </c>
      <c r="B71" s="111" t="s">
        <v>156</v>
      </c>
      <c r="C71" s="98" t="n">
        <v>30</v>
      </c>
      <c r="D71" s="96" t="n">
        <f aca="false">3*C71</f>
        <v>90</v>
      </c>
      <c r="E71" s="96" t="n">
        <v>0</v>
      </c>
      <c r="F71" s="97" t="n">
        <v>2</v>
      </c>
      <c r="G71" s="98" t="n">
        <v>20</v>
      </c>
      <c r="H71" s="96" t="n">
        <f aca="false">7.5*G71</f>
        <v>150</v>
      </c>
      <c r="I71" s="96" t="n">
        <v>0</v>
      </c>
      <c r="J71" s="97" t="n">
        <v>1</v>
      </c>
      <c r="K71" s="96" t="n">
        <v>0</v>
      </c>
      <c r="L71" s="119" t="n">
        <v>0.727272727272727</v>
      </c>
      <c r="M71" s="120" t="n">
        <v>0.0979020979020979</v>
      </c>
      <c r="N71" s="120" t="n">
        <v>0.0629370629370629</v>
      </c>
      <c r="O71" s="120" t="n">
        <v>0.020979020979021</v>
      </c>
      <c r="P71" s="120" t="n">
        <v>0.027972027972028</v>
      </c>
      <c r="Q71" s="121" t="n">
        <v>0.0629370629370629</v>
      </c>
      <c r="R71" s="119" t="n">
        <v>0.3</v>
      </c>
      <c r="S71" s="120" t="n">
        <v>0.333333333333333</v>
      </c>
      <c r="T71" s="120" t="n">
        <v>0.166666666666667</v>
      </c>
      <c r="U71" s="120" t="n">
        <v>0.1</v>
      </c>
      <c r="V71" s="120" t="n">
        <v>0.0333333333333333</v>
      </c>
      <c r="W71" s="121" t="n">
        <v>0.0666666666666667</v>
      </c>
      <c r="X71" s="113" t="n">
        <f aca="false">$F71*L71</f>
        <v>1.45454545454545</v>
      </c>
      <c r="Y71" s="114" t="n">
        <f aca="false">$F71*M71</f>
        <v>0.195804195804196</v>
      </c>
      <c r="Z71" s="114" t="n">
        <f aca="false">$F71*N71</f>
        <v>0.125874125874126</v>
      </c>
      <c r="AA71" s="114" t="n">
        <f aca="false">$F71*O71</f>
        <v>0.041958041958042</v>
      </c>
      <c r="AB71" s="114" t="n">
        <f aca="false">$F71*P71</f>
        <v>0.0559440559440559</v>
      </c>
      <c r="AC71" s="115" t="n">
        <f aca="false">$F71*Q71</f>
        <v>0.125874125874126</v>
      </c>
      <c r="AD71" s="113" t="n">
        <f aca="false">R71*$J71</f>
        <v>0.3</v>
      </c>
      <c r="AE71" s="114" t="n">
        <f aca="false">S71*$J71</f>
        <v>0.333333333333333</v>
      </c>
      <c r="AF71" s="114" t="n">
        <f aca="false">T71*$J71</f>
        <v>0.166666666666667</v>
      </c>
      <c r="AG71" s="114" t="n">
        <f aca="false">U71*$J71</f>
        <v>0.1</v>
      </c>
      <c r="AH71" s="114" t="n">
        <f aca="false">V71*$J71</f>
        <v>0.0333333333333333</v>
      </c>
      <c r="AI71" s="114" t="n">
        <f aca="false">W71*$J71</f>
        <v>0.0666666666666667</v>
      </c>
      <c r="AJ71" s="116" t="n">
        <f aca="false">Input!$D$22*RBs!C71+Input!$D$23*RBs!D71+Input!$D$24*RBs!X71+Input!$D$25*RBs!Y71+Input!$D$26*RBs!Z71+Input!$D$27*RBs!AA71+Input!$D$28*RBs!AB71+Input!$D$29*RBs!AC71+Input!$D$30*RBs!E71+Input!$D$31*RBs!G71+Input!$D$32*RBs!H71+Input!$D$33*RBs!AD71+Input!$D$34*RBs!AE71+Input!$D$35*RBs!AF71+Input!$D$36*RBs!AG71+Input!$D$37*RBs!AH71+Input!$D$38*RBs!AI71+Input!$D$39*RBs!I71+Input!$D$40*RBs!K71</f>
        <v>45.0524475524475</v>
      </c>
    </row>
    <row r="72" customFormat="false" ht="12.75" hidden="false" customHeight="false" outlineLevel="0" collapsed="false">
      <c r="A72" s="141" t="s">
        <v>302</v>
      </c>
      <c r="B72" s="111" t="s">
        <v>188</v>
      </c>
      <c r="C72" s="98" t="n">
        <v>55</v>
      </c>
      <c r="D72" s="96" t="n">
        <f aca="false">3.8*C72</f>
        <v>209</v>
      </c>
      <c r="E72" s="96" t="n">
        <v>0</v>
      </c>
      <c r="F72" s="97" t="n">
        <v>1</v>
      </c>
      <c r="G72" s="98" t="n">
        <v>10</v>
      </c>
      <c r="H72" s="96" t="n">
        <f aca="false">8*G72</f>
        <v>80</v>
      </c>
      <c r="I72" s="96" t="n">
        <v>0</v>
      </c>
      <c r="J72" s="97" t="n">
        <v>1</v>
      </c>
      <c r="K72" s="96" t="n">
        <v>0</v>
      </c>
      <c r="L72" s="119" t="n">
        <v>0.727272727272727</v>
      </c>
      <c r="M72" s="120" t="n">
        <v>0.0979020979020979</v>
      </c>
      <c r="N72" s="120" t="n">
        <v>0.0629370629370629</v>
      </c>
      <c r="O72" s="120" t="n">
        <v>0.020979020979021</v>
      </c>
      <c r="P72" s="120" t="n">
        <v>0.027972027972028</v>
      </c>
      <c r="Q72" s="121" t="n">
        <v>0.0629370629370629</v>
      </c>
      <c r="R72" s="119" t="n">
        <v>0.3</v>
      </c>
      <c r="S72" s="120" t="n">
        <v>0.333333333333333</v>
      </c>
      <c r="T72" s="120" t="n">
        <v>0.166666666666667</v>
      </c>
      <c r="U72" s="120" t="n">
        <v>0.1</v>
      </c>
      <c r="V72" s="120" t="n">
        <v>0.0333333333333333</v>
      </c>
      <c r="W72" s="121" t="n">
        <v>0.0666666666666667</v>
      </c>
      <c r="X72" s="113" t="n">
        <f aca="false">$F72*L72</f>
        <v>0.727272727272727</v>
      </c>
      <c r="Y72" s="114" t="n">
        <f aca="false">$F72*M72</f>
        <v>0.0979020979020979</v>
      </c>
      <c r="Z72" s="114" t="n">
        <f aca="false">$F72*N72</f>
        <v>0.0629370629370629</v>
      </c>
      <c r="AA72" s="114" t="n">
        <f aca="false">$F72*O72</f>
        <v>0.020979020979021</v>
      </c>
      <c r="AB72" s="114" t="n">
        <f aca="false">$F72*P72</f>
        <v>0.027972027972028</v>
      </c>
      <c r="AC72" s="115" t="n">
        <f aca="false">$F72*Q72</f>
        <v>0.0629370629370629</v>
      </c>
      <c r="AD72" s="113" t="n">
        <f aca="false">R72*$J72</f>
        <v>0.3</v>
      </c>
      <c r="AE72" s="114" t="n">
        <f aca="false">S72*$J72</f>
        <v>0.333333333333333</v>
      </c>
      <c r="AF72" s="114" t="n">
        <f aca="false">T72*$J72</f>
        <v>0.166666666666667</v>
      </c>
      <c r="AG72" s="114" t="n">
        <f aca="false">U72*$J72</f>
        <v>0.1</v>
      </c>
      <c r="AH72" s="114" t="n">
        <f aca="false">V72*$J72</f>
        <v>0.0333333333333333</v>
      </c>
      <c r="AI72" s="114" t="n">
        <f aca="false">W72*$J72</f>
        <v>0.0666666666666667</v>
      </c>
      <c r="AJ72" s="116" t="n">
        <f aca="false">Input!$D$22*RBs!C72+Input!$D$23*RBs!D72+Input!$D$24*RBs!X72+Input!$D$25*RBs!Y72+Input!$D$26*RBs!Z72+Input!$D$27*RBs!AA72+Input!$D$28*RBs!AB72+Input!$D$29*RBs!AC72+Input!$D$30*RBs!E72+Input!$D$31*RBs!G72+Input!$D$32*RBs!H72+Input!$D$33*RBs!AD72+Input!$D$34*RBs!AE72+Input!$D$35*RBs!AF72+Input!$D$36*RBs!AG72+Input!$D$37*RBs!AH72+Input!$D$38*RBs!AI72+Input!$D$39*RBs!I72+Input!$D$40*RBs!K72</f>
        <v>43.1762237762238</v>
      </c>
    </row>
    <row r="73" customFormat="false" ht="12.75" hidden="false" customHeight="false" outlineLevel="0" collapsed="false">
      <c r="A73" s="141" t="s">
        <v>303</v>
      </c>
      <c r="B73" s="111" t="s">
        <v>192</v>
      </c>
      <c r="C73" s="98" t="n">
        <v>90</v>
      </c>
      <c r="D73" s="96" t="n">
        <f aca="false">3.8*C73</f>
        <v>342</v>
      </c>
      <c r="E73" s="96" t="n">
        <v>0</v>
      </c>
      <c r="F73" s="97" t="n">
        <v>1</v>
      </c>
      <c r="G73" s="98" t="n">
        <v>15</v>
      </c>
      <c r="H73" s="96" t="n">
        <f aca="false">8*G73</f>
        <v>120</v>
      </c>
      <c r="I73" s="96" t="n">
        <v>0</v>
      </c>
      <c r="J73" s="97" t="n">
        <v>0</v>
      </c>
      <c r="K73" s="96" t="n">
        <v>0</v>
      </c>
      <c r="L73" s="119" t="n">
        <v>0.727272727272727</v>
      </c>
      <c r="M73" s="120" t="n">
        <v>0.0979020979020979</v>
      </c>
      <c r="N73" s="120" t="n">
        <v>0.0629370629370629</v>
      </c>
      <c r="O73" s="120" t="n">
        <v>0.020979020979021</v>
      </c>
      <c r="P73" s="120" t="n">
        <v>0.027972027972028</v>
      </c>
      <c r="Q73" s="121" t="n">
        <v>0.0629370629370629</v>
      </c>
      <c r="R73" s="119" t="n">
        <v>0.3</v>
      </c>
      <c r="S73" s="120" t="n">
        <v>0.333333333333333</v>
      </c>
      <c r="T73" s="120" t="n">
        <v>0.166666666666667</v>
      </c>
      <c r="U73" s="120" t="n">
        <v>0.1</v>
      </c>
      <c r="V73" s="120" t="n">
        <v>0.0333333333333333</v>
      </c>
      <c r="W73" s="121" t="n">
        <v>0.0666666666666667</v>
      </c>
      <c r="X73" s="113" t="n">
        <f aca="false">$F73*L73</f>
        <v>0.727272727272727</v>
      </c>
      <c r="Y73" s="114" t="n">
        <f aca="false">$F73*M73</f>
        <v>0.0979020979020979</v>
      </c>
      <c r="Z73" s="114" t="n">
        <f aca="false">$F73*N73</f>
        <v>0.0629370629370629</v>
      </c>
      <c r="AA73" s="114" t="n">
        <f aca="false">$F73*O73</f>
        <v>0.020979020979021</v>
      </c>
      <c r="AB73" s="114" t="n">
        <f aca="false">$F73*P73</f>
        <v>0.027972027972028</v>
      </c>
      <c r="AC73" s="115" t="n">
        <f aca="false">$F73*Q73</f>
        <v>0.0629370629370629</v>
      </c>
      <c r="AD73" s="113" t="n">
        <f aca="false">R73*$J73</f>
        <v>0</v>
      </c>
      <c r="AE73" s="114" t="n">
        <f aca="false">S73*$J73</f>
        <v>0</v>
      </c>
      <c r="AF73" s="114" t="n">
        <f aca="false">T73*$J73</f>
        <v>0</v>
      </c>
      <c r="AG73" s="114" t="n">
        <f aca="false">U73*$J73</f>
        <v>0</v>
      </c>
      <c r="AH73" s="114" t="n">
        <f aca="false">V73*$J73</f>
        <v>0</v>
      </c>
      <c r="AI73" s="114" t="n">
        <f aca="false">W73*$J73</f>
        <v>0</v>
      </c>
      <c r="AJ73" s="116" t="n">
        <f aca="false">Input!$D$22*RBs!C73+Input!$D$23*RBs!D73+Input!$D$24*RBs!X73+Input!$D$25*RBs!Y73+Input!$D$26*RBs!Z73+Input!$D$27*RBs!AA73+Input!$D$28*RBs!AB73+Input!$D$29*RBs!AC73+Input!$D$30*RBs!E73+Input!$D$31*RBs!G73+Input!$D$32*RBs!H73+Input!$D$33*RBs!AD73+Input!$D$34*RBs!AE73+Input!$D$35*RBs!AF73+Input!$D$36*RBs!AG73+Input!$D$37*RBs!AH73+Input!$D$38*RBs!AI73+Input!$D$39*RBs!I73+Input!$D$40*RBs!K73</f>
        <v>52.9762237762238</v>
      </c>
    </row>
    <row r="74" customFormat="false" ht="12.75" hidden="false" customHeight="false" outlineLevel="0" collapsed="false">
      <c r="A74" s="141" t="s">
        <v>304</v>
      </c>
      <c r="B74" s="111" t="s">
        <v>148</v>
      </c>
      <c r="C74" s="98" t="n">
        <v>60</v>
      </c>
      <c r="D74" s="96" t="n">
        <f aca="false">4.7*C74</f>
        <v>282</v>
      </c>
      <c r="E74" s="96" t="n">
        <v>0</v>
      </c>
      <c r="F74" s="97" t="n">
        <v>1</v>
      </c>
      <c r="G74" s="98" t="n">
        <v>10</v>
      </c>
      <c r="H74" s="96" t="n">
        <f aca="false">6.5*G74</f>
        <v>65</v>
      </c>
      <c r="I74" s="96" t="n">
        <v>0</v>
      </c>
      <c r="J74" s="97" t="n">
        <v>0</v>
      </c>
      <c r="K74" s="96" t="n">
        <v>0</v>
      </c>
      <c r="L74" s="119" t="n">
        <v>0.727272727272727</v>
      </c>
      <c r="M74" s="120" t="n">
        <v>0.0979020979020979</v>
      </c>
      <c r="N74" s="120" t="n">
        <v>0.0629370629370629</v>
      </c>
      <c r="O74" s="120" t="n">
        <v>0.020979020979021</v>
      </c>
      <c r="P74" s="120" t="n">
        <v>0.027972027972028</v>
      </c>
      <c r="Q74" s="121" t="n">
        <v>0.0629370629370629</v>
      </c>
      <c r="R74" s="119" t="n">
        <v>0.3</v>
      </c>
      <c r="S74" s="120" t="n">
        <v>0.333333333333333</v>
      </c>
      <c r="T74" s="120" t="n">
        <v>0.166666666666667</v>
      </c>
      <c r="U74" s="120" t="n">
        <v>0.1</v>
      </c>
      <c r="V74" s="120" t="n">
        <v>0.0333333333333333</v>
      </c>
      <c r="W74" s="121" t="n">
        <v>0.0666666666666667</v>
      </c>
      <c r="X74" s="113" t="n">
        <f aca="false">$F74*L74</f>
        <v>0.727272727272727</v>
      </c>
      <c r="Y74" s="114" t="n">
        <f aca="false">$F74*M74</f>
        <v>0.0979020979020979</v>
      </c>
      <c r="Z74" s="114" t="n">
        <f aca="false">$F74*N74</f>
        <v>0.0629370629370629</v>
      </c>
      <c r="AA74" s="114" t="n">
        <f aca="false">$F74*O74</f>
        <v>0.020979020979021</v>
      </c>
      <c r="AB74" s="114" t="n">
        <f aca="false">$F74*P74</f>
        <v>0.027972027972028</v>
      </c>
      <c r="AC74" s="115" t="n">
        <f aca="false">$F74*Q74</f>
        <v>0.0629370629370629</v>
      </c>
      <c r="AD74" s="113" t="n">
        <f aca="false">R74*$J74</f>
        <v>0</v>
      </c>
      <c r="AE74" s="114" t="n">
        <f aca="false">S74*$J74</f>
        <v>0</v>
      </c>
      <c r="AF74" s="114" t="n">
        <f aca="false">T74*$J74</f>
        <v>0</v>
      </c>
      <c r="AG74" s="114" t="n">
        <f aca="false">U74*$J74</f>
        <v>0</v>
      </c>
      <c r="AH74" s="114" t="n">
        <f aca="false">V74*$J74</f>
        <v>0</v>
      </c>
      <c r="AI74" s="114" t="n">
        <f aca="false">W74*$J74</f>
        <v>0</v>
      </c>
      <c r="AJ74" s="116" t="n">
        <f aca="false">Input!$D$22*RBs!C74+Input!$D$23*RBs!D74+Input!$D$24*RBs!X74+Input!$D$25*RBs!Y74+Input!$D$26*RBs!Z74+Input!$D$27*RBs!AA74+Input!$D$28*RBs!AB74+Input!$D$29*RBs!AC74+Input!$D$30*RBs!E74+Input!$D$31*RBs!G74+Input!$D$32*RBs!H74+Input!$D$33*RBs!AD74+Input!$D$34*RBs!AE74+Input!$D$35*RBs!AF74+Input!$D$36*RBs!AG74+Input!$D$37*RBs!AH74+Input!$D$38*RBs!AI74+Input!$D$39*RBs!I74+Input!$D$40*RBs!K74</f>
        <v>41.4762237762238</v>
      </c>
    </row>
    <row r="75" customFormat="false" ht="12.75" hidden="false" customHeight="false" outlineLevel="0" collapsed="false">
      <c r="A75" s="141" t="s">
        <v>305</v>
      </c>
      <c r="B75" s="111" t="s">
        <v>180</v>
      </c>
      <c r="C75" s="98" t="n">
        <v>50</v>
      </c>
      <c r="D75" s="96" t="n">
        <f aca="false">3.4*C75</f>
        <v>170</v>
      </c>
      <c r="E75" s="96" t="n">
        <v>0</v>
      </c>
      <c r="F75" s="97" t="n">
        <v>3</v>
      </c>
      <c r="G75" s="98" t="n">
        <v>4</v>
      </c>
      <c r="H75" s="96" t="n">
        <f aca="false">7.8*G75</f>
        <v>31.2</v>
      </c>
      <c r="I75" s="96" t="n">
        <v>0</v>
      </c>
      <c r="J75" s="97" t="n">
        <v>0</v>
      </c>
      <c r="K75" s="96" t="n">
        <v>0</v>
      </c>
      <c r="L75" s="119" t="n">
        <v>0.727272727272727</v>
      </c>
      <c r="M75" s="120" t="n">
        <v>0.0979020979020979</v>
      </c>
      <c r="N75" s="120" t="n">
        <v>0.0629370629370629</v>
      </c>
      <c r="O75" s="120" t="n">
        <v>0.020979020979021</v>
      </c>
      <c r="P75" s="120" t="n">
        <v>0.027972027972028</v>
      </c>
      <c r="Q75" s="121" t="n">
        <v>0.0629370629370629</v>
      </c>
      <c r="R75" s="119" t="n">
        <v>0.3</v>
      </c>
      <c r="S75" s="120" t="n">
        <v>0.333333333333333</v>
      </c>
      <c r="T75" s="120" t="n">
        <v>0.166666666666667</v>
      </c>
      <c r="U75" s="120" t="n">
        <v>0.1</v>
      </c>
      <c r="V75" s="120" t="n">
        <v>0.0333333333333333</v>
      </c>
      <c r="W75" s="121" t="n">
        <v>0.0666666666666667</v>
      </c>
      <c r="X75" s="113" t="n">
        <f aca="false">$F75*L75</f>
        <v>2.18181818181818</v>
      </c>
      <c r="Y75" s="114" t="n">
        <f aca="false">$F75*M75</f>
        <v>0.293706293706294</v>
      </c>
      <c r="Z75" s="114" t="n">
        <f aca="false">$F75*N75</f>
        <v>0.188811188811189</v>
      </c>
      <c r="AA75" s="114" t="n">
        <f aca="false">$F75*O75</f>
        <v>0.0629370629370629</v>
      </c>
      <c r="AB75" s="114" t="n">
        <f aca="false">$F75*P75</f>
        <v>0.0839160839160839</v>
      </c>
      <c r="AC75" s="115" t="n">
        <f aca="false">$F75*Q75</f>
        <v>0.188811188811189</v>
      </c>
      <c r="AD75" s="113" t="n">
        <f aca="false">R75*$J75</f>
        <v>0</v>
      </c>
      <c r="AE75" s="114" t="n">
        <f aca="false">S75*$J75</f>
        <v>0</v>
      </c>
      <c r="AF75" s="114" t="n">
        <f aca="false">T75*$J75</f>
        <v>0</v>
      </c>
      <c r="AG75" s="114" t="n">
        <f aca="false">U75*$J75</f>
        <v>0</v>
      </c>
      <c r="AH75" s="114" t="n">
        <f aca="false">V75*$J75</f>
        <v>0</v>
      </c>
      <c r="AI75" s="114" t="n">
        <f aca="false">W75*$J75</f>
        <v>0</v>
      </c>
      <c r="AJ75" s="116" t="n">
        <f aca="false">Input!$D$22*RBs!C75+Input!$D$23*RBs!D75+Input!$D$24*RBs!X75+Input!$D$25*RBs!Y75+Input!$D$26*RBs!Z75+Input!$D$27*RBs!AA75+Input!$D$28*RBs!AB75+Input!$D$29*RBs!AC75+Input!$D$30*RBs!E75+Input!$D$31*RBs!G75+Input!$D$32*RBs!H75+Input!$D$33*RBs!AD75+Input!$D$34*RBs!AE75+Input!$D$35*RBs!AF75+Input!$D$36*RBs!AG75+Input!$D$37*RBs!AH75+Input!$D$38*RBs!AI75+Input!$D$39*RBs!I75+Input!$D$40*RBs!K75</f>
        <v>40.4486713286713</v>
      </c>
    </row>
    <row r="76" customFormat="false" ht="12.75" hidden="false" customHeight="false" outlineLevel="0" collapsed="false">
      <c r="A76" s="141" t="s">
        <v>306</v>
      </c>
      <c r="B76" s="111" t="s">
        <v>184</v>
      </c>
      <c r="C76" s="98" t="n">
        <v>35</v>
      </c>
      <c r="D76" s="96" t="n">
        <f aca="false">3.3*C76</f>
        <v>115.5</v>
      </c>
      <c r="E76" s="96" t="n">
        <v>0</v>
      </c>
      <c r="F76" s="97" t="n">
        <v>1</v>
      </c>
      <c r="G76" s="98" t="n">
        <v>20</v>
      </c>
      <c r="H76" s="96" t="n">
        <f aca="false">7.2*G76</f>
        <v>144</v>
      </c>
      <c r="I76" s="96" t="n">
        <v>0</v>
      </c>
      <c r="J76" s="97" t="n">
        <v>1</v>
      </c>
      <c r="K76" s="96" t="n">
        <v>0</v>
      </c>
      <c r="L76" s="119" t="n">
        <v>0.727272727272727</v>
      </c>
      <c r="M76" s="120" t="n">
        <v>0.0979020979020979</v>
      </c>
      <c r="N76" s="120" t="n">
        <v>0.0629370629370629</v>
      </c>
      <c r="O76" s="120" t="n">
        <v>0.020979020979021</v>
      </c>
      <c r="P76" s="120" t="n">
        <v>0.027972027972028</v>
      </c>
      <c r="Q76" s="121" t="n">
        <v>0.0629370629370629</v>
      </c>
      <c r="R76" s="119" t="n">
        <v>0.3</v>
      </c>
      <c r="S76" s="120" t="n">
        <v>0.333333333333333</v>
      </c>
      <c r="T76" s="120" t="n">
        <v>0.166666666666667</v>
      </c>
      <c r="U76" s="120" t="n">
        <v>0.1</v>
      </c>
      <c r="V76" s="120" t="n">
        <v>0.0333333333333333</v>
      </c>
      <c r="W76" s="121" t="n">
        <v>0.0666666666666667</v>
      </c>
      <c r="X76" s="113" t="n">
        <f aca="false">$F76*L76</f>
        <v>0.727272727272727</v>
      </c>
      <c r="Y76" s="114" t="n">
        <f aca="false">$F76*M76</f>
        <v>0.0979020979020979</v>
      </c>
      <c r="Z76" s="114" t="n">
        <f aca="false">$F76*N76</f>
        <v>0.0629370629370629</v>
      </c>
      <c r="AA76" s="114" t="n">
        <f aca="false">$F76*O76</f>
        <v>0.020979020979021</v>
      </c>
      <c r="AB76" s="114" t="n">
        <f aca="false">$F76*P76</f>
        <v>0.027972027972028</v>
      </c>
      <c r="AC76" s="115" t="n">
        <f aca="false">$F76*Q76</f>
        <v>0.0629370629370629</v>
      </c>
      <c r="AD76" s="113" t="n">
        <f aca="false">R76*$J76</f>
        <v>0.3</v>
      </c>
      <c r="AE76" s="114" t="n">
        <f aca="false">S76*$J76</f>
        <v>0.333333333333333</v>
      </c>
      <c r="AF76" s="114" t="n">
        <f aca="false">T76*$J76</f>
        <v>0.166666666666667</v>
      </c>
      <c r="AG76" s="114" t="n">
        <f aca="false">U76*$J76</f>
        <v>0.1</v>
      </c>
      <c r="AH76" s="114" t="n">
        <f aca="false">V76*$J76</f>
        <v>0.0333333333333333</v>
      </c>
      <c r="AI76" s="114" t="n">
        <f aca="false">W76*$J76</f>
        <v>0.0666666666666667</v>
      </c>
      <c r="AJ76" s="116" t="n">
        <f aca="false">Input!$D$22*RBs!C76+Input!$D$23*RBs!D76+Input!$D$24*RBs!X76+Input!$D$25*RBs!Y76+Input!$D$26*RBs!Z76+Input!$D$27*RBs!AA76+Input!$D$28*RBs!AB76+Input!$D$29*RBs!AC76+Input!$D$30*RBs!E76+Input!$D$31*RBs!G76+Input!$D$32*RBs!H76+Input!$D$33*RBs!AD76+Input!$D$34*RBs!AE76+Input!$D$35*RBs!AF76+Input!$D$36*RBs!AG76+Input!$D$37*RBs!AH76+Input!$D$38*RBs!AI76+Input!$D$39*RBs!I76+Input!$D$40*RBs!K76</f>
        <v>40.2262237762238</v>
      </c>
    </row>
    <row r="77" customFormat="false" ht="12.75" hidden="false" customHeight="false" outlineLevel="0" collapsed="false">
      <c r="A77" s="141" t="s">
        <v>307</v>
      </c>
      <c r="B77" s="111" t="s">
        <v>140</v>
      </c>
      <c r="C77" s="98" t="n">
        <v>15</v>
      </c>
      <c r="D77" s="96" t="n">
        <f aca="false">3.7*C77</f>
        <v>55.5</v>
      </c>
      <c r="E77" s="96" t="n">
        <v>0</v>
      </c>
      <c r="F77" s="97" t="n">
        <v>1</v>
      </c>
      <c r="G77" s="98" t="n">
        <v>30</v>
      </c>
      <c r="H77" s="96" t="n">
        <f aca="false">6.8*G77</f>
        <v>204</v>
      </c>
      <c r="I77" s="96" t="n">
        <v>0</v>
      </c>
      <c r="J77" s="97" t="n">
        <v>1</v>
      </c>
      <c r="K77" s="96" t="n">
        <v>0</v>
      </c>
      <c r="L77" s="119" t="n">
        <v>0.727272727272727</v>
      </c>
      <c r="M77" s="120" t="n">
        <v>0.0979020979020979</v>
      </c>
      <c r="N77" s="120" t="n">
        <v>0.0629370629370629</v>
      </c>
      <c r="O77" s="120" t="n">
        <v>0.020979020979021</v>
      </c>
      <c r="P77" s="120" t="n">
        <v>0.027972027972028</v>
      </c>
      <c r="Q77" s="121" t="n">
        <v>0.0629370629370629</v>
      </c>
      <c r="R77" s="119" t="n">
        <v>0.3</v>
      </c>
      <c r="S77" s="120" t="n">
        <v>0.333333333333333</v>
      </c>
      <c r="T77" s="120" t="n">
        <v>0.166666666666667</v>
      </c>
      <c r="U77" s="120" t="n">
        <v>0.1</v>
      </c>
      <c r="V77" s="120" t="n">
        <v>0.0333333333333333</v>
      </c>
      <c r="W77" s="121" t="n">
        <v>0.0666666666666667</v>
      </c>
      <c r="X77" s="113" t="n">
        <f aca="false">$F77*L77</f>
        <v>0.727272727272727</v>
      </c>
      <c r="Y77" s="114" t="n">
        <f aca="false">$F77*M77</f>
        <v>0.0979020979020979</v>
      </c>
      <c r="Z77" s="114" t="n">
        <f aca="false">$F77*N77</f>
        <v>0.0629370629370629</v>
      </c>
      <c r="AA77" s="114" t="n">
        <f aca="false">$F77*O77</f>
        <v>0.020979020979021</v>
      </c>
      <c r="AB77" s="114" t="n">
        <f aca="false">$F77*P77</f>
        <v>0.027972027972028</v>
      </c>
      <c r="AC77" s="115" t="n">
        <f aca="false">$F77*Q77</f>
        <v>0.0629370629370629</v>
      </c>
      <c r="AD77" s="113" t="n">
        <f aca="false">R77*$J77</f>
        <v>0.3</v>
      </c>
      <c r="AE77" s="114" t="n">
        <f aca="false">S77*$J77</f>
        <v>0.333333333333333</v>
      </c>
      <c r="AF77" s="114" t="n">
        <f aca="false">T77*$J77</f>
        <v>0.166666666666667</v>
      </c>
      <c r="AG77" s="114" t="n">
        <f aca="false">U77*$J77</f>
        <v>0.1</v>
      </c>
      <c r="AH77" s="114" t="n">
        <f aca="false">V77*$J77</f>
        <v>0.0333333333333333</v>
      </c>
      <c r="AI77" s="114" t="n">
        <f aca="false">W77*$J77</f>
        <v>0.0666666666666667</v>
      </c>
      <c r="AJ77" s="116" t="n">
        <f aca="false">Input!$D$22*RBs!C77+Input!$D$23*RBs!D77+Input!$D$24*RBs!X77+Input!$D$25*RBs!Y77+Input!$D$26*RBs!Z77+Input!$D$27*RBs!AA77+Input!$D$28*RBs!AB77+Input!$D$29*RBs!AC77+Input!$D$30*RBs!E77+Input!$D$31*RBs!G77+Input!$D$32*RBs!H77+Input!$D$33*RBs!AD77+Input!$D$34*RBs!AE77+Input!$D$35*RBs!AF77+Input!$D$36*RBs!AG77+Input!$D$37*RBs!AH77+Input!$D$38*RBs!AI77+Input!$D$39*RBs!I77+Input!$D$40*RBs!K77</f>
        <v>40.2262237762238</v>
      </c>
    </row>
    <row r="78" customFormat="false" ht="12.75" hidden="false" customHeight="false" outlineLevel="0" collapsed="false">
      <c r="A78" s="141" t="s">
        <v>308</v>
      </c>
      <c r="B78" s="111" t="s">
        <v>146</v>
      </c>
      <c r="C78" s="98" t="n">
        <v>6</v>
      </c>
      <c r="D78" s="96" t="n">
        <f aca="false">2.6*C78</f>
        <v>15.6</v>
      </c>
      <c r="E78" s="96" t="n">
        <v>0</v>
      </c>
      <c r="F78" s="97" t="n">
        <v>0</v>
      </c>
      <c r="G78" s="98" t="n">
        <v>35</v>
      </c>
      <c r="H78" s="96" t="n">
        <f aca="false">8.6*G78</f>
        <v>301</v>
      </c>
      <c r="I78" s="96" t="n">
        <v>0</v>
      </c>
      <c r="J78" s="97" t="n">
        <v>1</v>
      </c>
      <c r="K78" s="96" t="n">
        <v>0</v>
      </c>
      <c r="L78" s="119" t="n">
        <v>0.727272727272727</v>
      </c>
      <c r="M78" s="120" t="n">
        <v>0.0979020979020979</v>
      </c>
      <c r="N78" s="120" t="n">
        <v>0.0629370629370629</v>
      </c>
      <c r="O78" s="120" t="n">
        <v>0.020979020979021</v>
      </c>
      <c r="P78" s="120" t="n">
        <v>0.027972027972028</v>
      </c>
      <c r="Q78" s="121" t="n">
        <v>0.0629370629370629</v>
      </c>
      <c r="R78" s="119" t="n">
        <v>0.3</v>
      </c>
      <c r="S78" s="120" t="n">
        <v>0.333333333333333</v>
      </c>
      <c r="T78" s="120" t="n">
        <v>0.166666666666667</v>
      </c>
      <c r="U78" s="120" t="n">
        <v>0.1</v>
      </c>
      <c r="V78" s="120" t="n">
        <v>0.0333333333333333</v>
      </c>
      <c r="W78" s="121" t="n">
        <v>0.0666666666666667</v>
      </c>
      <c r="X78" s="113" t="n">
        <f aca="false">$F78*L78</f>
        <v>0</v>
      </c>
      <c r="Y78" s="114" t="n">
        <f aca="false">$F78*M78</f>
        <v>0</v>
      </c>
      <c r="Z78" s="114" t="n">
        <f aca="false">$F78*N78</f>
        <v>0</v>
      </c>
      <c r="AA78" s="114" t="n">
        <f aca="false">$F78*O78</f>
        <v>0</v>
      </c>
      <c r="AB78" s="114" t="n">
        <f aca="false">$F78*P78</f>
        <v>0</v>
      </c>
      <c r="AC78" s="115" t="n">
        <f aca="false">$F78*Q78</f>
        <v>0</v>
      </c>
      <c r="AD78" s="113" t="n">
        <f aca="false">R78*$J78</f>
        <v>0.3</v>
      </c>
      <c r="AE78" s="114" t="n">
        <f aca="false">S78*$J78</f>
        <v>0.333333333333333</v>
      </c>
      <c r="AF78" s="114" t="n">
        <f aca="false">T78*$J78</f>
        <v>0.166666666666667</v>
      </c>
      <c r="AG78" s="114" t="n">
        <f aca="false">U78*$J78</f>
        <v>0.1</v>
      </c>
      <c r="AH78" s="114" t="n">
        <f aca="false">V78*$J78</f>
        <v>0.0333333333333333</v>
      </c>
      <c r="AI78" s="114" t="n">
        <f aca="false">W78*$J78</f>
        <v>0.0666666666666667</v>
      </c>
      <c r="AJ78" s="116" t="n">
        <f aca="false">Input!$D$22*RBs!C78+Input!$D$23*RBs!D78+Input!$D$24*RBs!X78+Input!$D$25*RBs!Y78+Input!$D$26*RBs!Z78+Input!$D$27*RBs!AA78+Input!$D$28*RBs!AB78+Input!$D$29*RBs!AC78+Input!$D$30*RBs!E78+Input!$D$31*RBs!G78+Input!$D$32*RBs!H78+Input!$D$33*RBs!AD78+Input!$D$34*RBs!AE78+Input!$D$35*RBs!AF78+Input!$D$36*RBs!AG78+Input!$D$37*RBs!AH78+Input!$D$38*RBs!AI78+Input!$D$39*RBs!I78+Input!$D$40*RBs!K78</f>
        <v>39.16</v>
      </c>
    </row>
    <row r="79" customFormat="false" ht="12.75" hidden="false" customHeight="false" outlineLevel="0" collapsed="false">
      <c r="A79" s="141" t="s">
        <v>309</v>
      </c>
      <c r="B79" s="111" t="s">
        <v>188</v>
      </c>
      <c r="C79" s="98" t="n">
        <v>30</v>
      </c>
      <c r="D79" s="96" t="n">
        <f aca="false">3.2*C79</f>
        <v>96</v>
      </c>
      <c r="E79" s="96" t="n">
        <v>0</v>
      </c>
      <c r="F79" s="97" t="n">
        <v>1</v>
      </c>
      <c r="G79" s="98" t="n">
        <v>20</v>
      </c>
      <c r="H79" s="96" t="n">
        <f aca="false">7*G79</f>
        <v>140</v>
      </c>
      <c r="I79" s="96" t="n">
        <v>0</v>
      </c>
      <c r="J79" s="97" t="n">
        <v>1</v>
      </c>
      <c r="K79" s="96" t="n">
        <v>0</v>
      </c>
      <c r="L79" s="119" t="n">
        <v>0.727272727272727</v>
      </c>
      <c r="M79" s="120" t="n">
        <v>0.0979020979020979</v>
      </c>
      <c r="N79" s="120" t="n">
        <v>0.0629370629370629</v>
      </c>
      <c r="O79" s="120" t="n">
        <v>0.020979020979021</v>
      </c>
      <c r="P79" s="120" t="n">
        <v>0.027972027972028</v>
      </c>
      <c r="Q79" s="121" t="n">
        <v>0.0629370629370629</v>
      </c>
      <c r="R79" s="119" t="n">
        <v>0.3</v>
      </c>
      <c r="S79" s="120" t="n">
        <v>0.333333333333333</v>
      </c>
      <c r="T79" s="120" t="n">
        <v>0.166666666666667</v>
      </c>
      <c r="U79" s="120" t="n">
        <v>0.1</v>
      </c>
      <c r="V79" s="120" t="n">
        <v>0.0333333333333333</v>
      </c>
      <c r="W79" s="121" t="n">
        <v>0.0666666666666667</v>
      </c>
      <c r="X79" s="113" t="n">
        <f aca="false">$F79*L79</f>
        <v>0.727272727272727</v>
      </c>
      <c r="Y79" s="114" t="n">
        <f aca="false">$F79*M79</f>
        <v>0.0979020979020979</v>
      </c>
      <c r="Z79" s="114" t="n">
        <f aca="false">$F79*N79</f>
        <v>0.0629370629370629</v>
      </c>
      <c r="AA79" s="114" t="n">
        <f aca="false">$F79*O79</f>
        <v>0.020979020979021</v>
      </c>
      <c r="AB79" s="114" t="n">
        <f aca="false">$F79*P79</f>
        <v>0.027972027972028</v>
      </c>
      <c r="AC79" s="115" t="n">
        <f aca="false">$F79*Q79</f>
        <v>0.0629370629370629</v>
      </c>
      <c r="AD79" s="113" t="n">
        <f aca="false">R79*$J79</f>
        <v>0.3</v>
      </c>
      <c r="AE79" s="114" t="n">
        <f aca="false">S79*$J79</f>
        <v>0.333333333333333</v>
      </c>
      <c r="AF79" s="114" t="n">
        <f aca="false">T79*$J79</f>
        <v>0.166666666666667</v>
      </c>
      <c r="AG79" s="114" t="n">
        <f aca="false">U79*$J79</f>
        <v>0.1</v>
      </c>
      <c r="AH79" s="114" t="n">
        <f aca="false">V79*$J79</f>
        <v>0.0333333333333333</v>
      </c>
      <c r="AI79" s="114" t="n">
        <f aca="false">W79*$J79</f>
        <v>0.0666666666666667</v>
      </c>
      <c r="AJ79" s="116" t="n">
        <f aca="false">Input!$D$22*RBs!C79+Input!$D$23*RBs!D79+Input!$D$24*RBs!X79+Input!$D$25*RBs!Y79+Input!$D$26*RBs!Z79+Input!$D$27*RBs!AA79+Input!$D$28*RBs!AB79+Input!$D$29*RBs!AC79+Input!$D$30*RBs!E79+Input!$D$31*RBs!G79+Input!$D$32*RBs!H79+Input!$D$33*RBs!AD79+Input!$D$34*RBs!AE79+Input!$D$35*RBs!AF79+Input!$D$36*RBs!AG79+Input!$D$37*RBs!AH79+Input!$D$38*RBs!AI79+Input!$D$39*RBs!I79+Input!$D$40*RBs!K79</f>
        <v>37.8762237762238</v>
      </c>
    </row>
    <row r="80" customFormat="false" ht="12.75" hidden="false" customHeight="false" outlineLevel="0" collapsed="false">
      <c r="A80" s="141" t="s">
        <v>310</v>
      </c>
      <c r="B80" s="111" t="s">
        <v>152</v>
      </c>
      <c r="C80" s="98" t="n">
        <v>20</v>
      </c>
      <c r="D80" s="96" t="n">
        <f aca="false">3.7*C80</f>
        <v>74</v>
      </c>
      <c r="E80" s="96" t="n">
        <v>0</v>
      </c>
      <c r="F80" s="97" t="n">
        <v>1</v>
      </c>
      <c r="G80" s="98" t="n">
        <v>25</v>
      </c>
      <c r="H80" s="96" t="n">
        <f aca="false">7.8*G80</f>
        <v>195</v>
      </c>
      <c r="I80" s="96" t="n">
        <v>0</v>
      </c>
      <c r="J80" s="97" t="n">
        <v>0</v>
      </c>
      <c r="K80" s="96" t="n">
        <v>0</v>
      </c>
      <c r="L80" s="119" t="n">
        <v>0.727272727272727</v>
      </c>
      <c r="M80" s="120" t="n">
        <v>0.0979020979020979</v>
      </c>
      <c r="N80" s="120" t="n">
        <v>0.0629370629370629</v>
      </c>
      <c r="O80" s="120" t="n">
        <v>0.020979020979021</v>
      </c>
      <c r="P80" s="120" t="n">
        <v>0.027972027972028</v>
      </c>
      <c r="Q80" s="121" t="n">
        <v>0.0629370629370629</v>
      </c>
      <c r="R80" s="119" t="n">
        <v>0.3</v>
      </c>
      <c r="S80" s="120" t="n">
        <v>0.333333333333333</v>
      </c>
      <c r="T80" s="120" t="n">
        <v>0.166666666666667</v>
      </c>
      <c r="U80" s="120" t="n">
        <v>0.1</v>
      </c>
      <c r="V80" s="120" t="n">
        <v>0.0333333333333333</v>
      </c>
      <c r="W80" s="121" t="n">
        <v>0.0666666666666667</v>
      </c>
      <c r="X80" s="113" t="n">
        <f aca="false">$F80*L80</f>
        <v>0.727272727272727</v>
      </c>
      <c r="Y80" s="114" t="n">
        <f aca="false">$F80*M80</f>
        <v>0.0979020979020979</v>
      </c>
      <c r="Z80" s="114" t="n">
        <f aca="false">$F80*N80</f>
        <v>0.0629370629370629</v>
      </c>
      <c r="AA80" s="114" t="n">
        <f aca="false">$F80*O80</f>
        <v>0.020979020979021</v>
      </c>
      <c r="AB80" s="114" t="n">
        <f aca="false">$F80*P80</f>
        <v>0.027972027972028</v>
      </c>
      <c r="AC80" s="115" t="n">
        <f aca="false">$F80*Q80</f>
        <v>0.0629370629370629</v>
      </c>
      <c r="AD80" s="113" t="n">
        <f aca="false">R80*$J80</f>
        <v>0</v>
      </c>
      <c r="AE80" s="114" t="n">
        <f aca="false">S80*$J80</f>
        <v>0</v>
      </c>
      <c r="AF80" s="114" t="n">
        <f aca="false">T80*$J80</f>
        <v>0</v>
      </c>
      <c r="AG80" s="114" t="n">
        <f aca="false">U80*$J80</f>
        <v>0</v>
      </c>
      <c r="AH80" s="114" t="n">
        <f aca="false">V80*$J80</f>
        <v>0</v>
      </c>
      <c r="AI80" s="114" t="n">
        <f aca="false">W80*$J80</f>
        <v>0</v>
      </c>
      <c r="AJ80" s="116" t="n">
        <f aca="false">Input!$D$22*RBs!C80+Input!$D$23*RBs!D80+Input!$D$24*RBs!X80+Input!$D$25*RBs!Y80+Input!$D$26*RBs!Z80+Input!$D$27*RBs!AA80+Input!$D$28*RBs!AB80+Input!$D$29*RBs!AC80+Input!$D$30*RBs!E80+Input!$D$31*RBs!G80+Input!$D$32*RBs!H80+Input!$D$33*RBs!AD80+Input!$D$34*RBs!AE80+Input!$D$35*RBs!AF80+Input!$D$36*RBs!AG80+Input!$D$37*RBs!AH80+Input!$D$38*RBs!AI80+Input!$D$39*RBs!I80+Input!$D$40*RBs!K80</f>
        <v>33.6762237762238</v>
      </c>
    </row>
    <row r="81" customFormat="false" ht="12.75" hidden="false" customHeight="false" outlineLevel="0" collapsed="false">
      <c r="A81" s="141" t="s">
        <v>311</v>
      </c>
      <c r="B81" s="111" t="s">
        <v>160</v>
      </c>
      <c r="C81" s="98" t="n">
        <v>35</v>
      </c>
      <c r="D81" s="96" t="n">
        <f aca="false">3.4*C81</f>
        <v>119</v>
      </c>
      <c r="E81" s="96" t="n">
        <v>0</v>
      </c>
      <c r="F81" s="97" t="n">
        <v>1</v>
      </c>
      <c r="G81" s="98" t="n">
        <v>10</v>
      </c>
      <c r="H81" s="96" t="n">
        <f aca="false">6*G81</f>
        <v>60</v>
      </c>
      <c r="I81" s="96" t="n">
        <v>0</v>
      </c>
      <c r="J81" s="97" t="n">
        <v>0</v>
      </c>
      <c r="K81" s="96" t="n">
        <v>0</v>
      </c>
      <c r="L81" s="119" t="n">
        <v>0.727272727272727</v>
      </c>
      <c r="M81" s="120" t="n">
        <v>0.0979020979020979</v>
      </c>
      <c r="N81" s="120" t="n">
        <v>0.0629370629370629</v>
      </c>
      <c r="O81" s="120" t="n">
        <v>0.020979020979021</v>
      </c>
      <c r="P81" s="120" t="n">
        <v>0.027972027972028</v>
      </c>
      <c r="Q81" s="121" t="n">
        <v>0.0629370629370629</v>
      </c>
      <c r="R81" s="119" t="n">
        <v>0.3</v>
      </c>
      <c r="S81" s="120" t="n">
        <v>0.333333333333333</v>
      </c>
      <c r="T81" s="120" t="n">
        <v>0.166666666666667</v>
      </c>
      <c r="U81" s="120" t="n">
        <v>0.1</v>
      </c>
      <c r="V81" s="120" t="n">
        <v>0.0333333333333333</v>
      </c>
      <c r="W81" s="121" t="n">
        <v>0.0666666666666667</v>
      </c>
      <c r="X81" s="113" t="n">
        <f aca="false">$F81*L81</f>
        <v>0.727272727272727</v>
      </c>
      <c r="Y81" s="114" t="n">
        <f aca="false">$F81*M81</f>
        <v>0.0979020979020979</v>
      </c>
      <c r="Z81" s="114" t="n">
        <f aca="false">$F81*N81</f>
        <v>0.0629370629370629</v>
      </c>
      <c r="AA81" s="114" t="n">
        <f aca="false">$F81*O81</f>
        <v>0.020979020979021</v>
      </c>
      <c r="AB81" s="114" t="n">
        <f aca="false">$F81*P81</f>
        <v>0.027972027972028</v>
      </c>
      <c r="AC81" s="115" t="n">
        <f aca="false">$F81*Q81</f>
        <v>0.0629370629370629</v>
      </c>
      <c r="AD81" s="113" t="n">
        <f aca="false">R81*$J81</f>
        <v>0</v>
      </c>
      <c r="AE81" s="114" t="n">
        <f aca="false">S81*$J81</f>
        <v>0</v>
      </c>
      <c r="AF81" s="114" t="n">
        <f aca="false">T81*$J81</f>
        <v>0</v>
      </c>
      <c r="AG81" s="114" t="n">
        <f aca="false">U81*$J81</f>
        <v>0</v>
      </c>
      <c r="AH81" s="114" t="n">
        <f aca="false">V81*$J81</f>
        <v>0</v>
      </c>
      <c r="AI81" s="114" t="n">
        <f aca="false">W81*$J81</f>
        <v>0</v>
      </c>
      <c r="AJ81" s="116" t="n">
        <f aca="false">Input!$D$22*RBs!C81+Input!$D$23*RBs!D81+Input!$D$24*RBs!X81+Input!$D$25*RBs!Y81+Input!$D$26*RBs!Z81+Input!$D$27*RBs!AA81+Input!$D$28*RBs!AB81+Input!$D$29*RBs!AC81+Input!$D$30*RBs!E81+Input!$D$31*RBs!G81+Input!$D$32*RBs!H81+Input!$D$33*RBs!AD81+Input!$D$34*RBs!AE81+Input!$D$35*RBs!AF81+Input!$D$36*RBs!AG81+Input!$D$37*RBs!AH81+Input!$D$38*RBs!AI81+Input!$D$39*RBs!I81+Input!$D$40*RBs!K81</f>
        <v>24.6762237762238</v>
      </c>
    </row>
    <row r="82" customFormat="false" ht="12.75" hidden="false" customHeight="false" outlineLevel="0" collapsed="false">
      <c r="A82" s="141" t="s">
        <v>312</v>
      </c>
      <c r="B82" s="111" t="s">
        <v>196</v>
      </c>
      <c r="C82" s="98" t="n">
        <v>50</v>
      </c>
      <c r="D82" s="96" t="n">
        <f aca="false">3.7*C82</f>
        <v>185</v>
      </c>
      <c r="E82" s="96" t="n">
        <v>0</v>
      </c>
      <c r="F82" s="97" t="n">
        <v>1</v>
      </c>
      <c r="G82" s="98" t="n">
        <v>10</v>
      </c>
      <c r="H82" s="96" t="n">
        <f aca="false">7*G82</f>
        <v>70</v>
      </c>
      <c r="I82" s="96" t="n">
        <v>0</v>
      </c>
      <c r="J82" s="97" t="n">
        <v>0</v>
      </c>
      <c r="K82" s="96" t="n">
        <v>0</v>
      </c>
      <c r="L82" s="119" t="n">
        <v>0.727272727272727</v>
      </c>
      <c r="M82" s="120" t="n">
        <v>0.0979020979020979</v>
      </c>
      <c r="N82" s="120" t="n">
        <v>0.0629370629370629</v>
      </c>
      <c r="O82" s="120" t="n">
        <v>0.020979020979021</v>
      </c>
      <c r="P82" s="120" t="n">
        <v>0.027972027972028</v>
      </c>
      <c r="Q82" s="121" t="n">
        <v>0.0629370629370629</v>
      </c>
      <c r="R82" s="119" t="n">
        <v>0.3</v>
      </c>
      <c r="S82" s="120" t="n">
        <v>0.333333333333333</v>
      </c>
      <c r="T82" s="120" t="n">
        <v>0.166666666666667</v>
      </c>
      <c r="U82" s="120" t="n">
        <v>0.1</v>
      </c>
      <c r="V82" s="120" t="n">
        <v>0.0333333333333333</v>
      </c>
      <c r="W82" s="121" t="n">
        <v>0.0666666666666667</v>
      </c>
      <c r="X82" s="113" t="n">
        <f aca="false">$F82*L82</f>
        <v>0.727272727272727</v>
      </c>
      <c r="Y82" s="114" t="n">
        <f aca="false">$F82*M82</f>
        <v>0.0979020979020979</v>
      </c>
      <c r="Z82" s="114" t="n">
        <f aca="false">$F82*N82</f>
        <v>0.0629370629370629</v>
      </c>
      <c r="AA82" s="114" t="n">
        <f aca="false">$F82*O82</f>
        <v>0.020979020979021</v>
      </c>
      <c r="AB82" s="114" t="n">
        <f aca="false">$F82*P82</f>
        <v>0.027972027972028</v>
      </c>
      <c r="AC82" s="115" t="n">
        <f aca="false">$F82*Q82</f>
        <v>0.0629370629370629</v>
      </c>
      <c r="AD82" s="113" t="n">
        <f aca="false">R82*$J82</f>
        <v>0</v>
      </c>
      <c r="AE82" s="114" t="n">
        <f aca="false">S82*$J82</f>
        <v>0</v>
      </c>
      <c r="AF82" s="114" t="n">
        <f aca="false">T82*$J82</f>
        <v>0</v>
      </c>
      <c r="AG82" s="114" t="n">
        <f aca="false">U82*$J82</f>
        <v>0</v>
      </c>
      <c r="AH82" s="114" t="n">
        <f aca="false">V82*$J82</f>
        <v>0</v>
      </c>
      <c r="AI82" s="114" t="n">
        <f aca="false">W82*$J82</f>
        <v>0</v>
      </c>
      <c r="AJ82" s="116" t="n">
        <f aca="false">Input!$D$22*RBs!C82+Input!$D$23*RBs!D82+Input!$D$24*RBs!X82+Input!$D$25*RBs!Y82+Input!$D$26*RBs!Z82+Input!$D$27*RBs!AA82+Input!$D$28*RBs!AB82+Input!$D$29*RBs!AC82+Input!$D$30*RBs!E82+Input!$D$31*RBs!G82+Input!$D$32*RBs!H82+Input!$D$33*RBs!AD82+Input!$D$34*RBs!AE82+Input!$D$35*RBs!AF82+Input!$D$36*RBs!AG82+Input!$D$37*RBs!AH82+Input!$D$38*RBs!AI82+Input!$D$39*RBs!I82+Input!$D$40*RBs!K82</f>
        <v>32.2762237762238</v>
      </c>
    </row>
    <row r="83" customFormat="false" ht="12.75" hidden="false" customHeight="false" outlineLevel="0" collapsed="false">
      <c r="A83" s="141" t="s">
        <v>313</v>
      </c>
      <c r="B83" s="111" t="s">
        <v>166</v>
      </c>
      <c r="C83" s="98" t="n">
        <v>50</v>
      </c>
      <c r="D83" s="96" t="n">
        <f aca="false">4*C83</f>
        <v>200</v>
      </c>
      <c r="E83" s="96" t="n">
        <v>0</v>
      </c>
      <c r="F83" s="97" t="n">
        <v>1</v>
      </c>
      <c r="G83" s="98" t="n">
        <v>7</v>
      </c>
      <c r="H83" s="96" t="n">
        <f aca="false">G83*6.8</f>
        <v>47.6</v>
      </c>
      <c r="I83" s="96" t="n">
        <v>0</v>
      </c>
      <c r="J83" s="97" t="n">
        <v>0</v>
      </c>
      <c r="K83" s="96" t="n">
        <v>0</v>
      </c>
      <c r="L83" s="119" t="n">
        <v>0.727272727272727</v>
      </c>
      <c r="M83" s="120" t="n">
        <v>0.0979020979020979</v>
      </c>
      <c r="N83" s="120" t="n">
        <v>0.0629370629370629</v>
      </c>
      <c r="O83" s="120" t="n">
        <v>0.020979020979021</v>
      </c>
      <c r="P83" s="120" t="n">
        <v>0.027972027972028</v>
      </c>
      <c r="Q83" s="121" t="n">
        <v>0.0629370629370629</v>
      </c>
      <c r="R83" s="119" t="n">
        <v>0.3</v>
      </c>
      <c r="S83" s="120" t="n">
        <v>0.333333333333333</v>
      </c>
      <c r="T83" s="120" t="n">
        <v>0.166666666666667</v>
      </c>
      <c r="U83" s="120" t="n">
        <v>0.1</v>
      </c>
      <c r="V83" s="120" t="n">
        <v>0.0333333333333333</v>
      </c>
      <c r="W83" s="121" t="n">
        <v>0.0666666666666667</v>
      </c>
      <c r="X83" s="113" t="n">
        <f aca="false">$F83*L83</f>
        <v>0.727272727272727</v>
      </c>
      <c r="Y83" s="114" t="n">
        <f aca="false">$F83*M83</f>
        <v>0.0979020979020979</v>
      </c>
      <c r="Z83" s="114" t="n">
        <f aca="false">$F83*N83</f>
        <v>0.0629370629370629</v>
      </c>
      <c r="AA83" s="114" t="n">
        <f aca="false">$F83*O83</f>
        <v>0.020979020979021</v>
      </c>
      <c r="AB83" s="114" t="n">
        <f aca="false">$F83*P83</f>
        <v>0.027972027972028</v>
      </c>
      <c r="AC83" s="115" t="n">
        <f aca="false">$F83*Q83</f>
        <v>0.0629370629370629</v>
      </c>
      <c r="AD83" s="113" t="n">
        <f aca="false">R83*$J83</f>
        <v>0</v>
      </c>
      <c r="AE83" s="114" t="n">
        <f aca="false">S83*$J83</f>
        <v>0</v>
      </c>
      <c r="AF83" s="114" t="n">
        <f aca="false">T83*$J83</f>
        <v>0</v>
      </c>
      <c r="AG83" s="114" t="n">
        <f aca="false">U83*$J83</f>
        <v>0</v>
      </c>
      <c r="AH83" s="114" t="n">
        <f aca="false">V83*$J83</f>
        <v>0</v>
      </c>
      <c r="AI83" s="114" t="n">
        <f aca="false">W83*$J83</f>
        <v>0</v>
      </c>
      <c r="AJ83" s="116" t="n">
        <f aca="false">Input!$D$22*RBs!C83+Input!$D$23*RBs!D83+Input!$D$24*RBs!X83+Input!$D$25*RBs!Y83+Input!$D$26*RBs!Z83+Input!$D$27*RBs!AA83+Input!$D$28*RBs!AB83+Input!$D$29*RBs!AC83+Input!$D$30*RBs!E83+Input!$D$31*RBs!G83+Input!$D$32*RBs!H83+Input!$D$33*RBs!AD83+Input!$D$34*RBs!AE83+Input!$D$35*RBs!AF83+Input!$D$36*RBs!AG83+Input!$D$37*RBs!AH83+Input!$D$38*RBs!AI83+Input!$D$39*RBs!I83+Input!$D$40*RBs!K83</f>
        <v>31.5362237762238</v>
      </c>
    </row>
    <row r="84" customFormat="false" ht="12.75" hidden="false" customHeight="false" outlineLevel="0" collapsed="false">
      <c r="A84" s="141" t="s">
        <v>314</v>
      </c>
      <c r="B84" s="111" t="s">
        <v>158</v>
      </c>
      <c r="C84" s="98" t="n">
        <v>5</v>
      </c>
      <c r="D84" s="96" t="n">
        <f aca="false">3.5*C84</f>
        <v>17.5</v>
      </c>
      <c r="E84" s="96" t="n">
        <v>0</v>
      </c>
      <c r="F84" s="97" t="n">
        <v>0</v>
      </c>
      <c r="G84" s="98" t="n">
        <v>20</v>
      </c>
      <c r="H84" s="96" t="n">
        <f aca="false">8.4*G84</f>
        <v>168</v>
      </c>
      <c r="I84" s="96" t="n">
        <v>0</v>
      </c>
      <c r="J84" s="97" t="n">
        <v>2</v>
      </c>
      <c r="K84" s="96" t="n">
        <v>0</v>
      </c>
      <c r="L84" s="119" t="n">
        <v>0.727272727272727</v>
      </c>
      <c r="M84" s="120" t="n">
        <v>0.0979020979020979</v>
      </c>
      <c r="N84" s="120" t="n">
        <v>0.0629370629370629</v>
      </c>
      <c r="O84" s="120" t="n">
        <v>0.020979020979021</v>
      </c>
      <c r="P84" s="120" t="n">
        <v>0.027972027972028</v>
      </c>
      <c r="Q84" s="121" t="n">
        <v>0.0629370629370629</v>
      </c>
      <c r="R84" s="119" t="n">
        <v>0.3</v>
      </c>
      <c r="S84" s="120" t="n">
        <v>0.333333333333333</v>
      </c>
      <c r="T84" s="120" t="n">
        <v>0.166666666666667</v>
      </c>
      <c r="U84" s="120" t="n">
        <v>0.1</v>
      </c>
      <c r="V84" s="120" t="n">
        <v>0.0333333333333333</v>
      </c>
      <c r="W84" s="121" t="n">
        <v>0.0666666666666667</v>
      </c>
      <c r="X84" s="113" t="n">
        <f aca="false">$F84*L84</f>
        <v>0</v>
      </c>
      <c r="Y84" s="114" t="n">
        <f aca="false">$F84*M84</f>
        <v>0</v>
      </c>
      <c r="Z84" s="114" t="n">
        <f aca="false">$F84*N84</f>
        <v>0</v>
      </c>
      <c r="AA84" s="114" t="n">
        <f aca="false">$F84*O84</f>
        <v>0</v>
      </c>
      <c r="AB84" s="114" t="n">
        <f aca="false">$F84*P84</f>
        <v>0</v>
      </c>
      <c r="AC84" s="115" t="n">
        <f aca="false">$F84*Q84</f>
        <v>0</v>
      </c>
      <c r="AD84" s="113" t="n">
        <f aca="false">R84*$J84</f>
        <v>0.6</v>
      </c>
      <c r="AE84" s="114" t="n">
        <f aca="false">S84*$J84</f>
        <v>0.666666666666667</v>
      </c>
      <c r="AF84" s="114" t="n">
        <f aca="false">T84*$J84</f>
        <v>0.333333333333333</v>
      </c>
      <c r="AG84" s="114" t="n">
        <f aca="false">U84*$J84</f>
        <v>0.2</v>
      </c>
      <c r="AH84" s="114" t="n">
        <f aca="false">V84*$J84</f>
        <v>0.0666666666666667</v>
      </c>
      <c r="AI84" s="114" t="n">
        <f aca="false">W84*$J84</f>
        <v>0.133333333333333</v>
      </c>
      <c r="AJ84" s="116" t="n">
        <f aca="false">Input!$D$22*RBs!C84+Input!$D$23*RBs!D84+Input!$D$24*RBs!X84+Input!$D$25*RBs!Y84+Input!$D$26*RBs!Z84+Input!$D$27*RBs!AA84+Input!$D$28*RBs!AB84+Input!$D$29*RBs!AC84+Input!$D$30*RBs!E84+Input!$D$31*RBs!G84+Input!$D$32*RBs!H84+Input!$D$33*RBs!AD84+Input!$D$34*RBs!AE84+Input!$D$35*RBs!AF84+Input!$D$36*RBs!AG84+Input!$D$37*RBs!AH84+Input!$D$38*RBs!AI84+Input!$D$39*RBs!I84+Input!$D$40*RBs!K84</f>
        <v>33.55</v>
      </c>
    </row>
    <row r="85" customFormat="false" ht="12.75" hidden="false" customHeight="false" outlineLevel="0" collapsed="false">
      <c r="A85" s="141" t="s">
        <v>315</v>
      </c>
      <c r="B85" s="111" t="s">
        <v>192</v>
      </c>
      <c r="C85" s="98" t="n">
        <v>50</v>
      </c>
      <c r="D85" s="96" t="n">
        <f aca="false">3.2*C85</f>
        <v>160</v>
      </c>
      <c r="E85" s="96" t="n">
        <v>0</v>
      </c>
      <c r="F85" s="97" t="n">
        <v>2</v>
      </c>
      <c r="G85" s="98" t="n">
        <v>3</v>
      </c>
      <c r="H85" s="96" t="n">
        <f aca="false">6*G85</f>
        <v>18</v>
      </c>
      <c r="I85" s="96" t="n">
        <v>0</v>
      </c>
      <c r="J85" s="97" t="n">
        <v>0</v>
      </c>
      <c r="K85" s="96" t="n">
        <v>0</v>
      </c>
      <c r="L85" s="119" t="n">
        <v>0.727272727272727</v>
      </c>
      <c r="M85" s="120" t="n">
        <v>0.0979020979020979</v>
      </c>
      <c r="N85" s="120" t="n">
        <v>0.0629370629370629</v>
      </c>
      <c r="O85" s="120" t="n">
        <v>0.020979020979021</v>
      </c>
      <c r="P85" s="120" t="n">
        <v>0.027972027972028</v>
      </c>
      <c r="Q85" s="121" t="n">
        <v>0.0629370629370629</v>
      </c>
      <c r="R85" s="119" t="n">
        <v>0.3</v>
      </c>
      <c r="S85" s="120" t="n">
        <v>0.333333333333333</v>
      </c>
      <c r="T85" s="120" t="n">
        <v>0.166666666666667</v>
      </c>
      <c r="U85" s="120" t="n">
        <v>0.1</v>
      </c>
      <c r="V85" s="120" t="n">
        <v>0.0333333333333333</v>
      </c>
      <c r="W85" s="121" t="n">
        <v>0.0666666666666667</v>
      </c>
      <c r="X85" s="113" t="n">
        <f aca="false">$F85*L85</f>
        <v>1.45454545454545</v>
      </c>
      <c r="Y85" s="114" t="n">
        <f aca="false">$F85*M85</f>
        <v>0.195804195804196</v>
      </c>
      <c r="Z85" s="114" t="n">
        <f aca="false">$F85*N85</f>
        <v>0.125874125874126</v>
      </c>
      <c r="AA85" s="114" t="n">
        <f aca="false">$F85*O85</f>
        <v>0.041958041958042</v>
      </c>
      <c r="AB85" s="114" t="n">
        <f aca="false">$F85*P85</f>
        <v>0.0559440559440559</v>
      </c>
      <c r="AC85" s="115" t="n">
        <f aca="false">$F85*Q85</f>
        <v>0.125874125874126</v>
      </c>
      <c r="AD85" s="113" t="n">
        <f aca="false">R85*$J85</f>
        <v>0</v>
      </c>
      <c r="AE85" s="114" t="n">
        <f aca="false">S85*$J85</f>
        <v>0</v>
      </c>
      <c r="AF85" s="114" t="n">
        <f aca="false">T85*$J85</f>
        <v>0</v>
      </c>
      <c r="AG85" s="114" t="n">
        <f aca="false">U85*$J85</f>
        <v>0</v>
      </c>
      <c r="AH85" s="114" t="n">
        <f aca="false">V85*$J85</f>
        <v>0</v>
      </c>
      <c r="AI85" s="114" t="n">
        <f aca="false">W85*$J85</f>
        <v>0</v>
      </c>
      <c r="AJ85" s="116" t="n">
        <f aca="false">Input!$D$22*RBs!C85+Input!$D$23*RBs!D85+Input!$D$24*RBs!X85+Input!$D$25*RBs!Y85+Input!$D$26*RBs!Z85+Input!$D$27*RBs!AA85+Input!$D$28*RBs!AB85+Input!$D$29*RBs!AC85+Input!$D$30*RBs!E85+Input!$D$31*RBs!G85+Input!$D$32*RBs!H85+Input!$D$33*RBs!AD85+Input!$D$34*RBs!AE85+Input!$D$35*RBs!AF85+Input!$D$36*RBs!AG85+Input!$D$37*RBs!AH85+Input!$D$38*RBs!AI85+Input!$D$39*RBs!I85+Input!$D$40*RBs!K85</f>
        <v>31.3524475524476</v>
      </c>
    </row>
    <row r="86" customFormat="false" ht="12.75" hidden="false" customHeight="false" outlineLevel="0" collapsed="false">
      <c r="A86" s="141" t="s">
        <v>316</v>
      </c>
      <c r="B86" s="111" t="s">
        <v>158</v>
      </c>
      <c r="C86" s="98" t="n">
        <v>40</v>
      </c>
      <c r="D86" s="96" t="n">
        <f aca="false">3.7*C86</f>
        <v>148</v>
      </c>
      <c r="E86" s="96" t="n">
        <v>0</v>
      </c>
      <c r="F86" s="97" t="n">
        <v>1</v>
      </c>
      <c r="G86" s="98" t="n">
        <v>12</v>
      </c>
      <c r="H86" s="96" t="n">
        <f aca="false">7*G86</f>
        <v>84</v>
      </c>
      <c r="I86" s="96" t="n">
        <v>0</v>
      </c>
      <c r="J86" s="97" t="n">
        <v>0</v>
      </c>
      <c r="K86" s="96" t="n">
        <v>0</v>
      </c>
      <c r="L86" s="119" t="n">
        <v>0.727272727272727</v>
      </c>
      <c r="M86" s="120" t="n">
        <v>0.0979020979020979</v>
      </c>
      <c r="N86" s="120" t="n">
        <v>0.0629370629370629</v>
      </c>
      <c r="O86" s="120" t="n">
        <v>0.020979020979021</v>
      </c>
      <c r="P86" s="120" t="n">
        <v>0.027972027972028</v>
      </c>
      <c r="Q86" s="121" t="n">
        <v>0.0629370629370629</v>
      </c>
      <c r="R86" s="119" t="n">
        <v>0.3</v>
      </c>
      <c r="S86" s="120" t="n">
        <v>0.333333333333333</v>
      </c>
      <c r="T86" s="120" t="n">
        <v>0.166666666666667</v>
      </c>
      <c r="U86" s="120" t="n">
        <v>0.1</v>
      </c>
      <c r="V86" s="120" t="n">
        <v>0.0333333333333333</v>
      </c>
      <c r="W86" s="121" t="n">
        <v>0.0666666666666667</v>
      </c>
      <c r="X86" s="113" t="n">
        <f aca="false">$F86*L86</f>
        <v>0.727272727272727</v>
      </c>
      <c r="Y86" s="114" t="n">
        <f aca="false">$F86*M86</f>
        <v>0.0979020979020979</v>
      </c>
      <c r="Z86" s="114" t="n">
        <f aca="false">$F86*N86</f>
        <v>0.0629370629370629</v>
      </c>
      <c r="AA86" s="114" t="n">
        <f aca="false">$F86*O86</f>
        <v>0.020979020979021</v>
      </c>
      <c r="AB86" s="114" t="n">
        <f aca="false">$F86*P86</f>
        <v>0.027972027972028</v>
      </c>
      <c r="AC86" s="115" t="n">
        <f aca="false">$F86*Q86</f>
        <v>0.0629370629370629</v>
      </c>
      <c r="AD86" s="113" t="n">
        <f aca="false">R86*$J86</f>
        <v>0</v>
      </c>
      <c r="AE86" s="114" t="n">
        <f aca="false">S86*$J86</f>
        <v>0</v>
      </c>
      <c r="AF86" s="114" t="n">
        <f aca="false">T86*$J86</f>
        <v>0</v>
      </c>
      <c r="AG86" s="114" t="n">
        <f aca="false">U86*$J86</f>
        <v>0</v>
      </c>
      <c r="AH86" s="114" t="n">
        <f aca="false">V86*$J86</f>
        <v>0</v>
      </c>
      <c r="AI86" s="114" t="n">
        <f aca="false">W86*$J86</f>
        <v>0</v>
      </c>
      <c r="AJ86" s="116" t="n">
        <f aca="false">Input!$D$22*RBs!C86+Input!$D$23*RBs!D86+Input!$D$24*RBs!X86+Input!$D$25*RBs!Y86+Input!$D$26*RBs!Z86+Input!$D$27*RBs!AA86+Input!$D$28*RBs!AB86+Input!$D$29*RBs!AC86+Input!$D$30*RBs!E86+Input!$D$31*RBs!G86+Input!$D$32*RBs!H86+Input!$D$33*RBs!AD86+Input!$D$34*RBs!AE86+Input!$D$35*RBs!AF86+Input!$D$36*RBs!AG86+Input!$D$37*RBs!AH86+Input!$D$38*RBs!AI86+Input!$D$39*RBs!I86+Input!$D$40*RBs!K86</f>
        <v>29.9762237762238</v>
      </c>
    </row>
    <row r="87" customFormat="false" ht="12.75" hidden="false" customHeight="false" outlineLevel="0" collapsed="false">
      <c r="A87" s="141" t="s">
        <v>317</v>
      </c>
      <c r="B87" s="111" t="s">
        <v>140</v>
      </c>
      <c r="C87" s="98" t="n">
        <v>40</v>
      </c>
      <c r="D87" s="96" t="n">
        <f aca="false">5.4*C87</f>
        <v>216</v>
      </c>
      <c r="E87" s="96" t="n">
        <v>0</v>
      </c>
      <c r="F87" s="97" t="n">
        <v>1</v>
      </c>
      <c r="G87" s="98" t="n">
        <v>2</v>
      </c>
      <c r="H87" s="96" t="n">
        <f aca="false">5*G87</f>
        <v>10</v>
      </c>
      <c r="I87" s="96" t="n">
        <v>0</v>
      </c>
      <c r="J87" s="97" t="n">
        <v>0</v>
      </c>
      <c r="K87" s="96" t="n">
        <v>0</v>
      </c>
      <c r="L87" s="119" t="n">
        <v>0.727272727272727</v>
      </c>
      <c r="M87" s="120" t="n">
        <v>0.0979020979020979</v>
      </c>
      <c r="N87" s="120" t="n">
        <v>0.0629370629370629</v>
      </c>
      <c r="O87" s="120" t="n">
        <v>0.020979020979021</v>
      </c>
      <c r="P87" s="120" t="n">
        <v>0.027972027972028</v>
      </c>
      <c r="Q87" s="121" t="n">
        <v>0.0629370629370629</v>
      </c>
      <c r="R87" s="119" t="n">
        <v>0.3</v>
      </c>
      <c r="S87" s="120" t="n">
        <v>0.333333333333333</v>
      </c>
      <c r="T87" s="120" t="n">
        <v>0.166666666666667</v>
      </c>
      <c r="U87" s="120" t="n">
        <v>0.1</v>
      </c>
      <c r="V87" s="120" t="n">
        <v>0.0333333333333333</v>
      </c>
      <c r="W87" s="121" t="n">
        <v>0.0666666666666667</v>
      </c>
      <c r="X87" s="113" t="n">
        <f aca="false">$F87*L87</f>
        <v>0.727272727272727</v>
      </c>
      <c r="Y87" s="114" t="n">
        <f aca="false">$F87*M87</f>
        <v>0.0979020979020979</v>
      </c>
      <c r="Z87" s="114" t="n">
        <f aca="false">$F87*N87</f>
        <v>0.0629370629370629</v>
      </c>
      <c r="AA87" s="114" t="n">
        <f aca="false">$F87*O87</f>
        <v>0.020979020979021</v>
      </c>
      <c r="AB87" s="114" t="n">
        <f aca="false">$F87*P87</f>
        <v>0.027972027972028</v>
      </c>
      <c r="AC87" s="115" t="n">
        <f aca="false">$F87*Q87</f>
        <v>0.0629370629370629</v>
      </c>
      <c r="AD87" s="113" t="n">
        <f aca="false">R87*$J87</f>
        <v>0</v>
      </c>
      <c r="AE87" s="114" t="n">
        <f aca="false">S87*$J87</f>
        <v>0</v>
      </c>
      <c r="AF87" s="114" t="n">
        <f aca="false">T87*$J87</f>
        <v>0</v>
      </c>
      <c r="AG87" s="114" t="n">
        <f aca="false">U87*$J87</f>
        <v>0</v>
      </c>
      <c r="AH87" s="114" t="n">
        <f aca="false">V87*$J87</f>
        <v>0</v>
      </c>
      <c r="AI87" s="114" t="n">
        <f aca="false">W87*$J87</f>
        <v>0</v>
      </c>
      <c r="AJ87" s="116" t="n">
        <f aca="false">Input!$D$22*RBs!C87+Input!$D$23*RBs!D87+Input!$D$24*RBs!X87+Input!$D$25*RBs!Y87+Input!$D$26*RBs!Z87+Input!$D$27*RBs!AA87+Input!$D$28*RBs!AB87+Input!$D$29*RBs!AC87+Input!$D$30*RBs!E87+Input!$D$31*RBs!G87+Input!$D$32*RBs!H87+Input!$D$33*RBs!AD87+Input!$D$34*RBs!AE87+Input!$D$35*RBs!AF87+Input!$D$36*RBs!AG87+Input!$D$37*RBs!AH87+Input!$D$38*RBs!AI87+Input!$D$39*RBs!I87+Input!$D$40*RBs!K87</f>
        <v>29.3762237762238</v>
      </c>
    </row>
    <row r="88" customFormat="false" ht="12.75" hidden="false" customHeight="false" outlineLevel="0" collapsed="false">
      <c r="A88" s="141" t="s">
        <v>318</v>
      </c>
      <c r="B88" s="111" t="s">
        <v>170</v>
      </c>
      <c r="C88" s="94" t="n">
        <v>25</v>
      </c>
      <c r="D88" s="95" t="n">
        <f aca="false">3.8*C88</f>
        <v>95</v>
      </c>
      <c r="E88" s="96" t="n">
        <v>0</v>
      </c>
      <c r="F88" s="122" t="n">
        <v>1</v>
      </c>
      <c r="G88" s="94" t="n">
        <v>15</v>
      </c>
      <c r="H88" s="95" t="n">
        <f aca="false">8.4*G88</f>
        <v>126</v>
      </c>
      <c r="I88" s="95" t="n">
        <v>0</v>
      </c>
      <c r="J88" s="122" t="n">
        <v>0</v>
      </c>
      <c r="K88" s="95" t="n">
        <v>0</v>
      </c>
      <c r="L88" s="119" t="n">
        <v>0.727272727272727</v>
      </c>
      <c r="M88" s="120" t="n">
        <v>0.0979020979020979</v>
      </c>
      <c r="N88" s="120" t="n">
        <v>0.0629370629370629</v>
      </c>
      <c r="O88" s="120" t="n">
        <v>0.020979020979021</v>
      </c>
      <c r="P88" s="120" t="n">
        <v>0.027972027972028</v>
      </c>
      <c r="Q88" s="121" t="n">
        <v>0.0629370629370629</v>
      </c>
      <c r="R88" s="119" t="n">
        <v>0.3</v>
      </c>
      <c r="S88" s="120" t="n">
        <v>0.333333333333333</v>
      </c>
      <c r="T88" s="120" t="n">
        <v>0.166666666666667</v>
      </c>
      <c r="U88" s="120" t="n">
        <v>0.1</v>
      </c>
      <c r="V88" s="120" t="n">
        <v>0.0333333333333333</v>
      </c>
      <c r="W88" s="121" t="n">
        <v>0.0666666666666667</v>
      </c>
      <c r="X88" s="113" t="n">
        <f aca="false">$F88*L88</f>
        <v>0.727272727272727</v>
      </c>
      <c r="Y88" s="114" t="n">
        <f aca="false">$F88*M88</f>
        <v>0.0979020979020979</v>
      </c>
      <c r="Z88" s="114" t="n">
        <f aca="false">$F88*N88</f>
        <v>0.0629370629370629</v>
      </c>
      <c r="AA88" s="114" t="n">
        <f aca="false">$F88*O88</f>
        <v>0.020979020979021</v>
      </c>
      <c r="AB88" s="114" t="n">
        <f aca="false">$F88*P88</f>
        <v>0.027972027972028</v>
      </c>
      <c r="AC88" s="115" t="n">
        <f aca="false">$F88*Q88</f>
        <v>0.0629370629370629</v>
      </c>
      <c r="AD88" s="113" t="n">
        <f aca="false">R88*$J88</f>
        <v>0</v>
      </c>
      <c r="AE88" s="114" t="n">
        <f aca="false">S88*$J88</f>
        <v>0</v>
      </c>
      <c r="AF88" s="114" t="n">
        <f aca="false">T88*$J88</f>
        <v>0</v>
      </c>
      <c r="AG88" s="114" t="n">
        <f aca="false">U88*$J88</f>
        <v>0</v>
      </c>
      <c r="AH88" s="114" t="n">
        <f aca="false">V88*$J88</f>
        <v>0</v>
      </c>
      <c r="AI88" s="114" t="n">
        <f aca="false">W88*$J88</f>
        <v>0</v>
      </c>
      <c r="AJ88" s="116" t="n">
        <f aca="false">Input!$D$22*RBs!C88+Input!$D$23*RBs!D88+Input!$D$24*RBs!X88+Input!$D$25*RBs!Y88+Input!$D$26*RBs!Z88+Input!$D$27*RBs!AA88+Input!$D$28*RBs!AB88+Input!$D$29*RBs!AC88+Input!$D$30*RBs!E88+Input!$D$31*RBs!G88+Input!$D$32*RBs!H88+Input!$D$33*RBs!AD88+Input!$D$34*RBs!AE88+Input!$D$35*RBs!AF88+Input!$D$36*RBs!AG88+Input!$D$37*RBs!AH88+Input!$D$38*RBs!AI88+Input!$D$39*RBs!I88+Input!$D$40*RBs!K88</f>
        <v>28.8762237762238</v>
      </c>
    </row>
    <row r="89" customFormat="false" ht="12.75" hidden="false" customHeight="false" outlineLevel="0" collapsed="false">
      <c r="A89" s="141" t="s">
        <v>319</v>
      </c>
      <c r="B89" s="111" t="s">
        <v>142</v>
      </c>
      <c r="C89" s="98" t="n">
        <v>40</v>
      </c>
      <c r="D89" s="96" t="n">
        <f aca="false">3.8*C89</f>
        <v>152</v>
      </c>
      <c r="E89" s="96" t="n">
        <v>0</v>
      </c>
      <c r="F89" s="97" t="n">
        <v>1</v>
      </c>
      <c r="G89" s="98" t="n">
        <v>8</v>
      </c>
      <c r="H89" s="96" t="n">
        <f aca="false">8.5*G89</f>
        <v>68</v>
      </c>
      <c r="I89" s="96" t="n">
        <v>0</v>
      </c>
      <c r="J89" s="97" t="n">
        <v>0</v>
      </c>
      <c r="K89" s="96" t="n">
        <v>0</v>
      </c>
      <c r="L89" s="119" t="n">
        <v>0.727272727272727</v>
      </c>
      <c r="M89" s="120" t="n">
        <v>0.0979020979020979</v>
      </c>
      <c r="N89" s="120" t="n">
        <v>0.0629370629370629</v>
      </c>
      <c r="O89" s="120" t="n">
        <v>0.020979020979021</v>
      </c>
      <c r="P89" s="120" t="n">
        <v>0.027972027972028</v>
      </c>
      <c r="Q89" s="121" t="n">
        <v>0.0629370629370629</v>
      </c>
      <c r="R89" s="119" t="n">
        <v>0.3</v>
      </c>
      <c r="S89" s="120" t="n">
        <v>0.333333333333333</v>
      </c>
      <c r="T89" s="120" t="n">
        <v>0.166666666666667</v>
      </c>
      <c r="U89" s="120" t="n">
        <v>0.1</v>
      </c>
      <c r="V89" s="120" t="n">
        <v>0.0333333333333333</v>
      </c>
      <c r="W89" s="121" t="n">
        <v>0.0666666666666667</v>
      </c>
      <c r="X89" s="113" t="n">
        <f aca="false">$F89*L89</f>
        <v>0.727272727272727</v>
      </c>
      <c r="Y89" s="114" t="n">
        <f aca="false">$F89*M89</f>
        <v>0.0979020979020979</v>
      </c>
      <c r="Z89" s="114" t="n">
        <f aca="false">$F89*N89</f>
        <v>0.0629370629370629</v>
      </c>
      <c r="AA89" s="114" t="n">
        <f aca="false">$F89*O89</f>
        <v>0.020979020979021</v>
      </c>
      <c r="AB89" s="114" t="n">
        <f aca="false">$F89*P89</f>
        <v>0.027972027972028</v>
      </c>
      <c r="AC89" s="115" t="n">
        <f aca="false">$F89*Q89</f>
        <v>0.0629370629370629</v>
      </c>
      <c r="AD89" s="113" t="n">
        <f aca="false">R89*$J89</f>
        <v>0</v>
      </c>
      <c r="AE89" s="114" t="n">
        <f aca="false">S89*$J89</f>
        <v>0</v>
      </c>
      <c r="AF89" s="114" t="n">
        <f aca="false">T89*$J89</f>
        <v>0</v>
      </c>
      <c r="AG89" s="114" t="n">
        <f aca="false">U89*$J89</f>
        <v>0</v>
      </c>
      <c r="AH89" s="114" t="n">
        <f aca="false">V89*$J89</f>
        <v>0</v>
      </c>
      <c r="AI89" s="114" t="n">
        <f aca="false">W89*$J89</f>
        <v>0</v>
      </c>
      <c r="AJ89" s="116" t="n">
        <f aca="false">Input!$D$22*RBs!C89+Input!$D$23*RBs!D89+Input!$D$24*RBs!X89+Input!$D$25*RBs!Y89+Input!$D$26*RBs!Z89+Input!$D$27*RBs!AA89+Input!$D$28*RBs!AB89+Input!$D$29*RBs!AC89+Input!$D$30*RBs!E89+Input!$D$31*RBs!G89+Input!$D$32*RBs!H89+Input!$D$33*RBs!AD89+Input!$D$34*RBs!AE89+Input!$D$35*RBs!AF89+Input!$D$36*RBs!AG89+Input!$D$37*RBs!AH89+Input!$D$38*RBs!AI89+Input!$D$39*RBs!I89+Input!$D$40*RBs!K89</f>
        <v>28.7762237762238</v>
      </c>
    </row>
    <row r="90" customFormat="false" ht="12.75" hidden="false" customHeight="false" outlineLevel="0" collapsed="false">
      <c r="A90" s="141" t="s">
        <v>320</v>
      </c>
      <c r="B90" s="111" t="s">
        <v>146</v>
      </c>
      <c r="C90" s="98" t="n">
        <v>40</v>
      </c>
      <c r="D90" s="96" t="n">
        <f aca="false">2.5*C90</f>
        <v>100</v>
      </c>
      <c r="E90" s="96" t="n">
        <v>0</v>
      </c>
      <c r="F90" s="97" t="n">
        <v>2</v>
      </c>
      <c r="G90" s="98" t="n">
        <v>8</v>
      </c>
      <c r="H90" s="96" t="n">
        <f aca="false">6.5*G90</f>
        <v>52</v>
      </c>
      <c r="I90" s="96" t="n">
        <v>0</v>
      </c>
      <c r="J90" s="97" t="n">
        <v>0</v>
      </c>
      <c r="K90" s="96" t="n">
        <v>0</v>
      </c>
      <c r="L90" s="119" t="n">
        <v>0.727272727272727</v>
      </c>
      <c r="M90" s="120" t="n">
        <v>0.0979020979020979</v>
      </c>
      <c r="N90" s="120" t="n">
        <v>0.0629370629370629</v>
      </c>
      <c r="O90" s="120" t="n">
        <v>0.020979020979021</v>
      </c>
      <c r="P90" s="120" t="n">
        <v>0.027972027972028</v>
      </c>
      <c r="Q90" s="121" t="n">
        <v>0.0629370629370629</v>
      </c>
      <c r="R90" s="119" t="n">
        <v>0.3</v>
      </c>
      <c r="S90" s="120" t="n">
        <v>0.333333333333333</v>
      </c>
      <c r="T90" s="120" t="n">
        <v>0.166666666666667</v>
      </c>
      <c r="U90" s="120" t="n">
        <v>0.1</v>
      </c>
      <c r="V90" s="120" t="n">
        <v>0.0333333333333333</v>
      </c>
      <c r="W90" s="121" t="n">
        <v>0.0666666666666667</v>
      </c>
      <c r="X90" s="113" t="n">
        <f aca="false">$F90*L90</f>
        <v>1.45454545454545</v>
      </c>
      <c r="Y90" s="114" t="n">
        <f aca="false">$F90*M90</f>
        <v>0.195804195804196</v>
      </c>
      <c r="Z90" s="114" t="n">
        <f aca="false">$F90*N90</f>
        <v>0.125874125874126</v>
      </c>
      <c r="AA90" s="114" t="n">
        <f aca="false">$F90*O90</f>
        <v>0.041958041958042</v>
      </c>
      <c r="AB90" s="114" t="n">
        <f aca="false">$F90*P90</f>
        <v>0.0559440559440559</v>
      </c>
      <c r="AC90" s="115" t="n">
        <f aca="false">$F90*Q90</f>
        <v>0.125874125874126</v>
      </c>
      <c r="AD90" s="113" t="n">
        <f aca="false">R90*$J90</f>
        <v>0</v>
      </c>
      <c r="AE90" s="114" t="n">
        <f aca="false">S90*$J90</f>
        <v>0</v>
      </c>
      <c r="AF90" s="114" t="n">
        <f aca="false">T90*$J90</f>
        <v>0</v>
      </c>
      <c r="AG90" s="114" t="n">
        <f aca="false">U90*$J90</f>
        <v>0</v>
      </c>
      <c r="AH90" s="114" t="n">
        <f aca="false">V90*$J90</f>
        <v>0</v>
      </c>
      <c r="AI90" s="114" t="n">
        <f aca="false">W90*$J90</f>
        <v>0</v>
      </c>
      <c r="AJ90" s="116" t="n">
        <f aca="false">Input!$D$22*RBs!C90+Input!$D$23*RBs!D90+Input!$D$24*RBs!X90+Input!$D$25*RBs!Y90+Input!$D$26*RBs!Z90+Input!$D$27*RBs!AA90+Input!$D$28*RBs!AB90+Input!$D$29*RBs!AC90+Input!$D$30*RBs!E90+Input!$D$31*RBs!G90+Input!$D$32*RBs!H90+Input!$D$33*RBs!AD90+Input!$D$34*RBs!AE90+Input!$D$35*RBs!AF90+Input!$D$36*RBs!AG90+Input!$D$37*RBs!AH90+Input!$D$38*RBs!AI90+Input!$D$39*RBs!I90+Input!$D$40*RBs!K90</f>
        <v>28.7524475524476</v>
      </c>
    </row>
    <row r="91" customFormat="false" ht="12.75" hidden="false" customHeight="false" outlineLevel="0" collapsed="false">
      <c r="A91" s="141" t="s">
        <v>321</v>
      </c>
      <c r="B91" s="111" t="s">
        <v>164</v>
      </c>
      <c r="C91" s="98" t="n">
        <v>10</v>
      </c>
      <c r="D91" s="96" t="n">
        <f aca="false">3*C91</f>
        <v>30</v>
      </c>
      <c r="E91" s="96" t="n">
        <v>0</v>
      </c>
      <c r="F91" s="97" t="n">
        <v>0</v>
      </c>
      <c r="G91" s="98" t="n">
        <v>25</v>
      </c>
      <c r="H91" s="96" t="n">
        <f aca="false">6.7*G91</f>
        <v>167.5</v>
      </c>
      <c r="I91" s="96" t="n">
        <v>0</v>
      </c>
      <c r="J91" s="97" t="n">
        <v>1</v>
      </c>
      <c r="K91" s="96" t="n">
        <v>0</v>
      </c>
      <c r="L91" s="119" t="n">
        <v>0.727272727272727</v>
      </c>
      <c r="M91" s="120" t="n">
        <v>0.0979020979020979</v>
      </c>
      <c r="N91" s="120" t="n">
        <v>0.0629370629370629</v>
      </c>
      <c r="O91" s="120" t="n">
        <v>0.020979020979021</v>
      </c>
      <c r="P91" s="120" t="n">
        <v>0.027972027972028</v>
      </c>
      <c r="Q91" s="121" t="n">
        <v>0.0629370629370629</v>
      </c>
      <c r="R91" s="119" t="n">
        <v>0.3</v>
      </c>
      <c r="S91" s="120" t="n">
        <v>0.333333333333333</v>
      </c>
      <c r="T91" s="120" t="n">
        <v>0.166666666666667</v>
      </c>
      <c r="U91" s="120" t="n">
        <v>0.1</v>
      </c>
      <c r="V91" s="120" t="n">
        <v>0.0333333333333333</v>
      </c>
      <c r="W91" s="121" t="n">
        <v>0.0666666666666667</v>
      </c>
      <c r="X91" s="113" t="n">
        <f aca="false">$F91*L91</f>
        <v>0</v>
      </c>
      <c r="Y91" s="114" t="n">
        <f aca="false">$F91*M91</f>
        <v>0</v>
      </c>
      <c r="Z91" s="114" t="n">
        <f aca="false">$F91*N91</f>
        <v>0</v>
      </c>
      <c r="AA91" s="114" t="n">
        <f aca="false">$F91*O91</f>
        <v>0</v>
      </c>
      <c r="AB91" s="114" t="n">
        <f aca="false">$F91*P91</f>
        <v>0</v>
      </c>
      <c r="AC91" s="115" t="n">
        <f aca="false">$F91*Q91</f>
        <v>0</v>
      </c>
      <c r="AD91" s="113" t="n">
        <f aca="false">R91*$J91</f>
        <v>0.3</v>
      </c>
      <c r="AE91" s="114" t="n">
        <f aca="false">S91*$J91</f>
        <v>0.333333333333333</v>
      </c>
      <c r="AF91" s="114" t="n">
        <f aca="false">T91*$J91</f>
        <v>0.166666666666667</v>
      </c>
      <c r="AG91" s="114" t="n">
        <f aca="false">U91*$J91</f>
        <v>0.1</v>
      </c>
      <c r="AH91" s="114" t="n">
        <f aca="false">V91*$J91</f>
        <v>0.0333333333333333</v>
      </c>
      <c r="AI91" s="114" t="n">
        <f aca="false">W91*$J91</f>
        <v>0.0666666666666667</v>
      </c>
      <c r="AJ91" s="116" t="n">
        <f aca="false">Input!$D$22*RBs!C91+Input!$D$23*RBs!D91+Input!$D$24*RBs!X91+Input!$D$25*RBs!Y91+Input!$D$26*RBs!Z91+Input!$D$27*RBs!AA91+Input!$D$28*RBs!AB91+Input!$D$29*RBs!AC91+Input!$D$30*RBs!E91+Input!$D$31*RBs!G91+Input!$D$32*RBs!H91+Input!$D$33*RBs!AD91+Input!$D$34*RBs!AE91+Input!$D$35*RBs!AF91+Input!$D$36*RBs!AG91+Input!$D$37*RBs!AH91+Input!$D$38*RBs!AI91+Input!$D$39*RBs!I91+Input!$D$40*RBs!K91</f>
        <v>27.25</v>
      </c>
    </row>
    <row r="92" customFormat="false" ht="12.75" hidden="false" customHeight="false" outlineLevel="0" collapsed="false">
      <c r="A92" s="141" t="s">
        <v>322</v>
      </c>
      <c r="B92" s="111" t="s">
        <v>162</v>
      </c>
      <c r="C92" s="98" t="n">
        <v>20</v>
      </c>
      <c r="D92" s="96" t="n">
        <f aca="false">3.7*C92</f>
        <v>74</v>
      </c>
      <c r="E92" s="96" t="n">
        <v>0</v>
      </c>
      <c r="F92" s="97" t="n">
        <v>0</v>
      </c>
      <c r="G92" s="98" t="n">
        <v>15</v>
      </c>
      <c r="H92" s="96" t="n">
        <f aca="false">7*G92</f>
        <v>105</v>
      </c>
      <c r="I92" s="96" t="n">
        <v>0</v>
      </c>
      <c r="J92" s="97" t="n">
        <v>1</v>
      </c>
      <c r="K92" s="96" t="n">
        <v>0</v>
      </c>
      <c r="L92" s="119" t="n">
        <v>0.727272727272727</v>
      </c>
      <c r="M92" s="120" t="n">
        <v>0.0979020979020979</v>
      </c>
      <c r="N92" s="120" t="n">
        <v>0.0629370629370629</v>
      </c>
      <c r="O92" s="120" t="n">
        <v>0.020979020979021</v>
      </c>
      <c r="P92" s="120" t="n">
        <v>0.027972027972028</v>
      </c>
      <c r="Q92" s="121" t="n">
        <v>0.0629370629370629</v>
      </c>
      <c r="R92" s="119" t="n">
        <v>0.3</v>
      </c>
      <c r="S92" s="120" t="n">
        <v>0.333333333333333</v>
      </c>
      <c r="T92" s="120" t="n">
        <v>0.166666666666667</v>
      </c>
      <c r="U92" s="120" t="n">
        <v>0.1</v>
      </c>
      <c r="V92" s="120" t="n">
        <v>0.0333333333333333</v>
      </c>
      <c r="W92" s="121" t="n">
        <v>0.0666666666666667</v>
      </c>
      <c r="X92" s="113" t="n">
        <f aca="false">$F92*L92</f>
        <v>0</v>
      </c>
      <c r="Y92" s="114" t="n">
        <f aca="false">$F92*M92</f>
        <v>0</v>
      </c>
      <c r="Z92" s="114" t="n">
        <f aca="false">$F92*N92</f>
        <v>0</v>
      </c>
      <c r="AA92" s="114" t="n">
        <f aca="false">$F92*O92</f>
        <v>0</v>
      </c>
      <c r="AB92" s="114" t="n">
        <f aca="false">$F92*P92</f>
        <v>0</v>
      </c>
      <c r="AC92" s="115" t="n">
        <f aca="false">$F92*Q92</f>
        <v>0</v>
      </c>
      <c r="AD92" s="113" t="n">
        <f aca="false">R92*$J92</f>
        <v>0.3</v>
      </c>
      <c r="AE92" s="114" t="n">
        <f aca="false">S92*$J92</f>
        <v>0.333333333333333</v>
      </c>
      <c r="AF92" s="114" t="n">
        <f aca="false">T92*$J92</f>
        <v>0.166666666666667</v>
      </c>
      <c r="AG92" s="114" t="n">
        <f aca="false">U92*$J92</f>
        <v>0.1</v>
      </c>
      <c r="AH92" s="114" t="n">
        <f aca="false">V92*$J92</f>
        <v>0.0333333333333333</v>
      </c>
      <c r="AI92" s="114" t="n">
        <f aca="false">W92*$J92</f>
        <v>0.0666666666666667</v>
      </c>
      <c r="AJ92" s="116" t="n">
        <f aca="false">Input!$D$22*RBs!C92+Input!$D$23*RBs!D92+Input!$D$24*RBs!X92+Input!$D$25*RBs!Y92+Input!$D$26*RBs!Z92+Input!$D$27*RBs!AA92+Input!$D$28*RBs!AB92+Input!$D$29*RBs!AC92+Input!$D$30*RBs!E92+Input!$D$31*RBs!G92+Input!$D$32*RBs!H92+Input!$D$33*RBs!AD92+Input!$D$34*RBs!AE92+Input!$D$35*RBs!AF92+Input!$D$36*RBs!AG92+Input!$D$37*RBs!AH92+Input!$D$38*RBs!AI92+Input!$D$39*RBs!I92+Input!$D$40*RBs!K92</f>
        <v>25.4</v>
      </c>
    </row>
    <row r="93" customFormat="false" ht="12.75" hidden="false" customHeight="false" outlineLevel="0" collapsed="false">
      <c r="A93" s="141" t="s">
        <v>323</v>
      </c>
      <c r="B93" s="111" t="s">
        <v>186</v>
      </c>
      <c r="C93" s="98" t="n">
        <v>10</v>
      </c>
      <c r="D93" s="96" t="n">
        <f aca="false">3.5*C93</f>
        <v>35</v>
      </c>
      <c r="E93" s="96" t="n">
        <v>0</v>
      </c>
      <c r="F93" s="97" t="n">
        <v>1</v>
      </c>
      <c r="G93" s="98" t="n">
        <v>15</v>
      </c>
      <c r="H93" s="96" t="n">
        <f aca="false">9.5*G93</f>
        <v>142.5</v>
      </c>
      <c r="I93" s="96" t="n">
        <v>0</v>
      </c>
      <c r="J93" s="97" t="n">
        <v>0</v>
      </c>
      <c r="K93" s="96" t="n">
        <v>0</v>
      </c>
      <c r="L93" s="119" t="n">
        <v>0.727272727272727</v>
      </c>
      <c r="M93" s="120" t="n">
        <v>0.0979020979020979</v>
      </c>
      <c r="N93" s="120" t="n">
        <v>0.0629370629370629</v>
      </c>
      <c r="O93" s="120" t="n">
        <v>0.020979020979021</v>
      </c>
      <c r="P93" s="120" t="n">
        <v>0.027972027972028</v>
      </c>
      <c r="Q93" s="121" t="n">
        <v>0.0629370629370629</v>
      </c>
      <c r="R93" s="119" t="n">
        <v>0.3</v>
      </c>
      <c r="S93" s="120" t="n">
        <v>0.333333333333333</v>
      </c>
      <c r="T93" s="120" t="n">
        <v>0.166666666666667</v>
      </c>
      <c r="U93" s="120" t="n">
        <v>0.1</v>
      </c>
      <c r="V93" s="120" t="n">
        <v>0.0333333333333333</v>
      </c>
      <c r="W93" s="121" t="n">
        <v>0.0666666666666667</v>
      </c>
      <c r="X93" s="113" t="n">
        <f aca="false">$F93*L93</f>
        <v>0.727272727272727</v>
      </c>
      <c r="Y93" s="114" t="n">
        <f aca="false">$F93*M93</f>
        <v>0.0979020979020979</v>
      </c>
      <c r="Z93" s="114" t="n">
        <f aca="false">$F93*N93</f>
        <v>0.0629370629370629</v>
      </c>
      <c r="AA93" s="114" t="n">
        <f aca="false">$F93*O93</f>
        <v>0.020979020979021</v>
      </c>
      <c r="AB93" s="114" t="n">
        <f aca="false">$F93*P93</f>
        <v>0.027972027972028</v>
      </c>
      <c r="AC93" s="115" t="n">
        <f aca="false">$F93*Q93</f>
        <v>0.0629370629370629</v>
      </c>
      <c r="AD93" s="113" t="n">
        <f aca="false">R93*$J93</f>
        <v>0</v>
      </c>
      <c r="AE93" s="114" t="n">
        <f aca="false">S93*$J93</f>
        <v>0</v>
      </c>
      <c r="AF93" s="114" t="n">
        <f aca="false">T93*$J93</f>
        <v>0</v>
      </c>
      <c r="AG93" s="114" t="n">
        <f aca="false">U93*$J93</f>
        <v>0</v>
      </c>
      <c r="AH93" s="114" t="n">
        <f aca="false">V93*$J93</f>
        <v>0</v>
      </c>
      <c r="AI93" s="114" t="n">
        <f aca="false">W93*$J93</f>
        <v>0</v>
      </c>
      <c r="AJ93" s="116" t="n">
        <f aca="false">Input!$D$22*RBs!C93+Input!$D$23*RBs!D93+Input!$D$24*RBs!X93+Input!$D$25*RBs!Y93+Input!$D$26*RBs!Z93+Input!$D$27*RBs!AA93+Input!$D$28*RBs!AB93+Input!$D$29*RBs!AC93+Input!$D$30*RBs!E93+Input!$D$31*RBs!G93+Input!$D$32*RBs!H93+Input!$D$33*RBs!AD93+Input!$D$34*RBs!AE93+Input!$D$35*RBs!AF93+Input!$D$36*RBs!AG93+Input!$D$37*RBs!AH93+Input!$D$38*RBs!AI93+Input!$D$39*RBs!I93+Input!$D$40*RBs!K93</f>
        <v>24.5262237762238</v>
      </c>
    </row>
    <row r="94" customFormat="false" ht="12.75" hidden="false" customHeight="false" outlineLevel="0" collapsed="false">
      <c r="A94" s="141" t="s">
        <v>324</v>
      </c>
      <c r="B94" s="111" t="s">
        <v>196</v>
      </c>
      <c r="C94" s="98" t="n">
        <v>2</v>
      </c>
      <c r="D94" s="96" t="n">
        <f aca="false">1.5*C94</f>
        <v>3</v>
      </c>
      <c r="E94" s="96" t="n">
        <v>0</v>
      </c>
      <c r="F94" s="97" t="n">
        <v>0</v>
      </c>
      <c r="G94" s="98" t="n">
        <v>30</v>
      </c>
      <c r="H94" s="96" t="n">
        <f aca="false">5.5*G94</f>
        <v>165</v>
      </c>
      <c r="I94" s="96" t="n">
        <v>0</v>
      </c>
      <c r="J94" s="97" t="n">
        <v>1</v>
      </c>
      <c r="K94" s="96" t="n">
        <v>0</v>
      </c>
      <c r="L94" s="119" t="n">
        <v>0.727272727272727</v>
      </c>
      <c r="M94" s="120" t="n">
        <v>0.0979020979020979</v>
      </c>
      <c r="N94" s="120" t="n">
        <v>0.0629370629370629</v>
      </c>
      <c r="O94" s="120" t="n">
        <v>0.020979020979021</v>
      </c>
      <c r="P94" s="120" t="n">
        <v>0.027972027972028</v>
      </c>
      <c r="Q94" s="121" t="n">
        <v>0.0629370629370629</v>
      </c>
      <c r="R94" s="119" t="n">
        <v>0.3</v>
      </c>
      <c r="S94" s="120" t="n">
        <v>0.333333333333333</v>
      </c>
      <c r="T94" s="120" t="n">
        <v>0.166666666666667</v>
      </c>
      <c r="U94" s="120" t="n">
        <v>0.1</v>
      </c>
      <c r="V94" s="120" t="n">
        <v>0.0333333333333333</v>
      </c>
      <c r="W94" s="121" t="n">
        <v>0.0666666666666667</v>
      </c>
      <c r="X94" s="113" t="n">
        <f aca="false">$F94*L94</f>
        <v>0</v>
      </c>
      <c r="Y94" s="114" t="n">
        <f aca="false">$F94*M94</f>
        <v>0</v>
      </c>
      <c r="Z94" s="114" t="n">
        <f aca="false">$F94*N94</f>
        <v>0</v>
      </c>
      <c r="AA94" s="114" t="n">
        <f aca="false">$F94*O94</f>
        <v>0</v>
      </c>
      <c r="AB94" s="114" t="n">
        <f aca="false">$F94*P94</f>
        <v>0</v>
      </c>
      <c r="AC94" s="115" t="n">
        <f aca="false">$F94*Q94</f>
        <v>0</v>
      </c>
      <c r="AD94" s="113" t="n">
        <f aca="false">R94*$J94</f>
        <v>0.3</v>
      </c>
      <c r="AE94" s="114" t="n">
        <f aca="false">S94*$J94</f>
        <v>0.333333333333333</v>
      </c>
      <c r="AF94" s="114" t="n">
        <f aca="false">T94*$J94</f>
        <v>0.166666666666667</v>
      </c>
      <c r="AG94" s="114" t="n">
        <f aca="false">U94*$J94</f>
        <v>0.1</v>
      </c>
      <c r="AH94" s="114" t="n">
        <f aca="false">V94*$J94</f>
        <v>0.0333333333333333</v>
      </c>
      <c r="AI94" s="114" t="n">
        <f aca="false">W94*$J94</f>
        <v>0.0666666666666667</v>
      </c>
      <c r="AJ94" s="116" t="n">
        <f aca="false">Input!$D$22*RBs!C94+Input!$D$23*RBs!D94+Input!$D$24*RBs!X94+Input!$D$25*RBs!Y94+Input!$D$26*RBs!Z94+Input!$D$27*RBs!AA94+Input!$D$28*RBs!AB94+Input!$D$29*RBs!AC94+Input!$D$30*RBs!E94+Input!$D$31*RBs!G94+Input!$D$32*RBs!H94+Input!$D$33*RBs!AD94+Input!$D$34*RBs!AE94+Input!$D$35*RBs!AF94+Input!$D$36*RBs!AG94+Input!$D$37*RBs!AH94+Input!$D$38*RBs!AI94+Input!$D$39*RBs!I94+Input!$D$40*RBs!K94</f>
        <v>24.3</v>
      </c>
    </row>
    <row r="95" customFormat="false" ht="12.75" hidden="false" customHeight="false" outlineLevel="0" collapsed="false">
      <c r="A95" s="141" t="s">
        <v>325</v>
      </c>
      <c r="B95" s="111" t="s">
        <v>152</v>
      </c>
      <c r="C95" s="98" t="n">
        <v>40</v>
      </c>
      <c r="D95" s="96" t="n">
        <f aca="false">3.7*C95</f>
        <v>148</v>
      </c>
      <c r="E95" s="96" t="n">
        <v>0</v>
      </c>
      <c r="F95" s="97" t="n">
        <v>1</v>
      </c>
      <c r="G95" s="98" t="n">
        <v>3</v>
      </c>
      <c r="H95" s="96" t="n">
        <f aca="false">6*G95</f>
        <v>18</v>
      </c>
      <c r="I95" s="96" t="n">
        <v>0</v>
      </c>
      <c r="J95" s="97" t="n">
        <v>0</v>
      </c>
      <c r="K95" s="96" t="n">
        <v>0</v>
      </c>
      <c r="L95" s="119" t="n">
        <v>0.727272727272727</v>
      </c>
      <c r="M95" s="120" t="n">
        <v>0.0979020979020979</v>
      </c>
      <c r="N95" s="120" t="n">
        <v>0.0629370629370629</v>
      </c>
      <c r="O95" s="120" t="n">
        <v>0.020979020979021</v>
      </c>
      <c r="P95" s="120" t="n">
        <v>0.027972027972028</v>
      </c>
      <c r="Q95" s="121" t="n">
        <v>0.0629370629370629</v>
      </c>
      <c r="R95" s="119" t="n">
        <v>0.3</v>
      </c>
      <c r="S95" s="120" t="n">
        <v>0.333333333333333</v>
      </c>
      <c r="T95" s="120" t="n">
        <v>0.166666666666667</v>
      </c>
      <c r="U95" s="120" t="n">
        <v>0.1</v>
      </c>
      <c r="V95" s="120" t="n">
        <v>0.0333333333333333</v>
      </c>
      <c r="W95" s="121" t="n">
        <v>0.0666666666666667</v>
      </c>
      <c r="X95" s="113" t="n">
        <f aca="false">$F95*L95</f>
        <v>0.727272727272727</v>
      </c>
      <c r="Y95" s="114" t="n">
        <f aca="false">$F95*M95</f>
        <v>0.0979020979020979</v>
      </c>
      <c r="Z95" s="114" t="n">
        <f aca="false">$F95*N95</f>
        <v>0.0629370629370629</v>
      </c>
      <c r="AA95" s="114" t="n">
        <f aca="false">$F95*O95</f>
        <v>0.020979020979021</v>
      </c>
      <c r="AB95" s="114" t="n">
        <f aca="false">$F95*P95</f>
        <v>0.027972027972028</v>
      </c>
      <c r="AC95" s="115" t="n">
        <f aca="false">$F95*Q95</f>
        <v>0.0629370629370629</v>
      </c>
      <c r="AD95" s="113" t="n">
        <f aca="false">R95*$J95</f>
        <v>0</v>
      </c>
      <c r="AE95" s="114" t="n">
        <f aca="false">S95*$J95</f>
        <v>0</v>
      </c>
      <c r="AF95" s="114" t="n">
        <f aca="false">T95*$J95</f>
        <v>0</v>
      </c>
      <c r="AG95" s="114" t="n">
        <f aca="false">U95*$J95</f>
        <v>0</v>
      </c>
      <c r="AH95" s="114" t="n">
        <f aca="false">V95*$J95</f>
        <v>0</v>
      </c>
      <c r="AI95" s="114" t="n">
        <f aca="false">W95*$J95</f>
        <v>0</v>
      </c>
      <c r="AJ95" s="116" t="n">
        <f aca="false">Input!$D$22*RBs!C95+Input!$D$23*RBs!D95+Input!$D$24*RBs!X95+Input!$D$25*RBs!Y95+Input!$D$26*RBs!Z95+Input!$D$27*RBs!AA95+Input!$D$28*RBs!AB95+Input!$D$29*RBs!AC95+Input!$D$30*RBs!E95+Input!$D$31*RBs!G95+Input!$D$32*RBs!H95+Input!$D$33*RBs!AD95+Input!$D$34*RBs!AE95+Input!$D$35*RBs!AF95+Input!$D$36*RBs!AG95+Input!$D$37*RBs!AH95+Input!$D$38*RBs!AI95+Input!$D$39*RBs!I95+Input!$D$40*RBs!K95</f>
        <v>23.3762237762238</v>
      </c>
    </row>
    <row r="96" customFormat="false" ht="12.75" hidden="false" customHeight="false" outlineLevel="0" collapsed="false">
      <c r="A96" s="141" t="s">
        <v>326</v>
      </c>
      <c r="B96" s="111" t="s">
        <v>150</v>
      </c>
      <c r="C96" s="98" t="n">
        <v>30</v>
      </c>
      <c r="D96" s="96" t="n">
        <f aca="false">3.7*C96</f>
        <v>111</v>
      </c>
      <c r="E96" s="96" t="n">
        <v>0</v>
      </c>
      <c r="F96" s="97" t="n">
        <v>1</v>
      </c>
      <c r="G96" s="98" t="n">
        <v>5</v>
      </c>
      <c r="H96" s="96" t="n">
        <f aca="false">7.9*G96</f>
        <v>39.5</v>
      </c>
      <c r="I96" s="96" t="n">
        <v>0</v>
      </c>
      <c r="J96" s="97" t="n">
        <v>0</v>
      </c>
      <c r="K96" s="96" t="n">
        <v>0</v>
      </c>
      <c r="L96" s="119" t="n">
        <v>0.727272727272727</v>
      </c>
      <c r="M96" s="120" t="n">
        <v>0.0979020979020979</v>
      </c>
      <c r="N96" s="120" t="n">
        <v>0.0629370629370629</v>
      </c>
      <c r="O96" s="120" t="n">
        <v>0.020979020979021</v>
      </c>
      <c r="P96" s="120" t="n">
        <v>0.027972027972028</v>
      </c>
      <c r="Q96" s="121" t="n">
        <v>0.0629370629370629</v>
      </c>
      <c r="R96" s="119" t="n">
        <v>0.3</v>
      </c>
      <c r="S96" s="120" t="n">
        <v>0.333333333333333</v>
      </c>
      <c r="T96" s="120" t="n">
        <v>0.166666666666667</v>
      </c>
      <c r="U96" s="120" t="n">
        <v>0.1</v>
      </c>
      <c r="V96" s="120" t="n">
        <v>0.0333333333333333</v>
      </c>
      <c r="W96" s="121" t="n">
        <v>0.0666666666666667</v>
      </c>
      <c r="X96" s="113" t="n">
        <f aca="false">$F96*L96</f>
        <v>0.727272727272727</v>
      </c>
      <c r="Y96" s="114" t="n">
        <f aca="false">$F96*M96</f>
        <v>0.0979020979020979</v>
      </c>
      <c r="Z96" s="114" t="n">
        <f aca="false">$F96*N96</f>
        <v>0.0629370629370629</v>
      </c>
      <c r="AA96" s="114" t="n">
        <f aca="false">$F96*O96</f>
        <v>0.020979020979021</v>
      </c>
      <c r="AB96" s="114" t="n">
        <f aca="false">$F96*P96</f>
        <v>0.027972027972028</v>
      </c>
      <c r="AC96" s="115" t="n">
        <f aca="false">$F96*Q96</f>
        <v>0.0629370629370629</v>
      </c>
      <c r="AD96" s="113" t="n">
        <f aca="false">R96*$J96</f>
        <v>0</v>
      </c>
      <c r="AE96" s="114" t="n">
        <f aca="false">S96*$J96</f>
        <v>0</v>
      </c>
      <c r="AF96" s="114" t="n">
        <f aca="false">T96*$J96</f>
        <v>0</v>
      </c>
      <c r="AG96" s="114" t="n">
        <f aca="false">U96*$J96</f>
        <v>0</v>
      </c>
      <c r="AH96" s="114" t="n">
        <f aca="false">V96*$J96</f>
        <v>0</v>
      </c>
      <c r="AI96" s="114" t="n">
        <f aca="false">W96*$J96</f>
        <v>0</v>
      </c>
      <c r="AJ96" s="116" t="n">
        <f aca="false">Input!$D$22*RBs!C96+Input!$D$23*RBs!D96+Input!$D$24*RBs!X96+Input!$D$25*RBs!Y96+Input!$D$26*RBs!Z96+Input!$D$27*RBs!AA96+Input!$D$28*RBs!AB96+Input!$D$29*RBs!AC96+Input!$D$30*RBs!E96+Input!$D$31*RBs!G96+Input!$D$32*RBs!H96+Input!$D$33*RBs!AD96+Input!$D$34*RBs!AE96+Input!$D$35*RBs!AF96+Input!$D$36*RBs!AG96+Input!$D$37*RBs!AH96+Input!$D$38*RBs!AI96+Input!$D$39*RBs!I96+Input!$D$40*RBs!K96</f>
        <v>21.8262237762238</v>
      </c>
    </row>
    <row r="97" customFormat="false" ht="12.75" hidden="false" customHeight="false" outlineLevel="0" collapsed="false">
      <c r="A97" s="141" t="s">
        <v>327</v>
      </c>
      <c r="B97" s="111" t="s">
        <v>166</v>
      </c>
      <c r="C97" s="98" t="n">
        <v>35</v>
      </c>
      <c r="D97" s="96" t="n">
        <f aca="false">3.3*C97</f>
        <v>115.5</v>
      </c>
      <c r="E97" s="96" t="n">
        <v>0</v>
      </c>
      <c r="F97" s="97" t="n">
        <v>1</v>
      </c>
      <c r="G97" s="98" t="n">
        <v>0</v>
      </c>
      <c r="H97" s="96" t="n">
        <v>0</v>
      </c>
      <c r="I97" s="96" t="n">
        <v>0</v>
      </c>
      <c r="J97" s="97" t="n">
        <v>0</v>
      </c>
      <c r="K97" s="96" t="n">
        <v>0</v>
      </c>
      <c r="L97" s="119" t="n">
        <v>0.727272727272727</v>
      </c>
      <c r="M97" s="120" t="n">
        <v>0.0979020979020979</v>
      </c>
      <c r="N97" s="120" t="n">
        <v>0.0629370629370629</v>
      </c>
      <c r="O97" s="120" t="n">
        <v>0.020979020979021</v>
      </c>
      <c r="P97" s="120" t="n">
        <v>0.027972027972028</v>
      </c>
      <c r="Q97" s="121" t="n">
        <v>0.0629370629370629</v>
      </c>
      <c r="R97" s="119" t="n">
        <v>0.3</v>
      </c>
      <c r="S97" s="120" t="n">
        <v>0.333333333333333</v>
      </c>
      <c r="T97" s="120" t="n">
        <v>0.166666666666667</v>
      </c>
      <c r="U97" s="120" t="n">
        <v>0.1</v>
      </c>
      <c r="V97" s="120" t="n">
        <v>0.0333333333333333</v>
      </c>
      <c r="W97" s="121" t="n">
        <v>0.0666666666666667</v>
      </c>
      <c r="X97" s="113" t="n">
        <f aca="false">$F97*L97</f>
        <v>0.727272727272727</v>
      </c>
      <c r="Y97" s="114" t="n">
        <f aca="false">$F97*M97</f>
        <v>0.0979020979020979</v>
      </c>
      <c r="Z97" s="114" t="n">
        <f aca="false">$F97*N97</f>
        <v>0.0629370629370629</v>
      </c>
      <c r="AA97" s="114" t="n">
        <f aca="false">$F97*O97</f>
        <v>0.020979020979021</v>
      </c>
      <c r="AB97" s="114" t="n">
        <f aca="false">$F97*P97</f>
        <v>0.027972027972028</v>
      </c>
      <c r="AC97" s="115" t="n">
        <f aca="false">$F97*Q97</f>
        <v>0.0629370629370629</v>
      </c>
      <c r="AD97" s="113" t="n">
        <f aca="false">R97*$J97</f>
        <v>0</v>
      </c>
      <c r="AE97" s="114" t="n">
        <f aca="false">S97*$J97</f>
        <v>0</v>
      </c>
      <c r="AF97" s="114" t="n">
        <f aca="false">T97*$J97</f>
        <v>0</v>
      </c>
      <c r="AG97" s="114" t="n">
        <f aca="false">U97*$J97</f>
        <v>0</v>
      </c>
      <c r="AH97" s="114" t="n">
        <f aca="false">V97*$J97</f>
        <v>0</v>
      </c>
      <c r="AI97" s="114" t="n">
        <f aca="false">W97*$J97</f>
        <v>0</v>
      </c>
      <c r="AJ97" s="116" t="n">
        <f aca="false">Input!$D$22*RBs!C97+Input!$D$23*RBs!D97+Input!$D$24*RBs!X97+Input!$D$25*RBs!Y97+Input!$D$26*RBs!Z97+Input!$D$27*RBs!AA97+Input!$D$28*RBs!AB97+Input!$D$29*RBs!AC97+Input!$D$30*RBs!E97+Input!$D$31*RBs!G97+Input!$D$32*RBs!H97+Input!$D$33*RBs!AD97+Input!$D$34*RBs!AE97+Input!$D$35*RBs!AF97+Input!$D$36*RBs!AG97+Input!$D$37*RBs!AH97+Input!$D$38*RBs!AI97+Input!$D$39*RBs!I97+Input!$D$40*RBs!K97</f>
        <v>18.3262237762238</v>
      </c>
    </row>
    <row r="98" customFormat="false" ht="12.75" hidden="false" customHeight="false" outlineLevel="0" collapsed="false">
      <c r="A98" s="141" t="s">
        <v>328</v>
      </c>
      <c r="B98" s="111" t="s">
        <v>174</v>
      </c>
      <c r="C98" s="98" t="n">
        <v>6</v>
      </c>
      <c r="D98" s="96" t="n">
        <f aca="false">4.1*C98</f>
        <v>24.6</v>
      </c>
      <c r="E98" s="96" t="n">
        <v>0</v>
      </c>
      <c r="F98" s="97" t="n">
        <v>0</v>
      </c>
      <c r="G98" s="98" t="n">
        <v>19</v>
      </c>
      <c r="H98" s="96" t="n">
        <f aca="false">7*G98</f>
        <v>133</v>
      </c>
      <c r="I98" s="96" t="n">
        <v>0</v>
      </c>
      <c r="J98" s="97" t="n">
        <v>0</v>
      </c>
      <c r="K98" s="96" t="n">
        <v>0</v>
      </c>
      <c r="L98" s="119" t="n">
        <v>0.727272727272727</v>
      </c>
      <c r="M98" s="120" t="n">
        <v>0.0979020979020979</v>
      </c>
      <c r="N98" s="120" t="n">
        <v>0.0629370629370629</v>
      </c>
      <c r="O98" s="120" t="n">
        <v>0.020979020979021</v>
      </c>
      <c r="P98" s="120" t="n">
        <v>0.027972027972028</v>
      </c>
      <c r="Q98" s="121" t="n">
        <v>0.0629370629370629</v>
      </c>
      <c r="R98" s="119" t="n">
        <v>0.3</v>
      </c>
      <c r="S98" s="120" t="n">
        <v>0.333333333333333</v>
      </c>
      <c r="T98" s="120" t="n">
        <v>0.166666666666667</v>
      </c>
      <c r="U98" s="120" t="n">
        <v>0.1</v>
      </c>
      <c r="V98" s="120" t="n">
        <v>0.0333333333333333</v>
      </c>
      <c r="W98" s="121" t="n">
        <v>0.0666666666666667</v>
      </c>
      <c r="X98" s="113" t="n">
        <f aca="false">$F98*L98</f>
        <v>0</v>
      </c>
      <c r="Y98" s="114" t="n">
        <f aca="false">$F98*M98</f>
        <v>0</v>
      </c>
      <c r="Z98" s="114" t="n">
        <f aca="false">$F98*N98</f>
        <v>0</v>
      </c>
      <c r="AA98" s="114" t="n">
        <f aca="false">$F98*O98</f>
        <v>0</v>
      </c>
      <c r="AB98" s="114" t="n">
        <f aca="false">$F98*P98</f>
        <v>0</v>
      </c>
      <c r="AC98" s="115" t="n">
        <f aca="false">$F98*Q98</f>
        <v>0</v>
      </c>
      <c r="AD98" s="113" t="n">
        <f aca="false">R98*$J98</f>
        <v>0</v>
      </c>
      <c r="AE98" s="114" t="n">
        <f aca="false">S98*$J98</f>
        <v>0</v>
      </c>
      <c r="AF98" s="114" t="n">
        <f aca="false">T98*$J98</f>
        <v>0</v>
      </c>
      <c r="AG98" s="114" t="n">
        <f aca="false">U98*$J98</f>
        <v>0</v>
      </c>
      <c r="AH98" s="114" t="n">
        <f aca="false">V98*$J98</f>
        <v>0</v>
      </c>
      <c r="AI98" s="114" t="n">
        <f aca="false">W98*$J98</f>
        <v>0</v>
      </c>
      <c r="AJ98" s="116" t="n">
        <f aca="false">Input!$D$22*RBs!C98+Input!$D$23*RBs!D98+Input!$D$24*RBs!X98+Input!$D$25*RBs!Y98+Input!$D$26*RBs!Z98+Input!$D$27*RBs!AA98+Input!$D$28*RBs!AB98+Input!$D$29*RBs!AC98+Input!$D$30*RBs!E98+Input!$D$31*RBs!G98+Input!$D$32*RBs!H98+Input!$D$33*RBs!AD98+Input!$D$34*RBs!AE98+Input!$D$35*RBs!AF98+Input!$D$36*RBs!AG98+Input!$D$37*RBs!AH98+Input!$D$38*RBs!AI98+Input!$D$39*RBs!I98+Input!$D$40*RBs!K98</f>
        <v>15.76</v>
      </c>
    </row>
    <row r="99" customFormat="false" ht="12.75" hidden="false" customHeight="false" outlineLevel="0" collapsed="false">
      <c r="A99" s="141" t="s">
        <v>329</v>
      </c>
      <c r="B99" s="111" t="s">
        <v>144</v>
      </c>
      <c r="C99" s="98" t="n">
        <v>20</v>
      </c>
      <c r="D99" s="96" t="n">
        <f aca="false">4*C99</f>
        <v>80</v>
      </c>
      <c r="E99" s="96" t="n">
        <v>0</v>
      </c>
      <c r="F99" s="97" t="n">
        <v>0</v>
      </c>
      <c r="G99" s="98" t="n">
        <v>4</v>
      </c>
      <c r="H99" s="96" t="n">
        <f aca="false">7.5*G99</f>
        <v>30</v>
      </c>
      <c r="I99" s="96" t="n">
        <v>0</v>
      </c>
      <c r="J99" s="97" t="n">
        <v>0</v>
      </c>
      <c r="K99" s="96" t="n">
        <v>0</v>
      </c>
      <c r="L99" s="119" t="n">
        <v>0.727272727272727</v>
      </c>
      <c r="M99" s="120" t="n">
        <v>0.0979020979020979</v>
      </c>
      <c r="N99" s="120" t="n">
        <v>0.0629370629370629</v>
      </c>
      <c r="O99" s="120" t="n">
        <v>0.020979020979021</v>
      </c>
      <c r="P99" s="120" t="n">
        <v>0.027972027972028</v>
      </c>
      <c r="Q99" s="121" t="n">
        <v>0.0629370629370629</v>
      </c>
      <c r="R99" s="119" t="n">
        <v>0.3</v>
      </c>
      <c r="S99" s="120" t="n">
        <v>0.333333333333333</v>
      </c>
      <c r="T99" s="120" t="n">
        <v>0.166666666666667</v>
      </c>
      <c r="U99" s="120" t="n">
        <v>0.1</v>
      </c>
      <c r="V99" s="120" t="n">
        <v>0.0333333333333333</v>
      </c>
      <c r="W99" s="121" t="n">
        <v>0.0666666666666667</v>
      </c>
      <c r="X99" s="113" t="n">
        <f aca="false">$F99*L99</f>
        <v>0</v>
      </c>
      <c r="Y99" s="114" t="n">
        <f aca="false">$F99*M99</f>
        <v>0</v>
      </c>
      <c r="Z99" s="114" t="n">
        <f aca="false">$F99*N99</f>
        <v>0</v>
      </c>
      <c r="AA99" s="114" t="n">
        <f aca="false">$F99*O99</f>
        <v>0</v>
      </c>
      <c r="AB99" s="114" t="n">
        <f aca="false">$F99*P99</f>
        <v>0</v>
      </c>
      <c r="AC99" s="115" t="n">
        <f aca="false">$F99*Q99</f>
        <v>0</v>
      </c>
      <c r="AD99" s="113" t="n">
        <f aca="false">R99*$J99</f>
        <v>0</v>
      </c>
      <c r="AE99" s="114" t="n">
        <f aca="false">S99*$J99</f>
        <v>0</v>
      </c>
      <c r="AF99" s="114" t="n">
        <f aca="false">T99*$J99</f>
        <v>0</v>
      </c>
      <c r="AG99" s="114" t="n">
        <f aca="false">U99*$J99</f>
        <v>0</v>
      </c>
      <c r="AH99" s="114" t="n">
        <f aca="false">V99*$J99</f>
        <v>0</v>
      </c>
      <c r="AI99" s="114" t="n">
        <f aca="false">W99*$J99</f>
        <v>0</v>
      </c>
      <c r="AJ99" s="116" t="n">
        <f aca="false">Input!$D$22*RBs!C99+Input!$D$23*RBs!D99+Input!$D$24*RBs!X99+Input!$D$25*RBs!Y99+Input!$D$26*RBs!Z99+Input!$D$27*RBs!AA99+Input!$D$28*RBs!AB99+Input!$D$29*RBs!AC99+Input!$D$30*RBs!E99+Input!$D$31*RBs!G99+Input!$D$32*RBs!H99+Input!$D$33*RBs!AD99+Input!$D$34*RBs!AE99+Input!$D$35*RBs!AF99+Input!$D$36*RBs!AG99+Input!$D$37*RBs!AH99+Input!$D$38*RBs!AI99+Input!$D$39*RBs!I99+Input!$D$40*RBs!K99</f>
        <v>11</v>
      </c>
    </row>
    <row r="100" customFormat="false" ht="12.75" hidden="false" customHeight="false" outlineLevel="0" collapsed="false">
      <c r="A100" s="141" t="s">
        <v>330</v>
      </c>
      <c r="B100" s="111" t="s">
        <v>154</v>
      </c>
      <c r="C100" s="98" t="n">
        <v>5</v>
      </c>
      <c r="D100" s="96" t="n">
        <f aca="false">2.9*C100</f>
        <v>14.5</v>
      </c>
      <c r="E100" s="96" t="n">
        <v>0</v>
      </c>
      <c r="F100" s="97" t="n">
        <v>0</v>
      </c>
      <c r="G100" s="98" t="n">
        <v>12</v>
      </c>
      <c r="H100" s="96" t="n">
        <f aca="false">7.5*G100</f>
        <v>90</v>
      </c>
      <c r="I100" s="96" t="n">
        <v>0</v>
      </c>
      <c r="J100" s="97" t="n">
        <v>0</v>
      </c>
      <c r="K100" s="96" t="n">
        <v>0</v>
      </c>
      <c r="L100" s="119" t="n">
        <v>0.727272727272727</v>
      </c>
      <c r="M100" s="120" t="n">
        <v>0.0979020979020979</v>
      </c>
      <c r="N100" s="120" t="n">
        <v>0.0629370629370629</v>
      </c>
      <c r="O100" s="120" t="n">
        <v>0.020979020979021</v>
      </c>
      <c r="P100" s="120" t="n">
        <v>0.027972027972028</v>
      </c>
      <c r="Q100" s="121" t="n">
        <v>0.0629370629370629</v>
      </c>
      <c r="R100" s="119" t="n">
        <v>0.3</v>
      </c>
      <c r="S100" s="120" t="n">
        <v>0.333333333333333</v>
      </c>
      <c r="T100" s="120" t="n">
        <v>0.166666666666667</v>
      </c>
      <c r="U100" s="120" t="n">
        <v>0.1</v>
      </c>
      <c r="V100" s="120" t="n">
        <v>0.0333333333333333</v>
      </c>
      <c r="W100" s="121" t="n">
        <v>0.0666666666666667</v>
      </c>
      <c r="X100" s="113" t="n">
        <f aca="false">$F100*L100</f>
        <v>0</v>
      </c>
      <c r="Y100" s="114" t="n">
        <f aca="false">$F100*M100</f>
        <v>0</v>
      </c>
      <c r="Z100" s="114" t="n">
        <f aca="false">$F100*N100</f>
        <v>0</v>
      </c>
      <c r="AA100" s="114" t="n">
        <f aca="false">$F100*O100</f>
        <v>0</v>
      </c>
      <c r="AB100" s="114" t="n">
        <f aca="false">$F100*P100</f>
        <v>0</v>
      </c>
      <c r="AC100" s="115" t="n">
        <f aca="false">$F100*Q100</f>
        <v>0</v>
      </c>
      <c r="AD100" s="113" t="n">
        <f aca="false">R100*$J100</f>
        <v>0</v>
      </c>
      <c r="AE100" s="114" t="n">
        <f aca="false">S100*$J100</f>
        <v>0</v>
      </c>
      <c r="AF100" s="114" t="n">
        <f aca="false">T100*$J100</f>
        <v>0</v>
      </c>
      <c r="AG100" s="114" t="n">
        <f aca="false">U100*$J100</f>
        <v>0</v>
      </c>
      <c r="AH100" s="114" t="n">
        <f aca="false">V100*$J100</f>
        <v>0</v>
      </c>
      <c r="AI100" s="114" t="n">
        <f aca="false">W100*$J100</f>
        <v>0</v>
      </c>
      <c r="AJ100" s="116" t="n">
        <f aca="false">Input!$D$22*RBs!C100+Input!$D$23*RBs!D100+Input!$D$24*RBs!X100+Input!$D$25*RBs!Y100+Input!$D$26*RBs!Z100+Input!$D$27*RBs!AA100+Input!$D$28*RBs!AB100+Input!$D$29*RBs!AC100+Input!$D$30*RBs!E100+Input!$D$31*RBs!G100+Input!$D$32*RBs!H100+Input!$D$33*RBs!AD100+Input!$D$34*RBs!AE100+Input!$D$35*RBs!AF100+Input!$D$36*RBs!AG100+Input!$D$37*RBs!AH100+Input!$D$38*RBs!AI100+Input!$D$39*RBs!I100+Input!$D$40*RBs!K100</f>
        <v>10.45</v>
      </c>
    </row>
    <row r="101" customFormat="false" ht="12.75" hidden="false" customHeight="false" outlineLevel="0" collapsed="false">
      <c r="A101" s="141" t="s">
        <v>331</v>
      </c>
      <c r="B101" s="111" t="s">
        <v>190</v>
      </c>
      <c r="C101" s="98" t="n">
        <v>4</v>
      </c>
      <c r="D101" s="96" t="n">
        <f aca="false">3.2*C101</f>
        <v>12.8</v>
      </c>
      <c r="E101" s="96" t="n">
        <v>0</v>
      </c>
      <c r="F101" s="97" t="n">
        <v>0</v>
      </c>
      <c r="G101" s="98" t="n">
        <v>12</v>
      </c>
      <c r="H101" s="96" t="n">
        <f aca="false">7.1*G101</f>
        <v>85.2</v>
      </c>
      <c r="I101" s="96" t="n">
        <v>0</v>
      </c>
      <c r="J101" s="97" t="n">
        <v>0</v>
      </c>
      <c r="K101" s="96" t="n">
        <v>0</v>
      </c>
      <c r="L101" s="119" t="n">
        <v>0.727272727272727</v>
      </c>
      <c r="M101" s="120" t="n">
        <v>0.0979020979020979</v>
      </c>
      <c r="N101" s="120" t="n">
        <v>0.0629370629370629</v>
      </c>
      <c r="O101" s="120" t="n">
        <v>0.020979020979021</v>
      </c>
      <c r="P101" s="120" t="n">
        <v>0.027972027972028</v>
      </c>
      <c r="Q101" s="121" t="n">
        <v>0.0629370629370629</v>
      </c>
      <c r="R101" s="119" t="n">
        <v>0.3</v>
      </c>
      <c r="S101" s="120" t="n">
        <v>0.333333333333333</v>
      </c>
      <c r="T101" s="120" t="n">
        <v>0.166666666666667</v>
      </c>
      <c r="U101" s="120" t="n">
        <v>0.1</v>
      </c>
      <c r="V101" s="120" t="n">
        <v>0.0333333333333333</v>
      </c>
      <c r="W101" s="121" t="n">
        <v>0.0666666666666667</v>
      </c>
      <c r="X101" s="113" t="n">
        <f aca="false">$F101*L101</f>
        <v>0</v>
      </c>
      <c r="Y101" s="114" t="n">
        <f aca="false">$F101*M101</f>
        <v>0</v>
      </c>
      <c r="Z101" s="114" t="n">
        <f aca="false">$F101*N101</f>
        <v>0</v>
      </c>
      <c r="AA101" s="114" t="n">
        <f aca="false">$F101*O101</f>
        <v>0</v>
      </c>
      <c r="AB101" s="114" t="n">
        <f aca="false">$F101*P101</f>
        <v>0</v>
      </c>
      <c r="AC101" s="115" t="n">
        <f aca="false">$F101*Q101</f>
        <v>0</v>
      </c>
      <c r="AD101" s="113" t="n">
        <f aca="false">R101*$J101</f>
        <v>0</v>
      </c>
      <c r="AE101" s="114" t="n">
        <f aca="false">S101*$J101</f>
        <v>0</v>
      </c>
      <c r="AF101" s="114" t="n">
        <f aca="false">T101*$J101</f>
        <v>0</v>
      </c>
      <c r="AG101" s="114" t="n">
        <f aca="false">U101*$J101</f>
        <v>0</v>
      </c>
      <c r="AH101" s="114" t="n">
        <f aca="false">V101*$J101</f>
        <v>0</v>
      </c>
      <c r="AI101" s="114" t="n">
        <f aca="false">W101*$J101</f>
        <v>0</v>
      </c>
      <c r="AJ101" s="116" t="n">
        <f aca="false">Input!$D$22*RBs!C101+Input!$D$23*RBs!D101+Input!$D$24*RBs!X101+Input!$D$25*RBs!Y101+Input!$D$26*RBs!Z101+Input!$D$27*RBs!AA101+Input!$D$28*RBs!AB101+Input!$D$29*RBs!AC101+Input!$D$30*RBs!E101+Input!$D$31*RBs!G101+Input!$D$32*RBs!H101+Input!$D$33*RBs!AD101+Input!$D$34*RBs!AE101+Input!$D$35*RBs!AF101+Input!$D$36*RBs!AG101+Input!$D$37*RBs!AH101+Input!$D$38*RBs!AI101+Input!$D$39*RBs!I101+Input!$D$40*RBs!K101</f>
        <v>9.8</v>
      </c>
    </row>
    <row r="102" customFormat="false" ht="12.75" hidden="false" customHeight="false" outlineLevel="0" collapsed="false">
      <c r="A102" s="141" t="s">
        <v>332</v>
      </c>
      <c r="B102" s="111" t="s">
        <v>154</v>
      </c>
      <c r="C102" s="98" t="n">
        <v>40</v>
      </c>
      <c r="D102" s="96" t="n">
        <f aca="false">3.9*C102</f>
        <v>156</v>
      </c>
      <c r="E102" s="96" t="n">
        <v>0</v>
      </c>
      <c r="F102" s="97" t="n">
        <v>1</v>
      </c>
      <c r="G102" s="98" t="n">
        <v>6</v>
      </c>
      <c r="H102" s="96" t="n">
        <f aca="false">6*G102</f>
        <v>36</v>
      </c>
      <c r="I102" s="96" t="n">
        <v>0</v>
      </c>
      <c r="J102" s="97" t="n">
        <v>0</v>
      </c>
      <c r="K102" s="96" t="n">
        <v>0</v>
      </c>
      <c r="L102" s="119" t="n">
        <v>0.727272727272727</v>
      </c>
      <c r="M102" s="120" t="n">
        <v>0.0979020979020979</v>
      </c>
      <c r="N102" s="120" t="n">
        <v>0.0629370629370629</v>
      </c>
      <c r="O102" s="120" t="n">
        <v>0.020979020979021</v>
      </c>
      <c r="P102" s="120" t="n">
        <v>0.027972027972028</v>
      </c>
      <c r="Q102" s="121" t="n">
        <v>0.0629370629370629</v>
      </c>
      <c r="R102" s="119" t="n">
        <v>0.3</v>
      </c>
      <c r="S102" s="120" t="n">
        <v>0.333333333333333</v>
      </c>
      <c r="T102" s="120" t="n">
        <v>0.166666666666667</v>
      </c>
      <c r="U102" s="120" t="n">
        <v>0.1</v>
      </c>
      <c r="V102" s="120" t="n">
        <v>0.0333333333333333</v>
      </c>
      <c r="W102" s="121" t="n">
        <v>0.0666666666666667</v>
      </c>
      <c r="X102" s="113" t="n">
        <f aca="false">$F102*L102</f>
        <v>0.727272727272727</v>
      </c>
      <c r="Y102" s="114" t="n">
        <f aca="false">$F102*M102</f>
        <v>0.0979020979020979</v>
      </c>
      <c r="Z102" s="114" t="n">
        <f aca="false">$F102*N102</f>
        <v>0.0629370629370629</v>
      </c>
      <c r="AA102" s="114" t="n">
        <f aca="false">$F102*O102</f>
        <v>0.020979020979021</v>
      </c>
      <c r="AB102" s="114" t="n">
        <f aca="false">$F102*P102</f>
        <v>0.027972027972028</v>
      </c>
      <c r="AC102" s="115" t="n">
        <f aca="false">$F102*Q102</f>
        <v>0.0629370629370629</v>
      </c>
      <c r="AD102" s="113" t="n">
        <f aca="false">R102*$J102</f>
        <v>0</v>
      </c>
      <c r="AE102" s="114" t="n">
        <f aca="false">S102*$J102</f>
        <v>0</v>
      </c>
      <c r="AF102" s="114" t="n">
        <f aca="false">T102*$J102</f>
        <v>0</v>
      </c>
      <c r="AG102" s="114" t="n">
        <f aca="false">U102*$J102</f>
        <v>0</v>
      </c>
      <c r="AH102" s="114" t="n">
        <f aca="false">V102*$J102</f>
        <v>0</v>
      </c>
      <c r="AI102" s="114" t="n">
        <f aca="false">W102*$J102</f>
        <v>0</v>
      </c>
      <c r="AJ102" s="116" t="n">
        <f aca="false">Input!$D$22*RBs!C102+Input!$D$23*RBs!D102+Input!$D$24*RBs!X102+Input!$D$25*RBs!Y102+Input!$D$26*RBs!Z102+Input!$D$27*RBs!AA102+Input!$D$28*RBs!AB102+Input!$D$29*RBs!AC102+Input!$D$30*RBs!E102+Input!$D$31*RBs!G102+Input!$D$32*RBs!H102+Input!$D$33*RBs!AD102+Input!$D$34*RBs!AE102+Input!$D$35*RBs!AF102+Input!$D$36*RBs!AG102+Input!$D$37*RBs!AH102+Input!$D$38*RBs!AI102+Input!$D$39*RBs!I102+Input!$D$40*RBs!K102</f>
        <v>25.9762237762238</v>
      </c>
    </row>
    <row r="103" customFormat="false" ht="12.75" hidden="false" customHeight="false" outlineLevel="0" collapsed="false">
      <c r="A103" s="141" t="s">
        <v>333</v>
      </c>
      <c r="B103" s="111" t="s">
        <v>138</v>
      </c>
      <c r="C103" s="98" t="n">
        <v>20</v>
      </c>
      <c r="D103" s="96" t="n">
        <f aca="false">3*C103</f>
        <v>60</v>
      </c>
      <c r="E103" s="96" t="n">
        <v>0</v>
      </c>
      <c r="F103" s="97" t="n">
        <v>0</v>
      </c>
      <c r="G103" s="98" t="n">
        <v>5</v>
      </c>
      <c r="H103" s="96" t="n">
        <f aca="false">6.7*G103</f>
        <v>33.5</v>
      </c>
      <c r="I103" s="96" t="n">
        <v>0</v>
      </c>
      <c r="J103" s="97" t="n">
        <v>0</v>
      </c>
      <c r="K103" s="96" t="n">
        <v>0</v>
      </c>
      <c r="L103" s="119" t="n">
        <v>0.727272727272727</v>
      </c>
      <c r="M103" s="120" t="n">
        <v>0.0979020979020979</v>
      </c>
      <c r="N103" s="120" t="n">
        <v>0.0629370629370629</v>
      </c>
      <c r="O103" s="120" t="n">
        <v>0.020979020979021</v>
      </c>
      <c r="P103" s="120" t="n">
        <v>0.027972027972028</v>
      </c>
      <c r="Q103" s="121" t="n">
        <v>0.0629370629370629</v>
      </c>
      <c r="R103" s="119" t="n">
        <v>0.3</v>
      </c>
      <c r="S103" s="120" t="n">
        <v>0.333333333333333</v>
      </c>
      <c r="T103" s="120" t="n">
        <v>0.166666666666667</v>
      </c>
      <c r="U103" s="120" t="n">
        <v>0.1</v>
      </c>
      <c r="V103" s="120" t="n">
        <v>0.0333333333333333</v>
      </c>
      <c r="W103" s="121" t="n">
        <v>0.0666666666666667</v>
      </c>
      <c r="X103" s="113" t="n">
        <f aca="false">$F103*L103</f>
        <v>0</v>
      </c>
      <c r="Y103" s="114" t="n">
        <f aca="false">$F103*M103</f>
        <v>0</v>
      </c>
      <c r="Z103" s="114" t="n">
        <f aca="false">$F103*N103</f>
        <v>0</v>
      </c>
      <c r="AA103" s="114" t="n">
        <f aca="false">$F103*O103</f>
        <v>0</v>
      </c>
      <c r="AB103" s="114" t="n">
        <f aca="false">$F103*P103</f>
        <v>0</v>
      </c>
      <c r="AC103" s="115" t="n">
        <f aca="false">$F103*Q103</f>
        <v>0</v>
      </c>
      <c r="AD103" s="113" t="n">
        <f aca="false">R103*$J103</f>
        <v>0</v>
      </c>
      <c r="AE103" s="114" t="n">
        <f aca="false">S103*$J103</f>
        <v>0</v>
      </c>
      <c r="AF103" s="114" t="n">
        <f aca="false">T103*$J103</f>
        <v>0</v>
      </c>
      <c r="AG103" s="114" t="n">
        <f aca="false">U103*$J103</f>
        <v>0</v>
      </c>
      <c r="AH103" s="114" t="n">
        <f aca="false">V103*$J103</f>
        <v>0</v>
      </c>
      <c r="AI103" s="114" t="n">
        <f aca="false">W103*$J103</f>
        <v>0</v>
      </c>
      <c r="AJ103" s="116" t="n">
        <f aca="false">Input!$D$22*RBs!C103+Input!$D$23*RBs!D103+Input!$D$24*RBs!X103+Input!$D$25*RBs!Y103+Input!$D$26*RBs!Z103+Input!$D$27*RBs!AA103+Input!$D$28*RBs!AB103+Input!$D$29*RBs!AC103+Input!$D$30*RBs!E103+Input!$D$31*RBs!G103+Input!$D$32*RBs!H103+Input!$D$33*RBs!AD103+Input!$D$34*RBs!AE103+Input!$D$35*RBs!AF103+Input!$D$36*RBs!AG103+Input!$D$37*RBs!AH103+Input!$D$38*RBs!AI103+Input!$D$39*RBs!I103+Input!$D$40*RBs!K103</f>
        <v>9.35</v>
      </c>
    </row>
    <row r="104" customFormat="false" ht="12.75" hidden="false" customHeight="false" outlineLevel="0" collapsed="false">
      <c r="A104" s="141" t="s">
        <v>334</v>
      </c>
      <c r="B104" s="111" t="s">
        <v>180</v>
      </c>
      <c r="C104" s="98" t="n">
        <v>10</v>
      </c>
      <c r="D104" s="96" t="n">
        <v>20</v>
      </c>
      <c r="E104" s="96" t="n">
        <v>0</v>
      </c>
      <c r="F104" s="97" t="n">
        <v>0</v>
      </c>
      <c r="G104" s="98" t="n">
        <v>10</v>
      </c>
      <c r="H104" s="96" t="n">
        <f aca="false">7*G104</f>
        <v>70</v>
      </c>
      <c r="I104" s="96" t="n">
        <v>0</v>
      </c>
      <c r="J104" s="97" t="n">
        <v>0</v>
      </c>
      <c r="K104" s="96" t="n">
        <v>0</v>
      </c>
      <c r="L104" s="119" t="n">
        <v>0.727272727272727</v>
      </c>
      <c r="M104" s="120" t="n">
        <v>0.0979020979020979</v>
      </c>
      <c r="N104" s="120" t="n">
        <v>0.0629370629370629</v>
      </c>
      <c r="O104" s="120" t="n">
        <v>0.020979020979021</v>
      </c>
      <c r="P104" s="120" t="n">
        <v>0.027972027972028</v>
      </c>
      <c r="Q104" s="121" t="n">
        <v>0.0629370629370629</v>
      </c>
      <c r="R104" s="119" t="n">
        <v>0.3</v>
      </c>
      <c r="S104" s="120" t="n">
        <v>0.333333333333333</v>
      </c>
      <c r="T104" s="120" t="n">
        <v>0.166666666666667</v>
      </c>
      <c r="U104" s="120" t="n">
        <v>0.1</v>
      </c>
      <c r="V104" s="120" t="n">
        <v>0.0333333333333333</v>
      </c>
      <c r="W104" s="121" t="n">
        <v>0.0666666666666667</v>
      </c>
      <c r="X104" s="113" t="n">
        <f aca="false">$F104*L104</f>
        <v>0</v>
      </c>
      <c r="Y104" s="114" t="n">
        <f aca="false">$F104*M104</f>
        <v>0</v>
      </c>
      <c r="Z104" s="114" t="n">
        <f aca="false">$F104*N104</f>
        <v>0</v>
      </c>
      <c r="AA104" s="114" t="n">
        <f aca="false">$F104*O104</f>
        <v>0</v>
      </c>
      <c r="AB104" s="114" t="n">
        <f aca="false">$F104*P104</f>
        <v>0</v>
      </c>
      <c r="AC104" s="115" t="n">
        <f aca="false">$F104*Q104</f>
        <v>0</v>
      </c>
      <c r="AD104" s="113" t="n">
        <f aca="false">R104*$J104</f>
        <v>0</v>
      </c>
      <c r="AE104" s="114" t="n">
        <f aca="false">S104*$J104</f>
        <v>0</v>
      </c>
      <c r="AF104" s="114" t="n">
        <f aca="false">T104*$J104</f>
        <v>0</v>
      </c>
      <c r="AG104" s="114" t="n">
        <f aca="false">U104*$J104</f>
        <v>0</v>
      </c>
      <c r="AH104" s="114" t="n">
        <f aca="false">V104*$J104</f>
        <v>0</v>
      </c>
      <c r="AI104" s="114" t="n">
        <f aca="false">W104*$J104</f>
        <v>0</v>
      </c>
      <c r="AJ104" s="116" t="n">
        <f aca="false">Input!$D$22*RBs!C104+Input!$D$23*RBs!D104+Input!$D$24*RBs!X104+Input!$D$25*RBs!Y104+Input!$D$26*RBs!Z104+Input!$D$27*RBs!AA104+Input!$D$28*RBs!AB104+Input!$D$29*RBs!AC104+Input!$D$30*RBs!E104+Input!$D$31*RBs!G104+Input!$D$32*RBs!H104+Input!$D$33*RBs!AD104+Input!$D$34*RBs!AE104+Input!$D$35*RBs!AF104+Input!$D$36*RBs!AG104+Input!$D$37*RBs!AH104+Input!$D$38*RBs!AI104+Input!$D$39*RBs!I104+Input!$D$40*RBs!K104</f>
        <v>9</v>
      </c>
    </row>
    <row r="105" customFormat="false" ht="12.75" hidden="false" customHeight="false" outlineLevel="0" collapsed="false">
      <c r="A105" s="141" t="s">
        <v>335</v>
      </c>
      <c r="B105" s="111" t="s">
        <v>184</v>
      </c>
      <c r="C105" s="98" t="n">
        <v>25</v>
      </c>
      <c r="D105" s="96" t="n">
        <f aca="false">3.5*C105</f>
        <v>87.5</v>
      </c>
      <c r="E105" s="96" t="n">
        <v>0</v>
      </c>
      <c r="F105" s="97" t="n">
        <v>0</v>
      </c>
      <c r="G105" s="98" t="n">
        <v>10</v>
      </c>
      <c r="H105" s="96" t="n">
        <f aca="false">5.5*G105</f>
        <v>55</v>
      </c>
      <c r="I105" s="96" t="n">
        <v>0</v>
      </c>
      <c r="J105" s="97" t="n">
        <v>0</v>
      </c>
      <c r="K105" s="96" t="n">
        <v>0</v>
      </c>
      <c r="L105" s="119" t="n">
        <v>0.727272727272727</v>
      </c>
      <c r="M105" s="120" t="n">
        <v>0.0979020979020979</v>
      </c>
      <c r="N105" s="120" t="n">
        <v>0.0629370629370629</v>
      </c>
      <c r="O105" s="120" t="n">
        <v>0.020979020979021</v>
      </c>
      <c r="P105" s="120" t="n">
        <v>0.027972027972028</v>
      </c>
      <c r="Q105" s="121" t="n">
        <v>0.0629370629370629</v>
      </c>
      <c r="R105" s="119" t="n">
        <v>0.3</v>
      </c>
      <c r="S105" s="120" t="n">
        <v>0.333333333333333</v>
      </c>
      <c r="T105" s="120" t="n">
        <v>0.166666666666667</v>
      </c>
      <c r="U105" s="120" t="n">
        <v>0.1</v>
      </c>
      <c r="V105" s="120" t="n">
        <v>0.0333333333333333</v>
      </c>
      <c r="W105" s="121" t="n">
        <v>0.0666666666666667</v>
      </c>
      <c r="X105" s="113" t="n">
        <f aca="false">$F105*L105</f>
        <v>0</v>
      </c>
      <c r="Y105" s="114" t="n">
        <f aca="false">$F105*M105</f>
        <v>0</v>
      </c>
      <c r="Z105" s="114" t="n">
        <f aca="false">$F105*N105</f>
        <v>0</v>
      </c>
      <c r="AA105" s="114" t="n">
        <f aca="false">$F105*O105</f>
        <v>0</v>
      </c>
      <c r="AB105" s="114" t="n">
        <f aca="false">$F105*P105</f>
        <v>0</v>
      </c>
      <c r="AC105" s="115" t="n">
        <f aca="false">$F105*Q105</f>
        <v>0</v>
      </c>
      <c r="AD105" s="113" t="n">
        <f aca="false">R105*$J105</f>
        <v>0</v>
      </c>
      <c r="AE105" s="114" t="n">
        <f aca="false">S105*$J105</f>
        <v>0</v>
      </c>
      <c r="AF105" s="114" t="n">
        <f aca="false">T105*$J105</f>
        <v>0</v>
      </c>
      <c r="AG105" s="114" t="n">
        <f aca="false">U105*$J105</f>
        <v>0</v>
      </c>
      <c r="AH105" s="114" t="n">
        <f aca="false">V105*$J105</f>
        <v>0</v>
      </c>
      <c r="AI105" s="114" t="n">
        <f aca="false">W105*$J105</f>
        <v>0</v>
      </c>
      <c r="AJ105" s="116" t="n">
        <f aca="false">Input!$D$22*RBs!C105+Input!$D$23*RBs!D105+Input!$D$24*RBs!X105+Input!$D$25*RBs!Y105+Input!$D$26*RBs!Z105+Input!$D$27*RBs!AA105+Input!$D$28*RBs!AB105+Input!$D$29*RBs!AC105+Input!$D$30*RBs!E105+Input!$D$31*RBs!G105+Input!$D$32*RBs!H105+Input!$D$33*RBs!AD105+Input!$D$34*RBs!AE105+Input!$D$35*RBs!AF105+Input!$D$36*RBs!AG105+Input!$D$37*RBs!AH105+Input!$D$38*RBs!AI105+Input!$D$39*RBs!I105+Input!$D$40*RBs!K105</f>
        <v>14.25</v>
      </c>
    </row>
    <row r="106" customFormat="false" ht="12.75" hidden="false" customHeight="false" outlineLevel="0" collapsed="false">
      <c r="A106" s="141" t="s">
        <v>336</v>
      </c>
      <c r="B106" s="111" t="s">
        <v>182</v>
      </c>
      <c r="C106" s="98" t="n">
        <v>10</v>
      </c>
      <c r="D106" s="96" t="n">
        <f aca="false">3.4*C106</f>
        <v>34</v>
      </c>
      <c r="E106" s="96" t="n">
        <v>0</v>
      </c>
      <c r="F106" s="97" t="n">
        <v>0</v>
      </c>
      <c r="G106" s="98" t="n">
        <v>5</v>
      </c>
      <c r="H106" s="96" t="n">
        <f aca="false">6.5*G106</f>
        <v>32.5</v>
      </c>
      <c r="I106" s="96" t="n">
        <v>0</v>
      </c>
      <c r="J106" s="97" t="n">
        <v>0</v>
      </c>
      <c r="K106" s="96" t="n">
        <v>0</v>
      </c>
      <c r="L106" s="119" t="n">
        <v>0.727272727272727</v>
      </c>
      <c r="M106" s="120" t="n">
        <v>0.0979020979020979</v>
      </c>
      <c r="N106" s="120" t="n">
        <v>0.0629370629370629</v>
      </c>
      <c r="O106" s="120" t="n">
        <v>0.020979020979021</v>
      </c>
      <c r="P106" s="120" t="n">
        <v>0.027972027972028</v>
      </c>
      <c r="Q106" s="121" t="n">
        <v>0.0629370629370629</v>
      </c>
      <c r="R106" s="119" t="n">
        <v>0.3</v>
      </c>
      <c r="S106" s="120" t="n">
        <v>0.333333333333333</v>
      </c>
      <c r="T106" s="120" t="n">
        <v>0.166666666666667</v>
      </c>
      <c r="U106" s="120" t="n">
        <v>0.1</v>
      </c>
      <c r="V106" s="120" t="n">
        <v>0.0333333333333333</v>
      </c>
      <c r="W106" s="121" t="n">
        <v>0.0666666666666667</v>
      </c>
      <c r="X106" s="113" t="n">
        <f aca="false">$F106*L106</f>
        <v>0</v>
      </c>
      <c r="Y106" s="114" t="n">
        <f aca="false">$F106*M106</f>
        <v>0</v>
      </c>
      <c r="Z106" s="114" t="n">
        <f aca="false">$F106*N106</f>
        <v>0</v>
      </c>
      <c r="AA106" s="114" t="n">
        <f aca="false">$F106*O106</f>
        <v>0</v>
      </c>
      <c r="AB106" s="114" t="n">
        <f aca="false">$F106*P106</f>
        <v>0</v>
      </c>
      <c r="AC106" s="115" t="n">
        <f aca="false">$F106*Q106</f>
        <v>0</v>
      </c>
      <c r="AD106" s="113" t="n">
        <f aca="false">R106*$J106</f>
        <v>0</v>
      </c>
      <c r="AE106" s="114" t="n">
        <f aca="false">S106*$J106</f>
        <v>0</v>
      </c>
      <c r="AF106" s="114" t="n">
        <f aca="false">T106*$J106</f>
        <v>0</v>
      </c>
      <c r="AG106" s="114" t="n">
        <f aca="false">U106*$J106</f>
        <v>0</v>
      </c>
      <c r="AH106" s="114" t="n">
        <f aca="false">V106*$J106</f>
        <v>0</v>
      </c>
      <c r="AI106" s="114" t="n">
        <f aca="false">W106*$J106</f>
        <v>0</v>
      </c>
      <c r="AJ106" s="116" t="n">
        <f aca="false">Input!$D$22*RBs!C106+Input!$D$23*RBs!D106+Input!$D$24*RBs!X106+Input!$D$25*RBs!Y106+Input!$D$26*RBs!Z106+Input!$D$27*RBs!AA106+Input!$D$28*RBs!AB106+Input!$D$29*RBs!AC106+Input!$D$30*RBs!E106+Input!$D$31*RBs!G106+Input!$D$32*RBs!H106+Input!$D$33*RBs!AD106+Input!$D$34*RBs!AE106+Input!$D$35*RBs!AF106+Input!$D$36*RBs!AG106+Input!$D$37*RBs!AH106+Input!$D$38*RBs!AI106+Input!$D$39*RBs!I106+Input!$D$40*RBs!K106</f>
        <v>6.65</v>
      </c>
    </row>
    <row r="107" customFormat="false" ht="12.75" hidden="false" customHeight="false" outlineLevel="0" collapsed="false">
      <c r="A107" s="141" t="s">
        <v>337</v>
      </c>
      <c r="B107" s="111" t="s">
        <v>188</v>
      </c>
      <c r="C107" s="98" t="n">
        <v>10</v>
      </c>
      <c r="D107" s="96" t="n">
        <f aca="false">3.8*C107</f>
        <v>38</v>
      </c>
      <c r="E107" s="96" t="n">
        <v>0</v>
      </c>
      <c r="F107" s="97" t="n">
        <v>0</v>
      </c>
      <c r="G107" s="98" t="n">
        <v>4</v>
      </c>
      <c r="H107" s="96" t="n">
        <f aca="false">6.7*G107</f>
        <v>26.8</v>
      </c>
      <c r="I107" s="96" t="n">
        <v>0</v>
      </c>
      <c r="J107" s="97" t="n">
        <v>0</v>
      </c>
      <c r="K107" s="96" t="n">
        <v>0</v>
      </c>
      <c r="L107" s="119" t="n">
        <v>0.727272727272727</v>
      </c>
      <c r="M107" s="120" t="n">
        <v>0.0979020979020979</v>
      </c>
      <c r="N107" s="120" t="n">
        <v>0.0629370629370629</v>
      </c>
      <c r="O107" s="120" t="n">
        <v>0.020979020979021</v>
      </c>
      <c r="P107" s="120" t="n">
        <v>0.027972027972028</v>
      </c>
      <c r="Q107" s="121" t="n">
        <v>0.0629370629370629</v>
      </c>
      <c r="R107" s="119" t="n">
        <v>0.3</v>
      </c>
      <c r="S107" s="120" t="n">
        <v>0.333333333333333</v>
      </c>
      <c r="T107" s="120" t="n">
        <v>0.166666666666667</v>
      </c>
      <c r="U107" s="120" t="n">
        <v>0.1</v>
      </c>
      <c r="V107" s="120" t="n">
        <v>0.0333333333333333</v>
      </c>
      <c r="W107" s="121" t="n">
        <v>0.0666666666666667</v>
      </c>
      <c r="X107" s="113" t="n">
        <f aca="false">$F107*L107</f>
        <v>0</v>
      </c>
      <c r="Y107" s="114" t="n">
        <f aca="false">$F107*M107</f>
        <v>0</v>
      </c>
      <c r="Z107" s="114" t="n">
        <f aca="false">$F107*N107</f>
        <v>0</v>
      </c>
      <c r="AA107" s="114" t="n">
        <f aca="false">$F107*O107</f>
        <v>0</v>
      </c>
      <c r="AB107" s="114" t="n">
        <f aca="false">$F107*P107</f>
        <v>0</v>
      </c>
      <c r="AC107" s="115" t="n">
        <f aca="false">$F107*Q107</f>
        <v>0</v>
      </c>
      <c r="AD107" s="113" t="n">
        <f aca="false">R107*$J107</f>
        <v>0</v>
      </c>
      <c r="AE107" s="114" t="n">
        <f aca="false">S107*$J107</f>
        <v>0</v>
      </c>
      <c r="AF107" s="114" t="n">
        <f aca="false">T107*$J107</f>
        <v>0</v>
      </c>
      <c r="AG107" s="114" t="n">
        <f aca="false">U107*$J107</f>
        <v>0</v>
      </c>
      <c r="AH107" s="114" t="n">
        <f aca="false">V107*$J107</f>
        <v>0</v>
      </c>
      <c r="AI107" s="114" t="n">
        <f aca="false">W107*$J107</f>
        <v>0</v>
      </c>
      <c r="AJ107" s="116" t="n">
        <f aca="false">Input!$D$22*RBs!C107+Input!$D$23*RBs!D107+Input!$D$24*RBs!X107+Input!$D$25*RBs!Y107+Input!$D$26*RBs!Z107+Input!$D$27*RBs!AA107+Input!$D$28*RBs!AB107+Input!$D$29*RBs!AC107+Input!$D$30*RBs!E107+Input!$D$31*RBs!G107+Input!$D$32*RBs!H107+Input!$D$33*RBs!AD107+Input!$D$34*RBs!AE107+Input!$D$35*RBs!AF107+Input!$D$36*RBs!AG107+Input!$D$37*RBs!AH107+Input!$D$38*RBs!AI107+Input!$D$39*RBs!I107+Input!$D$40*RBs!K107</f>
        <v>6.48</v>
      </c>
    </row>
    <row r="108" customFormat="false" ht="12.75" hidden="false" customHeight="false" outlineLevel="0" collapsed="false">
      <c r="A108" s="141" t="s">
        <v>338</v>
      </c>
      <c r="B108" s="111" t="s">
        <v>190</v>
      </c>
      <c r="C108" s="98" t="n">
        <v>15</v>
      </c>
      <c r="D108" s="96" t="n">
        <f aca="false">3*C108</f>
        <v>45</v>
      </c>
      <c r="E108" s="96" t="n">
        <v>0</v>
      </c>
      <c r="F108" s="97" t="n">
        <v>0</v>
      </c>
      <c r="G108" s="98" t="n">
        <v>2</v>
      </c>
      <c r="H108" s="96" t="n">
        <f aca="false">8.5*G108</f>
        <v>17</v>
      </c>
      <c r="I108" s="96" t="n">
        <v>0</v>
      </c>
      <c r="J108" s="97" t="n">
        <v>0</v>
      </c>
      <c r="K108" s="96" t="n">
        <v>0</v>
      </c>
      <c r="L108" s="119" t="n">
        <v>0.727272727272727</v>
      </c>
      <c r="M108" s="120" t="n">
        <v>0.0979020979020979</v>
      </c>
      <c r="N108" s="120" t="n">
        <v>0.0629370629370629</v>
      </c>
      <c r="O108" s="120" t="n">
        <v>0.020979020979021</v>
      </c>
      <c r="P108" s="120" t="n">
        <v>0.027972027972028</v>
      </c>
      <c r="Q108" s="121" t="n">
        <v>0.0629370629370629</v>
      </c>
      <c r="R108" s="119" t="n">
        <v>0.3</v>
      </c>
      <c r="S108" s="120" t="n">
        <v>0.333333333333333</v>
      </c>
      <c r="T108" s="120" t="n">
        <v>0.166666666666667</v>
      </c>
      <c r="U108" s="120" t="n">
        <v>0.1</v>
      </c>
      <c r="V108" s="120" t="n">
        <v>0.0333333333333333</v>
      </c>
      <c r="W108" s="121" t="n">
        <v>0.0666666666666667</v>
      </c>
      <c r="X108" s="113" t="n">
        <f aca="false">$F108*L108</f>
        <v>0</v>
      </c>
      <c r="Y108" s="114" t="n">
        <f aca="false">$F108*M108</f>
        <v>0</v>
      </c>
      <c r="Z108" s="114" t="n">
        <f aca="false">$F108*N108</f>
        <v>0</v>
      </c>
      <c r="AA108" s="114" t="n">
        <f aca="false">$F108*O108</f>
        <v>0</v>
      </c>
      <c r="AB108" s="114" t="n">
        <f aca="false">$F108*P108</f>
        <v>0</v>
      </c>
      <c r="AC108" s="115" t="n">
        <f aca="false">$F108*Q108</f>
        <v>0</v>
      </c>
      <c r="AD108" s="113" t="n">
        <f aca="false">R108*$J108</f>
        <v>0</v>
      </c>
      <c r="AE108" s="114" t="n">
        <f aca="false">S108*$J108</f>
        <v>0</v>
      </c>
      <c r="AF108" s="114" t="n">
        <f aca="false">T108*$J108</f>
        <v>0</v>
      </c>
      <c r="AG108" s="114" t="n">
        <f aca="false">U108*$J108</f>
        <v>0</v>
      </c>
      <c r="AH108" s="114" t="n">
        <f aca="false">V108*$J108</f>
        <v>0</v>
      </c>
      <c r="AI108" s="114" t="n">
        <f aca="false">W108*$J108</f>
        <v>0</v>
      </c>
      <c r="AJ108" s="116" t="n">
        <f aca="false">Input!$D$22*RBs!C108+Input!$D$23*RBs!D108+Input!$D$24*RBs!X108+Input!$D$25*RBs!Y108+Input!$D$26*RBs!Z108+Input!$D$27*RBs!AA108+Input!$D$28*RBs!AB108+Input!$D$29*RBs!AC108+Input!$D$30*RBs!E108+Input!$D$31*RBs!G108+Input!$D$32*RBs!H108+Input!$D$33*RBs!AD108+Input!$D$34*RBs!AE108+Input!$D$35*RBs!AF108+Input!$D$36*RBs!AG108+Input!$D$37*RBs!AH108+Input!$D$38*RBs!AI108+Input!$D$39*RBs!I108+Input!$D$40*RBs!K108</f>
        <v>6.2</v>
      </c>
    </row>
    <row r="109" customFormat="false" ht="12.75" hidden="false" customHeight="false" outlineLevel="0" collapsed="false">
      <c r="A109" s="141" t="s">
        <v>339</v>
      </c>
      <c r="B109" s="111" t="s">
        <v>142</v>
      </c>
      <c r="C109" s="98" t="n">
        <v>5</v>
      </c>
      <c r="D109" s="96" t="n">
        <f aca="false">3.9*C109</f>
        <v>19.5</v>
      </c>
      <c r="E109" s="96" t="n">
        <v>0</v>
      </c>
      <c r="F109" s="97" t="n">
        <v>0</v>
      </c>
      <c r="G109" s="98" t="n">
        <v>8</v>
      </c>
      <c r="H109" s="96" t="n">
        <f aca="false">5*G109</f>
        <v>40</v>
      </c>
      <c r="I109" s="96" t="n">
        <v>0</v>
      </c>
      <c r="J109" s="97" t="n">
        <v>0</v>
      </c>
      <c r="K109" s="96" t="n">
        <v>0</v>
      </c>
      <c r="L109" s="119" t="n">
        <v>0.727272727272727</v>
      </c>
      <c r="M109" s="120" t="n">
        <v>0.0979020979020979</v>
      </c>
      <c r="N109" s="120" t="n">
        <v>0.0629370629370629</v>
      </c>
      <c r="O109" s="120" t="n">
        <v>0.020979020979021</v>
      </c>
      <c r="P109" s="120" t="n">
        <v>0.027972027972028</v>
      </c>
      <c r="Q109" s="121" t="n">
        <v>0.0629370629370629</v>
      </c>
      <c r="R109" s="119" t="n">
        <v>0.3</v>
      </c>
      <c r="S109" s="120" t="n">
        <v>0.333333333333333</v>
      </c>
      <c r="T109" s="120" t="n">
        <v>0.166666666666667</v>
      </c>
      <c r="U109" s="120" t="n">
        <v>0.1</v>
      </c>
      <c r="V109" s="120" t="n">
        <v>0.0333333333333333</v>
      </c>
      <c r="W109" s="121" t="n">
        <v>0.0666666666666667</v>
      </c>
      <c r="X109" s="113" t="n">
        <f aca="false">$F109*L109</f>
        <v>0</v>
      </c>
      <c r="Y109" s="114" t="n">
        <f aca="false">$F109*M109</f>
        <v>0</v>
      </c>
      <c r="Z109" s="114" t="n">
        <f aca="false">$F109*N109</f>
        <v>0</v>
      </c>
      <c r="AA109" s="114" t="n">
        <f aca="false">$F109*O109</f>
        <v>0</v>
      </c>
      <c r="AB109" s="114" t="n">
        <f aca="false">$F109*P109</f>
        <v>0</v>
      </c>
      <c r="AC109" s="115" t="n">
        <f aca="false">$F109*Q109</f>
        <v>0</v>
      </c>
      <c r="AD109" s="113" t="n">
        <f aca="false">R109*$J109</f>
        <v>0</v>
      </c>
      <c r="AE109" s="114" t="n">
        <f aca="false">S109*$J109</f>
        <v>0</v>
      </c>
      <c r="AF109" s="114" t="n">
        <f aca="false">T109*$J109</f>
        <v>0</v>
      </c>
      <c r="AG109" s="114" t="n">
        <f aca="false">U109*$J109</f>
        <v>0</v>
      </c>
      <c r="AH109" s="114" t="n">
        <f aca="false">V109*$J109</f>
        <v>0</v>
      </c>
      <c r="AI109" s="114" t="n">
        <f aca="false">W109*$J109</f>
        <v>0</v>
      </c>
      <c r="AJ109" s="116" t="n">
        <f aca="false">Input!$D$22*RBs!C109+Input!$D$23*RBs!D109+Input!$D$24*RBs!X109+Input!$D$25*RBs!Y109+Input!$D$26*RBs!Z109+Input!$D$27*RBs!AA109+Input!$D$28*RBs!AB109+Input!$D$29*RBs!AC109+Input!$D$30*RBs!E109+Input!$D$31*RBs!G109+Input!$D$32*RBs!H109+Input!$D$33*RBs!AD109+Input!$D$34*RBs!AE109+Input!$D$35*RBs!AF109+Input!$D$36*RBs!AG109+Input!$D$37*RBs!AH109+Input!$D$38*RBs!AI109+Input!$D$39*RBs!I109+Input!$D$40*RBs!K109</f>
        <v>5.95</v>
      </c>
    </row>
    <row r="110" customFormat="false" ht="12.75" hidden="false" customHeight="false" outlineLevel="0" collapsed="false">
      <c r="A110" s="141" t="s">
        <v>340</v>
      </c>
      <c r="B110" s="111" t="s">
        <v>168</v>
      </c>
      <c r="C110" s="98" t="n">
        <v>10</v>
      </c>
      <c r="D110" s="96" t="n">
        <f aca="false">3.7*C110</f>
        <v>37</v>
      </c>
      <c r="E110" s="96" t="n">
        <v>0</v>
      </c>
      <c r="F110" s="97" t="n">
        <v>0</v>
      </c>
      <c r="G110" s="98" t="n">
        <v>2</v>
      </c>
      <c r="H110" s="96" t="n">
        <f aca="false">6*G110</f>
        <v>12</v>
      </c>
      <c r="I110" s="96" t="n">
        <v>0</v>
      </c>
      <c r="J110" s="97" t="n">
        <v>0</v>
      </c>
      <c r="K110" s="96" t="n">
        <v>0</v>
      </c>
      <c r="L110" s="119" t="n">
        <v>0.727272727272727</v>
      </c>
      <c r="M110" s="120" t="n">
        <v>0.0979020979020979</v>
      </c>
      <c r="N110" s="120" t="n">
        <v>0.0629370629370629</v>
      </c>
      <c r="O110" s="120" t="n">
        <v>0.020979020979021</v>
      </c>
      <c r="P110" s="120" t="n">
        <v>0.027972027972028</v>
      </c>
      <c r="Q110" s="121" t="n">
        <v>0.0629370629370629</v>
      </c>
      <c r="R110" s="119" t="n">
        <v>0.3</v>
      </c>
      <c r="S110" s="120" t="n">
        <v>0.333333333333333</v>
      </c>
      <c r="T110" s="120" t="n">
        <v>0.166666666666667</v>
      </c>
      <c r="U110" s="120" t="n">
        <v>0.1</v>
      </c>
      <c r="V110" s="120" t="n">
        <v>0.0333333333333333</v>
      </c>
      <c r="W110" s="121" t="n">
        <v>0.0666666666666667</v>
      </c>
      <c r="X110" s="113" t="n">
        <f aca="false">$F110*L110</f>
        <v>0</v>
      </c>
      <c r="Y110" s="114" t="n">
        <f aca="false">$F110*M110</f>
        <v>0</v>
      </c>
      <c r="Z110" s="114" t="n">
        <f aca="false">$F110*N110</f>
        <v>0</v>
      </c>
      <c r="AA110" s="114" t="n">
        <f aca="false">$F110*O110</f>
        <v>0</v>
      </c>
      <c r="AB110" s="114" t="n">
        <f aca="false">$F110*P110</f>
        <v>0</v>
      </c>
      <c r="AC110" s="115" t="n">
        <f aca="false">$F110*Q110</f>
        <v>0</v>
      </c>
      <c r="AD110" s="113" t="n">
        <f aca="false">R110*$J110</f>
        <v>0</v>
      </c>
      <c r="AE110" s="114" t="n">
        <f aca="false">S110*$J110</f>
        <v>0</v>
      </c>
      <c r="AF110" s="114" t="n">
        <f aca="false">T110*$J110</f>
        <v>0</v>
      </c>
      <c r="AG110" s="114" t="n">
        <f aca="false">U110*$J110</f>
        <v>0</v>
      </c>
      <c r="AH110" s="114" t="n">
        <f aca="false">V110*$J110</f>
        <v>0</v>
      </c>
      <c r="AI110" s="114" t="n">
        <f aca="false">W110*$J110</f>
        <v>0</v>
      </c>
      <c r="AJ110" s="116" t="n">
        <f aca="false">Input!$D$22*RBs!C110+Input!$D$23*RBs!D110+Input!$D$24*RBs!X110+Input!$D$25*RBs!Y110+Input!$D$26*RBs!Z110+Input!$D$27*RBs!AA110+Input!$D$28*RBs!AB110+Input!$D$29*RBs!AC110+Input!$D$30*RBs!E110+Input!$D$31*RBs!G110+Input!$D$32*RBs!H110+Input!$D$33*RBs!AD110+Input!$D$34*RBs!AE110+Input!$D$35*RBs!AF110+Input!$D$36*RBs!AG110+Input!$D$37*RBs!AH110+Input!$D$38*RBs!AI110+Input!$D$39*RBs!I110+Input!$D$40*RBs!K110</f>
        <v>4.9</v>
      </c>
    </row>
    <row r="111" customFormat="false" ht="12.75" hidden="false" customHeight="false" outlineLevel="0" collapsed="false">
      <c r="A111" s="142" t="s">
        <v>341</v>
      </c>
      <c r="B111" s="81" t="s">
        <v>192</v>
      </c>
      <c r="C111" s="127" t="n">
        <v>100</v>
      </c>
      <c r="D111" s="125" t="n">
        <v>340</v>
      </c>
      <c r="E111" s="125" t="n">
        <v>0</v>
      </c>
      <c r="F111" s="126" t="n">
        <v>2</v>
      </c>
      <c r="G111" s="127" t="n">
        <v>20</v>
      </c>
      <c r="H111" s="125" t="n">
        <v>160</v>
      </c>
      <c r="I111" s="125" t="n">
        <v>0</v>
      </c>
      <c r="J111" s="126" t="n">
        <v>1</v>
      </c>
      <c r="K111" s="125" t="n">
        <v>1</v>
      </c>
      <c r="L111" s="84" t="n">
        <v>0.727272727272727</v>
      </c>
      <c r="M111" s="85" t="n">
        <v>0.0979020979020979</v>
      </c>
      <c r="N111" s="85" t="n">
        <v>0.0629370629370629</v>
      </c>
      <c r="O111" s="85" t="n">
        <v>0.020979020979021</v>
      </c>
      <c r="P111" s="85" t="n">
        <v>0.027972027972028</v>
      </c>
      <c r="Q111" s="86" t="n">
        <v>0.0629370629370629</v>
      </c>
      <c r="R111" s="84" t="n">
        <v>0.3</v>
      </c>
      <c r="S111" s="85" t="n">
        <v>0.333333333333333</v>
      </c>
      <c r="T111" s="85" t="n">
        <v>0.166666666666667</v>
      </c>
      <c r="U111" s="85" t="n">
        <v>0.1</v>
      </c>
      <c r="V111" s="85" t="n">
        <v>0.0333333333333333</v>
      </c>
      <c r="W111" s="86" t="n">
        <v>0.0666666666666667</v>
      </c>
      <c r="X111" s="88" t="n">
        <f aca="false">$F111*L111</f>
        <v>1.45454545454545</v>
      </c>
      <c r="Y111" s="89" t="n">
        <f aca="false">$F111*M111</f>
        <v>0.195804195804196</v>
      </c>
      <c r="Z111" s="89" t="n">
        <f aca="false">$F111*N111</f>
        <v>0.125874125874126</v>
      </c>
      <c r="AA111" s="89" t="n">
        <f aca="false">$F111*O111</f>
        <v>0.041958041958042</v>
      </c>
      <c r="AB111" s="89" t="n">
        <f aca="false">$F111*P111</f>
        <v>0.0559440559440559</v>
      </c>
      <c r="AC111" s="90" t="n">
        <f aca="false">$F111*Q111</f>
        <v>0.125874125874126</v>
      </c>
      <c r="AD111" s="88" t="n">
        <f aca="false">R111*$J111</f>
        <v>0.3</v>
      </c>
      <c r="AE111" s="89" t="n">
        <f aca="false">S111*$J111</f>
        <v>0.333333333333333</v>
      </c>
      <c r="AF111" s="89" t="n">
        <f aca="false">T111*$J111</f>
        <v>0.166666666666667</v>
      </c>
      <c r="AG111" s="89" t="n">
        <f aca="false">U111*$J111</f>
        <v>0.1</v>
      </c>
      <c r="AH111" s="89" t="n">
        <f aca="false">V111*$J111</f>
        <v>0.0333333333333333</v>
      </c>
      <c r="AI111" s="89" t="n">
        <f aca="false">W111*$J111</f>
        <v>0.0666666666666667</v>
      </c>
      <c r="AJ111" s="91" t="n">
        <f aca="false">Input!$D$22*RBs!C111+Input!$D$23*RBs!D111+Input!$D$24*RBs!X111+Input!$D$25*RBs!Y111+Input!$D$26*RBs!Z111+Input!$D$27*RBs!AA111+Input!$D$28*RBs!AB111+Input!$D$29*RBs!AC111+Input!$D$30*RBs!E111+Input!$D$31*RBs!G111+Input!$D$32*RBs!H111+Input!$D$33*RBs!AD111+Input!$D$34*RBs!AE111+Input!$D$35*RBs!AF111+Input!$D$36*RBs!AG111+Input!$D$37*RBs!AH111+Input!$D$38*RBs!AI111+Input!$D$39*RBs!I111+Input!$D$40*RBs!K111</f>
        <v>70.0524475524476</v>
      </c>
    </row>
    <row r="112" customFormat="false" ht="12.75" hidden="false" customHeight="false" outlineLevel="0" collapsed="false">
      <c r="C112" s="143"/>
      <c r="F112" s="143"/>
      <c r="G112" s="143"/>
      <c r="J112" s="143"/>
      <c r="K112" s="143"/>
      <c r="L112" s="132"/>
    </row>
    <row r="113" customFormat="false" ht="12.75" hidden="false" customHeight="false" outlineLevel="0" collapsed="false">
      <c r="C113" s="143"/>
      <c r="F113" s="143"/>
      <c r="G113" s="143"/>
      <c r="J113" s="143"/>
      <c r="K113" s="143"/>
      <c r="L113" s="132"/>
    </row>
    <row r="114" customFormat="false" ht="12.75" hidden="false" customHeight="false" outlineLevel="0" collapsed="false">
      <c r="C114" s="143"/>
      <c r="F114" s="143"/>
      <c r="G114" s="143"/>
      <c r="J114" s="143"/>
      <c r="K114" s="143"/>
      <c r="L114" s="132"/>
    </row>
    <row r="115" customFormat="false" ht="12.75" hidden="false" customHeight="false" outlineLevel="0" collapsed="false">
      <c r="C115" s="143"/>
      <c r="F115" s="143"/>
      <c r="G115" s="143"/>
      <c r="J115" s="143"/>
      <c r="K115" s="143"/>
      <c r="L115" s="132"/>
    </row>
    <row r="116" customFormat="false" ht="12.75" hidden="false" customHeight="false" outlineLevel="0" collapsed="false">
      <c r="C116" s="143"/>
      <c r="F116" s="143"/>
      <c r="G116" s="143"/>
      <c r="J116" s="143"/>
      <c r="K116" s="143"/>
      <c r="L116" s="132"/>
    </row>
    <row r="117" customFormat="false" ht="12.75" hidden="false" customHeight="false" outlineLevel="0" collapsed="false">
      <c r="C117" s="143"/>
      <c r="F117" s="143"/>
      <c r="G117" s="143"/>
      <c r="J117" s="143"/>
      <c r="K117" s="143"/>
      <c r="L117" s="132"/>
    </row>
    <row r="118" customFormat="false" ht="12.75" hidden="false" customHeight="false" outlineLevel="0" collapsed="false">
      <c r="C118" s="143"/>
      <c r="F118" s="143"/>
      <c r="G118" s="143"/>
      <c r="J118" s="143"/>
      <c r="K118" s="143"/>
      <c r="L118" s="132"/>
    </row>
    <row r="119" customFormat="false" ht="12.75" hidden="false" customHeight="false" outlineLevel="0" collapsed="false">
      <c r="C119" s="143"/>
      <c r="F119" s="143"/>
      <c r="G119" s="143"/>
      <c r="J119" s="143"/>
      <c r="K119" s="143"/>
      <c r="L119" s="132"/>
    </row>
    <row r="120" customFormat="false" ht="12.75" hidden="false" customHeight="false" outlineLevel="0" collapsed="false">
      <c r="C120" s="143"/>
      <c r="F120" s="143"/>
      <c r="G120" s="143"/>
      <c r="J120" s="143"/>
      <c r="K120" s="143"/>
      <c r="L120" s="132"/>
    </row>
    <row r="121" customFormat="false" ht="12.75" hidden="false" customHeight="false" outlineLevel="0" collapsed="false">
      <c r="C121" s="143"/>
      <c r="F121" s="143"/>
      <c r="G121" s="143"/>
      <c r="J121" s="143"/>
      <c r="K121" s="143"/>
      <c r="L121" s="132"/>
    </row>
    <row r="122" customFormat="false" ht="12.75" hidden="false" customHeight="false" outlineLevel="0" collapsed="false">
      <c r="C122" s="143"/>
      <c r="F122" s="143"/>
      <c r="G122" s="143"/>
      <c r="J122" s="143"/>
      <c r="K122" s="143"/>
      <c r="L122" s="132"/>
    </row>
    <row r="123" customFormat="false" ht="12.75" hidden="false" customHeight="false" outlineLevel="0" collapsed="false">
      <c r="C123" s="143"/>
      <c r="F123" s="143"/>
      <c r="G123" s="143"/>
      <c r="J123" s="143"/>
      <c r="K123" s="143"/>
      <c r="L123" s="132"/>
    </row>
    <row r="124" customFormat="false" ht="12.75" hidden="false" customHeight="false" outlineLevel="0" collapsed="false">
      <c r="C124" s="143"/>
      <c r="F124" s="143"/>
      <c r="G124" s="143"/>
      <c r="J124" s="143"/>
      <c r="K124" s="143"/>
      <c r="L124" s="132"/>
    </row>
    <row r="125" customFormat="false" ht="12.75" hidden="false" customHeight="false" outlineLevel="0" collapsed="false">
      <c r="C125" s="143"/>
      <c r="F125" s="143"/>
      <c r="G125" s="143"/>
      <c r="J125" s="143"/>
      <c r="K125" s="143"/>
      <c r="L125" s="132"/>
    </row>
    <row r="126" customFormat="false" ht="12.75" hidden="false" customHeight="false" outlineLevel="0" collapsed="false">
      <c r="C126" s="143"/>
      <c r="F126" s="143"/>
      <c r="G126" s="143"/>
      <c r="J126" s="143"/>
      <c r="K126" s="143"/>
      <c r="L126" s="132"/>
    </row>
    <row r="127" customFormat="false" ht="12.75" hidden="false" customHeight="false" outlineLevel="0" collapsed="false">
      <c r="C127" s="143"/>
      <c r="F127" s="143"/>
      <c r="G127" s="143"/>
      <c r="J127" s="143"/>
      <c r="K127" s="143"/>
      <c r="L127" s="132"/>
    </row>
    <row r="128" customFormat="false" ht="12.75" hidden="false" customHeight="false" outlineLevel="0" collapsed="false">
      <c r="C128" s="143"/>
      <c r="F128" s="143"/>
      <c r="G128" s="143"/>
      <c r="J128" s="143"/>
      <c r="K128" s="143"/>
      <c r="L128" s="132"/>
    </row>
    <row r="129" customFormat="false" ht="12.75" hidden="false" customHeight="false" outlineLevel="0" collapsed="false">
      <c r="C129" s="143"/>
      <c r="F129" s="143"/>
      <c r="G129" s="143"/>
      <c r="J129" s="143"/>
      <c r="K129" s="143"/>
      <c r="L129" s="132"/>
    </row>
    <row r="130" customFormat="false" ht="12.75" hidden="false" customHeight="false" outlineLevel="0" collapsed="false">
      <c r="C130" s="143"/>
      <c r="F130" s="143"/>
      <c r="G130" s="143"/>
      <c r="J130" s="143"/>
      <c r="K130" s="143"/>
      <c r="L130" s="132"/>
    </row>
    <row r="131" customFormat="false" ht="12.75" hidden="false" customHeight="false" outlineLevel="0" collapsed="false">
      <c r="C131" s="143"/>
      <c r="F131" s="143"/>
      <c r="G131" s="143"/>
      <c r="J131" s="143"/>
      <c r="K131" s="143"/>
      <c r="L131" s="132"/>
    </row>
    <row r="132" customFormat="false" ht="12.75" hidden="false" customHeight="false" outlineLevel="0" collapsed="false">
      <c r="C132" s="143"/>
      <c r="F132" s="143"/>
      <c r="G132" s="143"/>
      <c r="J132" s="143"/>
      <c r="K132" s="143"/>
      <c r="L132" s="132"/>
    </row>
    <row r="133" customFormat="false" ht="12.75" hidden="false" customHeight="false" outlineLevel="0" collapsed="false">
      <c r="C133" s="143"/>
      <c r="F133" s="143"/>
      <c r="G133" s="143"/>
      <c r="J133" s="143"/>
      <c r="K133" s="143"/>
      <c r="L133" s="132"/>
    </row>
    <row r="134" customFormat="false" ht="12.75" hidden="false" customHeight="false" outlineLevel="0" collapsed="false">
      <c r="C134" s="143"/>
      <c r="F134" s="143"/>
      <c r="G134" s="143"/>
      <c r="J134" s="143"/>
      <c r="K134" s="143"/>
      <c r="L134" s="132"/>
    </row>
    <row r="135" customFormat="false" ht="12.75" hidden="false" customHeight="false" outlineLevel="0" collapsed="false">
      <c r="C135" s="143"/>
      <c r="F135" s="143"/>
      <c r="G135" s="143"/>
      <c r="J135" s="143"/>
      <c r="K135" s="143"/>
      <c r="L135" s="132"/>
    </row>
    <row r="136" customFormat="false" ht="12.75" hidden="false" customHeight="false" outlineLevel="0" collapsed="false">
      <c r="C136" s="143"/>
      <c r="F136" s="143"/>
      <c r="G136" s="143"/>
      <c r="J136" s="143"/>
      <c r="K136" s="143"/>
      <c r="L136" s="132"/>
    </row>
    <row r="137" customFormat="false" ht="12.75" hidden="false" customHeight="false" outlineLevel="0" collapsed="false">
      <c r="C137" s="143"/>
      <c r="F137" s="143"/>
      <c r="G137" s="143"/>
      <c r="J137" s="143"/>
      <c r="K137" s="143"/>
      <c r="L137" s="132"/>
    </row>
    <row r="138" customFormat="false" ht="12.75" hidden="false" customHeight="false" outlineLevel="0" collapsed="false">
      <c r="C138" s="143"/>
      <c r="F138" s="143"/>
      <c r="G138" s="143"/>
      <c r="J138" s="143"/>
      <c r="K138" s="143"/>
      <c r="L138" s="132"/>
    </row>
    <row r="139" customFormat="false" ht="12.75" hidden="false" customHeight="false" outlineLevel="0" collapsed="false">
      <c r="C139" s="143"/>
      <c r="F139" s="143"/>
      <c r="G139" s="143"/>
      <c r="J139" s="143"/>
      <c r="K139" s="143"/>
      <c r="L139" s="132"/>
    </row>
    <row r="140" customFormat="false" ht="12.75" hidden="false" customHeight="false" outlineLevel="0" collapsed="false">
      <c r="C140" s="143"/>
      <c r="F140" s="143"/>
      <c r="G140" s="143"/>
      <c r="J140" s="143"/>
      <c r="K140" s="143"/>
      <c r="L140" s="132"/>
    </row>
    <row r="141" customFormat="false" ht="12.75" hidden="false" customHeight="false" outlineLevel="0" collapsed="false">
      <c r="C141" s="143"/>
      <c r="F141" s="143"/>
      <c r="G141" s="143"/>
      <c r="J141" s="143"/>
      <c r="K141" s="143"/>
      <c r="L141" s="132"/>
    </row>
    <row r="142" customFormat="false" ht="12.75" hidden="false" customHeight="false" outlineLevel="0" collapsed="false">
      <c r="C142" s="143"/>
      <c r="F142" s="143"/>
      <c r="G142" s="143"/>
      <c r="J142" s="143"/>
      <c r="K142" s="143"/>
      <c r="L142" s="132"/>
    </row>
    <row r="143" customFormat="false" ht="12.75" hidden="false" customHeight="false" outlineLevel="0" collapsed="false">
      <c r="C143" s="143"/>
      <c r="F143" s="143"/>
      <c r="G143" s="143"/>
      <c r="J143" s="143"/>
      <c r="K143" s="143"/>
      <c r="L143" s="132"/>
    </row>
    <row r="144" customFormat="false" ht="12.75" hidden="false" customHeight="false" outlineLevel="0" collapsed="false">
      <c r="C144" s="143"/>
      <c r="F144" s="143"/>
      <c r="G144" s="143"/>
      <c r="J144" s="143"/>
      <c r="K144" s="143"/>
      <c r="L144" s="132"/>
    </row>
    <row r="145" customFormat="false" ht="12.75" hidden="false" customHeight="false" outlineLevel="0" collapsed="false">
      <c r="C145" s="143"/>
      <c r="F145" s="143"/>
      <c r="G145" s="143"/>
      <c r="J145" s="143"/>
      <c r="K145" s="143"/>
      <c r="L145" s="132"/>
    </row>
    <row r="146" customFormat="false" ht="12.75" hidden="false" customHeight="false" outlineLevel="0" collapsed="false">
      <c r="C146" s="143"/>
      <c r="F146" s="143"/>
      <c r="G146" s="143"/>
      <c r="J146" s="143"/>
      <c r="K146" s="143"/>
      <c r="L146" s="132"/>
    </row>
    <row r="147" customFormat="false" ht="12.75" hidden="false" customHeight="false" outlineLevel="0" collapsed="false">
      <c r="C147" s="143"/>
      <c r="F147" s="143"/>
      <c r="G147" s="143"/>
      <c r="J147" s="143"/>
      <c r="K147" s="143"/>
      <c r="L147" s="132"/>
    </row>
    <row r="148" customFormat="false" ht="12.75" hidden="false" customHeight="false" outlineLevel="0" collapsed="false">
      <c r="C148" s="143"/>
      <c r="F148" s="143"/>
      <c r="G148" s="143"/>
      <c r="J148" s="143"/>
      <c r="K148" s="143"/>
      <c r="L148" s="132"/>
    </row>
    <row r="149" customFormat="false" ht="12.75" hidden="false" customHeight="false" outlineLevel="0" collapsed="false">
      <c r="C149" s="143"/>
      <c r="F149" s="143"/>
      <c r="G149" s="143"/>
      <c r="J149" s="143"/>
      <c r="K149" s="143"/>
      <c r="L149" s="132"/>
    </row>
    <row r="150" customFormat="false" ht="12.75" hidden="false" customHeight="false" outlineLevel="0" collapsed="false">
      <c r="C150" s="143"/>
      <c r="F150" s="143"/>
      <c r="G150" s="143"/>
      <c r="J150" s="143"/>
      <c r="K150" s="143"/>
      <c r="L150" s="132"/>
    </row>
    <row r="151" customFormat="false" ht="12.75" hidden="false" customHeight="false" outlineLevel="0" collapsed="false">
      <c r="C151" s="143"/>
      <c r="F151" s="143"/>
      <c r="G151" s="143"/>
      <c r="J151" s="143"/>
      <c r="K151" s="143"/>
      <c r="L151" s="132"/>
    </row>
    <row r="152" customFormat="false" ht="12.75" hidden="false" customHeight="false" outlineLevel="0" collapsed="false">
      <c r="C152" s="143"/>
      <c r="F152" s="143"/>
      <c r="G152" s="143"/>
      <c r="J152" s="143"/>
      <c r="K152" s="143"/>
      <c r="L152" s="132"/>
    </row>
    <row r="153" customFormat="false" ht="12.75" hidden="false" customHeight="false" outlineLevel="0" collapsed="false">
      <c r="C153" s="143"/>
      <c r="F153" s="143"/>
      <c r="G153" s="143"/>
      <c r="J153" s="143"/>
      <c r="K153" s="143"/>
      <c r="L153" s="132"/>
    </row>
    <row r="154" customFormat="false" ht="12.75" hidden="false" customHeight="false" outlineLevel="0" collapsed="false">
      <c r="C154" s="143"/>
      <c r="F154" s="143"/>
      <c r="G154" s="143"/>
      <c r="J154" s="143"/>
      <c r="K154" s="143"/>
      <c r="L154" s="132"/>
    </row>
    <row r="155" customFormat="false" ht="12.75" hidden="false" customHeight="false" outlineLevel="0" collapsed="false">
      <c r="C155" s="143"/>
      <c r="F155" s="143"/>
      <c r="G155" s="143"/>
      <c r="J155" s="143"/>
      <c r="K155" s="143"/>
      <c r="L155" s="132"/>
    </row>
    <row r="156" customFormat="false" ht="12.75" hidden="false" customHeight="false" outlineLevel="0" collapsed="false">
      <c r="C156" s="143"/>
      <c r="F156" s="143"/>
      <c r="G156" s="143"/>
      <c r="J156" s="143"/>
      <c r="K156" s="143"/>
      <c r="L156" s="132"/>
    </row>
    <row r="157" customFormat="false" ht="12.75" hidden="false" customHeight="false" outlineLevel="0" collapsed="false">
      <c r="C157" s="143"/>
      <c r="F157" s="143"/>
      <c r="G157" s="143"/>
      <c r="J157" s="143"/>
      <c r="K157" s="143"/>
      <c r="L157" s="132"/>
    </row>
    <row r="158" customFormat="false" ht="12.75" hidden="false" customHeight="false" outlineLevel="0" collapsed="false">
      <c r="C158" s="143"/>
      <c r="F158" s="143"/>
      <c r="G158" s="143"/>
      <c r="J158" s="143"/>
      <c r="K158" s="143"/>
      <c r="L158" s="132"/>
    </row>
    <row r="159" customFormat="false" ht="12.75" hidden="false" customHeight="false" outlineLevel="0" collapsed="false">
      <c r="C159" s="143"/>
      <c r="F159" s="143"/>
      <c r="G159" s="143"/>
      <c r="J159" s="143"/>
      <c r="K159" s="143"/>
      <c r="L159" s="132"/>
    </row>
    <row r="160" customFormat="false" ht="12.75" hidden="false" customHeight="false" outlineLevel="0" collapsed="false">
      <c r="C160" s="143"/>
      <c r="F160" s="143"/>
      <c r="G160" s="143"/>
      <c r="J160" s="143"/>
      <c r="K160" s="143"/>
      <c r="L160" s="132"/>
    </row>
    <row r="161" customFormat="false" ht="12.75" hidden="false" customHeight="false" outlineLevel="0" collapsed="false">
      <c r="C161" s="143"/>
      <c r="F161" s="143"/>
      <c r="G161" s="143"/>
      <c r="J161" s="143"/>
      <c r="K161" s="143"/>
      <c r="L161" s="132"/>
    </row>
    <row r="162" customFormat="false" ht="12.75" hidden="false" customHeight="false" outlineLevel="0" collapsed="false">
      <c r="C162" s="143"/>
      <c r="F162" s="143"/>
      <c r="G162" s="143"/>
      <c r="J162" s="143"/>
      <c r="K162" s="143"/>
      <c r="L162" s="132"/>
    </row>
    <row r="163" customFormat="false" ht="12.75" hidden="false" customHeight="false" outlineLevel="0" collapsed="false">
      <c r="C163" s="143"/>
      <c r="F163" s="143"/>
      <c r="G163" s="143"/>
      <c r="J163" s="143"/>
      <c r="K163" s="143"/>
      <c r="L163" s="132"/>
    </row>
    <row r="164" customFormat="false" ht="12.75" hidden="false" customHeight="false" outlineLevel="0" collapsed="false">
      <c r="C164" s="143"/>
      <c r="F164" s="143"/>
      <c r="G164" s="143"/>
      <c r="J164" s="143"/>
      <c r="K164" s="143"/>
      <c r="L164" s="132"/>
    </row>
    <row r="165" customFormat="false" ht="12.75" hidden="false" customHeight="false" outlineLevel="0" collapsed="false">
      <c r="C165" s="143"/>
      <c r="F165" s="143"/>
      <c r="G165" s="143"/>
      <c r="J165" s="143"/>
      <c r="K165" s="143"/>
      <c r="L165" s="132"/>
    </row>
    <row r="166" customFormat="false" ht="12.75" hidden="false" customHeight="false" outlineLevel="0" collapsed="false">
      <c r="C166" s="143"/>
      <c r="F166" s="143"/>
      <c r="G166" s="143"/>
      <c r="J166" s="143"/>
      <c r="K166" s="143"/>
      <c r="L166" s="132"/>
    </row>
    <row r="167" customFormat="false" ht="12.75" hidden="false" customHeight="false" outlineLevel="0" collapsed="false">
      <c r="C167" s="143"/>
      <c r="F167" s="143"/>
      <c r="G167" s="143"/>
      <c r="J167" s="143"/>
      <c r="K167" s="143"/>
      <c r="L167" s="132"/>
    </row>
    <row r="168" customFormat="false" ht="12.75" hidden="false" customHeight="false" outlineLevel="0" collapsed="false">
      <c r="C168" s="143"/>
      <c r="F168" s="143"/>
      <c r="G168" s="143"/>
      <c r="J168" s="143"/>
      <c r="K168" s="143"/>
      <c r="L168" s="132"/>
    </row>
    <row r="169" customFormat="false" ht="12.75" hidden="false" customHeight="false" outlineLevel="0" collapsed="false">
      <c r="C169" s="143"/>
      <c r="F169" s="143"/>
      <c r="G169" s="143"/>
      <c r="J169" s="143"/>
      <c r="K169" s="143"/>
      <c r="L169" s="132"/>
    </row>
    <row r="170" customFormat="false" ht="12.75" hidden="false" customHeight="false" outlineLevel="0" collapsed="false">
      <c r="C170" s="143"/>
      <c r="F170" s="143"/>
      <c r="G170" s="143"/>
      <c r="J170" s="143"/>
      <c r="K170" s="143"/>
      <c r="L170" s="132"/>
    </row>
    <row r="171" customFormat="false" ht="12.75" hidden="false" customHeight="false" outlineLevel="0" collapsed="false">
      <c r="C171" s="143"/>
      <c r="F171" s="143"/>
      <c r="G171" s="143"/>
      <c r="J171" s="143"/>
      <c r="K171" s="143"/>
      <c r="L171" s="132"/>
    </row>
    <row r="172" customFormat="false" ht="12.75" hidden="false" customHeight="false" outlineLevel="0" collapsed="false">
      <c r="C172" s="143"/>
      <c r="F172" s="143"/>
      <c r="G172" s="143"/>
      <c r="J172" s="143"/>
      <c r="K172" s="143"/>
      <c r="L172" s="132"/>
    </row>
    <row r="173" customFormat="false" ht="12.75" hidden="false" customHeight="false" outlineLevel="0" collapsed="false">
      <c r="C173" s="143"/>
      <c r="F173" s="143"/>
      <c r="G173" s="143"/>
      <c r="J173" s="143"/>
      <c r="K173" s="143"/>
      <c r="L173" s="132"/>
    </row>
    <row r="174" customFormat="false" ht="12.75" hidden="false" customHeight="false" outlineLevel="0" collapsed="false">
      <c r="C174" s="143"/>
      <c r="F174" s="143"/>
      <c r="G174" s="143"/>
      <c r="J174" s="143"/>
      <c r="K174" s="143"/>
      <c r="L174" s="132"/>
    </row>
    <row r="175" customFormat="false" ht="12.75" hidden="false" customHeight="false" outlineLevel="0" collapsed="false">
      <c r="C175" s="143"/>
      <c r="F175" s="143"/>
      <c r="G175" s="143"/>
      <c r="J175" s="143"/>
      <c r="K175" s="143"/>
      <c r="L175" s="132"/>
    </row>
    <row r="176" customFormat="false" ht="12.75" hidden="false" customHeight="false" outlineLevel="0" collapsed="false">
      <c r="C176" s="143"/>
      <c r="F176" s="143"/>
      <c r="G176" s="143"/>
      <c r="J176" s="143"/>
      <c r="K176" s="143"/>
      <c r="L176" s="132"/>
    </row>
    <row r="177" customFormat="false" ht="12.75" hidden="false" customHeight="false" outlineLevel="0" collapsed="false">
      <c r="C177" s="143"/>
      <c r="F177" s="143"/>
      <c r="G177" s="143"/>
      <c r="J177" s="143"/>
      <c r="K177" s="143"/>
      <c r="L177" s="132"/>
    </row>
    <row r="178" customFormat="false" ht="12.75" hidden="false" customHeight="false" outlineLevel="0" collapsed="false">
      <c r="C178" s="143"/>
      <c r="F178" s="143"/>
      <c r="G178" s="143"/>
      <c r="J178" s="143"/>
      <c r="K178" s="143"/>
      <c r="L178" s="132"/>
    </row>
    <row r="179" customFormat="false" ht="12.75" hidden="false" customHeight="false" outlineLevel="0" collapsed="false">
      <c r="C179" s="143"/>
      <c r="F179" s="143"/>
      <c r="G179" s="143"/>
      <c r="J179" s="143"/>
      <c r="K179" s="143"/>
      <c r="L179" s="132"/>
    </row>
    <row r="180" customFormat="false" ht="12.75" hidden="false" customHeight="false" outlineLevel="0" collapsed="false">
      <c r="C180" s="143"/>
      <c r="F180" s="143"/>
      <c r="G180" s="143"/>
      <c r="J180" s="143"/>
      <c r="K180" s="143"/>
      <c r="L180" s="132"/>
    </row>
    <row r="181" customFormat="false" ht="12.75" hidden="false" customHeight="false" outlineLevel="0" collapsed="false">
      <c r="C181" s="143"/>
      <c r="F181" s="143"/>
      <c r="G181" s="143"/>
      <c r="J181" s="143"/>
      <c r="K181" s="143"/>
      <c r="L181" s="132"/>
    </row>
    <row r="182" customFormat="false" ht="12.75" hidden="false" customHeight="false" outlineLevel="0" collapsed="false">
      <c r="C182" s="143"/>
      <c r="F182" s="143"/>
      <c r="G182" s="143"/>
      <c r="J182" s="143"/>
      <c r="K182" s="143"/>
      <c r="L182" s="132"/>
    </row>
    <row r="183" customFormat="false" ht="12.75" hidden="false" customHeight="false" outlineLevel="0" collapsed="false">
      <c r="C183" s="143"/>
      <c r="F183" s="143"/>
      <c r="G183" s="143"/>
      <c r="J183" s="143"/>
      <c r="K183" s="143"/>
      <c r="L183" s="132"/>
    </row>
  </sheetData>
  <mergeCells count="6">
    <mergeCell ref="C1:F1"/>
    <mergeCell ref="G1:J1"/>
    <mergeCell ref="L1:Q1"/>
    <mergeCell ref="R1:W1"/>
    <mergeCell ref="X1:AC1"/>
    <mergeCell ref="AD1:AI1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J1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185" activePane="bottomRight" state="frozen"/>
      <selection pane="topLeft" activeCell="A1" activeCellId="0" sqref="A1"/>
      <selection pane="topRight" activeCell="C1" activeCellId="0" sqref="C1"/>
      <selection pane="bottomLeft" activeCell="A185" activeCellId="0" sqref="A185"/>
      <selection pane="bottomRight" activeCell="C25" activeCellId="0" sqref="A25:C18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20.28"/>
    <col collapsed="false" customWidth="true" hidden="false" outlineLevel="0" max="2" min="2" style="4" width="5.56"/>
    <col collapsed="false" customWidth="true" hidden="false" outlineLevel="0" max="3" min="3" style="66" width="4.85"/>
    <col collapsed="false" customWidth="true" hidden="false" outlineLevel="0" max="4" min="4" style="67" width="6.13"/>
    <col collapsed="false" customWidth="true" hidden="false" outlineLevel="0" max="5" min="5" style="67" width="6.7"/>
    <col collapsed="false" customWidth="true" hidden="false" outlineLevel="0" max="6" min="6" style="66" width="5.28"/>
    <col collapsed="false" customWidth="true" hidden="false" outlineLevel="0" max="7" min="7" style="66" width="5.85"/>
    <col collapsed="false" customWidth="true" hidden="false" outlineLevel="0" max="8" min="8" style="67" width="6.28"/>
    <col collapsed="false" customWidth="true" hidden="false" outlineLevel="0" max="9" min="9" style="67" width="6.7"/>
    <col collapsed="false" customWidth="true" hidden="false" outlineLevel="0" max="10" min="10" style="66" width="4.99"/>
    <col collapsed="false" customWidth="true" hidden="false" outlineLevel="0" max="11" min="11" style="66" width="7.56"/>
    <col collapsed="false" customWidth="true" hidden="true" outlineLevel="0" max="17" min="12" style="5" width="6.7"/>
    <col collapsed="false" customWidth="true" hidden="true" outlineLevel="0" max="23" min="18" style="132" width="6.56"/>
    <col collapsed="false" customWidth="true" hidden="true" outlineLevel="0" max="24" min="24" style="4" width="3.7"/>
    <col collapsed="false" customWidth="true" hidden="true" outlineLevel="0" max="28" min="25" style="4" width="5.71"/>
    <col collapsed="false" customWidth="true" hidden="true" outlineLevel="0" max="29" min="29" style="4" width="4.14"/>
    <col collapsed="false" customWidth="true" hidden="true" outlineLevel="0" max="30" min="30" style="4" width="3.7"/>
    <col collapsed="false" customWidth="true" hidden="true" outlineLevel="0" max="34" min="31" style="4" width="5.71"/>
    <col collapsed="false" customWidth="true" hidden="true" outlineLevel="0" max="35" min="35" style="4" width="4.14"/>
    <col collapsed="false" customWidth="false" hidden="false" outlineLevel="0" max="36" min="36" style="144" width="9.14"/>
    <col collapsed="false" customWidth="false" hidden="false" outlineLevel="0" max="257" min="37" style="5" width="9.14"/>
  </cols>
  <sheetData>
    <row r="1" customFormat="false" ht="12.75" hidden="false" customHeight="false" outlineLevel="0" collapsed="false">
      <c r="A1" s="133"/>
      <c r="B1" s="103"/>
      <c r="C1" s="73" t="s">
        <v>113</v>
      </c>
      <c r="D1" s="73"/>
      <c r="E1" s="73"/>
      <c r="F1" s="73"/>
      <c r="G1" s="73" t="s">
        <v>229</v>
      </c>
      <c r="H1" s="73"/>
      <c r="I1" s="73"/>
      <c r="J1" s="73"/>
      <c r="K1" s="74" t="s">
        <v>114</v>
      </c>
      <c r="L1" s="75" t="s">
        <v>116</v>
      </c>
      <c r="M1" s="75"/>
      <c r="N1" s="75"/>
      <c r="O1" s="75"/>
      <c r="P1" s="75"/>
      <c r="Q1" s="75"/>
      <c r="R1" s="75" t="s">
        <v>230</v>
      </c>
      <c r="S1" s="75"/>
      <c r="T1" s="75"/>
      <c r="U1" s="75"/>
      <c r="V1" s="75"/>
      <c r="W1" s="75"/>
      <c r="X1" s="76" t="s">
        <v>118</v>
      </c>
      <c r="Y1" s="76"/>
      <c r="Z1" s="76"/>
      <c r="AA1" s="76"/>
      <c r="AB1" s="76"/>
      <c r="AC1" s="76"/>
      <c r="AD1" s="76" t="s">
        <v>231</v>
      </c>
      <c r="AE1" s="76"/>
      <c r="AF1" s="76"/>
      <c r="AG1" s="76"/>
      <c r="AH1" s="76"/>
      <c r="AI1" s="76"/>
      <c r="AJ1" s="77" t="s">
        <v>119</v>
      </c>
    </row>
    <row r="2" customFormat="false" ht="12.75" hidden="false" customHeight="false" outlineLevel="0" collapsed="false">
      <c r="A2" s="134" t="s">
        <v>75</v>
      </c>
      <c r="B2" s="83" t="s">
        <v>3</v>
      </c>
      <c r="C2" s="80" t="s">
        <v>121</v>
      </c>
      <c r="D2" s="82" t="s">
        <v>122</v>
      </c>
      <c r="E2" s="82" t="s">
        <v>126</v>
      </c>
      <c r="F2" s="83" t="s">
        <v>124</v>
      </c>
      <c r="G2" s="80" t="s">
        <v>232</v>
      </c>
      <c r="H2" s="82" t="s">
        <v>122</v>
      </c>
      <c r="I2" s="82" t="s">
        <v>126</v>
      </c>
      <c r="J2" s="83" t="s">
        <v>124</v>
      </c>
      <c r="K2" s="81" t="s">
        <v>127</v>
      </c>
      <c r="L2" s="80" t="s">
        <v>128</v>
      </c>
      <c r="M2" s="87" t="s">
        <v>129</v>
      </c>
      <c r="N2" s="81" t="s">
        <v>130</v>
      </c>
      <c r="O2" s="81" t="s">
        <v>131</v>
      </c>
      <c r="P2" s="81" t="s">
        <v>132</v>
      </c>
      <c r="Q2" s="83" t="s">
        <v>133</v>
      </c>
      <c r="R2" s="84" t="s">
        <v>128</v>
      </c>
      <c r="S2" s="85" t="s">
        <v>129</v>
      </c>
      <c r="T2" s="85" t="s">
        <v>130</v>
      </c>
      <c r="U2" s="85" t="s">
        <v>131</v>
      </c>
      <c r="V2" s="85" t="s">
        <v>132</v>
      </c>
      <c r="W2" s="86" t="s">
        <v>133</v>
      </c>
      <c r="X2" s="145" t="s">
        <v>128</v>
      </c>
      <c r="Y2" s="146" t="s">
        <v>129</v>
      </c>
      <c r="Z2" s="146" t="s">
        <v>130</v>
      </c>
      <c r="AA2" s="146" t="s">
        <v>131</v>
      </c>
      <c r="AB2" s="146" t="s">
        <v>132</v>
      </c>
      <c r="AC2" s="147" t="s">
        <v>133</v>
      </c>
      <c r="AD2" s="145" t="s">
        <v>128</v>
      </c>
      <c r="AE2" s="146" t="s">
        <v>129</v>
      </c>
      <c r="AF2" s="146" t="s">
        <v>130</v>
      </c>
      <c r="AG2" s="146" t="s">
        <v>131</v>
      </c>
      <c r="AH2" s="146" t="s">
        <v>132</v>
      </c>
      <c r="AI2" s="147" t="s">
        <v>133</v>
      </c>
      <c r="AJ2" s="91" t="s">
        <v>134</v>
      </c>
    </row>
    <row r="3" customFormat="false" ht="12.75" hidden="false" customHeight="false" outlineLevel="0" collapsed="false">
      <c r="A3" s="133" t="s">
        <v>342</v>
      </c>
      <c r="B3" s="103" t="s">
        <v>138</v>
      </c>
      <c r="C3" s="135" t="n">
        <v>1</v>
      </c>
      <c r="D3" s="136" t="n">
        <v>4</v>
      </c>
      <c r="E3" s="136" t="n">
        <v>0</v>
      </c>
      <c r="F3" s="137" t="n">
        <v>0</v>
      </c>
      <c r="G3" s="135" t="n">
        <v>100</v>
      </c>
      <c r="H3" s="136" t="n">
        <f aca="false">13.3*G3</f>
        <v>1330</v>
      </c>
      <c r="I3" s="136" t="n">
        <v>7</v>
      </c>
      <c r="J3" s="137" t="n">
        <v>11</v>
      </c>
      <c r="K3" s="136" t="n">
        <v>1</v>
      </c>
      <c r="L3" s="99" t="n">
        <v>0.727272727272727</v>
      </c>
      <c r="M3" s="100" t="n">
        <v>0.0979020979020979</v>
      </c>
      <c r="N3" s="100" t="n">
        <v>0.0629370629370629</v>
      </c>
      <c r="O3" s="100" t="n">
        <v>0.020979020979021</v>
      </c>
      <c r="P3" s="100" t="n">
        <v>0.027972027972028</v>
      </c>
      <c r="Q3" s="101" t="n">
        <v>0.0629370629370629</v>
      </c>
      <c r="R3" s="138" t="n">
        <v>0.206896551724138</v>
      </c>
      <c r="S3" s="139" t="n">
        <v>0.310344827586207</v>
      </c>
      <c r="T3" s="139" t="n">
        <v>0.224137931034483</v>
      </c>
      <c r="U3" s="139" t="n">
        <v>0.0517241379310345</v>
      </c>
      <c r="V3" s="139" t="n">
        <v>0.137931034482759</v>
      </c>
      <c r="W3" s="140" t="n">
        <v>0.0689655172413793</v>
      </c>
      <c r="X3" s="102" t="n">
        <f aca="false">$F3*L3</f>
        <v>0</v>
      </c>
      <c r="Y3" s="74" t="n">
        <f aca="false">$F3*M3</f>
        <v>0</v>
      </c>
      <c r="Z3" s="74" t="n">
        <f aca="false">$F3*N3</f>
        <v>0</v>
      </c>
      <c r="AA3" s="74" t="n">
        <f aca="false">$F3*O3</f>
        <v>0</v>
      </c>
      <c r="AB3" s="74" t="n">
        <f aca="false">$F3*P3</f>
        <v>0</v>
      </c>
      <c r="AC3" s="103" t="n">
        <f aca="false">$F3*Q3</f>
        <v>0</v>
      </c>
      <c r="AD3" s="102" t="n">
        <f aca="false">$J3*R3</f>
        <v>2.27586206896552</v>
      </c>
      <c r="AE3" s="74" t="n">
        <f aca="false">$J3*S3</f>
        <v>3.41379310344828</v>
      </c>
      <c r="AF3" s="74" t="n">
        <f aca="false">$J3*T3</f>
        <v>2.46551724137931</v>
      </c>
      <c r="AG3" s="74" t="n">
        <f aca="false">$J3*U3</f>
        <v>0.568965517241379</v>
      </c>
      <c r="AH3" s="74" t="n">
        <f aca="false">$J3*V3</f>
        <v>1.51724137931034</v>
      </c>
      <c r="AI3" s="103" t="n">
        <f aca="false">$J3*W3</f>
        <v>0.758620689655172</v>
      </c>
      <c r="AJ3" s="77" t="n">
        <f aca="false">Input!$E$22*WRs!C3+Input!$E$23*WRs!D3+Input!$E$24*WRs!X3+Input!$E$25*WRs!Y3+Input!$E$26*WRs!Z3+Input!$E$27*WRs!AA3+Input!$E$28*WRs!AB3+Input!$E$29*WRs!AC3+Input!$E$30*WRs!E3+Input!$E$31*WRs!G3+Input!$E$32*WRs!H3+Input!$E$33*WRs!AD3+Input!$E$34*WRs!AE3+Input!$E$35*WRs!AF3+Input!$E$36*WRs!AG3+Input!$E$37*WRs!AH3+Input!$E$38*WRs!AI3+Input!$E$39*WRs!I3+Input!$E$40*WRs!K3</f>
        <v>240.072413793103</v>
      </c>
    </row>
    <row r="4" customFormat="false" ht="12.75" hidden="false" customHeight="false" outlineLevel="0" collapsed="false">
      <c r="A4" s="141" t="s">
        <v>343</v>
      </c>
      <c r="B4" s="112" t="s">
        <v>160</v>
      </c>
      <c r="C4" s="98" t="n">
        <v>3</v>
      </c>
      <c r="D4" s="96" t="n">
        <f aca="false">9.4*C4</f>
        <v>28.2</v>
      </c>
      <c r="E4" s="96" t="n">
        <v>0</v>
      </c>
      <c r="F4" s="97" t="n">
        <v>0</v>
      </c>
      <c r="G4" s="98" t="n">
        <v>75</v>
      </c>
      <c r="H4" s="96" t="n">
        <f aca="false">16.7*G4</f>
        <v>1252.5</v>
      </c>
      <c r="I4" s="96" t="n">
        <v>6</v>
      </c>
      <c r="J4" s="97" t="n">
        <v>10</v>
      </c>
      <c r="K4" s="96" t="n">
        <v>2</v>
      </c>
      <c r="L4" s="107" t="n">
        <v>0.727272727272727</v>
      </c>
      <c r="M4" s="108" t="n">
        <v>0.0979020979020979</v>
      </c>
      <c r="N4" s="108" t="n">
        <v>0.0629370629370629</v>
      </c>
      <c r="O4" s="108" t="n">
        <v>0.020979020979021</v>
      </c>
      <c r="P4" s="108" t="n">
        <v>0.027972027972028</v>
      </c>
      <c r="Q4" s="109" t="n">
        <v>0.0629370629370629</v>
      </c>
      <c r="R4" s="119" t="n">
        <v>0.123809523809524</v>
      </c>
      <c r="S4" s="120" t="n">
        <v>0.152380952380952</v>
      </c>
      <c r="T4" s="120" t="n">
        <v>0.0952380952380952</v>
      </c>
      <c r="U4" s="120" t="n">
        <v>0.19047619047619</v>
      </c>
      <c r="V4" s="120" t="n">
        <v>0.142857142857143</v>
      </c>
      <c r="W4" s="121" t="n">
        <v>0.295238095238095</v>
      </c>
      <c r="X4" s="110" t="n">
        <f aca="false">$F4*L4</f>
        <v>0</v>
      </c>
      <c r="Y4" s="111" t="n">
        <f aca="false">$F4*M4</f>
        <v>0</v>
      </c>
      <c r="Z4" s="111" t="n">
        <f aca="false">$F4*N4</f>
        <v>0</v>
      </c>
      <c r="AA4" s="111" t="n">
        <f aca="false">$F4*O4</f>
        <v>0</v>
      </c>
      <c r="AB4" s="111" t="n">
        <f aca="false">$F4*P4</f>
        <v>0</v>
      </c>
      <c r="AC4" s="112" t="n">
        <f aca="false">$F4*Q4</f>
        <v>0</v>
      </c>
      <c r="AD4" s="110" t="n">
        <f aca="false">$J4*R4</f>
        <v>1.23809523809524</v>
      </c>
      <c r="AE4" s="111" t="n">
        <f aca="false">$J4*S4</f>
        <v>1.52380952380952</v>
      </c>
      <c r="AF4" s="111" t="n">
        <f aca="false">$J4*T4</f>
        <v>0.952380952380952</v>
      </c>
      <c r="AG4" s="111" t="n">
        <f aca="false">$J4*U4</f>
        <v>1.9047619047619</v>
      </c>
      <c r="AH4" s="111" t="n">
        <f aca="false">$J4*V4</f>
        <v>1.42857142857143</v>
      </c>
      <c r="AI4" s="112" t="n">
        <f aca="false">$J4*W4</f>
        <v>2.95238095238095</v>
      </c>
      <c r="AJ4" s="116" t="n">
        <f aca="false">Input!$E$22*WRs!C4+Input!$E$23*WRs!D4+Input!$E$24*WRs!X4+Input!$E$25*WRs!Y4+Input!$E$26*WRs!Z4+Input!$E$27*WRs!AA4+Input!$E$28*WRs!AB4+Input!$E$29*WRs!AC4+Input!$E$30*WRs!E4+Input!$E$31*WRs!G4+Input!$E$32*WRs!H4+Input!$E$33*WRs!AD4+Input!$E$34*WRs!AE4+Input!$E$35*WRs!AF4+Input!$E$36*WRs!AG4+Input!$E$37*WRs!AH4+Input!$E$38*WRs!AI4+Input!$E$39*WRs!I4+Input!$E$40*WRs!K4</f>
        <v>236.641428571429</v>
      </c>
    </row>
    <row r="5" customFormat="false" ht="12.75" hidden="false" customHeight="false" outlineLevel="0" collapsed="false">
      <c r="A5" s="141" t="s">
        <v>344</v>
      </c>
      <c r="B5" s="112" t="s">
        <v>144</v>
      </c>
      <c r="C5" s="98" t="n">
        <v>0</v>
      </c>
      <c r="D5" s="96" t="n">
        <v>0</v>
      </c>
      <c r="E5" s="96" t="n">
        <v>0</v>
      </c>
      <c r="F5" s="97" t="n">
        <v>0</v>
      </c>
      <c r="G5" s="98" t="n">
        <v>90</v>
      </c>
      <c r="H5" s="96" t="n">
        <f aca="false">14.8*G5</f>
        <v>1332</v>
      </c>
      <c r="I5" s="96" t="n">
        <v>7</v>
      </c>
      <c r="J5" s="97" t="n">
        <v>8</v>
      </c>
      <c r="K5" s="96" t="n">
        <v>1</v>
      </c>
      <c r="L5" s="107" t="n">
        <v>0.727272727272727</v>
      </c>
      <c r="M5" s="108" t="n">
        <v>0.0979020979020979</v>
      </c>
      <c r="N5" s="108" t="n">
        <v>0.0629370629370629</v>
      </c>
      <c r="O5" s="108" t="n">
        <v>0.020979020979021</v>
      </c>
      <c r="P5" s="108" t="n">
        <v>0.027972027972028</v>
      </c>
      <c r="Q5" s="109" t="n">
        <v>0.0629370629370629</v>
      </c>
      <c r="R5" s="119" t="n">
        <v>0.123809523809524</v>
      </c>
      <c r="S5" s="120" t="n">
        <v>0.152380952380952</v>
      </c>
      <c r="T5" s="120" t="n">
        <v>0.0952380952380952</v>
      </c>
      <c r="U5" s="120" t="n">
        <v>0.19047619047619</v>
      </c>
      <c r="V5" s="120" t="n">
        <v>0.142857142857143</v>
      </c>
      <c r="W5" s="121" t="n">
        <v>0.295238095238095</v>
      </c>
      <c r="X5" s="110" t="n">
        <f aca="false">$F5*L5</f>
        <v>0</v>
      </c>
      <c r="Y5" s="111" t="n">
        <f aca="false">$F5*M5</f>
        <v>0</v>
      </c>
      <c r="Z5" s="111" t="n">
        <f aca="false">$F5*N5</f>
        <v>0</v>
      </c>
      <c r="AA5" s="111" t="n">
        <f aca="false">$F5*O5</f>
        <v>0</v>
      </c>
      <c r="AB5" s="111" t="n">
        <f aca="false">$F5*P5</f>
        <v>0</v>
      </c>
      <c r="AC5" s="112" t="n">
        <f aca="false">$F5*Q5</f>
        <v>0</v>
      </c>
      <c r="AD5" s="110" t="n">
        <f aca="false">$J5*R5</f>
        <v>0.990476190476191</v>
      </c>
      <c r="AE5" s="111" t="n">
        <f aca="false">$J5*S5</f>
        <v>1.21904761904762</v>
      </c>
      <c r="AF5" s="111" t="n">
        <f aca="false">$J5*T5</f>
        <v>0.761904761904762</v>
      </c>
      <c r="AG5" s="111" t="n">
        <f aca="false">$J5*U5</f>
        <v>1.52380952380952</v>
      </c>
      <c r="AH5" s="111" t="n">
        <f aca="false">$J5*V5</f>
        <v>1.14285714285714</v>
      </c>
      <c r="AI5" s="112" t="n">
        <f aca="false">$J5*W5</f>
        <v>2.36190476190476</v>
      </c>
      <c r="AJ5" s="116" t="n">
        <f aca="false">Input!$E$22*WRs!C5+Input!$E$23*WRs!D5+Input!$E$24*WRs!X5+Input!$E$25*WRs!Y5+Input!$E$26*WRs!Z5+Input!$E$27*WRs!AA5+Input!$E$28*WRs!AB5+Input!$E$29*WRs!AC5+Input!$E$30*WRs!E5+Input!$E$31*WRs!G5+Input!$E$32*WRs!H5+Input!$E$33*WRs!AD5+Input!$E$34*WRs!AE5+Input!$E$35*WRs!AF5+Input!$E$36*WRs!AG5+Input!$E$37*WRs!AH5+Input!$E$38*WRs!AI5+Input!$E$39*WRs!I5+Input!$E$40*WRs!K5</f>
        <v>227.257142857143</v>
      </c>
    </row>
    <row r="6" customFormat="false" ht="12.75" hidden="false" customHeight="false" outlineLevel="0" collapsed="false">
      <c r="A6" s="141" t="s">
        <v>345</v>
      </c>
      <c r="B6" s="112" t="s">
        <v>140</v>
      </c>
      <c r="C6" s="98" t="n">
        <v>1</v>
      </c>
      <c r="D6" s="96" t="n">
        <v>4</v>
      </c>
      <c r="E6" s="96" t="n">
        <v>0</v>
      </c>
      <c r="F6" s="97" t="n">
        <v>0</v>
      </c>
      <c r="G6" s="98" t="n">
        <v>81</v>
      </c>
      <c r="H6" s="96" t="n">
        <f aca="false">15*G6</f>
        <v>1215</v>
      </c>
      <c r="I6" s="96" t="n">
        <v>5</v>
      </c>
      <c r="J6" s="97" t="n">
        <v>9</v>
      </c>
      <c r="K6" s="96" t="n">
        <v>1</v>
      </c>
      <c r="L6" s="107" t="n">
        <v>0.727272727272727</v>
      </c>
      <c r="M6" s="108" t="n">
        <v>0.0979020979020979</v>
      </c>
      <c r="N6" s="108" t="n">
        <v>0.0629370629370629</v>
      </c>
      <c r="O6" s="108" t="n">
        <v>0.020979020979021</v>
      </c>
      <c r="P6" s="108" t="n">
        <v>0.027972027972028</v>
      </c>
      <c r="Q6" s="109" t="n">
        <v>0.0629370629370629</v>
      </c>
      <c r="R6" s="107" t="n">
        <v>0.206896551724138</v>
      </c>
      <c r="S6" s="108" t="n">
        <v>0.310344827586207</v>
      </c>
      <c r="T6" s="108" t="n">
        <v>0.224137931034483</v>
      </c>
      <c r="U6" s="108" t="n">
        <v>0.0517241379310345</v>
      </c>
      <c r="V6" s="108" t="n">
        <v>0.137931034482759</v>
      </c>
      <c r="W6" s="109" t="n">
        <v>0.0689655172413793</v>
      </c>
      <c r="X6" s="110" t="n">
        <f aca="false">$F6*L6</f>
        <v>0</v>
      </c>
      <c r="Y6" s="111" t="n">
        <f aca="false">$F6*M6</f>
        <v>0</v>
      </c>
      <c r="Z6" s="111" t="n">
        <f aca="false">$F6*N6</f>
        <v>0</v>
      </c>
      <c r="AA6" s="111" t="n">
        <f aca="false">$F6*O6</f>
        <v>0</v>
      </c>
      <c r="AB6" s="111" t="n">
        <f aca="false">$F6*P6</f>
        <v>0</v>
      </c>
      <c r="AC6" s="112" t="n">
        <f aca="false">$F6*Q6</f>
        <v>0</v>
      </c>
      <c r="AD6" s="110" t="n">
        <f aca="false">$J6*R6</f>
        <v>1.86206896551724</v>
      </c>
      <c r="AE6" s="111" t="n">
        <f aca="false">$J6*S6</f>
        <v>2.79310344827586</v>
      </c>
      <c r="AF6" s="111" t="n">
        <f aca="false">$J6*T6</f>
        <v>2.01724137931034</v>
      </c>
      <c r="AG6" s="111" t="n">
        <f aca="false">$J6*U6</f>
        <v>0.46551724137931</v>
      </c>
      <c r="AH6" s="111" t="n">
        <f aca="false">$J6*V6</f>
        <v>1.24137931034483</v>
      </c>
      <c r="AI6" s="112" t="n">
        <f aca="false">$J6*W6</f>
        <v>0.620689655172414</v>
      </c>
      <c r="AJ6" s="116" t="n">
        <f aca="false">Input!$E$22*WRs!C6+Input!$E$23*WRs!D6+Input!$E$24*WRs!X6+Input!$E$25*WRs!Y6+Input!$E$26*WRs!Z6+Input!$E$27*WRs!AA6+Input!$E$28*WRs!AB6+Input!$E$29*WRs!AC6+Input!$E$30*WRs!E6+Input!$E$31*WRs!G6+Input!$E$32*WRs!H6+Input!$E$33*WRs!AD6+Input!$E$34*WRs!AE6+Input!$E$35*WRs!AF6+Input!$E$36*WRs!AG6+Input!$E$37*WRs!AH6+Input!$E$38*WRs!AI6+Input!$E$39*WRs!I6+Input!$E$40*WRs!K6</f>
        <v>206.813793103448</v>
      </c>
    </row>
    <row r="7" customFormat="false" ht="12.75" hidden="false" customHeight="false" outlineLevel="0" collapsed="false">
      <c r="A7" s="141" t="s">
        <v>346</v>
      </c>
      <c r="B7" s="112" t="s">
        <v>136</v>
      </c>
      <c r="C7" s="98" t="n">
        <v>3</v>
      </c>
      <c r="D7" s="96" t="n">
        <f aca="false">7.7*C7</f>
        <v>23.1</v>
      </c>
      <c r="E7" s="96" t="n">
        <v>0</v>
      </c>
      <c r="F7" s="97" t="n">
        <v>0</v>
      </c>
      <c r="G7" s="98" t="n">
        <v>73</v>
      </c>
      <c r="H7" s="96" t="n">
        <f aca="false">14.6*G7</f>
        <v>1065.8</v>
      </c>
      <c r="I7" s="96" t="n">
        <v>4</v>
      </c>
      <c r="J7" s="97" t="n">
        <v>11</v>
      </c>
      <c r="K7" s="96" t="n">
        <v>1</v>
      </c>
      <c r="L7" s="107" t="n">
        <v>0.727272727272727</v>
      </c>
      <c r="M7" s="108" t="n">
        <v>0.0979020979020979</v>
      </c>
      <c r="N7" s="108" t="n">
        <v>0.0629370629370629</v>
      </c>
      <c r="O7" s="108" t="n">
        <v>0.020979020979021</v>
      </c>
      <c r="P7" s="108" t="n">
        <v>0.027972027972028</v>
      </c>
      <c r="Q7" s="109" t="n">
        <v>0.0629370629370629</v>
      </c>
      <c r="R7" s="107" t="n">
        <v>0.206896551724138</v>
      </c>
      <c r="S7" s="108" t="n">
        <v>0.310344827586207</v>
      </c>
      <c r="T7" s="108" t="n">
        <v>0.224137931034483</v>
      </c>
      <c r="U7" s="108" t="n">
        <v>0.0517241379310345</v>
      </c>
      <c r="V7" s="108" t="n">
        <v>0.137931034482759</v>
      </c>
      <c r="W7" s="109" t="n">
        <v>0.0689655172413793</v>
      </c>
      <c r="X7" s="110" t="n">
        <f aca="false">$F7*L7</f>
        <v>0</v>
      </c>
      <c r="Y7" s="111" t="n">
        <f aca="false">$F7*M7</f>
        <v>0</v>
      </c>
      <c r="Z7" s="111" t="n">
        <f aca="false">$F7*N7</f>
        <v>0</v>
      </c>
      <c r="AA7" s="111" t="n">
        <f aca="false">$F7*O7</f>
        <v>0</v>
      </c>
      <c r="AB7" s="111" t="n">
        <f aca="false">$F7*P7</f>
        <v>0</v>
      </c>
      <c r="AC7" s="112" t="n">
        <f aca="false">$F7*Q7</f>
        <v>0</v>
      </c>
      <c r="AD7" s="110" t="n">
        <f aca="false">$J7*R7</f>
        <v>2.27586206896552</v>
      </c>
      <c r="AE7" s="111" t="n">
        <f aca="false">$J7*S7</f>
        <v>3.41379310344828</v>
      </c>
      <c r="AF7" s="111" t="n">
        <f aca="false">$J7*T7</f>
        <v>2.46551724137931</v>
      </c>
      <c r="AG7" s="111" t="n">
        <f aca="false">$J7*U7</f>
        <v>0.568965517241379</v>
      </c>
      <c r="AH7" s="111" t="n">
        <f aca="false">$J7*V7</f>
        <v>1.51724137931034</v>
      </c>
      <c r="AI7" s="112" t="n">
        <f aca="false">$J7*W7</f>
        <v>0.758620689655172</v>
      </c>
      <c r="AJ7" s="116" t="n">
        <f aca="false">Input!$E$22*WRs!C7+Input!$E$23*WRs!D7+Input!$E$24*WRs!X7+Input!$E$25*WRs!Y7+Input!$E$26*WRs!Z7+Input!$E$27*WRs!AA7+Input!$E$28*WRs!AB7+Input!$E$29*WRs!AC7+Input!$E$30*WRs!E7+Input!$E$31*WRs!G7+Input!$E$32*WRs!H7+Input!$E$33*WRs!AD7+Input!$E$34*WRs!AE7+Input!$E$35*WRs!AF7+Input!$E$36*WRs!AG7+Input!$E$37*WRs!AH7+Input!$E$38*WRs!AI7+Input!$E$39*WRs!I7+Input!$E$40*WRs!K7</f>
        <v>206.562413793103</v>
      </c>
    </row>
    <row r="8" customFormat="false" ht="12.75" hidden="false" customHeight="false" outlineLevel="0" collapsed="false">
      <c r="A8" s="141" t="s">
        <v>347</v>
      </c>
      <c r="B8" s="112" t="s">
        <v>154</v>
      </c>
      <c r="C8" s="98" t="n">
        <v>0</v>
      </c>
      <c r="D8" s="96" t="n">
        <v>0</v>
      </c>
      <c r="E8" s="96" t="n">
        <v>0</v>
      </c>
      <c r="F8" s="97" t="n">
        <v>0</v>
      </c>
      <c r="G8" s="98" t="n">
        <v>100</v>
      </c>
      <c r="H8" s="96" t="n">
        <f aca="false">13.9*G8</f>
        <v>1390</v>
      </c>
      <c r="I8" s="96" t="n">
        <v>7</v>
      </c>
      <c r="J8" s="97" t="n">
        <v>7</v>
      </c>
      <c r="K8" s="96" t="n">
        <v>1</v>
      </c>
      <c r="L8" s="107" t="n">
        <v>0.727272727272727</v>
      </c>
      <c r="M8" s="108" t="n">
        <v>0.0979020979020979</v>
      </c>
      <c r="N8" s="108" t="n">
        <v>0.0629370629370629</v>
      </c>
      <c r="O8" s="108" t="n">
        <v>0.020979020979021</v>
      </c>
      <c r="P8" s="108" t="n">
        <v>0.027972027972028</v>
      </c>
      <c r="Q8" s="109" t="n">
        <v>0.0629370629370629</v>
      </c>
      <c r="R8" s="107" t="n">
        <v>0.206896551724138</v>
      </c>
      <c r="S8" s="108" t="n">
        <v>0.310344827586207</v>
      </c>
      <c r="T8" s="108" t="n">
        <v>0.224137931034483</v>
      </c>
      <c r="U8" s="108" t="n">
        <v>0.0517241379310345</v>
      </c>
      <c r="V8" s="108" t="n">
        <v>0.137931034482759</v>
      </c>
      <c r="W8" s="109" t="n">
        <v>0.0689655172413793</v>
      </c>
      <c r="X8" s="110" t="n">
        <f aca="false">$F8*L8</f>
        <v>0</v>
      </c>
      <c r="Y8" s="111" t="n">
        <f aca="false">$F8*M8</f>
        <v>0</v>
      </c>
      <c r="Z8" s="111" t="n">
        <f aca="false">$F8*N8</f>
        <v>0</v>
      </c>
      <c r="AA8" s="111" t="n">
        <f aca="false">$F8*O8</f>
        <v>0</v>
      </c>
      <c r="AB8" s="111" t="n">
        <f aca="false">$F8*P8</f>
        <v>0</v>
      </c>
      <c r="AC8" s="112" t="n">
        <f aca="false">$F8*Q8</f>
        <v>0</v>
      </c>
      <c r="AD8" s="110" t="n">
        <f aca="false">$J8*R8</f>
        <v>1.44827586206897</v>
      </c>
      <c r="AE8" s="111" t="n">
        <f aca="false">$J8*S8</f>
        <v>2.17241379310345</v>
      </c>
      <c r="AF8" s="111" t="n">
        <f aca="false">$J8*T8</f>
        <v>1.56896551724138</v>
      </c>
      <c r="AG8" s="111" t="n">
        <f aca="false">$J8*U8</f>
        <v>0.362068965517241</v>
      </c>
      <c r="AH8" s="111" t="n">
        <f aca="false">$J8*V8</f>
        <v>0.96551724137931</v>
      </c>
      <c r="AI8" s="112" t="n">
        <f aca="false">$J8*W8</f>
        <v>0.482758620689655</v>
      </c>
      <c r="AJ8" s="116" t="n">
        <f aca="false">Input!$E$22*WRs!C8+Input!$E$23*WRs!D8+Input!$E$24*WRs!X8+Input!$E$25*WRs!Y8+Input!$E$26*WRs!Z8+Input!$E$27*WRs!AA8+Input!$E$28*WRs!AB8+Input!$E$29*WRs!AC8+Input!$E$30*WRs!E8+Input!$E$31*WRs!G8+Input!$E$32*WRs!H8+Input!$E$33*WRs!AD8+Input!$E$34*WRs!AE8+Input!$E$35*WRs!AF8+Input!$E$36*WRs!AG8+Input!$E$37*WRs!AH8+Input!$E$38*WRs!AI8+Input!$E$39*WRs!I8+Input!$E$40*WRs!K8</f>
        <v>214.155172413793</v>
      </c>
    </row>
    <row r="9" customFormat="false" ht="12.75" hidden="false" customHeight="false" outlineLevel="0" collapsed="false">
      <c r="A9" s="141" t="s">
        <v>348</v>
      </c>
      <c r="B9" s="112" t="s">
        <v>176</v>
      </c>
      <c r="C9" s="98" t="n">
        <v>4</v>
      </c>
      <c r="D9" s="96" t="n">
        <f aca="false">6*C9</f>
        <v>24</v>
      </c>
      <c r="E9" s="96" t="n">
        <v>0</v>
      </c>
      <c r="F9" s="97" t="n">
        <v>0</v>
      </c>
      <c r="G9" s="98" t="n">
        <v>72</v>
      </c>
      <c r="H9" s="96" t="n">
        <f aca="false">17.5*G9</f>
        <v>1260</v>
      </c>
      <c r="I9" s="96" t="n">
        <v>5</v>
      </c>
      <c r="J9" s="97" t="n">
        <v>8</v>
      </c>
      <c r="K9" s="96" t="n">
        <v>1</v>
      </c>
      <c r="L9" s="107" t="n">
        <v>0.727272727272727</v>
      </c>
      <c r="M9" s="108" t="n">
        <v>0.0979020979020979</v>
      </c>
      <c r="N9" s="108" t="n">
        <v>0.0629370629370629</v>
      </c>
      <c r="O9" s="108" t="n">
        <v>0.020979020979021</v>
      </c>
      <c r="P9" s="108" t="n">
        <v>0.027972027972028</v>
      </c>
      <c r="Q9" s="109" t="n">
        <v>0.0629370629370629</v>
      </c>
      <c r="R9" s="119" t="n">
        <v>0.123809523809524</v>
      </c>
      <c r="S9" s="120" t="n">
        <v>0.152380952380952</v>
      </c>
      <c r="T9" s="120" t="n">
        <v>0.0952380952380952</v>
      </c>
      <c r="U9" s="120" t="n">
        <v>0.19047619047619</v>
      </c>
      <c r="V9" s="120" t="n">
        <v>0.142857142857143</v>
      </c>
      <c r="W9" s="121" t="n">
        <v>0.295238095238095</v>
      </c>
      <c r="X9" s="110" t="n">
        <f aca="false">$F9*L9</f>
        <v>0</v>
      </c>
      <c r="Y9" s="111" t="n">
        <f aca="false">$F9*M9</f>
        <v>0</v>
      </c>
      <c r="Z9" s="111" t="n">
        <f aca="false">$F9*N9</f>
        <v>0</v>
      </c>
      <c r="AA9" s="111" t="n">
        <f aca="false">$F9*O9</f>
        <v>0</v>
      </c>
      <c r="AB9" s="111" t="n">
        <f aca="false">$F9*P9</f>
        <v>0</v>
      </c>
      <c r="AC9" s="112" t="n">
        <f aca="false">$F9*Q9</f>
        <v>0</v>
      </c>
      <c r="AD9" s="110" t="n">
        <f aca="false">$J9*R9</f>
        <v>0.990476190476191</v>
      </c>
      <c r="AE9" s="111" t="n">
        <f aca="false">$J9*S9</f>
        <v>1.21904761904762</v>
      </c>
      <c r="AF9" s="111" t="n">
        <f aca="false">$J9*T9</f>
        <v>0.761904761904762</v>
      </c>
      <c r="AG9" s="111" t="n">
        <f aca="false">$J9*U9</f>
        <v>1.52380952380952</v>
      </c>
      <c r="AH9" s="111" t="n">
        <f aca="false">$J9*V9</f>
        <v>1.14285714285714</v>
      </c>
      <c r="AI9" s="112" t="n">
        <f aca="false">$J9*W9</f>
        <v>2.36190476190476</v>
      </c>
      <c r="AJ9" s="116" t="n">
        <f aca="false">Input!$E$22*WRs!C9+Input!$E$23*WRs!D9+Input!$E$24*WRs!X9+Input!$E$25*WRs!Y9+Input!$E$26*WRs!Z9+Input!$E$27*WRs!AA9+Input!$E$28*WRs!AB9+Input!$E$29*WRs!AC9+Input!$E$30*WRs!E9+Input!$E$31*WRs!G9+Input!$E$32*WRs!H9+Input!$E$33*WRs!AD9+Input!$E$34*WRs!AE9+Input!$E$35*WRs!AF9+Input!$E$36*WRs!AG9+Input!$E$37*WRs!AH9+Input!$E$38*WRs!AI9+Input!$E$39*WRs!I9+Input!$E$40*WRs!K9</f>
        <v>216.457142857143</v>
      </c>
    </row>
    <row r="10" customFormat="false" ht="12.75" hidden="false" customHeight="false" outlineLevel="0" collapsed="false">
      <c r="A10" s="141" t="s">
        <v>349</v>
      </c>
      <c r="B10" s="112" t="s">
        <v>174</v>
      </c>
      <c r="C10" s="98" t="n">
        <v>0</v>
      </c>
      <c r="D10" s="96" t="n">
        <v>0</v>
      </c>
      <c r="E10" s="96" t="n">
        <v>0</v>
      </c>
      <c r="F10" s="97" t="n">
        <v>0</v>
      </c>
      <c r="G10" s="98" t="n">
        <v>80</v>
      </c>
      <c r="H10" s="96" t="n">
        <f aca="false">15.8*G10</f>
        <v>1264</v>
      </c>
      <c r="I10" s="96" t="n">
        <v>5</v>
      </c>
      <c r="J10" s="97" t="n">
        <v>7</v>
      </c>
      <c r="K10" s="96" t="n">
        <v>2</v>
      </c>
      <c r="L10" s="107" t="n">
        <v>0.727272727272727</v>
      </c>
      <c r="M10" s="108" t="n">
        <v>0.0979020979020979</v>
      </c>
      <c r="N10" s="108" t="n">
        <v>0.0629370629370629</v>
      </c>
      <c r="O10" s="108" t="n">
        <v>0.020979020979021</v>
      </c>
      <c r="P10" s="108" t="n">
        <v>0.027972027972028</v>
      </c>
      <c r="Q10" s="109" t="n">
        <v>0.0629370629370629</v>
      </c>
      <c r="R10" s="119" t="n">
        <v>0.123809523809524</v>
      </c>
      <c r="S10" s="120" t="n">
        <v>0.152380952380952</v>
      </c>
      <c r="T10" s="120" t="n">
        <v>0.0952380952380952</v>
      </c>
      <c r="U10" s="120" t="n">
        <v>0.19047619047619</v>
      </c>
      <c r="V10" s="120" t="n">
        <v>0.142857142857143</v>
      </c>
      <c r="W10" s="121" t="n">
        <v>0.295238095238095</v>
      </c>
      <c r="X10" s="110" t="n">
        <f aca="false">$F10*L10</f>
        <v>0</v>
      </c>
      <c r="Y10" s="111" t="n">
        <f aca="false">$F10*M10</f>
        <v>0</v>
      </c>
      <c r="Z10" s="111" t="n">
        <f aca="false">$F10*N10</f>
        <v>0</v>
      </c>
      <c r="AA10" s="111" t="n">
        <f aca="false">$F10*O10</f>
        <v>0</v>
      </c>
      <c r="AB10" s="111" t="n">
        <f aca="false">$F10*P10</f>
        <v>0</v>
      </c>
      <c r="AC10" s="112" t="n">
        <f aca="false">$F10*Q10</f>
        <v>0</v>
      </c>
      <c r="AD10" s="110" t="n">
        <f aca="false">$J10*R10</f>
        <v>0.866666666666667</v>
      </c>
      <c r="AE10" s="111" t="n">
        <f aca="false">$J10*S10</f>
        <v>1.06666666666667</v>
      </c>
      <c r="AF10" s="111" t="n">
        <f aca="false">$J10*T10</f>
        <v>0.666666666666667</v>
      </c>
      <c r="AG10" s="111" t="n">
        <f aca="false">$J10*U10</f>
        <v>1.33333333333333</v>
      </c>
      <c r="AH10" s="111" t="n">
        <f aca="false">$J10*V10</f>
        <v>1</v>
      </c>
      <c r="AI10" s="112" t="n">
        <f aca="false">$J10*W10</f>
        <v>2.06666666666667</v>
      </c>
      <c r="AJ10" s="116" t="n">
        <f aca="false">Input!$E$22*WRs!C10+Input!$E$23*WRs!D10+Input!$E$24*WRs!X10+Input!$E$25*WRs!Y10+Input!$E$26*WRs!Z10+Input!$E$27*WRs!AA10+Input!$E$28*WRs!AB10+Input!$E$29*WRs!AC10+Input!$E$30*WRs!E10+Input!$E$31*WRs!G10+Input!$E$32*WRs!H10+Input!$E$33*WRs!AD10+Input!$E$34*WRs!AE10+Input!$E$35*WRs!AF10+Input!$E$36*WRs!AG10+Input!$E$37*WRs!AH10+Input!$E$38*WRs!AI10+Input!$E$39*WRs!I10+Input!$E$40*WRs!K10</f>
        <v>204.2</v>
      </c>
    </row>
    <row r="11" customFormat="false" ht="12.75" hidden="false" customHeight="false" outlineLevel="0" collapsed="false">
      <c r="A11" s="141" t="s">
        <v>350</v>
      </c>
      <c r="B11" s="112" t="s">
        <v>158</v>
      </c>
      <c r="C11" s="98" t="n">
        <v>1</v>
      </c>
      <c r="D11" s="96" t="n">
        <v>4</v>
      </c>
      <c r="E11" s="96" t="n">
        <v>0</v>
      </c>
      <c r="F11" s="97" t="n">
        <v>0</v>
      </c>
      <c r="G11" s="98" t="n">
        <v>80</v>
      </c>
      <c r="H11" s="96" t="n">
        <f aca="false">14.9*G11</f>
        <v>1192</v>
      </c>
      <c r="I11" s="96" t="n">
        <v>4</v>
      </c>
      <c r="J11" s="97" t="n">
        <v>7</v>
      </c>
      <c r="K11" s="96" t="n">
        <v>1</v>
      </c>
      <c r="L11" s="107" t="n">
        <v>0.727272727272727</v>
      </c>
      <c r="M11" s="108" t="n">
        <v>0.0979020979020979</v>
      </c>
      <c r="N11" s="108" t="n">
        <v>0.0629370629370629</v>
      </c>
      <c r="O11" s="108" t="n">
        <v>0.020979020979021</v>
      </c>
      <c r="P11" s="108" t="n">
        <v>0.027972027972028</v>
      </c>
      <c r="Q11" s="109" t="n">
        <v>0.0629370629370629</v>
      </c>
      <c r="R11" s="119" t="n">
        <v>0.123809523809524</v>
      </c>
      <c r="S11" s="120" t="n">
        <v>0.152380952380952</v>
      </c>
      <c r="T11" s="120" t="n">
        <v>0.0952380952380952</v>
      </c>
      <c r="U11" s="120" t="n">
        <v>0.19047619047619</v>
      </c>
      <c r="V11" s="120" t="n">
        <v>0.142857142857143</v>
      </c>
      <c r="W11" s="121" t="n">
        <v>0.295238095238095</v>
      </c>
      <c r="X11" s="110" t="n">
        <f aca="false">$F11*L11</f>
        <v>0</v>
      </c>
      <c r="Y11" s="111" t="n">
        <f aca="false">$F11*M11</f>
        <v>0</v>
      </c>
      <c r="Z11" s="111" t="n">
        <f aca="false">$F11*N11</f>
        <v>0</v>
      </c>
      <c r="AA11" s="111" t="n">
        <f aca="false">$F11*O11</f>
        <v>0</v>
      </c>
      <c r="AB11" s="111" t="n">
        <f aca="false">$F11*P11</f>
        <v>0</v>
      </c>
      <c r="AC11" s="112" t="n">
        <f aca="false">$F11*Q11</f>
        <v>0</v>
      </c>
      <c r="AD11" s="110" t="n">
        <f aca="false">$J11*R11</f>
        <v>0.866666666666667</v>
      </c>
      <c r="AE11" s="111" t="n">
        <f aca="false">$J11*S11</f>
        <v>1.06666666666667</v>
      </c>
      <c r="AF11" s="111" t="n">
        <f aca="false">$J11*T11</f>
        <v>0.666666666666667</v>
      </c>
      <c r="AG11" s="111" t="n">
        <f aca="false">$J11*U11</f>
        <v>1.33333333333333</v>
      </c>
      <c r="AH11" s="111" t="n">
        <f aca="false">$J11*V11</f>
        <v>1</v>
      </c>
      <c r="AI11" s="112" t="n">
        <f aca="false">$J11*W11</f>
        <v>2.06666666666667</v>
      </c>
      <c r="AJ11" s="116" t="n">
        <f aca="false">Input!$E$22*WRs!C11+Input!$E$23*WRs!D11+Input!$E$24*WRs!X11+Input!$E$25*WRs!Y11+Input!$E$26*WRs!Z11+Input!$E$27*WRs!AA11+Input!$E$28*WRs!AB11+Input!$E$29*WRs!AC11+Input!$E$30*WRs!E11+Input!$E$31*WRs!G11+Input!$E$32*WRs!H11+Input!$E$33*WRs!AD11+Input!$E$34*WRs!AE11+Input!$E$35*WRs!AF11+Input!$E$36*WRs!AG11+Input!$E$37*WRs!AH11+Input!$E$38*WRs!AI11+Input!$E$39*WRs!I11+Input!$E$40*WRs!K11</f>
        <v>195.4</v>
      </c>
    </row>
    <row r="12" customFormat="false" ht="12.75" hidden="false" customHeight="false" outlineLevel="0" collapsed="false">
      <c r="A12" s="141" t="s">
        <v>351</v>
      </c>
      <c r="B12" s="112" t="s">
        <v>160</v>
      </c>
      <c r="C12" s="98" t="n">
        <v>0</v>
      </c>
      <c r="D12" s="96" t="n">
        <v>0</v>
      </c>
      <c r="E12" s="96" t="n">
        <v>0</v>
      </c>
      <c r="F12" s="97" t="n">
        <v>0</v>
      </c>
      <c r="G12" s="98" t="n">
        <v>85</v>
      </c>
      <c r="H12" s="96" t="n">
        <f aca="false">12.5*G12</f>
        <v>1062.5</v>
      </c>
      <c r="I12" s="96" t="n">
        <v>4</v>
      </c>
      <c r="J12" s="97" t="n">
        <v>10</v>
      </c>
      <c r="K12" s="96" t="n">
        <v>1</v>
      </c>
      <c r="L12" s="107" t="n">
        <v>0.727272727272727</v>
      </c>
      <c r="M12" s="108" t="n">
        <v>0.0979020979020979</v>
      </c>
      <c r="N12" s="108" t="n">
        <v>0.0629370629370629</v>
      </c>
      <c r="O12" s="108" t="n">
        <v>0.020979020979021</v>
      </c>
      <c r="P12" s="108" t="n">
        <v>0.027972027972028</v>
      </c>
      <c r="Q12" s="109" t="n">
        <v>0.0629370629370629</v>
      </c>
      <c r="R12" s="107" t="n">
        <v>0.369747899159664</v>
      </c>
      <c r="S12" s="108" t="n">
        <v>0.252100840336134</v>
      </c>
      <c r="T12" s="108" t="n">
        <v>0.210084033613445</v>
      </c>
      <c r="U12" s="108" t="n">
        <v>0.0588235294117647</v>
      </c>
      <c r="V12" s="108" t="n">
        <v>0.0756302521008403</v>
      </c>
      <c r="W12" s="109" t="n">
        <v>0.0420168067226891</v>
      </c>
      <c r="X12" s="110" t="n">
        <f aca="false">$F12*L12</f>
        <v>0</v>
      </c>
      <c r="Y12" s="111" t="n">
        <f aca="false">$F12*M12</f>
        <v>0</v>
      </c>
      <c r="Z12" s="111" t="n">
        <f aca="false">$F12*N12</f>
        <v>0</v>
      </c>
      <c r="AA12" s="111" t="n">
        <f aca="false">$F12*O12</f>
        <v>0</v>
      </c>
      <c r="AB12" s="111" t="n">
        <f aca="false">$F12*P12</f>
        <v>0</v>
      </c>
      <c r="AC12" s="112" t="n">
        <f aca="false">$F12*Q12</f>
        <v>0</v>
      </c>
      <c r="AD12" s="110" t="n">
        <f aca="false">$J12*R12</f>
        <v>3.69747899159664</v>
      </c>
      <c r="AE12" s="111" t="n">
        <f aca="false">$J12*S12</f>
        <v>2.52100840336134</v>
      </c>
      <c r="AF12" s="111" t="n">
        <f aca="false">$J12*T12</f>
        <v>2.10084033613445</v>
      </c>
      <c r="AG12" s="111" t="n">
        <f aca="false">$J12*U12</f>
        <v>0.588235294117647</v>
      </c>
      <c r="AH12" s="111" t="n">
        <f aca="false">$J12*V12</f>
        <v>0.756302521008403</v>
      </c>
      <c r="AI12" s="112" t="n">
        <f aca="false">$J12*W12</f>
        <v>0.420168067226891</v>
      </c>
      <c r="AJ12" s="116" t="n">
        <f aca="false">Input!$E$22*WRs!C12+Input!$E$23*WRs!D12+Input!$E$24*WRs!X12+Input!$E$25*WRs!Y12+Input!$E$26*WRs!Z12+Input!$E$27*WRs!AA12+Input!$E$28*WRs!AB12+Input!$E$29*WRs!AC12+Input!$E$30*WRs!E12+Input!$E$31*WRs!G12+Input!$E$32*WRs!H12+Input!$E$33*WRs!AD12+Input!$E$34*WRs!AE12+Input!$E$35*WRs!AF12+Input!$E$36*WRs!AG12+Input!$E$37*WRs!AH12+Input!$E$38*WRs!AI12+Input!$E$39*WRs!I12+Input!$E$40*WRs!K12</f>
        <v>191.78781512605</v>
      </c>
    </row>
    <row r="13" customFormat="false" ht="12.75" hidden="false" customHeight="false" outlineLevel="0" collapsed="false">
      <c r="A13" s="141" t="s">
        <v>352</v>
      </c>
      <c r="B13" s="112" t="s">
        <v>150</v>
      </c>
      <c r="C13" s="98" t="n">
        <v>5</v>
      </c>
      <c r="D13" s="96" t="n">
        <f aca="false">6*C13</f>
        <v>30</v>
      </c>
      <c r="E13" s="96" t="n">
        <v>0</v>
      </c>
      <c r="F13" s="97" t="n">
        <v>0</v>
      </c>
      <c r="G13" s="98" t="n">
        <v>65</v>
      </c>
      <c r="H13" s="96" t="n">
        <f aca="false">17.5*G13</f>
        <v>1137.5</v>
      </c>
      <c r="I13" s="96" t="n">
        <v>5</v>
      </c>
      <c r="J13" s="97" t="n">
        <v>8</v>
      </c>
      <c r="K13" s="96" t="n">
        <v>1</v>
      </c>
      <c r="L13" s="107" t="n">
        <v>0.727272727272727</v>
      </c>
      <c r="M13" s="108" t="n">
        <v>0.0979020979020979</v>
      </c>
      <c r="N13" s="108" t="n">
        <v>0.0629370629370629</v>
      </c>
      <c r="O13" s="108" t="n">
        <v>0.020979020979021</v>
      </c>
      <c r="P13" s="108" t="n">
        <v>0.027972027972028</v>
      </c>
      <c r="Q13" s="109" t="n">
        <v>0.0629370629370629</v>
      </c>
      <c r="R13" s="107" t="n">
        <v>0.206896551724138</v>
      </c>
      <c r="S13" s="108" t="n">
        <v>0.310344827586207</v>
      </c>
      <c r="T13" s="108" t="n">
        <v>0.224137931034483</v>
      </c>
      <c r="U13" s="108" t="n">
        <v>0.0517241379310345</v>
      </c>
      <c r="V13" s="108" t="n">
        <v>0.137931034482759</v>
      </c>
      <c r="W13" s="109" t="n">
        <v>0.0689655172413793</v>
      </c>
      <c r="X13" s="110" t="n">
        <f aca="false">$F13*L13</f>
        <v>0</v>
      </c>
      <c r="Y13" s="111" t="n">
        <f aca="false">$F13*M13</f>
        <v>0</v>
      </c>
      <c r="Z13" s="111" t="n">
        <f aca="false">$F13*N13</f>
        <v>0</v>
      </c>
      <c r="AA13" s="111" t="n">
        <f aca="false">$F13*O13</f>
        <v>0</v>
      </c>
      <c r="AB13" s="111" t="n">
        <f aca="false">$F13*P13</f>
        <v>0</v>
      </c>
      <c r="AC13" s="112" t="n">
        <f aca="false">$F13*Q13</f>
        <v>0</v>
      </c>
      <c r="AD13" s="110" t="n">
        <f aca="false">$J13*R13</f>
        <v>1.6551724137931</v>
      </c>
      <c r="AE13" s="111" t="n">
        <f aca="false">$J13*S13</f>
        <v>2.48275862068966</v>
      </c>
      <c r="AF13" s="111" t="n">
        <f aca="false">$J13*T13</f>
        <v>1.79310344827586</v>
      </c>
      <c r="AG13" s="111" t="n">
        <f aca="false">$J13*U13</f>
        <v>0.413793103448276</v>
      </c>
      <c r="AH13" s="111" t="n">
        <f aca="false">$J13*V13</f>
        <v>1.10344827586207</v>
      </c>
      <c r="AI13" s="112" t="n">
        <f aca="false">$J13*W13</f>
        <v>0.551724137931035</v>
      </c>
      <c r="AJ13" s="116" t="n">
        <f aca="false">Input!$E$22*WRs!C13+Input!$E$23*WRs!D13+Input!$E$24*WRs!X13+Input!$E$25*WRs!Y13+Input!$E$26*WRs!Z13+Input!$E$27*WRs!AA13+Input!$E$28*WRs!AB13+Input!$E$29*WRs!AC13+Input!$E$30*WRs!E13+Input!$E$31*WRs!G13+Input!$E$32*WRs!H13+Input!$E$33*WRs!AD13+Input!$E$34*WRs!AE13+Input!$E$35*WRs!AF13+Input!$E$36*WRs!AG13+Input!$E$37*WRs!AH13+Input!$E$38*WRs!AI13+Input!$E$39*WRs!I13+Input!$E$40*WRs!K13</f>
        <v>193.784482758621</v>
      </c>
    </row>
    <row r="14" customFormat="false" ht="12.75" hidden="false" customHeight="false" outlineLevel="0" collapsed="false">
      <c r="A14" s="141" t="s">
        <v>353</v>
      </c>
      <c r="B14" s="112" t="s">
        <v>164</v>
      </c>
      <c r="C14" s="98" t="n">
        <v>0</v>
      </c>
      <c r="D14" s="96" t="n">
        <v>0</v>
      </c>
      <c r="E14" s="96" t="n">
        <v>0</v>
      </c>
      <c r="F14" s="97" t="n">
        <v>0</v>
      </c>
      <c r="G14" s="98" t="n">
        <v>70</v>
      </c>
      <c r="H14" s="96" t="n">
        <v>994</v>
      </c>
      <c r="I14" s="96" t="n">
        <v>4</v>
      </c>
      <c r="J14" s="97" t="n">
        <v>7</v>
      </c>
      <c r="K14" s="96" t="n">
        <v>1</v>
      </c>
      <c r="L14" s="107" t="n">
        <v>0.727272727272727</v>
      </c>
      <c r="M14" s="108" t="n">
        <v>0.0979020979020979</v>
      </c>
      <c r="N14" s="108" t="n">
        <v>0.0629370629370629</v>
      </c>
      <c r="O14" s="108" t="n">
        <v>0.020979020979021</v>
      </c>
      <c r="P14" s="108" t="n">
        <v>0.027972027972028</v>
      </c>
      <c r="Q14" s="109" t="n">
        <v>0.0629370629370629</v>
      </c>
      <c r="R14" s="107" t="n">
        <v>0.206896551724138</v>
      </c>
      <c r="S14" s="108" t="n">
        <v>0.310344827586207</v>
      </c>
      <c r="T14" s="108" t="n">
        <v>0.224137931034483</v>
      </c>
      <c r="U14" s="108" t="n">
        <v>0.0517241379310345</v>
      </c>
      <c r="V14" s="108" t="n">
        <v>0.137931034482759</v>
      </c>
      <c r="W14" s="109" t="n">
        <v>0.0689655172413793</v>
      </c>
      <c r="X14" s="110" t="n">
        <f aca="false">$F14*L14</f>
        <v>0</v>
      </c>
      <c r="Y14" s="111" t="n">
        <f aca="false">$F14*M14</f>
        <v>0</v>
      </c>
      <c r="Z14" s="111" t="n">
        <f aca="false">$F14*N14</f>
        <v>0</v>
      </c>
      <c r="AA14" s="111" t="n">
        <f aca="false">$F14*O14</f>
        <v>0</v>
      </c>
      <c r="AB14" s="111" t="n">
        <f aca="false">$F14*P14</f>
        <v>0</v>
      </c>
      <c r="AC14" s="112" t="n">
        <f aca="false">$F14*Q14</f>
        <v>0</v>
      </c>
      <c r="AD14" s="110" t="n">
        <f aca="false">$J14*R14</f>
        <v>1.44827586206897</v>
      </c>
      <c r="AE14" s="111" t="n">
        <f aca="false">$J14*S14</f>
        <v>2.17241379310345</v>
      </c>
      <c r="AF14" s="111" t="n">
        <f aca="false">$J14*T14</f>
        <v>1.56896551724138</v>
      </c>
      <c r="AG14" s="111" t="n">
        <f aca="false">$J14*U14</f>
        <v>0.362068965517241</v>
      </c>
      <c r="AH14" s="111" t="n">
        <f aca="false">$J14*V14</f>
        <v>0.96551724137931</v>
      </c>
      <c r="AI14" s="112" t="n">
        <f aca="false">$J14*W14</f>
        <v>0.482758620689655</v>
      </c>
      <c r="AJ14" s="116" t="n">
        <f aca="false">Input!$E$22*WRs!C14+Input!$E$23*WRs!D14+Input!$E$24*WRs!X14+Input!$E$25*WRs!Y14+Input!$E$26*WRs!Z14+Input!$E$27*WRs!AA14+Input!$E$28*WRs!AB14+Input!$E$29*WRs!AC14+Input!$E$30*WRs!E14+Input!$E$31*WRs!G14+Input!$E$32*WRs!H14+Input!$E$33*WRs!AD14+Input!$E$34*WRs!AE14+Input!$E$35*WRs!AF14+Input!$E$36*WRs!AG14+Input!$E$37*WRs!AH14+Input!$E$38*WRs!AI14+Input!$E$39*WRs!I14+Input!$E$40*WRs!K14</f>
        <v>165.555172413793</v>
      </c>
    </row>
    <row r="15" customFormat="false" ht="12.75" hidden="false" customHeight="false" outlineLevel="0" collapsed="false">
      <c r="A15" s="141" t="s">
        <v>354</v>
      </c>
      <c r="B15" s="112" t="s">
        <v>188</v>
      </c>
      <c r="C15" s="98" t="n">
        <v>5</v>
      </c>
      <c r="D15" s="96" t="n">
        <f aca="false">7.8*C15</f>
        <v>39</v>
      </c>
      <c r="E15" s="96" t="n">
        <v>0</v>
      </c>
      <c r="F15" s="97" t="n">
        <v>0</v>
      </c>
      <c r="G15" s="98" t="n">
        <v>75</v>
      </c>
      <c r="H15" s="96" t="n">
        <f aca="false">15.5*G15</f>
        <v>1162.5</v>
      </c>
      <c r="I15" s="96" t="n">
        <v>5</v>
      </c>
      <c r="J15" s="97" t="n">
        <v>6</v>
      </c>
      <c r="K15" s="96" t="n">
        <v>1</v>
      </c>
      <c r="L15" s="107" t="n">
        <v>0.727272727272727</v>
      </c>
      <c r="M15" s="108" t="n">
        <v>0.0979020979020979</v>
      </c>
      <c r="N15" s="108" t="n">
        <v>0.0629370629370629</v>
      </c>
      <c r="O15" s="108" t="n">
        <v>0.020979020979021</v>
      </c>
      <c r="P15" s="108" t="n">
        <v>0.027972027972028</v>
      </c>
      <c r="Q15" s="109" t="n">
        <v>0.0629370629370629</v>
      </c>
      <c r="R15" s="119" t="n">
        <v>0.123809523809524</v>
      </c>
      <c r="S15" s="120" t="n">
        <v>0.152380952380952</v>
      </c>
      <c r="T15" s="120" t="n">
        <v>0.0952380952380952</v>
      </c>
      <c r="U15" s="120" t="n">
        <v>0.19047619047619</v>
      </c>
      <c r="V15" s="120" t="n">
        <v>0.142857142857143</v>
      </c>
      <c r="W15" s="121" t="n">
        <v>0.295238095238095</v>
      </c>
      <c r="X15" s="110" t="n">
        <f aca="false">$F15*L15</f>
        <v>0</v>
      </c>
      <c r="Y15" s="111" t="n">
        <f aca="false">$F15*M15</f>
        <v>0</v>
      </c>
      <c r="Z15" s="111" t="n">
        <f aca="false">$F15*N15</f>
        <v>0</v>
      </c>
      <c r="AA15" s="111" t="n">
        <f aca="false">$F15*O15</f>
        <v>0</v>
      </c>
      <c r="AB15" s="111" t="n">
        <f aca="false">$F15*P15</f>
        <v>0</v>
      </c>
      <c r="AC15" s="112" t="n">
        <f aca="false">$F15*Q15</f>
        <v>0</v>
      </c>
      <c r="AD15" s="110" t="n">
        <f aca="false">$J15*R15</f>
        <v>0.742857142857143</v>
      </c>
      <c r="AE15" s="111" t="n">
        <f aca="false">$J15*S15</f>
        <v>0.914285714285714</v>
      </c>
      <c r="AF15" s="111" t="n">
        <f aca="false">$J15*T15</f>
        <v>0.571428571428571</v>
      </c>
      <c r="AG15" s="111" t="n">
        <f aca="false">$J15*U15</f>
        <v>1.14285714285714</v>
      </c>
      <c r="AH15" s="111" t="n">
        <f aca="false">$J15*V15</f>
        <v>0.857142857142857</v>
      </c>
      <c r="AI15" s="112" t="n">
        <f aca="false">$J15*W15</f>
        <v>1.77142857142857</v>
      </c>
      <c r="AJ15" s="116" t="n">
        <f aca="false">Input!$E$22*WRs!C15+Input!$E$23*WRs!D15+Input!$E$24*WRs!X15+Input!$E$25*WRs!Y15+Input!$E$26*WRs!Z15+Input!$E$27*WRs!AA15+Input!$E$28*WRs!AB15+Input!$E$29*WRs!AC15+Input!$E$30*WRs!E15+Input!$E$31*WRs!G15+Input!$E$32*WRs!H15+Input!$E$33*WRs!AD15+Input!$E$34*WRs!AE15+Input!$E$35*WRs!AF15+Input!$E$36*WRs!AG15+Input!$E$37*WRs!AH15+Input!$E$38*WRs!AI15+Input!$E$39*WRs!I15+Input!$E$40*WRs!K15</f>
        <v>189.692857142857</v>
      </c>
    </row>
    <row r="16" customFormat="false" ht="12.75" hidden="false" customHeight="false" outlineLevel="0" collapsed="false">
      <c r="A16" s="141" t="s">
        <v>355</v>
      </c>
      <c r="B16" s="112" t="s">
        <v>166</v>
      </c>
      <c r="C16" s="98" t="n">
        <v>1</v>
      </c>
      <c r="D16" s="96" t="n">
        <v>5</v>
      </c>
      <c r="E16" s="96" t="n">
        <v>0</v>
      </c>
      <c r="F16" s="97" t="n">
        <v>0</v>
      </c>
      <c r="G16" s="98" t="n">
        <v>79</v>
      </c>
      <c r="H16" s="96" t="n">
        <f aca="false">14.6*G16</f>
        <v>1153.4</v>
      </c>
      <c r="I16" s="96" t="n">
        <v>5</v>
      </c>
      <c r="J16" s="97" t="n">
        <v>6</v>
      </c>
      <c r="K16" s="96" t="n">
        <v>1</v>
      </c>
      <c r="L16" s="107" t="n">
        <v>0.727272727272727</v>
      </c>
      <c r="M16" s="108" t="n">
        <v>0.0979020979020979</v>
      </c>
      <c r="N16" s="108" t="n">
        <v>0.0629370629370629</v>
      </c>
      <c r="O16" s="108" t="n">
        <v>0.020979020979021</v>
      </c>
      <c r="P16" s="108" t="n">
        <v>0.027972027972028</v>
      </c>
      <c r="Q16" s="109" t="n">
        <v>0.0629370629370629</v>
      </c>
      <c r="R16" s="119" t="n">
        <v>0.123809523809524</v>
      </c>
      <c r="S16" s="120" t="n">
        <v>0.152380952380952</v>
      </c>
      <c r="T16" s="120" t="n">
        <v>0.0952380952380952</v>
      </c>
      <c r="U16" s="120" t="n">
        <v>0.19047619047619</v>
      </c>
      <c r="V16" s="120" t="n">
        <v>0.142857142857143</v>
      </c>
      <c r="W16" s="121" t="n">
        <v>0.295238095238095</v>
      </c>
      <c r="X16" s="110" t="n">
        <f aca="false">$F16*L16</f>
        <v>0</v>
      </c>
      <c r="Y16" s="111" t="n">
        <f aca="false">$F16*M16</f>
        <v>0</v>
      </c>
      <c r="Z16" s="111" t="n">
        <f aca="false">$F16*N16</f>
        <v>0</v>
      </c>
      <c r="AA16" s="111" t="n">
        <f aca="false">$F16*O16</f>
        <v>0</v>
      </c>
      <c r="AB16" s="111" t="n">
        <f aca="false">$F16*P16</f>
        <v>0</v>
      </c>
      <c r="AC16" s="112" t="n">
        <f aca="false">$F16*Q16</f>
        <v>0</v>
      </c>
      <c r="AD16" s="110" t="n">
        <f aca="false">$J16*R16</f>
        <v>0.742857142857143</v>
      </c>
      <c r="AE16" s="111" t="n">
        <f aca="false">$J16*S16</f>
        <v>0.914285714285714</v>
      </c>
      <c r="AF16" s="111" t="n">
        <f aca="false">$J16*T16</f>
        <v>0.571428571428571</v>
      </c>
      <c r="AG16" s="111" t="n">
        <f aca="false">$J16*U16</f>
        <v>1.14285714285714</v>
      </c>
      <c r="AH16" s="111" t="n">
        <f aca="false">$J16*V16</f>
        <v>0.857142857142857</v>
      </c>
      <c r="AI16" s="112" t="n">
        <f aca="false">$J16*W16</f>
        <v>1.77142857142857</v>
      </c>
      <c r="AJ16" s="116" t="n">
        <f aca="false">Input!$E$22*WRs!C16+Input!$E$23*WRs!D16+Input!$E$24*WRs!X16+Input!$E$25*WRs!Y16+Input!$E$26*WRs!Z16+Input!$E$27*WRs!AA16+Input!$E$28*WRs!AB16+Input!$E$29*WRs!AC16+Input!$E$30*WRs!E16+Input!$E$31*WRs!G16+Input!$E$32*WRs!H16+Input!$E$33*WRs!AD16+Input!$E$34*WRs!AE16+Input!$E$35*WRs!AF16+Input!$E$36*WRs!AG16+Input!$E$37*WRs!AH16+Input!$E$38*WRs!AI16+Input!$E$39*WRs!I16+Input!$E$40*WRs!K16</f>
        <v>185.382857142857</v>
      </c>
    </row>
    <row r="17" customFormat="false" ht="12.75" hidden="false" customHeight="false" outlineLevel="0" collapsed="false">
      <c r="A17" s="141" t="s">
        <v>356</v>
      </c>
      <c r="B17" s="112" t="s">
        <v>182</v>
      </c>
      <c r="C17" s="98" t="n">
        <v>3</v>
      </c>
      <c r="D17" s="96" t="n">
        <f aca="false">9.4*C17</f>
        <v>28.2</v>
      </c>
      <c r="E17" s="96" t="n">
        <v>0</v>
      </c>
      <c r="F17" s="97" t="n">
        <v>0</v>
      </c>
      <c r="G17" s="98" t="n">
        <v>70</v>
      </c>
      <c r="H17" s="96" t="n">
        <f aca="false">13.4*G17</f>
        <v>938</v>
      </c>
      <c r="I17" s="96" t="n">
        <v>3</v>
      </c>
      <c r="J17" s="97" t="n">
        <v>8</v>
      </c>
      <c r="K17" s="96" t="n">
        <v>1</v>
      </c>
      <c r="L17" s="107" t="n">
        <v>0.727272727272727</v>
      </c>
      <c r="M17" s="108" t="n">
        <v>0.0979020979020979</v>
      </c>
      <c r="N17" s="108" t="n">
        <v>0.0629370629370629</v>
      </c>
      <c r="O17" s="108" t="n">
        <v>0.020979020979021</v>
      </c>
      <c r="P17" s="108" t="n">
        <v>0.027972027972028</v>
      </c>
      <c r="Q17" s="109" t="n">
        <v>0.0629370629370629</v>
      </c>
      <c r="R17" s="107" t="n">
        <v>0.206896551724138</v>
      </c>
      <c r="S17" s="108" t="n">
        <v>0.310344827586207</v>
      </c>
      <c r="T17" s="108" t="n">
        <v>0.224137931034483</v>
      </c>
      <c r="U17" s="108" t="n">
        <v>0.0517241379310345</v>
      </c>
      <c r="V17" s="108" t="n">
        <v>0.137931034482759</v>
      </c>
      <c r="W17" s="109" t="n">
        <v>0.0689655172413793</v>
      </c>
      <c r="X17" s="110" t="n">
        <f aca="false">$F17*L17</f>
        <v>0</v>
      </c>
      <c r="Y17" s="111" t="n">
        <f aca="false">$F17*M17</f>
        <v>0</v>
      </c>
      <c r="Z17" s="111" t="n">
        <f aca="false">$F17*N17</f>
        <v>0</v>
      </c>
      <c r="AA17" s="111" t="n">
        <f aca="false">$F17*O17</f>
        <v>0</v>
      </c>
      <c r="AB17" s="111" t="n">
        <f aca="false">$F17*P17</f>
        <v>0</v>
      </c>
      <c r="AC17" s="112" t="n">
        <f aca="false">$F17*Q17</f>
        <v>0</v>
      </c>
      <c r="AD17" s="110" t="n">
        <f aca="false">$J17*R17</f>
        <v>1.6551724137931</v>
      </c>
      <c r="AE17" s="111" t="n">
        <f aca="false">$J17*S17</f>
        <v>2.48275862068966</v>
      </c>
      <c r="AF17" s="111" t="n">
        <f aca="false">$J17*T17</f>
        <v>1.79310344827586</v>
      </c>
      <c r="AG17" s="111" t="n">
        <f aca="false">$J17*U17</f>
        <v>0.413793103448276</v>
      </c>
      <c r="AH17" s="111" t="n">
        <f aca="false">$J17*V17</f>
        <v>1.10344827586207</v>
      </c>
      <c r="AI17" s="112" t="n">
        <f aca="false">$J17*W17</f>
        <v>0.551724137931035</v>
      </c>
      <c r="AJ17" s="116" t="n">
        <f aca="false">Input!$E$22*WRs!C17+Input!$E$23*WRs!D17+Input!$E$24*WRs!X17+Input!$E$25*WRs!Y17+Input!$E$26*WRs!Z17+Input!$E$27*WRs!AA17+Input!$E$28*WRs!AB17+Input!$E$29*WRs!AC17+Input!$E$30*WRs!E17+Input!$E$31*WRs!G17+Input!$E$32*WRs!H17+Input!$E$33*WRs!AD17+Input!$E$34*WRs!AE17+Input!$E$35*WRs!AF17+Input!$E$36*WRs!AG17+Input!$E$37*WRs!AH17+Input!$E$38*WRs!AI17+Input!$E$39*WRs!I17+Input!$E$40*WRs!K17</f>
        <v>167.654482758621</v>
      </c>
    </row>
    <row r="18" customFormat="false" ht="12.75" hidden="false" customHeight="false" outlineLevel="0" collapsed="false">
      <c r="A18" s="141" t="s">
        <v>357</v>
      </c>
      <c r="B18" s="112" t="s">
        <v>156</v>
      </c>
      <c r="C18" s="98" t="n">
        <v>0</v>
      </c>
      <c r="D18" s="96" t="n">
        <v>0</v>
      </c>
      <c r="E18" s="96" t="n">
        <v>0</v>
      </c>
      <c r="F18" s="97" t="n">
        <v>0</v>
      </c>
      <c r="G18" s="98" t="n">
        <v>78</v>
      </c>
      <c r="H18" s="96" t="n">
        <f aca="false">13.3*G18</f>
        <v>1037.4</v>
      </c>
      <c r="I18" s="96" t="n">
        <v>5</v>
      </c>
      <c r="J18" s="97" t="n">
        <v>8</v>
      </c>
      <c r="K18" s="96" t="n">
        <v>1</v>
      </c>
      <c r="L18" s="107" t="n">
        <v>0.727272727272727</v>
      </c>
      <c r="M18" s="108" t="n">
        <v>0.0979020979020979</v>
      </c>
      <c r="N18" s="108" t="n">
        <v>0.0629370629370629</v>
      </c>
      <c r="O18" s="108" t="n">
        <v>0.020979020979021</v>
      </c>
      <c r="P18" s="108" t="n">
        <v>0.027972027972028</v>
      </c>
      <c r="Q18" s="109" t="n">
        <v>0.0629370629370629</v>
      </c>
      <c r="R18" s="107" t="n">
        <v>0.206896551724138</v>
      </c>
      <c r="S18" s="108" t="n">
        <v>0.310344827586207</v>
      </c>
      <c r="T18" s="108" t="n">
        <v>0.224137931034483</v>
      </c>
      <c r="U18" s="108" t="n">
        <v>0.0517241379310345</v>
      </c>
      <c r="V18" s="108" t="n">
        <v>0.137931034482759</v>
      </c>
      <c r="W18" s="109" t="n">
        <v>0.0689655172413793</v>
      </c>
      <c r="X18" s="110" t="n">
        <f aca="false">$F18*L18</f>
        <v>0</v>
      </c>
      <c r="Y18" s="111" t="n">
        <f aca="false">$F18*M18</f>
        <v>0</v>
      </c>
      <c r="Z18" s="111" t="n">
        <f aca="false">$F18*N18</f>
        <v>0</v>
      </c>
      <c r="AA18" s="111" t="n">
        <f aca="false">$F18*O18</f>
        <v>0</v>
      </c>
      <c r="AB18" s="111" t="n">
        <f aca="false">$F18*P18</f>
        <v>0</v>
      </c>
      <c r="AC18" s="112" t="n">
        <f aca="false">$F18*Q18</f>
        <v>0</v>
      </c>
      <c r="AD18" s="110" t="n">
        <f aca="false">$J18*R18</f>
        <v>1.6551724137931</v>
      </c>
      <c r="AE18" s="111" t="n">
        <f aca="false">$J18*S18</f>
        <v>2.48275862068966</v>
      </c>
      <c r="AF18" s="111" t="n">
        <f aca="false">$J18*T18</f>
        <v>1.79310344827586</v>
      </c>
      <c r="AG18" s="111" t="n">
        <f aca="false">$J18*U18</f>
        <v>0.413793103448276</v>
      </c>
      <c r="AH18" s="111" t="n">
        <f aca="false">$J18*V18</f>
        <v>1.10344827586207</v>
      </c>
      <c r="AI18" s="112" t="n">
        <f aca="false">$J18*W18</f>
        <v>0.551724137931035</v>
      </c>
      <c r="AJ18" s="116" t="n">
        <f aca="false">Input!$E$22*WRs!C18+Input!$E$23*WRs!D18+Input!$E$24*WRs!X18+Input!$E$25*WRs!Y18+Input!$E$26*WRs!Z18+Input!$E$27*WRs!AA18+Input!$E$28*WRs!AB18+Input!$E$29*WRs!AC18+Input!$E$30*WRs!E18+Input!$E$31*WRs!G18+Input!$E$32*WRs!H18+Input!$E$33*WRs!AD18+Input!$E$34*WRs!AE18+Input!$E$35*WRs!AF18+Input!$E$36*WRs!AG18+Input!$E$37*WRs!AH18+Input!$E$38*WRs!AI18+Input!$E$39*WRs!I18+Input!$E$40*WRs!K18</f>
        <v>180.774482758621</v>
      </c>
    </row>
    <row r="19" customFormat="false" ht="12.75" hidden="false" customHeight="false" outlineLevel="0" collapsed="false">
      <c r="A19" s="141" t="s">
        <v>358</v>
      </c>
      <c r="B19" s="112" t="s">
        <v>162</v>
      </c>
      <c r="C19" s="98" t="n">
        <v>0</v>
      </c>
      <c r="D19" s="96" t="n">
        <v>0</v>
      </c>
      <c r="E19" s="96" t="n">
        <v>0</v>
      </c>
      <c r="F19" s="97" t="n">
        <v>0</v>
      </c>
      <c r="G19" s="98" t="n">
        <v>75</v>
      </c>
      <c r="H19" s="96" t="n">
        <f aca="false">14.3*G19</f>
        <v>1072.5</v>
      </c>
      <c r="I19" s="96" t="n">
        <v>4</v>
      </c>
      <c r="J19" s="97" t="n">
        <v>8</v>
      </c>
      <c r="K19" s="96" t="n">
        <v>1</v>
      </c>
      <c r="L19" s="107" t="n">
        <v>0.727272727272727</v>
      </c>
      <c r="M19" s="108" t="n">
        <v>0.0979020979020979</v>
      </c>
      <c r="N19" s="108" t="n">
        <v>0.0629370629370629</v>
      </c>
      <c r="O19" s="108" t="n">
        <v>0.020979020979021</v>
      </c>
      <c r="P19" s="108" t="n">
        <v>0.027972027972028</v>
      </c>
      <c r="Q19" s="109" t="n">
        <v>0.0629370629370629</v>
      </c>
      <c r="R19" s="107" t="n">
        <v>0.206896551724138</v>
      </c>
      <c r="S19" s="108" t="n">
        <v>0.310344827586207</v>
      </c>
      <c r="T19" s="108" t="n">
        <v>0.224137931034483</v>
      </c>
      <c r="U19" s="108" t="n">
        <v>0.0517241379310345</v>
      </c>
      <c r="V19" s="108" t="n">
        <v>0.137931034482759</v>
      </c>
      <c r="W19" s="109" t="n">
        <v>0.0689655172413793</v>
      </c>
      <c r="X19" s="110" t="n">
        <f aca="false">$F19*L19</f>
        <v>0</v>
      </c>
      <c r="Y19" s="111" t="n">
        <f aca="false">$F19*M19</f>
        <v>0</v>
      </c>
      <c r="Z19" s="111" t="n">
        <f aca="false">$F19*N19</f>
        <v>0</v>
      </c>
      <c r="AA19" s="111" t="n">
        <f aca="false">$F19*O19</f>
        <v>0</v>
      </c>
      <c r="AB19" s="111" t="n">
        <f aca="false">$F19*P19</f>
        <v>0</v>
      </c>
      <c r="AC19" s="112" t="n">
        <f aca="false">$F19*Q19</f>
        <v>0</v>
      </c>
      <c r="AD19" s="110" t="n">
        <f aca="false">$J19*R19</f>
        <v>1.6551724137931</v>
      </c>
      <c r="AE19" s="111" t="n">
        <f aca="false">$J19*S19</f>
        <v>2.48275862068966</v>
      </c>
      <c r="AF19" s="111" t="n">
        <f aca="false">$J19*T19</f>
        <v>1.79310344827586</v>
      </c>
      <c r="AG19" s="111" t="n">
        <f aca="false">$J19*U19</f>
        <v>0.413793103448276</v>
      </c>
      <c r="AH19" s="111" t="n">
        <f aca="false">$J19*V19</f>
        <v>1.10344827586207</v>
      </c>
      <c r="AI19" s="112" t="n">
        <f aca="false">$J19*W19</f>
        <v>0.551724137931035</v>
      </c>
      <c r="AJ19" s="116" t="n">
        <f aca="false">Input!$E$22*WRs!C19+Input!$E$23*WRs!D19+Input!$E$24*WRs!X19+Input!$E$25*WRs!Y19+Input!$E$26*WRs!Z19+Input!$E$27*WRs!AA19+Input!$E$28*WRs!AB19+Input!$E$29*WRs!AC19+Input!$E$30*WRs!E19+Input!$E$31*WRs!G19+Input!$E$32*WRs!H19+Input!$E$33*WRs!AD19+Input!$E$34*WRs!AE19+Input!$E$35*WRs!AF19+Input!$E$36*WRs!AG19+Input!$E$37*WRs!AH19+Input!$E$38*WRs!AI19+Input!$E$39*WRs!I19+Input!$E$40*WRs!K19</f>
        <v>181.284482758621</v>
      </c>
    </row>
    <row r="20" customFormat="false" ht="12.75" hidden="false" customHeight="false" outlineLevel="0" collapsed="false">
      <c r="A20" s="141" t="s">
        <v>359</v>
      </c>
      <c r="B20" s="112" t="s">
        <v>148</v>
      </c>
      <c r="C20" s="98" t="n">
        <v>1</v>
      </c>
      <c r="D20" s="96" t="n">
        <v>8</v>
      </c>
      <c r="E20" s="96" t="n">
        <v>0</v>
      </c>
      <c r="F20" s="97" t="n">
        <v>0</v>
      </c>
      <c r="G20" s="98" t="n">
        <v>70</v>
      </c>
      <c r="H20" s="96" t="n">
        <f aca="false">14.9*G20</f>
        <v>1043</v>
      </c>
      <c r="I20" s="96" t="n">
        <v>3</v>
      </c>
      <c r="J20" s="97" t="n">
        <v>8</v>
      </c>
      <c r="K20" s="96" t="n">
        <v>1</v>
      </c>
      <c r="L20" s="107" t="n">
        <v>0.727272727272727</v>
      </c>
      <c r="M20" s="108" t="n">
        <v>0.0979020979020979</v>
      </c>
      <c r="N20" s="108" t="n">
        <v>0.0629370629370629</v>
      </c>
      <c r="O20" s="108" t="n">
        <v>0.020979020979021</v>
      </c>
      <c r="P20" s="108" t="n">
        <v>0.027972027972028</v>
      </c>
      <c r="Q20" s="109" t="n">
        <v>0.0629370629370629</v>
      </c>
      <c r="R20" s="107" t="n">
        <v>0.369747899159664</v>
      </c>
      <c r="S20" s="108" t="n">
        <v>0.252100840336134</v>
      </c>
      <c r="T20" s="108" t="n">
        <v>0.210084033613445</v>
      </c>
      <c r="U20" s="108" t="n">
        <v>0.0588235294117647</v>
      </c>
      <c r="V20" s="108" t="n">
        <v>0.0756302521008403</v>
      </c>
      <c r="W20" s="109" t="n">
        <v>0.0420168067226891</v>
      </c>
      <c r="X20" s="110" t="n">
        <f aca="false">$F20*L20</f>
        <v>0</v>
      </c>
      <c r="Y20" s="111" t="n">
        <f aca="false">$F20*M20</f>
        <v>0</v>
      </c>
      <c r="Z20" s="111" t="n">
        <f aca="false">$F20*N20</f>
        <v>0</v>
      </c>
      <c r="AA20" s="111" t="n">
        <f aca="false">$F20*O20</f>
        <v>0</v>
      </c>
      <c r="AB20" s="111" t="n">
        <f aca="false">$F20*P20</f>
        <v>0</v>
      </c>
      <c r="AC20" s="112" t="n">
        <f aca="false">$F20*Q20</f>
        <v>0</v>
      </c>
      <c r="AD20" s="110" t="n">
        <f aca="false">$J20*R20</f>
        <v>2.95798319327731</v>
      </c>
      <c r="AE20" s="111" t="n">
        <f aca="false">$J20*S20</f>
        <v>2.01680672268908</v>
      </c>
      <c r="AF20" s="111" t="n">
        <f aca="false">$J20*T20</f>
        <v>1.68067226890756</v>
      </c>
      <c r="AG20" s="111" t="n">
        <f aca="false">$J20*U20</f>
        <v>0.470588235294118</v>
      </c>
      <c r="AH20" s="111" t="n">
        <f aca="false">$J20*V20</f>
        <v>0.605042016806723</v>
      </c>
      <c r="AI20" s="112" t="n">
        <f aca="false">$J20*W20</f>
        <v>0.336134453781513</v>
      </c>
      <c r="AJ20" s="116" t="n">
        <f aca="false">Input!$E$22*WRs!C20+Input!$E$23*WRs!D20+Input!$E$24*WRs!X20+Input!$E$25*WRs!Y20+Input!$E$26*WRs!Z20+Input!$E$27*WRs!AA20+Input!$E$28*WRs!AB20+Input!$E$29*WRs!AC20+Input!$E$30*WRs!E20+Input!$E$31*WRs!G20+Input!$E$32*WRs!H20+Input!$E$33*WRs!AD20+Input!$E$34*WRs!AE20+Input!$E$35*WRs!AF20+Input!$E$36*WRs!AG20+Input!$E$37*WRs!AH20+Input!$E$38*WRs!AI20+Input!$E$39*WRs!I20+Input!$E$40*WRs!K20</f>
        <v>172.73025210084</v>
      </c>
    </row>
    <row r="21" customFormat="false" ht="12.75" hidden="false" customHeight="false" outlineLevel="0" collapsed="false">
      <c r="A21" s="141" t="s">
        <v>360</v>
      </c>
      <c r="B21" s="112" t="s">
        <v>146</v>
      </c>
      <c r="C21" s="98" t="n">
        <v>2</v>
      </c>
      <c r="D21" s="96" t="n">
        <f aca="false">4*C21</f>
        <v>8</v>
      </c>
      <c r="E21" s="96" t="n">
        <v>0</v>
      </c>
      <c r="F21" s="97" t="n">
        <v>0</v>
      </c>
      <c r="G21" s="98" t="n">
        <v>80</v>
      </c>
      <c r="H21" s="96" t="n">
        <f aca="false">13*G21</f>
        <v>1040</v>
      </c>
      <c r="I21" s="96" t="n">
        <v>5</v>
      </c>
      <c r="J21" s="97" t="n">
        <v>8</v>
      </c>
      <c r="K21" s="96" t="n">
        <v>1</v>
      </c>
      <c r="L21" s="107" t="n">
        <v>0.727272727272727</v>
      </c>
      <c r="M21" s="108" t="n">
        <v>0.0979020979020979</v>
      </c>
      <c r="N21" s="108" t="n">
        <v>0.0629370629370629</v>
      </c>
      <c r="O21" s="108" t="n">
        <v>0.020979020979021</v>
      </c>
      <c r="P21" s="108" t="n">
        <v>0.027972027972028</v>
      </c>
      <c r="Q21" s="109" t="n">
        <v>0.0629370629370629</v>
      </c>
      <c r="R21" s="107" t="n">
        <v>0.206896551724138</v>
      </c>
      <c r="S21" s="108" t="n">
        <v>0.310344827586207</v>
      </c>
      <c r="T21" s="108" t="n">
        <v>0.224137931034483</v>
      </c>
      <c r="U21" s="108" t="n">
        <v>0.0517241379310345</v>
      </c>
      <c r="V21" s="108" t="n">
        <v>0.137931034482759</v>
      </c>
      <c r="W21" s="109" t="n">
        <v>0.0689655172413793</v>
      </c>
      <c r="X21" s="110" t="n">
        <f aca="false">$F21*L21</f>
        <v>0</v>
      </c>
      <c r="Y21" s="111" t="n">
        <f aca="false">$F21*M21</f>
        <v>0</v>
      </c>
      <c r="Z21" s="111" t="n">
        <f aca="false">$F21*N21</f>
        <v>0</v>
      </c>
      <c r="AA21" s="111" t="n">
        <f aca="false">$F21*O21</f>
        <v>0</v>
      </c>
      <c r="AB21" s="111" t="n">
        <f aca="false">$F21*P21</f>
        <v>0</v>
      </c>
      <c r="AC21" s="112" t="n">
        <f aca="false">$F21*Q21</f>
        <v>0</v>
      </c>
      <c r="AD21" s="110" t="n">
        <f aca="false">$J21*R21</f>
        <v>1.6551724137931</v>
      </c>
      <c r="AE21" s="111" t="n">
        <f aca="false">$J21*S21</f>
        <v>2.48275862068966</v>
      </c>
      <c r="AF21" s="111" t="n">
        <f aca="false">$J21*T21</f>
        <v>1.79310344827586</v>
      </c>
      <c r="AG21" s="111" t="n">
        <f aca="false">$J21*U21</f>
        <v>0.413793103448276</v>
      </c>
      <c r="AH21" s="111" t="n">
        <f aca="false">$J21*V21</f>
        <v>1.10344827586207</v>
      </c>
      <c r="AI21" s="112" t="n">
        <f aca="false">$J21*W21</f>
        <v>0.551724137931035</v>
      </c>
      <c r="AJ21" s="116" t="n">
        <f aca="false">Input!$E$22*WRs!C21+Input!$E$23*WRs!D21+Input!$E$24*WRs!X21+Input!$E$25*WRs!Y21+Input!$E$26*WRs!Z21+Input!$E$27*WRs!AA21+Input!$E$28*WRs!AB21+Input!$E$29*WRs!AC21+Input!$E$30*WRs!E21+Input!$E$31*WRs!G21+Input!$E$32*WRs!H21+Input!$E$33*WRs!AD21+Input!$E$34*WRs!AE21+Input!$E$35*WRs!AF21+Input!$E$36*WRs!AG21+Input!$E$37*WRs!AH21+Input!$E$38*WRs!AI21+Input!$E$39*WRs!I21+Input!$E$40*WRs!K21</f>
        <v>181.834482758621</v>
      </c>
    </row>
    <row r="22" customFormat="false" ht="12.75" hidden="false" customHeight="false" outlineLevel="0" collapsed="false">
      <c r="A22" s="141" t="s">
        <v>361</v>
      </c>
      <c r="B22" s="112" t="s">
        <v>192</v>
      </c>
      <c r="C22" s="98" t="n">
        <v>0</v>
      </c>
      <c r="D22" s="96" t="n">
        <v>0</v>
      </c>
      <c r="E22" s="96" t="n">
        <v>0</v>
      </c>
      <c r="F22" s="97" t="n">
        <v>0</v>
      </c>
      <c r="G22" s="98" t="n">
        <v>0</v>
      </c>
      <c r="H22" s="96" t="n">
        <v>0</v>
      </c>
      <c r="I22" s="96" t="n">
        <v>0</v>
      </c>
      <c r="J22" s="97" t="n">
        <v>0</v>
      </c>
      <c r="K22" s="96" t="n">
        <v>0</v>
      </c>
      <c r="L22" s="107" t="n">
        <v>0.727272727272727</v>
      </c>
      <c r="M22" s="108" t="n">
        <v>0.0979020979020979</v>
      </c>
      <c r="N22" s="108" t="n">
        <v>0.0629370629370629</v>
      </c>
      <c r="O22" s="108" t="n">
        <v>0.020979020979021</v>
      </c>
      <c r="P22" s="108" t="n">
        <v>0.027972027972028</v>
      </c>
      <c r="Q22" s="109" t="n">
        <v>0.0629370629370629</v>
      </c>
      <c r="R22" s="119" t="n">
        <v>0.123809523809524</v>
      </c>
      <c r="S22" s="120" t="n">
        <v>0.152380952380952</v>
      </c>
      <c r="T22" s="120" t="n">
        <v>0.0952380952380952</v>
      </c>
      <c r="U22" s="120" t="n">
        <v>0.19047619047619</v>
      </c>
      <c r="V22" s="120" t="n">
        <v>0.142857142857143</v>
      </c>
      <c r="W22" s="121" t="n">
        <v>0.295238095238095</v>
      </c>
      <c r="X22" s="110" t="n">
        <f aca="false">$F22*L22</f>
        <v>0</v>
      </c>
      <c r="Y22" s="111" t="n">
        <f aca="false">$F22*M22</f>
        <v>0</v>
      </c>
      <c r="Z22" s="111" t="n">
        <f aca="false">$F22*N22</f>
        <v>0</v>
      </c>
      <c r="AA22" s="111" t="n">
        <f aca="false">$F22*O22</f>
        <v>0</v>
      </c>
      <c r="AB22" s="111" t="n">
        <f aca="false">$F22*P22</f>
        <v>0</v>
      </c>
      <c r="AC22" s="112" t="n">
        <f aca="false">$F22*Q22</f>
        <v>0</v>
      </c>
      <c r="AD22" s="110" t="n">
        <f aca="false">$J22*R22</f>
        <v>0</v>
      </c>
      <c r="AE22" s="111" t="n">
        <f aca="false">$J22*S22</f>
        <v>0</v>
      </c>
      <c r="AF22" s="111" t="n">
        <f aca="false">$J22*T22</f>
        <v>0</v>
      </c>
      <c r="AG22" s="111" t="n">
        <f aca="false">$J22*U22</f>
        <v>0</v>
      </c>
      <c r="AH22" s="111" t="n">
        <f aca="false">$J22*V22</f>
        <v>0</v>
      </c>
      <c r="AI22" s="112" t="n">
        <f aca="false">$J22*W22</f>
        <v>0</v>
      </c>
      <c r="AJ22" s="116" t="n">
        <f aca="false">Input!$E$22*WRs!C22+Input!$E$23*WRs!D22+Input!$E$24*WRs!X22+Input!$E$25*WRs!Y22+Input!$E$26*WRs!Z22+Input!$E$27*WRs!AA22+Input!$E$28*WRs!AB22+Input!$E$29*WRs!AC22+Input!$E$30*WRs!E22+Input!$E$31*WRs!G22+Input!$E$32*WRs!H22+Input!$E$33*WRs!AD22+Input!$E$34*WRs!AE22+Input!$E$35*WRs!AF22+Input!$E$36*WRs!AG22+Input!$E$37*WRs!AH22+Input!$E$38*WRs!AI22+Input!$E$39*WRs!I22+Input!$E$40*WRs!K22</f>
        <v>0</v>
      </c>
    </row>
    <row r="23" customFormat="false" ht="12.75" hidden="false" customHeight="false" outlineLevel="0" collapsed="false">
      <c r="A23" s="141" t="s">
        <v>362</v>
      </c>
      <c r="B23" s="112" t="s">
        <v>180</v>
      </c>
      <c r="C23" s="98" t="n">
        <v>0</v>
      </c>
      <c r="D23" s="96" t="n">
        <v>0</v>
      </c>
      <c r="E23" s="96" t="n">
        <v>0</v>
      </c>
      <c r="F23" s="97" t="n">
        <v>0</v>
      </c>
      <c r="G23" s="98" t="n">
        <v>65</v>
      </c>
      <c r="H23" s="96" t="n">
        <f aca="false">16.4*G23</f>
        <v>1066</v>
      </c>
      <c r="I23" s="96" t="n">
        <v>2</v>
      </c>
      <c r="J23" s="97" t="n">
        <v>7</v>
      </c>
      <c r="K23" s="96" t="n">
        <v>1</v>
      </c>
      <c r="L23" s="107" t="n">
        <v>0.727272727272727</v>
      </c>
      <c r="M23" s="108" t="n">
        <v>0.0979020979020979</v>
      </c>
      <c r="N23" s="108" t="n">
        <v>0.0629370629370629</v>
      </c>
      <c r="O23" s="108" t="n">
        <v>0.020979020979021</v>
      </c>
      <c r="P23" s="108" t="n">
        <v>0.027972027972028</v>
      </c>
      <c r="Q23" s="109" t="n">
        <v>0.0629370629370629</v>
      </c>
      <c r="R23" s="107" t="n">
        <v>0.206896551724138</v>
      </c>
      <c r="S23" s="108" t="n">
        <v>0.310344827586207</v>
      </c>
      <c r="T23" s="108" t="n">
        <v>0.224137931034483</v>
      </c>
      <c r="U23" s="108" t="n">
        <v>0.0517241379310345</v>
      </c>
      <c r="V23" s="108" t="n">
        <v>0.137931034482759</v>
      </c>
      <c r="W23" s="109" t="n">
        <v>0.0689655172413793</v>
      </c>
      <c r="X23" s="110" t="n">
        <f aca="false">$F23*L23</f>
        <v>0</v>
      </c>
      <c r="Y23" s="111" t="n">
        <f aca="false">$F23*M23</f>
        <v>0</v>
      </c>
      <c r="Z23" s="111" t="n">
        <f aca="false">$F23*N23</f>
        <v>0</v>
      </c>
      <c r="AA23" s="111" t="n">
        <f aca="false">$F23*O23</f>
        <v>0</v>
      </c>
      <c r="AB23" s="111" t="n">
        <f aca="false">$F23*P23</f>
        <v>0</v>
      </c>
      <c r="AC23" s="112" t="n">
        <f aca="false">$F23*Q23</f>
        <v>0</v>
      </c>
      <c r="AD23" s="110" t="n">
        <f aca="false">$J23*R23</f>
        <v>1.44827586206897</v>
      </c>
      <c r="AE23" s="111" t="n">
        <f aca="false">$J23*S23</f>
        <v>2.17241379310345</v>
      </c>
      <c r="AF23" s="111" t="n">
        <f aca="false">$J23*T23</f>
        <v>1.56896551724138</v>
      </c>
      <c r="AG23" s="111" t="n">
        <f aca="false">$J23*U23</f>
        <v>0.362068965517241</v>
      </c>
      <c r="AH23" s="111" t="n">
        <f aca="false">$J23*V23</f>
        <v>0.96551724137931</v>
      </c>
      <c r="AI23" s="112" t="n">
        <f aca="false">$J23*W23</f>
        <v>0.482758620689655</v>
      </c>
      <c r="AJ23" s="116" t="n">
        <f aca="false">Input!$E$22*WRs!C23+Input!$E$23*WRs!D23+Input!$E$24*WRs!X23+Input!$E$25*WRs!Y23+Input!$E$26*WRs!Z23+Input!$E$27*WRs!AA23+Input!$E$28*WRs!AB23+Input!$E$29*WRs!AC23+Input!$E$30*WRs!E23+Input!$E$31*WRs!G23+Input!$E$32*WRs!H23+Input!$E$33*WRs!AD23+Input!$E$34*WRs!AE23+Input!$E$35*WRs!AF23+Input!$E$36*WRs!AG23+Input!$E$37*WRs!AH23+Input!$E$38*WRs!AI23+Input!$E$39*WRs!I23+Input!$E$40*WRs!K23</f>
        <v>166.755172413793</v>
      </c>
    </row>
    <row r="24" customFormat="false" ht="12.75" hidden="false" customHeight="false" outlineLevel="0" collapsed="false">
      <c r="A24" s="141" t="s">
        <v>363</v>
      </c>
      <c r="B24" s="112" t="s">
        <v>150</v>
      </c>
      <c r="C24" s="98" t="n">
        <v>0</v>
      </c>
      <c r="D24" s="96" t="n">
        <v>0</v>
      </c>
      <c r="E24" s="96" t="n">
        <v>0</v>
      </c>
      <c r="F24" s="97" t="n">
        <v>0</v>
      </c>
      <c r="G24" s="98" t="n">
        <v>60</v>
      </c>
      <c r="H24" s="96" t="n">
        <f aca="false">17.4*G24</f>
        <v>1044</v>
      </c>
      <c r="I24" s="96" t="n">
        <v>4</v>
      </c>
      <c r="J24" s="97" t="n">
        <v>7</v>
      </c>
      <c r="K24" s="96" t="n">
        <v>1</v>
      </c>
      <c r="L24" s="107" t="n">
        <v>0.727272727272727</v>
      </c>
      <c r="M24" s="108" t="n">
        <v>0.0979020979020979</v>
      </c>
      <c r="N24" s="108" t="n">
        <v>0.0629370629370629</v>
      </c>
      <c r="O24" s="108" t="n">
        <v>0.020979020979021</v>
      </c>
      <c r="P24" s="108" t="n">
        <v>0.027972027972028</v>
      </c>
      <c r="Q24" s="109" t="n">
        <v>0.0629370629370629</v>
      </c>
      <c r="R24" s="119" t="n">
        <v>0.123809523809524</v>
      </c>
      <c r="S24" s="120" t="n">
        <v>0.152380952380952</v>
      </c>
      <c r="T24" s="120" t="n">
        <v>0.0952380952380952</v>
      </c>
      <c r="U24" s="120" t="n">
        <v>0.19047619047619</v>
      </c>
      <c r="V24" s="120" t="n">
        <v>0.142857142857143</v>
      </c>
      <c r="W24" s="121" t="n">
        <v>0.295238095238095</v>
      </c>
      <c r="X24" s="110" t="n">
        <f aca="false">$F24*L24</f>
        <v>0</v>
      </c>
      <c r="Y24" s="111" t="n">
        <f aca="false">$F24*M24</f>
        <v>0</v>
      </c>
      <c r="Z24" s="111" t="n">
        <f aca="false">$F24*N24</f>
        <v>0</v>
      </c>
      <c r="AA24" s="111" t="n">
        <f aca="false">$F24*O24</f>
        <v>0</v>
      </c>
      <c r="AB24" s="111" t="n">
        <f aca="false">$F24*P24</f>
        <v>0</v>
      </c>
      <c r="AC24" s="112" t="n">
        <f aca="false">$F24*Q24</f>
        <v>0</v>
      </c>
      <c r="AD24" s="110" t="n">
        <f aca="false">$J24*R24</f>
        <v>0.866666666666667</v>
      </c>
      <c r="AE24" s="111" t="n">
        <f aca="false">$J24*S24</f>
        <v>1.06666666666667</v>
      </c>
      <c r="AF24" s="111" t="n">
        <f aca="false">$J24*T24</f>
        <v>0.666666666666667</v>
      </c>
      <c r="AG24" s="111" t="n">
        <f aca="false">$J24*U24</f>
        <v>1.33333333333333</v>
      </c>
      <c r="AH24" s="111" t="n">
        <f aca="false">$J24*V24</f>
        <v>1</v>
      </c>
      <c r="AI24" s="112" t="n">
        <f aca="false">$J24*W24</f>
        <v>2.06666666666667</v>
      </c>
      <c r="AJ24" s="116" t="n">
        <f aca="false">Input!$E$22*WRs!C24+Input!$E$23*WRs!D24+Input!$E$24*WRs!X24+Input!$E$25*WRs!Y24+Input!$E$26*WRs!Z24+Input!$E$27*WRs!AA24+Input!$E$28*WRs!AB24+Input!$E$29*WRs!AC24+Input!$E$30*WRs!E24+Input!$E$31*WRs!G24+Input!$E$32*WRs!H24+Input!$E$33*WRs!AD24+Input!$E$34*WRs!AE24+Input!$E$35*WRs!AF24+Input!$E$36*WRs!AG24+Input!$E$37*WRs!AH24+Input!$E$38*WRs!AI24+Input!$E$39*WRs!I24+Input!$E$40*WRs!K24</f>
        <v>180.2</v>
      </c>
    </row>
    <row r="25" customFormat="false" ht="12.75" hidden="false" customHeight="false" outlineLevel="0" collapsed="false">
      <c r="A25" s="141" t="s">
        <v>364</v>
      </c>
      <c r="B25" s="112" t="s">
        <v>186</v>
      </c>
      <c r="C25" s="98" t="n">
        <v>1</v>
      </c>
      <c r="D25" s="96" t="n">
        <v>6</v>
      </c>
      <c r="E25" s="96" t="n">
        <v>0</v>
      </c>
      <c r="F25" s="97" t="n">
        <v>0</v>
      </c>
      <c r="G25" s="98" t="n">
        <v>75</v>
      </c>
      <c r="H25" s="96" t="n">
        <f aca="false">12.9*G25</f>
        <v>967.5</v>
      </c>
      <c r="I25" s="96" t="n">
        <v>2</v>
      </c>
      <c r="J25" s="97" t="n">
        <v>8</v>
      </c>
      <c r="K25" s="96" t="n">
        <v>1</v>
      </c>
      <c r="L25" s="107" t="n">
        <v>0.727272727272727</v>
      </c>
      <c r="M25" s="108" t="n">
        <v>0.0979020979020979</v>
      </c>
      <c r="N25" s="108" t="n">
        <v>0.0629370629370629</v>
      </c>
      <c r="O25" s="108" t="n">
        <v>0.020979020979021</v>
      </c>
      <c r="P25" s="108" t="n">
        <v>0.027972027972028</v>
      </c>
      <c r="Q25" s="109" t="n">
        <v>0.0629370629370629</v>
      </c>
      <c r="R25" s="107" t="n">
        <v>0.369747899159664</v>
      </c>
      <c r="S25" s="108" t="n">
        <v>0.252100840336134</v>
      </c>
      <c r="T25" s="108" t="n">
        <v>0.210084033613445</v>
      </c>
      <c r="U25" s="108" t="n">
        <v>0.0588235294117647</v>
      </c>
      <c r="V25" s="108" t="n">
        <v>0.0756302521008403</v>
      </c>
      <c r="W25" s="109" t="n">
        <v>0.0420168067226891</v>
      </c>
      <c r="X25" s="110" t="n">
        <f aca="false">$F25*L25</f>
        <v>0</v>
      </c>
      <c r="Y25" s="111" t="n">
        <f aca="false">$F25*M25</f>
        <v>0</v>
      </c>
      <c r="Z25" s="111" t="n">
        <f aca="false">$F25*N25</f>
        <v>0</v>
      </c>
      <c r="AA25" s="111" t="n">
        <f aca="false">$F25*O25</f>
        <v>0</v>
      </c>
      <c r="AB25" s="111" t="n">
        <f aca="false">$F25*P25</f>
        <v>0</v>
      </c>
      <c r="AC25" s="112" t="n">
        <f aca="false">$F25*Q25</f>
        <v>0</v>
      </c>
      <c r="AD25" s="110" t="n">
        <f aca="false">$J25*R25</f>
        <v>2.95798319327731</v>
      </c>
      <c r="AE25" s="111" t="n">
        <f aca="false">$J25*S25</f>
        <v>2.01680672268908</v>
      </c>
      <c r="AF25" s="111" t="n">
        <f aca="false">$J25*T25</f>
        <v>1.68067226890756</v>
      </c>
      <c r="AG25" s="111" t="n">
        <f aca="false">$J25*U25</f>
        <v>0.470588235294118</v>
      </c>
      <c r="AH25" s="111" t="n">
        <f aca="false">$J25*V25</f>
        <v>0.605042016806723</v>
      </c>
      <c r="AI25" s="112" t="n">
        <f aca="false">$J25*W25</f>
        <v>0.336134453781513</v>
      </c>
      <c r="AJ25" s="116" t="n">
        <f aca="false">Input!$E$22*WRs!C25+Input!$E$23*WRs!D25+Input!$E$24*WRs!X25+Input!$E$25*WRs!Y25+Input!$E$26*WRs!Z25+Input!$E$27*WRs!AA25+Input!$E$28*WRs!AB25+Input!$E$29*WRs!AC25+Input!$E$30*WRs!E25+Input!$E$31*WRs!G25+Input!$E$32*WRs!H25+Input!$E$33*WRs!AD25+Input!$E$34*WRs!AE25+Input!$E$35*WRs!AF25+Input!$E$36*WRs!AG25+Input!$E$37*WRs!AH25+Input!$E$38*WRs!AI25+Input!$E$39*WRs!I25+Input!$E$40*WRs!K25</f>
        <v>161.98025210084</v>
      </c>
    </row>
    <row r="26" customFormat="false" ht="12.75" hidden="false" customHeight="false" outlineLevel="0" collapsed="false">
      <c r="A26" s="141" t="s">
        <v>365</v>
      </c>
      <c r="B26" s="112" t="s">
        <v>136</v>
      </c>
      <c r="C26" s="98" t="n">
        <v>0</v>
      </c>
      <c r="D26" s="96" t="n">
        <v>0</v>
      </c>
      <c r="E26" s="96" t="n">
        <v>0</v>
      </c>
      <c r="F26" s="97" t="n">
        <v>0</v>
      </c>
      <c r="G26" s="98" t="n">
        <v>59</v>
      </c>
      <c r="H26" s="96" t="n">
        <f aca="false">15.1*G26</f>
        <v>890.9</v>
      </c>
      <c r="I26" s="96" t="n">
        <v>3</v>
      </c>
      <c r="J26" s="97" t="n">
        <v>9</v>
      </c>
      <c r="K26" s="96" t="n">
        <v>2</v>
      </c>
      <c r="L26" s="107" t="n">
        <v>0.727272727272727</v>
      </c>
      <c r="M26" s="108" t="n">
        <v>0.0979020979020979</v>
      </c>
      <c r="N26" s="108" t="n">
        <v>0.0629370629370629</v>
      </c>
      <c r="O26" s="108" t="n">
        <v>0.020979020979021</v>
      </c>
      <c r="P26" s="108" t="n">
        <v>0.027972027972028</v>
      </c>
      <c r="Q26" s="109" t="n">
        <v>0.0629370629370629</v>
      </c>
      <c r="R26" s="119" t="n">
        <v>0.123809523809524</v>
      </c>
      <c r="S26" s="120" t="n">
        <v>0.152380952380952</v>
      </c>
      <c r="T26" s="120" t="n">
        <v>0.0952380952380952</v>
      </c>
      <c r="U26" s="120" t="n">
        <v>0.19047619047619</v>
      </c>
      <c r="V26" s="120" t="n">
        <v>0.142857142857143</v>
      </c>
      <c r="W26" s="121" t="n">
        <v>0.295238095238095</v>
      </c>
      <c r="X26" s="110" t="n">
        <f aca="false">$F26*L26</f>
        <v>0</v>
      </c>
      <c r="Y26" s="111" t="n">
        <f aca="false">$F26*M26</f>
        <v>0</v>
      </c>
      <c r="Z26" s="111" t="n">
        <f aca="false">$F26*N26</f>
        <v>0</v>
      </c>
      <c r="AA26" s="111" t="n">
        <f aca="false">$F26*O26</f>
        <v>0</v>
      </c>
      <c r="AB26" s="111" t="n">
        <f aca="false">$F26*P26</f>
        <v>0</v>
      </c>
      <c r="AC26" s="112" t="n">
        <f aca="false">$F26*Q26</f>
        <v>0</v>
      </c>
      <c r="AD26" s="110" t="n">
        <f aca="false">$J26*R26</f>
        <v>1.11428571428571</v>
      </c>
      <c r="AE26" s="111" t="n">
        <f aca="false">$J26*S26</f>
        <v>1.37142857142857</v>
      </c>
      <c r="AF26" s="111" t="n">
        <f aca="false">$J26*T26</f>
        <v>0.857142857142857</v>
      </c>
      <c r="AG26" s="111" t="n">
        <f aca="false">$J26*U26</f>
        <v>1.71428571428571</v>
      </c>
      <c r="AH26" s="111" t="n">
        <f aca="false">$J26*V26</f>
        <v>1.28571428571429</v>
      </c>
      <c r="AI26" s="112" t="n">
        <f aca="false">$J26*W26</f>
        <v>2.65714285714286</v>
      </c>
      <c r="AJ26" s="116" t="n">
        <f aca="false">Input!$E$22*WRs!C26+Input!$E$23*WRs!D26+Input!$E$24*WRs!X26+Input!$E$25*WRs!Y26+Input!$E$26*WRs!Z26+Input!$E$27*WRs!AA26+Input!$E$28*WRs!AB26+Input!$E$29*WRs!AC26+Input!$E$30*WRs!E26+Input!$E$31*WRs!G26+Input!$E$32*WRs!H26+Input!$E$33*WRs!AD26+Input!$E$34*WRs!AE26+Input!$E$35*WRs!AF26+Input!$E$36*WRs!AG26+Input!$E$37*WRs!AH26+Input!$E$38*WRs!AI26+Input!$E$39*WRs!I26+Input!$E$40*WRs!K26</f>
        <v>179.404285714286</v>
      </c>
    </row>
    <row r="27" customFormat="false" ht="12.75" hidden="false" customHeight="false" outlineLevel="0" collapsed="false">
      <c r="A27" s="141" t="s">
        <v>366</v>
      </c>
      <c r="B27" s="112" t="s">
        <v>190</v>
      </c>
      <c r="C27" s="98" t="n">
        <v>1</v>
      </c>
      <c r="D27" s="96" t="n">
        <v>5</v>
      </c>
      <c r="E27" s="96" t="n">
        <v>0</v>
      </c>
      <c r="F27" s="97" t="n">
        <v>0</v>
      </c>
      <c r="G27" s="98" t="n">
        <v>70</v>
      </c>
      <c r="H27" s="96" t="n">
        <f aca="false">14.3*G27</f>
        <v>1001</v>
      </c>
      <c r="I27" s="96" t="n">
        <v>2</v>
      </c>
      <c r="J27" s="97" t="n">
        <v>7</v>
      </c>
      <c r="K27" s="96" t="n">
        <v>1</v>
      </c>
      <c r="L27" s="107" t="n">
        <v>0.727272727272727</v>
      </c>
      <c r="M27" s="108" t="n">
        <v>0.0979020979020979</v>
      </c>
      <c r="N27" s="108" t="n">
        <v>0.0629370629370629</v>
      </c>
      <c r="O27" s="108" t="n">
        <v>0.020979020979021</v>
      </c>
      <c r="P27" s="108" t="n">
        <v>0.027972027972028</v>
      </c>
      <c r="Q27" s="109" t="n">
        <v>0.0629370629370629</v>
      </c>
      <c r="R27" s="107" t="n">
        <v>0.369747899159664</v>
      </c>
      <c r="S27" s="108" t="n">
        <v>0.252100840336134</v>
      </c>
      <c r="T27" s="108" t="n">
        <v>0.210084033613445</v>
      </c>
      <c r="U27" s="108" t="n">
        <v>0.0588235294117647</v>
      </c>
      <c r="V27" s="108" t="n">
        <v>0.0756302521008403</v>
      </c>
      <c r="W27" s="109" t="n">
        <v>0.0420168067226891</v>
      </c>
      <c r="X27" s="110" t="n">
        <f aca="false">$F27*L27</f>
        <v>0</v>
      </c>
      <c r="Y27" s="111" t="n">
        <f aca="false">$F27*M27</f>
        <v>0</v>
      </c>
      <c r="Z27" s="111" t="n">
        <f aca="false">$F27*N27</f>
        <v>0</v>
      </c>
      <c r="AA27" s="111" t="n">
        <f aca="false">$F27*O27</f>
        <v>0</v>
      </c>
      <c r="AB27" s="111" t="n">
        <f aca="false">$F27*P27</f>
        <v>0</v>
      </c>
      <c r="AC27" s="112" t="n">
        <f aca="false">$F27*Q27</f>
        <v>0</v>
      </c>
      <c r="AD27" s="110" t="n">
        <f aca="false">$J27*R27</f>
        <v>2.58823529411765</v>
      </c>
      <c r="AE27" s="111" t="n">
        <f aca="false">$J27*S27</f>
        <v>1.76470588235294</v>
      </c>
      <c r="AF27" s="111" t="n">
        <f aca="false">$J27*T27</f>
        <v>1.47058823529412</v>
      </c>
      <c r="AG27" s="111" t="n">
        <f aca="false">$J27*U27</f>
        <v>0.411764705882353</v>
      </c>
      <c r="AH27" s="111" t="n">
        <f aca="false">$J27*V27</f>
        <v>0.529411764705882</v>
      </c>
      <c r="AI27" s="112" t="n">
        <f aca="false">$J27*W27</f>
        <v>0.294117647058824</v>
      </c>
      <c r="AJ27" s="116" t="n">
        <f aca="false">Input!$E$22*WRs!C27+Input!$E$23*WRs!D27+Input!$E$24*WRs!X27+Input!$E$25*WRs!Y27+Input!$E$26*WRs!Z27+Input!$E$27*WRs!AA27+Input!$E$28*WRs!AB27+Input!$E$29*WRs!AC27+Input!$E$30*WRs!E27+Input!$E$31*WRs!G27+Input!$E$32*WRs!H27+Input!$E$33*WRs!AD27+Input!$E$34*WRs!AE27+Input!$E$35*WRs!AF27+Input!$E$36*WRs!AG27+Input!$E$37*WRs!AH27+Input!$E$38*WRs!AI27+Input!$E$39*WRs!I27+Input!$E$40*WRs!K27</f>
        <v>157.776470588235</v>
      </c>
    </row>
    <row r="28" customFormat="false" ht="12.75" hidden="false" customHeight="false" outlineLevel="0" collapsed="false">
      <c r="A28" s="141" t="s">
        <v>367</v>
      </c>
      <c r="B28" s="112" t="s">
        <v>168</v>
      </c>
      <c r="C28" s="98" t="n">
        <v>6</v>
      </c>
      <c r="D28" s="96" t="n">
        <f aca="false">8*C28</f>
        <v>48</v>
      </c>
      <c r="E28" s="96" t="n">
        <v>0</v>
      </c>
      <c r="F28" s="97" t="n">
        <v>0</v>
      </c>
      <c r="G28" s="98" t="n">
        <v>65</v>
      </c>
      <c r="H28" s="96" t="n">
        <f aca="false">14.7*G28</f>
        <v>955.5</v>
      </c>
      <c r="I28" s="96" t="n">
        <v>2</v>
      </c>
      <c r="J28" s="97" t="n">
        <v>7</v>
      </c>
      <c r="K28" s="96" t="n">
        <v>1</v>
      </c>
      <c r="L28" s="107" t="n">
        <v>0.727272727272727</v>
      </c>
      <c r="M28" s="108" t="n">
        <v>0.0979020979020979</v>
      </c>
      <c r="N28" s="108" t="n">
        <v>0.0629370629370629</v>
      </c>
      <c r="O28" s="108" t="n">
        <v>0.020979020979021</v>
      </c>
      <c r="P28" s="108" t="n">
        <v>0.027972027972028</v>
      </c>
      <c r="Q28" s="109" t="n">
        <v>0.0629370629370629</v>
      </c>
      <c r="R28" s="119" t="n">
        <v>0.123809523809524</v>
      </c>
      <c r="S28" s="120" t="n">
        <v>0.152380952380952</v>
      </c>
      <c r="T28" s="120" t="n">
        <v>0.0952380952380952</v>
      </c>
      <c r="U28" s="120" t="n">
        <v>0.19047619047619</v>
      </c>
      <c r="V28" s="120" t="n">
        <v>0.142857142857143</v>
      </c>
      <c r="W28" s="121" t="n">
        <v>0.295238095238095</v>
      </c>
      <c r="X28" s="110" t="n">
        <f aca="false">$F28*L28</f>
        <v>0</v>
      </c>
      <c r="Y28" s="111" t="n">
        <f aca="false">$F28*M28</f>
        <v>0</v>
      </c>
      <c r="Z28" s="111" t="n">
        <f aca="false">$F28*N28</f>
        <v>0</v>
      </c>
      <c r="AA28" s="111" t="n">
        <f aca="false">$F28*O28</f>
        <v>0</v>
      </c>
      <c r="AB28" s="111" t="n">
        <f aca="false">$F28*P28</f>
        <v>0</v>
      </c>
      <c r="AC28" s="112" t="n">
        <f aca="false">$F28*Q28</f>
        <v>0</v>
      </c>
      <c r="AD28" s="110" t="n">
        <f aca="false">$J28*R28</f>
        <v>0.866666666666667</v>
      </c>
      <c r="AE28" s="111" t="n">
        <f aca="false">$J28*S28</f>
        <v>1.06666666666667</v>
      </c>
      <c r="AF28" s="111" t="n">
        <f aca="false">$J28*T28</f>
        <v>0.666666666666667</v>
      </c>
      <c r="AG28" s="111" t="n">
        <f aca="false">$J28*U28</f>
        <v>1.33333333333333</v>
      </c>
      <c r="AH28" s="111" t="n">
        <f aca="false">$J28*V28</f>
        <v>1</v>
      </c>
      <c r="AI28" s="112" t="n">
        <f aca="false">$J28*W28</f>
        <v>2.06666666666667</v>
      </c>
      <c r="AJ28" s="116" t="n">
        <f aca="false">Input!$E$22*WRs!C28+Input!$E$23*WRs!D28+Input!$E$24*WRs!X28+Input!$E$25*WRs!Y28+Input!$E$26*WRs!Z28+Input!$E$27*WRs!AA28+Input!$E$28*WRs!AB28+Input!$E$29*WRs!AC28+Input!$E$30*WRs!E28+Input!$E$31*WRs!G28+Input!$E$32*WRs!H28+Input!$E$33*WRs!AD28+Input!$E$34*WRs!AE28+Input!$E$35*WRs!AF28+Input!$E$36*WRs!AG28+Input!$E$37*WRs!AH28+Input!$E$38*WRs!AI28+Input!$E$39*WRs!I28+Input!$E$40*WRs!K28</f>
        <v>170.15</v>
      </c>
    </row>
    <row r="29" customFormat="false" ht="12.75" hidden="false" customHeight="false" outlineLevel="0" collapsed="false">
      <c r="A29" s="141" t="s">
        <v>368</v>
      </c>
      <c r="B29" s="112" t="s">
        <v>168</v>
      </c>
      <c r="C29" s="98" t="n">
        <v>7</v>
      </c>
      <c r="D29" s="96" t="n">
        <f aca="false">9*C29</f>
        <v>63</v>
      </c>
      <c r="E29" s="96" t="n">
        <v>0</v>
      </c>
      <c r="F29" s="97" t="n">
        <v>0</v>
      </c>
      <c r="G29" s="98" t="n">
        <v>76</v>
      </c>
      <c r="H29" s="96" t="n">
        <f aca="false">13.2*G29</f>
        <v>1003.2</v>
      </c>
      <c r="I29" s="96" t="n">
        <v>3</v>
      </c>
      <c r="J29" s="97" t="n">
        <v>6</v>
      </c>
      <c r="K29" s="96" t="n">
        <v>1</v>
      </c>
      <c r="L29" s="107" t="n">
        <v>0.727272727272727</v>
      </c>
      <c r="M29" s="108" t="n">
        <v>0.0979020979020979</v>
      </c>
      <c r="N29" s="108" t="n">
        <v>0.0629370629370629</v>
      </c>
      <c r="O29" s="108" t="n">
        <v>0.020979020979021</v>
      </c>
      <c r="P29" s="108" t="n">
        <v>0.027972027972028</v>
      </c>
      <c r="Q29" s="109" t="n">
        <v>0.0629370629370629</v>
      </c>
      <c r="R29" s="119" t="n">
        <v>0.123809523809524</v>
      </c>
      <c r="S29" s="120" t="n">
        <v>0.152380952380952</v>
      </c>
      <c r="T29" s="120" t="n">
        <v>0.0952380952380952</v>
      </c>
      <c r="U29" s="120" t="n">
        <v>0.19047619047619</v>
      </c>
      <c r="V29" s="120" t="n">
        <v>0.142857142857143</v>
      </c>
      <c r="W29" s="121" t="n">
        <v>0.295238095238095</v>
      </c>
      <c r="X29" s="110" t="n">
        <f aca="false">$F29*L29</f>
        <v>0</v>
      </c>
      <c r="Y29" s="111" t="n">
        <f aca="false">$F29*M29</f>
        <v>0</v>
      </c>
      <c r="Z29" s="111" t="n">
        <f aca="false">$F29*N29</f>
        <v>0</v>
      </c>
      <c r="AA29" s="111" t="n">
        <f aca="false">$F29*O29</f>
        <v>0</v>
      </c>
      <c r="AB29" s="111" t="n">
        <f aca="false">$F29*P29</f>
        <v>0</v>
      </c>
      <c r="AC29" s="112" t="n">
        <f aca="false">$F29*Q29</f>
        <v>0</v>
      </c>
      <c r="AD29" s="110" t="n">
        <f aca="false">$J29*R29</f>
        <v>0.742857142857143</v>
      </c>
      <c r="AE29" s="111" t="n">
        <f aca="false">$J29*S29</f>
        <v>0.914285714285714</v>
      </c>
      <c r="AF29" s="111" t="n">
        <f aca="false">$J29*T29</f>
        <v>0.571428571428571</v>
      </c>
      <c r="AG29" s="111" t="n">
        <f aca="false">$J29*U29</f>
        <v>1.14285714285714</v>
      </c>
      <c r="AH29" s="111" t="n">
        <f aca="false">$J29*V29</f>
        <v>0.857142857142857</v>
      </c>
      <c r="AI29" s="112" t="n">
        <f aca="false">$J29*W29</f>
        <v>1.77142857142857</v>
      </c>
      <c r="AJ29" s="116" t="n">
        <f aca="false">Input!$E$22*WRs!C29+Input!$E$23*WRs!D29+Input!$E$24*WRs!X29+Input!$E$25*WRs!Y29+Input!$E$26*WRs!Z29+Input!$E$27*WRs!AA29+Input!$E$28*WRs!AB29+Input!$E$29*WRs!AC29+Input!$E$30*WRs!E29+Input!$E$31*WRs!G29+Input!$E$32*WRs!H29+Input!$E$33*WRs!AD29+Input!$E$34*WRs!AE29+Input!$E$35*WRs!AF29+Input!$E$36*WRs!AG29+Input!$E$37*WRs!AH29+Input!$E$38*WRs!AI29+Input!$E$39*WRs!I29+Input!$E$40*WRs!K29</f>
        <v>170.162857142857</v>
      </c>
    </row>
    <row r="30" customFormat="false" ht="12.75" hidden="false" customHeight="false" outlineLevel="0" collapsed="false">
      <c r="A30" s="141" t="s">
        <v>369</v>
      </c>
      <c r="B30" s="112" t="s">
        <v>156</v>
      </c>
      <c r="C30" s="98" t="n">
        <v>2</v>
      </c>
      <c r="D30" s="96" t="n">
        <v>16</v>
      </c>
      <c r="E30" s="96" t="n">
        <v>0</v>
      </c>
      <c r="F30" s="97" t="n">
        <v>0</v>
      </c>
      <c r="G30" s="98" t="n">
        <v>60</v>
      </c>
      <c r="H30" s="96" t="n">
        <f aca="false">17*G30</f>
        <v>1020</v>
      </c>
      <c r="I30" s="96" t="n">
        <v>3</v>
      </c>
      <c r="J30" s="97" t="n">
        <v>6</v>
      </c>
      <c r="K30" s="96" t="n">
        <v>1</v>
      </c>
      <c r="L30" s="107" t="n">
        <v>0.727272727272727</v>
      </c>
      <c r="M30" s="108" t="n">
        <v>0.0979020979020979</v>
      </c>
      <c r="N30" s="108" t="n">
        <v>0.0629370629370629</v>
      </c>
      <c r="O30" s="108" t="n">
        <v>0.020979020979021</v>
      </c>
      <c r="P30" s="108" t="n">
        <v>0.027972027972028</v>
      </c>
      <c r="Q30" s="109" t="n">
        <v>0.0629370629370629</v>
      </c>
      <c r="R30" s="119" t="n">
        <v>0.123809523809524</v>
      </c>
      <c r="S30" s="120" t="n">
        <v>0.152380952380952</v>
      </c>
      <c r="T30" s="120" t="n">
        <v>0.0952380952380952</v>
      </c>
      <c r="U30" s="120" t="n">
        <v>0.19047619047619</v>
      </c>
      <c r="V30" s="120" t="n">
        <v>0.142857142857143</v>
      </c>
      <c r="W30" s="121" t="n">
        <v>0.295238095238095</v>
      </c>
      <c r="X30" s="110" t="n">
        <f aca="false">$F30*L30</f>
        <v>0</v>
      </c>
      <c r="Y30" s="111" t="n">
        <f aca="false">$F30*M30</f>
        <v>0</v>
      </c>
      <c r="Z30" s="111" t="n">
        <f aca="false">$F30*N30</f>
        <v>0</v>
      </c>
      <c r="AA30" s="111" t="n">
        <f aca="false">$F30*O30</f>
        <v>0</v>
      </c>
      <c r="AB30" s="111" t="n">
        <f aca="false">$F30*P30</f>
        <v>0</v>
      </c>
      <c r="AC30" s="112" t="n">
        <f aca="false">$F30*Q30</f>
        <v>0</v>
      </c>
      <c r="AD30" s="110" t="n">
        <f aca="false">$J30*R30</f>
        <v>0.742857142857143</v>
      </c>
      <c r="AE30" s="111" t="n">
        <f aca="false">$J30*S30</f>
        <v>0.914285714285714</v>
      </c>
      <c r="AF30" s="111" t="n">
        <f aca="false">$J30*T30</f>
        <v>0.571428571428571</v>
      </c>
      <c r="AG30" s="111" t="n">
        <f aca="false">$J30*U30</f>
        <v>1.14285714285714</v>
      </c>
      <c r="AH30" s="111" t="n">
        <f aca="false">$J30*V30</f>
        <v>0.857142857142857</v>
      </c>
      <c r="AI30" s="112" t="n">
        <f aca="false">$J30*W30</f>
        <v>1.77142857142857</v>
      </c>
      <c r="AJ30" s="116" t="n">
        <f aca="false">Input!$E$22*WRs!C30+Input!$E$23*WRs!D30+Input!$E$24*WRs!X30+Input!$E$25*WRs!Y30+Input!$E$26*WRs!Z30+Input!$E$27*WRs!AA30+Input!$E$28*WRs!AB30+Input!$E$29*WRs!AC30+Input!$E$30*WRs!E30+Input!$E$31*WRs!G30+Input!$E$32*WRs!H30+Input!$E$33*WRs!AD30+Input!$E$34*WRs!AE30+Input!$E$35*WRs!AF30+Input!$E$36*WRs!AG30+Input!$E$37*WRs!AH30+Input!$E$38*WRs!AI30+Input!$E$39*WRs!I30+Input!$E$40*WRs!K30</f>
        <v>167.142857142857</v>
      </c>
    </row>
    <row r="31" customFormat="false" ht="12.75" hidden="false" customHeight="false" outlineLevel="0" collapsed="false">
      <c r="A31" s="141" t="s">
        <v>370</v>
      </c>
      <c r="B31" s="112" t="s">
        <v>192</v>
      </c>
      <c r="C31" s="98" t="n">
        <v>3</v>
      </c>
      <c r="D31" s="96" t="n">
        <v>25</v>
      </c>
      <c r="E31" s="96" t="n">
        <v>0</v>
      </c>
      <c r="F31" s="97" t="n">
        <v>0</v>
      </c>
      <c r="G31" s="98" t="n">
        <v>80</v>
      </c>
      <c r="H31" s="96" t="n">
        <v>1096</v>
      </c>
      <c r="I31" s="96" t="n">
        <v>4</v>
      </c>
      <c r="J31" s="97" t="n">
        <v>6</v>
      </c>
      <c r="K31" s="96" t="n">
        <v>1</v>
      </c>
      <c r="L31" s="107" t="n">
        <v>0.727272727272727</v>
      </c>
      <c r="M31" s="108" t="n">
        <v>0.0979020979020979</v>
      </c>
      <c r="N31" s="108" t="n">
        <v>0.0629370629370629</v>
      </c>
      <c r="O31" s="108" t="n">
        <v>0.020979020979021</v>
      </c>
      <c r="P31" s="108" t="n">
        <v>0.027972027972028</v>
      </c>
      <c r="Q31" s="109" t="n">
        <v>0.0629370629370629</v>
      </c>
      <c r="R31" s="107" t="n">
        <v>0.369747899159664</v>
      </c>
      <c r="S31" s="108" t="n">
        <v>0.252100840336134</v>
      </c>
      <c r="T31" s="108" t="n">
        <v>0.210084033613445</v>
      </c>
      <c r="U31" s="108" t="n">
        <v>0.0588235294117647</v>
      </c>
      <c r="V31" s="108" t="n">
        <v>0.0756302521008403</v>
      </c>
      <c r="W31" s="109" t="n">
        <v>0.0420168067226891</v>
      </c>
      <c r="X31" s="110" t="n">
        <f aca="false">$F31*L31</f>
        <v>0</v>
      </c>
      <c r="Y31" s="111" t="n">
        <f aca="false">$F31*M31</f>
        <v>0</v>
      </c>
      <c r="Z31" s="111" t="n">
        <f aca="false">$F31*N31</f>
        <v>0</v>
      </c>
      <c r="AA31" s="111" t="n">
        <f aca="false">$F31*O31</f>
        <v>0</v>
      </c>
      <c r="AB31" s="111" t="n">
        <f aca="false">$F31*P31</f>
        <v>0</v>
      </c>
      <c r="AC31" s="112" t="n">
        <f aca="false">$F31*Q31</f>
        <v>0</v>
      </c>
      <c r="AD31" s="110" t="n">
        <f aca="false">$J31*R31</f>
        <v>2.21848739495798</v>
      </c>
      <c r="AE31" s="111" t="n">
        <f aca="false">$J31*S31</f>
        <v>1.51260504201681</v>
      </c>
      <c r="AF31" s="111" t="n">
        <f aca="false">$J31*T31</f>
        <v>1.26050420168067</v>
      </c>
      <c r="AG31" s="111" t="n">
        <f aca="false">$J31*U31</f>
        <v>0.352941176470588</v>
      </c>
      <c r="AH31" s="111" t="n">
        <f aca="false">$J31*V31</f>
        <v>0.453781512605042</v>
      </c>
      <c r="AI31" s="112" t="n">
        <f aca="false">$J31*W31</f>
        <v>0.252100840336134</v>
      </c>
      <c r="AJ31" s="116" t="n">
        <f aca="false">Input!$E$22*WRs!C31+Input!$E$23*WRs!D31+Input!$E$24*WRs!X31+Input!$E$25*WRs!Y31+Input!$E$26*WRs!Z31+Input!$E$27*WRs!AA31+Input!$E$28*WRs!AB31+Input!$E$29*WRs!AC31+Input!$E$30*WRs!E31+Input!$E$31*WRs!G31+Input!$E$32*WRs!H31+Input!$E$33*WRs!AD31+Input!$E$34*WRs!AE31+Input!$E$35*WRs!AF31+Input!$E$36*WRs!AG31+Input!$E$37*WRs!AH31+Input!$E$38*WRs!AI31+Input!$E$39*WRs!I31+Input!$E$40*WRs!K31</f>
        <v>167.82268907563</v>
      </c>
    </row>
    <row r="32" customFormat="false" ht="12.75" hidden="false" customHeight="false" outlineLevel="0" collapsed="false">
      <c r="A32" s="141" t="s">
        <v>371</v>
      </c>
      <c r="B32" s="112" t="s">
        <v>178</v>
      </c>
      <c r="C32" s="98" t="n">
        <v>0</v>
      </c>
      <c r="D32" s="96" t="n">
        <v>0</v>
      </c>
      <c r="E32" s="96" t="n">
        <v>0</v>
      </c>
      <c r="F32" s="97" t="n">
        <v>0</v>
      </c>
      <c r="G32" s="98" t="n">
        <v>68</v>
      </c>
      <c r="H32" s="96" t="n">
        <f aca="false">13.7*G32</f>
        <v>931.6</v>
      </c>
      <c r="I32" s="96" t="n">
        <v>2</v>
      </c>
      <c r="J32" s="97" t="n">
        <v>6</v>
      </c>
      <c r="K32" s="96" t="n">
        <v>1</v>
      </c>
      <c r="L32" s="107" t="n">
        <v>0.727272727272727</v>
      </c>
      <c r="M32" s="108" t="n">
        <v>0.0979020979020979</v>
      </c>
      <c r="N32" s="108" t="n">
        <v>0.0629370629370629</v>
      </c>
      <c r="O32" s="108" t="n">
        <v>0.020979020979021</v>
      </c>
      <c r="P32" s="108" t="n">
        <v>0.027972027972028</v>
      </c>
      <c r="Q32" s="109" t="n">
        <v>0.0629370629370629</v>
      </c>
      <c r="R32" s="107" t="n">
        <v>0.206896551724138</v>
      </c>
      <c r="S32" s="108" t="n">
        <v>0.310344827586207</v>
      </c>
      <c r="T32" s="108" t="n">
        <v>0.224137931034483</v>
      </c>
      <c r="U32" s="108" t="n">
        <v>0.0517241379310345</v>
      </c>
      <c r="V32" s="108" t="n">
        <v>0.137931034482759</v>
      </c>
      <c r="W32" s="109" t="n">
        <v>0.0689655172413793</v>
      </c>
      <c r="X32" s="110" t="n">
        <f aca="false">$F32*L32</f>
        <v>0</v>
      </c>
      <c r="Y32" s="111" t="n">
        <f aca="false">$F32*M32</f>
        <v>0</v>
      </c>
      <c r="Z32" s="111" t="n">
        <f aca="false">$F32*N32</f>
        <v>0</v>
      </c>
      <c r="AA32" s="111" t="n">
        <f aca="false">$F32*O32</f>
        <v>0</v>
      </c>
      <c r="AB32" s="111" t="n">
        <f aca="false">$F32*P32</f>
        <v>0</v>
      </c>
      <c r="AC32" s="112" t="n">
        <f aca="false">$F32*Q32</f>
        <v>0</v>
      </c>
      <c r="AD32" s="110" t="n">
        <f aca="false">$J32*R32</f>
        <v>1.24137931034483</v>
      </c>
      <c r="AE32" s="111" t="n">
        <f aca="false">$J32*S32</f>
        <v>1.86206896551724</v>
      </c>
      <c r="AF32" s="111" t="n">
        <f aca="false">$J32*T32</f>
        <v>1.3448275862069</v>
      </c>
      <c r="AG32" s="111" t="n">
        <f aca="false">$J32*U32</f>
        <v>0.310344827586207</v>
      </c>
      <c r="AH32" s="111" t="n">
        <f aca="false">$J32*V32</f>
        <v>0.827586206896552</v>
      </c>
      <c r="AI32" s="112" t="n">
        <f aca="false">$J32*W32</f>
        <v>0.413793103448276</v>
      </c>
      <c r="AJ32" s="116" t="n">
        <f aca="false">Input!$E$22*WRs!C32+Input!$E$23*WRs!D32+Input!$E$24*WRs!X32+Input!$E$25*WRs!Y32+Input!$E$26*WRs!Z32+Input!$E$27*WRs!AA32+Input!$E$28*WRs!AB32+Input!$E$29*WRs!AC32+Input!$E$30*WRs!E32+Input!$E$31*WRs!G32+Input!$E$32*WRs!H32+Input!$E$33*WRs!AD32+Input!$E$34*WRs!AE32+Input!$E$35*WRs!AF32+Input!$E$36*WRs!AG32+Input!$E$37*WRs!AH32+Input!$E$38*WRs!AI32+Input!$E$39*WRs!I32+Input!$E$40*WRs!K32</f>
        <v>145.435862068966</v>
      </c>
    </row>
    <row r="33" customFormat="false" ht="12.75" hidden="false" customHeight="false" outlineLevel="0" collapsed="false">
      <c r="A33" s="141" t="s">
        <v>372</v>
      </c>
      <c r="B33" s="112" t="s">
        <v>194</v>
      </c>
      <c r="C33" s="98" t="n">
        <v>0</v>
      </c>
      <c r="D33" s="96" t="n">
        <v>0</v>
      </c>
      <c r="E33" s="96" t="n">
        <v>0</v>
      </c>
      <c r="F33" s="97" t="n">
        <v>0</v>
      </c>
      <c r="G33" s="98" t="n">
        <v>68</v>
      </c>
      <c r="H33" s="96" t="n">
        <f aca="false">14.5*G33</f>
        <v>986</v>
      </c>
      <c r="I33" s="96" t="n">
        <v>3</v>
      </c>
      <c r="J33" s="97" t="n">
        <v>5</v>
      </c>
      <c r="K33" s="96" t="n">
        <v>1</v>
      </c>
      <c r="L33" s="107" t="n">
        <v>0.727272727272727</v>
      </c>
      <c r="M33" s="108" t="n">
        <v>0.0979020979020979</v>
      </c>
      <c r="N33" s="108" t="n">
        <v>0.0629370629370629</v>
      </c>
      <c r="O33" s="108" t="n">
        <v>0.020979020979021</v>
      </c>
      <c r="P33" s="108" t="n">
        <v>0.027972027972028</v>
      </c>
      <c r="Q33" s="109" t="n">
        <v>0.0629370629370629</v>
      </c>
      <c r="R33" s="119" t="n">
        <v>0.123809523809524</v>
      </c>
      <c r="S33" s="120" t="n">
        <v>0.152380952380952</v>
      </c>
      <c r="T33" s="120" t="n">
        <v>0.0952380952380952</v>
      </c>
      <c r="U33" s="120" t="n">
        <v>0.19047619047619</v>
      </c>
      <c r="V33" s="120" t="n">
        <v>0.142857142857143</v>
      </c>
      <c r="W33" s="121" t="n">
        <v>0.295238095238095</v>
      </c>
      <c r="X33" s="110" t="n">
        <f aca="false">$F33*L33</f>
        <v>0</v>
      </c>
      <c r="Y33" s="111" t="n">
        <f aca="false">$F33*M33</f>
        <v>0</v>
      </c>
      <c r="Z33" s="111" t="n">
        <f aca="false">$F33*N33</f>
        <v>0</v>
      </c>
      <c r="AA33" s="111" t="n">
        <f aca="false">$F33*O33</f>
        <v>0</v>
      </c>
      <c r="AB33" s="111" t="n">
        <f aca="false">$F33*P33</f>
        <v>0</v>
      </c>
      <c r="AC33" s="112" t="n">
        <f aca="false">$F33*Q33</f>
        <v>0</v>
      </c>
      <c r="AD33" s="110" t="n">
        <f aca="false">$J33*R33</f>
        <v>0.619047619047619</v>
      </c>
      <c r="AE33" s="111" t="n">
        <f aca="false">$J33*S33</f>
        <v>0.761904761904762</v>
      </c>
      <c r="AF33" s="111" t="n">
        <f aca="false">$J33*T33</f>
        <v>0.476190476190476</v>
      </c>
      <c r="AG33" s="111" t="n">
        <f aca="false">$J33*U33</f>
        <v>0.952380952380952</v>
      </c>
      <c r="AH33" s="111" t="n">
        <f aca="false">$J33*V33</f>
        <v>0.714285714285714</v>
      </c>
      <c r="AI33" s="112" t="n">
        <f aca="false">$J33*W33</f>
        <v>1.47619047619048</v>
      </c>
      <c r="AJ33" s="116" t="n">
        <f aca="false">Input!$E$22*WRs!C33+Input!$E$23*WRs!D33+Input!$E$24*WRs!X33+Input!$E$25*WRs!Y33+Input!$E$26*WRs!Z33+Input!$E$27*WRs!AA33+Input!$E$28*WRs!AB33+Input!$E$29*WRs!AC33+Input!$E$30*WRs!E33+Input!$E$31*WRs!G33+Input!$E$32*WRs!H33+Input!$E$33*WRs!AD33+Input!$E$34*WRs!AE33+Input!$E$35*WRs!AF33+Input!$E$36*WRs!AG33+Input!$E$37*WRs!AH33+Input!$E$38*WRs!AI33+Input!$E$39*WRs!I33+Input!$E$40*WRs!K33</f>
        <v>152.885714285714</v>
      </c>
    </row>
    <row r="34" customFormat="false" ht="12.75" hidden="false" customHeight="false" outlineLevel="0" collapsed="false">
      <c r="A34" s="141" t="s">
        <v>373</v>
      </c>
      <c r="B34" s="112" t="s">
        <v>186</v>
      </c>
      <c r="C34" s="98" t="n">
        <v>7</v>
      </c>
      <c r="D34" s="96" t="n">
        <f aca="false">4*C34</f>
        <v>28</v>
      </c>
      <c r="E34" s="96" t="n">
        <v>0</v>
      </c>
      <c r="F34" s="97" t="n">
        <v>0</v>
      </c>
      <c r="G34" s="98" t="n">
        <v>50</v>
      </c>
      <c r="H34" s="96" t="n">
        <f aca="false">17.5*G34</f>
        <v>875</v>
      </c>
      <c r="I34" s="96" t="n">
        <v>2</v>
      </c>
      <c r="J34" s="97" t="n">
        <v>6</v>
      </c>
      <c r="K34" s="96" t="n">
        <v>1</v>
      </c>
      <c r="L34" s="107" t="n">
        <v>0.727272727272727</v>
      </c>
      <c r="M34" s="108" t="n">
        <v>0.0979020979020979</v>
      </c>
      <c r="N34" s="108" t="n">
        <v>0.0629370629370629</v>
      </c>
      <c r="O34" s="108" t="n">
        <v>0.020979020979021</v>
      </c>
      <c r="P34" s="108" t="n">
        <v>0.027972027972028</v>
      </c>
      <c r="Q34" s="109" t="n">
        <v>0.0629370629370629</v>
      </c>
      <c r="R34" s="119" t="n">
        <v>0.123809523809524</v>
      </c>
      <c r="S34" s="120" t="n">
        <v>0.152380952380952</v>
      </c>
      <c r="T34" s="120" t="n">
        <v>0.0952380952380952</v>
      </c>
      <c r="U34" s="120" t="n">
        <v>0.19047619047619</v>
      </c>
      <c r="V34" s="120" t="n">
        <v>0.142857142857143</v>
      </c>
      <c r="W34" s="121" t="n">
        <v>0.295238095238095</v>
      </c>
      <c r="X34" s="110" t="n">
        <f aca="false">$F34*L34</f>
        <v>0</v>
      </c>
      <c r="Y34" s="111" t="n">
        <f aca="false">$F34*M34</f>
        <v>0</v>
      </c>
      <c r="Z34" s="111" t="n">
        <f aca="false">$F34*N34</f>
        <v>0</v>
      </c>
      <c r="AA34" s="111" t="n">
        <f aca="false">$F34*O34</f>
        <v>0</v>
      </c>
      <c r="AB34" s="111" t="n">
        <f aca="false">$F34*P34</f>
        <v>0</v>
      </c>
      <c r="AC34" s="112" t="n">
        <f aca="false">$F34*Q34</f>
        <v>0</v>
      </c>
      <c r="AD34" s="110" t="n">
        <f aca="false">$J34*R34</f>
        <v>0.742857142857143</v>
      </c>
      <c r="AE34" s="111" t="n">
        <f aca="false">$J34*S34</f>
        <v>0.914285714285714</v>
      </c>
      <c r="AF34" s="111" t="n">
        <f aca="false">$J34*T34</f>
        <v>0.571428571428571</v>
      </c>
      <c r="AG34" s="111" t="n">
        <f aca="false">$J34*U34</f>
        <v>1.14285714285714</v>
      </c>
      <c r="AH34" s="111" t="n">
        <f aca="false">$J34*V34</f>
        <v>0.857142857142857</v>
      </c>
      <c r="AI34" s="112" t="n">
        <f aca="false">$J34*W34</f>
        <v>1.77142857142857</v>
      </c>
      <c r="AJ34" s="116" t="n">
        <f aca="false">Input!$E$22*WRs!C34+Input!$E$23*WRs!D34+Input!$E$24*WRs!X34+Input!$E$25*WRs!Y34+Input!$E$26*WRs!Z34+Input!$E$27*WRs!AA34+Input!$E$28*WRs!AB34+Input!$E$29*WRs!AC34+Input!$E$30*WRs!E34+Input!$E$31*WRs!G34+Input!$E$32*WRs!H34+Input!$E$33*WRs!AD34+Input!$E$34*WRs!AE34+Input!$E$35*WRs!AF34+Input!$E$36*WRs!AG34+Input!$E$37*WRs!AH34+Input!$E$38*WRs!AI34+Input!$E$39*WRs!I34+Input!$E$40*WRs!K34</f>
        <v>150.842857142857</v>
      </c>
    </row>
    <row r="35" customFormat="false" ht="12.75" hidden="false" customHeight="false" outlineLevel="0" collapsed="false">
      <c r="A35" s="141" t="s">
        <v>374</v>
      </c>
      <c r="B35" s="112" t="s">
        <v>154</v>
      </c>
      <c r="C35" s="98" t="n">
        <v>0</v>
      </c>
      <c r="D35" s="96" t="n">
        <v>0</v>
      </c>
      <c r="E35" s="96" t="n">
        <v>0</v>
      </c>
      <c r="F35" s="97" t="n">
        <v>0</v>
      </c>
      <c r="G35" s="98" t="n">
        <v>78</v>
      </c>
      <c r="H35" s="96" t="n">
        <f aca="false">13*G35</f>
        <v>1014</v>
      </c>
      <c r="I35" s="96" t="n">
        <v>3</v>
      </c>
      <c r="J35" s="97" t="n">
        <v>6</v>
      </c>
      <c r="K35" s="96" t="n">
        <v>1</v>
      </c>
      <c r="L35" s="107" t="n">
        <v>0.727272727272727</v>
      </c>
      <c r="M35" s="108" t="n">
        <v>0.0979020979020979</v>
      </c>
      <c r="N35" s="108" t="n">
        <v>0.0629370629370629</v>
      </c>
      <c r="O35" s="108" t="n">
        <v>0.020979020979021</v>
      </c>
      <c r="P35" s="108" t="n">
        <v>0.027972027972028</v>
      </c>
      <c r="Q35" s="109" t="n">
        <v>0.0629370629370629</v>
      </c>
      <c r="R35" s="107" t="n">
        <v>0.369747899159664</v>
      </c>
      <c r="S35" s="108" t="n">
        <v>0.252100840336134</v>
      </c>
      <c r="T35" s="108" t="n">
        <v>0.210084033613445</v>
      </c>
      <c r="U35" s="108" t="n">
        <v>0.0588235294117647</v>
      </c>
      <c r="V35" s="108" t="n">
        <v>0.0756302521008403</v>
      </c>
      <c r="W35" s="109" t="n">
        <v>0.0420168067226891</v>
      </c>
      <c r="X35" s="110" t="n">
        <f aca="false">$F35*L35</f>
        <v>0</v>
      </c>
      <c r="Y35" s="111" t="n">
        <f aca="false">$F35*M35</f>
        <v>0</v>
      </c>
      <c r="Z35" s="111" t="n">
        <f aca="false">$F35*N35</f>
        <v>0</v>
      </c>
      <c r="AA35" s="111" t="n">
        <f aca="false">$F35*O35</f>
        <v>0</v>
      </c>
      <c r="AB35" s="111" t="n">
        <f aca="false">$F35*P35</f>
        <v>0</v>
      </c>
      <c r="AC35" s="112" t="n">
        <f aca="false">$F35*Q35</f>
        <v>0</v>
      </c>
      <c r="AD35" s="110" t="n">
        <f aca="false">$J35*R35</f>
        <v>2.21848739495798</v>
      </c>
      <c r="AE35" s="111" t="n">
        <f aca="false">$J35*S35</f>
        <v>1.51260504201681</v>
      </c>
      <c r="AF35" s="111" t="n">
        <f aca="false">$J35*T35</f>
        <v>1.26050420168067</v>
      </c>
      <c r="AG35" s="111" t="n">
        <f aca="false">$J35*U35</f>
        <v>0.352941176470588</v>
      </c>
      <c r="AH35" s="111" t="n">
        <f aca="false">$J35*V35</f>
        <v>0.453781512605042</v>
      </c>
      <c r="AI35" s="112" t="n">
        <f aca="false">$J35*W35</f>
        <v>0.252100840336134</v>
      </c>
      <c r="AJ35" s="116" t="n">
        <f aca="false">Input!$E$22*WRs!C35+Input!$E$23*WRs!D35+Input!$E$24*WRs!X35+Input!$E$25*WRs!Y35+Input!$E$26*WRs!Z35+Input!$E$27*WRs!AA35+Input!$E$28*WRs!AB35+Input!$E$29*WRs!AC35+Input!$E$30*WRs!E35+Input!$E$31*WRs!G35+Input!$E$32*WRs!H35+Input!$E$33*WRs!AD35+Input!$E$34*WRs!AE35+Input!$E$35*WRs!AF35+Input!$E$36*WRs!AG35+Input!$E$37*WRs!AH35+Input!$E$38*WRs!AI35+Input!$E$39*WRs!I35+Input!$E$40*WRs!K35</f>
        <v>154.12268907563</v>
      </c>
    </row>
    <row r="36" customFormat="false" ht="12.75" hidden="false" customHeight="false" outlineLevel="0" collapsed="false">
      <c r="A36" s="141" t="s">
        <v>375</v>
      </c>
      <c r="B36" s="112" t="s">
        <v>166</v>
      </c>
      <c r="C36" s="98" t="n">
        <v>3</v>
      </c>
      <c r="D36" s="96" t="n">
        <v>15</v>
      </c>
      <c r="E36" s="96" t="n">
        <v>0</v>
      </c>
      <c r="F36" s="97" t="n">
        <v>0</v>
      </c>
      <c r="G36" s="98" t="n">
        <v>72</v>
      </c>
      <c r="H36" s="96" t="n">
        <f aca="false">13.8*G36</f>
        <v>993.6</v>
      </c>
      <c r="I36" s="96" t="n">
        <v>3</v>
      </c>
      <c r="J36" s="97" t="n">
        <v>5</v>
      </c>
      <c r="K36" s="96" t="n">
        <v>1</v>
      </c>
      <c r="L36" s="107" t="n">
        <v>0.727272727272727</v>
      </c>
      <c r="M36" s="108" t="n">
        <v>0.0979020979020979</v>
      </c>
      <c r="N36" s="108" t="n">
        <v>0.0629370629370629</v>
      </c>
      <c r="O36" s="108" t="n">
        <v>0.020979020979021</v>
      </c>
      <c r="P36" s="108" t="n">
        <v>0.027972027972028</v>
      </c>
      <c r="Q36" s="109" t="n">
        <v>0.0629370629370629</v>
      </c>
      <c r="R36" s="107" t="n">
        <v>0.369747899159664</v>
      </c>
      <c r="S36" s="108" t="n">
        <v>0.252100840336134</v>
      </c>
      <c r="T36" s="108" t="n">
        <v>0.210084033613445</v>
      </c>
      <c r="U36" s="108" t="n">
        <v>0.0588235294117647</v>
      </c>
      <c r="V36" s="108" t="n">
        <v>0.0756302521008403</v>
      </c>
      <c r="W36" s="109" t="n">
        <v>0.0420168067226891</v>
      </c>
      <c r="X36" s="110" t="n">
        <f aca="false">$F36*L36</f>
        <v>0</v>
      </c>
      <c r="Y36" s="111" t="n">
        <f aca="false">$F36*M36</f>
        <v>0</v>
      </c>
      <c r="Z36" s="111" t="n">
        <f aca="false">$F36*N36</f>
        <v>0</v>
      </c>
      <c r="AA36" s="111" t="n">
        <f aca="false">$F36*O36</f>
        <v>0</v>
      </c>
      <c r="AB36" s="111" t="n">
        <f aca="false">$F36*P36</f>
        <v>0</v>
      </c>
      <c r="AC36" s="112" t="n">
        <f aca="false">$F36*Q36</f>
        <v>0</v>
      </c>
      <c r="AD36" s="110" t="n">
        <f aca="false">$J36*R36</f>
        <v>1.84873949579832</v>
      </c>
      <c r="AE36" s="111" t="n">
        <f aca="false">$J36*S36</f>
        <v>1.26050420168067</v>
      </c>
      <c r="AF36" s="111" t="n">
        <f aca="false">$J36*T36</f>
        <v>1.05042016806723</v>
      </c>
      <c r="AG36" s="111" t="n">
        <f aca="false">$J36*U36</f>
        <v>0.294117647058824</v>
      </c>
      <c r="AH36" s="111" t="n">
        <f aca="false">$J36*V36</f>
        <v>0.378151260504202</v>
      </c>
      <c r="AI36" s="112" t="n">
        <f aca="false">$J36*W36</f>
        <v>0.210084033613445</v>
      </c>
      <c r="AJ36" s="116" t="n">
        <f aca="false">Input!$E$22*WRs!C36+Input!$E$23*WRs!D36+Input!$E$24*WRs!X36+Input!$E$25*WRs!Y36+Input!$E$26*WRs!Z36+Input!$E$27*WRs!AA36+Input!$E$28*WRs!AB36+Input!$E$29*WRs!AC36+Input!$E$30*WRs!E36+Input!$E$31*WRs!G36+Input!$E$32*WRs!H36+Input!$E$33*WRs!AD36+Input!$E$34*WRs!AE36+Input!$E$35*WRs!AF36+Input!$E$36*WRs!AG36+Input!$E$37*WRs!AH36+Input!$E$38*WRs!AI36+Input!$E$39*WRs!I36+Input!$E$40*WRs!K36</f>
        <v>146.128907563025</v>
      </c>
    </row>
    <row r="37" customFormat="false" ht="12.75" hidden="false" customHeight="false" outlineLevel="0" collapsed="false">
      <c r="A37" s="141" t="s">
        <v>376</v>
      </c>
      <c r="B37" s="112" t="s">
        <v>144</v>
      </c>
      <c r="C37" s="98" t="n">
        <v>0</v>
      </c>
      <c r="D37" s="96" t="n">
        <v>0</v>
      </c>
      <c r="E37" s="96" t="n">
        <v>0</v>
      </c>
      <c r="F37" s="97" t="n">
        <v>0</v>
      </c>
      <c r="G37" s="98" t="n">
        <v>80</v>
      </c>
      <c r="H37" s="96" t="n">
        <f aca="false">12.5*G37</f>
        <v>1000</v>
      </c>
      <c r="I37" s="96" t="n">
        <v>2</v>
      </c>
      <c r="J37" s="97" t="n">
        <v>5</v>
      </c>
      <c r="K37" s="96" t="n">
        <v>1</v>
      </c>
      <c r="L37" s="107" t="n">
        <v>0.727272727272727</v>
      </c>
      <c r="M37" s="108" t="n">
        <v>0.0979020979020979</v>
      </c>
      <c r="N37" s="108" t="n">
        <v>0.0629370629370629</v>
      </c>
      <c r="O37" s="108" t="n">
        <v>0.020979020979021</v>
      </c>
      <c r="P37" s="108" t="n">
        <v>0.027972027972028</v>
      </c>
      <c r="Q37" s="109" t="n">
        <v>0.0629370629370629</v>
      </c>
      <c r="R37" s="107" t="n">
        <v>0.369747899159664</v>
      </c>
      <c r="S37" s="108" t="n">
        <v>0.252100840336134</v>
      </c>
      <c r="T37" s="108" t="n">
        <v>0.210084033613445</v>
      </c>
      <c r="U37" s="108" t="n">
        <v>0.0588235294117647</v>
      </c>
      <c r="V37" s="108" t="n">
        <v>0.0756302521008403</v>
      </c>
      <c r="W37" s="109" t="n">
        <v>0.0420168067226891</v>
      </c>
      <c r="X37" s="110" t="n">
        <f aca="false">$F37*L37</f>
        <v>0</v>
      </c>
      <c r="Y37" s="111" t="n">
        <f aca="false">$F37*M37</f>
        <v>0</v>
      </c>
      <c r="Z37" s="111" t="n">
        <f aca="false">$F37*N37</f>
        <v>0</v>
      </c>
      <c r="AA37" s="111" t="n">
        <f aca="false">$F37*O37</f>
        <v>0</v>
      </c>
      <c r="AB37" s="111" t="n">
        <f aca="false">$F37*P37</f>
        <v>0</v>
      </c>
      <c r="AC37" s="112" t="n">
        <f aca="false">$F37*Q37</f>
        <v>0</v>
      </c>
      <c r="AD37" s="110" t="n">
        <f aca="false">$J37*R37</f>
        <v>1.84873949579832</v>
      </c>
      <c r="AE37" s="111" t="n">
        <f aca="false">$J37*S37</f>
        <v>1.26050420168067</v>
      </c>
      <c r="AF37" s="111" t="n">
        <f aca="false">$J37*T37</f>
        <v>1.05042016806723</v>
      </c>
      <c r="AG37" s="111" t="n">
        <f aca="false">$J37*U37</f>
        <v>0.294117647058824</v>
      </c>
      <c r="AH37" s="111" t="n">
        <f aca="false">$J37*V37</f>
        <v>0.378151260504202</v>
      </c>
      <c r="AI37" s="112" t="n">
        <f aca="false">$J37*W37</f>
        <v>0.210084033613445</v>
      </c>
      <c r="AJ37" s="116" t="n">
        <f aca="false">Input!$E$22*WRs!C37+Input!$E$23*WRs!D37+Input!$E$24*WRs!X37+Input!$E$25*WRs!Y37+Input!$E$26*WRs!Z37+Input!$E$27*WRs!AA37+Input!$E$28*WRs!AB37+Input!$E$29*WRs!AC37+Input!$E$30*WRs!E37+Input!$E$31*WRs!G37+Input!$E$32*WRs!H37+Input!$E$33*WRs!AD37+Input!$E$34*WRs!AE37+Input!$E$35*WRs!AF37+Input!$E$36*WRs!AG37+Input!$E$37*WRs!AH37+Input!$E$38*WRs!AI37+Input!$E$39*WRs!I37+Input!$E$40*WRs!K37</f>
        <v>142.268907563025</v>
      </c>
    </row>
    <row r="38" customFormat="false" ht="12.75" hidden="false" customHeight="false" outlineLevel="0" collapsed="false">
      <c r="A38" s="141" t="s">
        <v>377</v>
      </c>
      <c r="B38" s="112" t="s">
        <v>162</v>
      </c>
      <c r="C38" s="98" t="n">
        <v>3</v>
      </c>
      <c r="D38" s="96" t="n">
        <f aca="false">6.7*C38</f>
        <v>20.1</v>
      </c>
      <c r="E38" s="96" t="n">
        <v>0</v>
      </c>
      <c r="F38" s="97" t="n">
        <v>0</v>
      </c>
      <c r="G38" s="98" t="n">
        <v>65</v>
      </c>
      <c r="H38" s="96" t="n">
        <f aca="false">13.2*G38</f>
        <v>858</v>
      </c>
      <c r="I38" s="96" t="n">
        <v>3</v>
      </c>
      <c r="J38" s="97" t="n">
        <v>6</v>
      </c>
      <c r="K38" s="96" t="n">
        <v>1</v>
      </c>
      <c r="L38" s="107" t="n">
        <v>0.727272727272727</v>
      </c>
      <c r="M38" s="108" t="n">
        <v>0.0979020979020979</v>
      </c>
      <c r="N38" s="108" t="n">
        <v>0.0629370629370629</v>
      </c>
      <c r="O38" s="108" t="n">
        <v>0.020979020979021</v>
      </c>
      <c r="P38" s="108" t="n">
        <v>0.027972027972028</v>
      </c>
      <c r="Q38" s="109" t="n">
        <v>0.0629370629370629</v>
      </c>
      <c r="R38" s="107" t="n">
        <v>0.206896551724138</v>
      </c>
      <c r="S38" s="108" t="n">
        <v>0.310344827586207</v>
      </c>
      <c r="T38" s="108" t="n">
        <v>0.224137931034483</v>
      </c>
      <c r="U38" s="108" t="n">
        <v>0.0517241379310345</v>
      </c>
      <c r="V38" s="108" t="n">
        <v>0.137931034482759</v>
      </c>
      <c r="W38" s="109" t="n">
        <v>0.0689655172413793</v>
      </c>
      <c r="X38" s="110" t="n">
        <f aca="false">$F38*L38</f>
        <v>0</v>
      </c>
      <c r="Y38" s="111" t="n">
        <f aca="false">$F38*M38</f>
        <v>0</v>
      </c>
      <c r="Z38" s="111" t="n">
        <f aca="false">$F38*N38</f>
        <v>0</v>
      </c>
      <c r="AA38" s="111" t="n">
        <f aca="false">$F38*O38</f>
        <v>0</v>
      </c>
      <c r="AB38" s="111" t="n">
        <f aca="false">$F38*P38</f>
        <v>0</v>
      </c>
      <c r="AC38" s="112" t="n">
        <f aca="false">$F38*Q38</f>
        <v>0</v>
      </c>
      <c r="AD38" s="110" t="n">
        <f aca="false">$J38*R38</f>
        <v>1.24137931034483</v>
      </c>
      <c r="AE38" s="111" t="n">
        <f aca="false">$J38*S38</f>
        <v>1.86206896551724</v>
      </c>
      <c r="AF38" s="111" t="n">
        <f aca="false">$J38*T38</f>
        <v>1.3448275862069</v>
      </c>
      <c r="AG38" s="111" t="n">
        <f aca="false">$J38*U38</f>
        <v>0.310344827586207</v>
      </c>
      <c r="AH38" s="111" t="n">
        <f aca="false">$J38*V38</f>
        <v>0.827586206896552</v>
      </c>
      <c r="AI38" s="112" t="n">
        <f aca="false">$J38*W38</f>
        <v>0.413793103448276</v>
      </c>
      <c r="AJ38" s="116" t="n">
        <f aca="false">Input!$E$22*WRs!C38+Input!$E$23*WRs!D38+Input!$E$24*WRs!X38+Input!$E$25*WRs!Y38+Input!$E$26*WRs!Z38+Input!$E$27*WRs!AA38+Input!$E$28*WRs!AB38+Input!$E$29*WRs!AC38+Input!$E$30*WRs!E38+Input!$E$31*WRs!G38+Input!$E$32*WRs!H38+Input!$E$33*WRs!AD38+Input!$E$34*WRs!AE38+Input!$E$35*WRs!AF38+Input!$E$36*WRs!AG38+Input!$E$37*WRs!AH38+Input!$E$38*WRs!AI38+Input!$E$39*WRs!I38+Input!$E$40*WRs!K38</f>
        <v>143.085862068966</v>
      </c>
    </row>
    <row r="39" customFormat="false" ht="12.75" hidden="false" customHeight="false" outlineLevel="0" collapsed="false">
      <c r="A39" s="141" t="s">
        <v>378</v>
      </c>
      <c r="B39" s="112" t="s">
        <v>176</v>
      </c>
      <c r="C39" s="98" t="n">
        <v>1</v>
      </c>
      <c r="D39" s="96" t="n">
        <v>4</v>
      </c>
      <c r="E39" s="96" t="n">
        <v>0</v>
      </c>
      <c r="F39" s="97" t="n">
        <v>0</v>
      </c>
      <c r="G39" s="98" t="n">
        <v>64</v>
      </c>
      <c r="H39" s="96" t="n">
        <f aca="false">14.5*G39</f>
        <v>928</v>
      </c>
      <c r="I39" s="96" t="n">
        <v>2</v>
      </c>
      <c r="J39" s="97" t="n">
        <v>5</v>
      </c>
      <c r="K39" s="96" t="n">
        <v>1</v>
      </c>
      <c r="L39" s="107" t="n">
        <v>0.727272727272727</v>
      </c>
      <c r="M39" s="108" t="n">
        <v>0.0979020979020979</v>
      </c>
      <c r="N39" s="108" t="n">
        <v>0.0629370629370629</v>
      </c>
      <c r="O39" s="108" t="n">
        <v>0.020979020979021</v>
      </c>
      <c r="P39" s="108" t="n">
        <v>0.027972027972028</v>
      </c>
      <c r="Q39" s="109" t="n">
        <v>0.0629370629370629</v>
      </c>
      <c r="R39" s="107" t="n">
        <v>0.123809523809524</v>
      </c>
      <c r="S39" s="108" t="n">
        <v>0.152380952380952</v>
      </c>
      <c r="T39" s="108" t="n">
        <v>0.0952380952380952</v>
      </c>
      <c r="U39" s="108" t="n">
        <v>0.19047619047619</v>
      </c>
      <c r="V39" s="108" t="n">
        <v>0.142857142857143</v>
      </c>
      <c r="W39" s="109" t="n">
        <v>0.295238095238095</v>
      </c>
      <c r="X39" s="110" t="n">
        <f aca="false">$F39*L39</f>
        <v>0</v>
      </c>
      <c r="Y39" s="111" t="n">
        <f aca="false">$F39*M39</f>
        <v>0</v>
      </c>
      <c r="Z39" s="111" t="n">
        <f aca="false">$F39*N39</f>
        <v>0</v>
      </c>
      <c r="AA39" s="111" t="n">
        <f aca="false">$F39*O39</f>
        <v>0</v>
      </c>
      <c r="AB39" s="111" t="n">
        <f aca="false">$F39*P39</f>
        <v>0</v>
      </c>
      <c r="AC39" s="112" t="n">
        <f aca="false">$F39*Q39</f>
        <v>0</v>
      </c>
      <c r="AD39" s="110" t="n">
        <f aca="false">$J39*R39</f>
        <v>0.619047619047619</v>
      </c>
      <c r="AE39" s="111" t="n">
        <f aca="false">$J39*S39</f>
        <v>0.761904761904762</v>
      </c>
      <c r="AF39" s="111" t="n">
        <f aca="false">$J39*T39</f>
        <v>0.476190476190476</v>
      </c>
      <c r="AG39" s="111" t="n">
        <f aca="false">$J39*U39</f>
        <v>0.952380952380952</v>
      </c>
      <c r="AH39" s="111" t="n">
        <f aca="false">$J39*V39</f>
        <v>0.714285714285714</v>
      </c>
      <c r="AI39" s="112" t="n">
        <f aca="false">$J39*W39</f>
        <v>1.47619047619048</v>
      </c>
      <c r="AJ39" s="116" t="n">
        <f aca="false">Input!$E$22*WRs!C39+Input!$E$23*WRs!D39+Input!$E$24*WRs!X39+Input!$E$25*WRs!Y39+Input!$E$26*WRs!Z39+Input!$E$27*WRs!AA39+Input!$E$28*WRs!AB39+Input!$E$29*WRs!AC39+Input!$E$30*WRs!E39+Input!$E$31*WRs!G39+Input!$E$32*WRs!H39+Input!$E$33*WRs!AD39+Input!$E$34*WRs!AE39+Input!$E$35*WRs!AF39+Input!$E$36*WRs!AG39+Input!$E$37*WRs!AH39+Input!$E$38*WRs!AI39+Input!$E$39*WRs!I39+Input!$E$40*WRs!K39</f>
        <v>144.485714285714</v>
      </c>
    </row>
    <row r="40" customFormat="false" ht="12.75" hidden="false" customHeight="false" outlineLevel="0" collapsed="false">
      <c r="A40" s="141" t="s">
        <v>379</v>
      </c>
      <c r="B40" s="112" t="s">
        <v>140</v>
      </c>
      <c r="C40" s="98" t="n">
        <v>0</v>
      </c>
      <c r="D40" s="96" t="n">
        <v>0</v>
      </c>
      <c r="E40" s="96" t="n">
        <v>0</v>
      </c>
      <c r="F40" s="97" t="n">
        <v>0</v>
      </c>
      <c r="G40" s="98" t="n">
        <v>65</v>
      </c>
      <c r="H40" s="96" t="n">
        <f aca="false">14.3*G40</f>
        <v>929.5</v>
      </c>
      <c r="I40" s="96" t="n">
        <v>2</v>
      </c>
      <c r="J40" s="97" t="n">
        <v>6</v>
      </c>
      <c r="K40" s="96" t="n">
        <v>1</v>
      </c>
      <c r="L40" s="107" t="n">
        <v>0.727272727272727</v>
      </c>
      <c r="M40" s="108" t="n">
        <v>0.0979020979020979</v>
      </c>
      <c r="N40" s="108" t="n">
        <v>0.0629370629370629</v>
      </c>
      <c r="O40" s="108" t="n">
        <v>0.020979020979021</v>
      </c>
      <c r="P40" s="108" t="n">
        <v>0.027972027972028</v>
      </c>
      <c r="Q40" s="109" t="n">
        <v>0.0629370629370629</v>
      </c>
      <c r="R40" s="107" t="n">
        <v>0.369747899159664</v>
      </c>
      <c r="S40" s="108" t="n">
        <v>0.252100840336134</v>
      </c>
      <c r="T40" s="108" t="n">
        <v>0.210084033613445</v>
      </c>
      <c r="U40" s="108" t="n">
        <v>0.0588235294117647</v>
      </c>
      <c r="V40" s="108" t="n">
        <v>0.0756302521008403</v>
      </c>
      <c r="W40" s="109" t="n">
        <v>0.0420168067226891</v>
      </c>
      <c r="X40" s="110" t="n">
        <f aca="false">$F40*L40</f>
        <v>0</v>
      </c>
      <c r="Y40" s="111" t="n">
        <f aca="false">$F40*M40</f>
        <v>0</v>
      </c>
      <c r="Z40" s="111" t="n">
        <f aca="false">$F40*N40</f>
        <v>0</v>
      </c>
      <c r="AA40" s="111" t="n">
        <f aca="false">$F40*O40</f>
        <v>0</v>
      </c>
      <c r="AB40" s="111" t="n">
        <f aca="false">$F40*P40</f>
        <v>0</v>
      </c>
      <c r="AC40" s="112" t="n">
        <f aca="false">$F40*Q40</f>
        <v>0</v>
      </c>
      <c r="AD40" s="110" t="n">
        <f aca="false">$J40*R40</f>
        <v>2.21848739495798</v>
      </c>
      <c r="AE40" s="111" t="n">
        <f aca="false">$J40*S40</f>
        <v>1.51260504201681</v>
      </c>
      <c r="AF40" s="111" t="n">
        <f aca="false">$J40*T40</f>
        <v>1.26050420168067</v>
      </c>
      <c r="AG40" s="111" t="n">
        <f aca="false">$J40*U40</f>
        <v>0.352941176470588</v>
      </c>
      <c r="AH40" s="111" t="n">
        <f aca="false">$J40*V40</f>
        <v>0.453781512605042</v>
      </c>
      <c r="AI40" s="112" t="n">
        <f aca="false">$J40*W40</f>
        <v>0.252100840336134</v>
      </c>
      <c r="AJ40" s="116" t="n">
        <f aca="false">Input!$E$22*WRs!C40+Input!$E$23*WRs!D40+Input!$E$24*WRs!X40+Input!$E$25*WRs!Y40+Input!$E$26*WRs!Z40+Input!$E$27*WRs!AA40+Input!$E$28*WRs!AB40+Input!$E$29*WRs!AC40+Input!$E$30*WRs!E40+Input!$E$31*WRs!G40+Input!$E$32*WRs!H40+Input!$E$33*WRs!AD40+Input!$E$34*WRs!AE40+Input!$E$35*WRs!AF40+Input!$E$36*WRs!AG40+Input!$E$37*WRs!AH40+Input!$E$38*WRs!AI40+Input!$E$39*WRs!I40+Input!$E$40*WRs!K40</f>
        <v>142.67268907563</v>
      </c>
    </row>
    <row r="41" customFormat="false" ht="12.75" hidden="false" customHeight="false" outlineLevel="0" collapsed="false">
      <c r="A41" s="141" t="s">
        <v>380</v>
      </c>
      <c r="B41" s="112" t="s">
        <v>172</v>
      </c>
      <c r="C41" s="98" t="n">
        <v>2</v>
      </c>
      <c r="D41" s="96" t="n">
        <f aca="false">13*C41</f>
        <v>26</v>
      </c>
      <c r="E41" s="96" t="n">
        <v>0</v>
      </c>
      <c r="F41" s="97" t="n">
        <v>0</v>
      </c>
      <c r="G41" s="98" t="n">
        <v>62</v>
      </c>
      <c r="H41" s="96" t="n">
        <f aca="false">15*G41</f>
        <v>930</v>
      </c>
      <c r="I41" s="96" t="n">
        <v>2</v>
      </c>
      <c r="J41" s="97" t="n">
        <v>5</v>
      </c>
      <c r="K41" s="96" t="n">
        <v>1</v>
      </c>
      <c r="L41" s="107" t="n">
        <v>0.727272727272727</v>
      </c>
      <c r="M41" s="108" t="n">
        <v>0.0979020979020979</v>
      </c>
      <c r="N41" s="108" t="n">
        <v>0.0629370629370629</v>
      </c>
      <c r="O41" s="108" t="n">
        <v>0.020979020979021</v>
      </c>
      <c r="P41" s="108" t="n">
        <v>0.027972027972028</v>
      </c>
      <c r="Q41" s="109" t="n">
        <v>0.0629370629370629</v>
      </c>
      <c r="R41" s="119" t="n">
        <v>0.123809523809524</v>
      </c>
      <c r="S41" s="120" t="n">
        <v>0.152380952380952</v>
      </c>
      <c r="T41" s="120" t="n">
        <v>0.0952380952380952</v>
      </c>
      <c r="U41" s="120" t="n">
        <v>0.19047619047619</v>
      </c>
      <c r="V41" s="120" t="n">
        <v>0.142857142857143</v>
      </c>
      <c r="W41" s="121" t="n">
        <v>0.295238095238095</v>
      </c>
      <c r="X41" s="110" t="n">
        <f aca="false">$F41*L41</f>
        <v>0</v>
      </c>
      <c r="Y41" s="111" t="n">
        <f aca="false">$F41*M41</f>
        <v>0</v>
      </c>
      <c r="Z41" s="111" t="n">
        <f aca="false">$F41*N41</f>
        <v>0</v>
      </c>
      <c r="AA41" s="111" t="n">
        <f aca="false">$F41*O41</f>
        <v>0</v>
      </c>
      <c r="AB41" s="111" t="n">
        <f aca="false">$F41*P41</f>
        <v>0</v>
      </c>
      <c r="AC41" s="112" t="n">
        <f aca="false">$F41*Q41</f>
        <v>0</v>
      </c>
      <c r="AD41" s="110" t="n">
        <f aca="false">$J41*R41</f>
        <v>0.619047619047619</v>
      </c>
      <c r="AE41" s="111" t="n">
        <f aca="false">$J41*S41</f>
        <v>0.761904761904762</v>
      </c>
      <c r="AF41" s="111" t="n">
        <f aca="false">$J41*T41</f>
        <v>0.476190476190476</v>
      </c>
      <c r="AG41" s="111" t="n">
        <f aca="false">$J41*U41</f>
        <v>0.952380952380952</v>
      </c>
      <c r="AH41" s="111" t="n">
        <f aca="false">$J41*V41</f>
        <v>0.714285714285714</v>
      </c>
      <c r="AI41" s="112" t="n">
        <f aca="false">$J41*W41</f>
        <v>1.47619047619048</v>
      </c>
      <c r="AJ41" s="116" t="n">
        <f aca="false">Input!$E$22*WRs!C41+Input!$E$23*WRs!D41+Input!$E$24*WRs!X41+Input!$E$25*WRs!Y41+Input!$E$26*WRs!Z41+Input!$E$27*WRs!AA41+Input!$E$28*WRs!AB41+Input!$E$29*WRs!AC41+Input!$E$30*WRs!E41+Input!$E$31*WRs!G41+Input!$E$32*WRs!H41+Input!$E$33*WRs!AD41+Input!$E$34*WRs!AE41+Input!$E$35*WRs!AF41+Input!$E$36*WRs!AG41+Input!$E$37*WRs!AH41+Input!$E$38*WRs!AI41+Input!$E$39*WRs!I41+Input!$E$40*WRs!K41</f>
        <v>146.885714285714</v>
      </c>
    </row>
    <row r="42" customFormat="false" ht="12.75" hidden="false" customHeight="false" outlineLevel="0" collapsed="false">
      <c r="A42" s="141" t="s">
        <v>381</v>
      </c>
      <c r="B42" s="112" t="s">
        <v>148</v>
      </c>
      <c r="C42" s="98" t="n">
        <v>1</v>
      </c>
      <c r="D42" s="96" t="n">
        <v>6</v>
      </c>
      <c r="E42" s="96" t="n">
        <v>0</v>
      </c>
      <c r="F42" s="97" t="n">
        <v>0</v>
      </c>
      <c r="G42" s="98" t="n">
        <v>65</v>
      </c>
      <c r="H42" s="96" t="n">
        <f aca="false">13.3*G42</f>
        <v>864.5</v>
      </c>
      <c r="I42" s="96" t="n">
        <v>2</v>
      </c>
      <c r="J42" s="97" t="n">
        <v>5</v>
      </c>
      <c r="K42" s="96" t="n">
        <v>1</v>
      </c>
      <c r="L42" s="107" t="n">
        <v>0.727272727272727</v>
      </c>
      <c r="M42" s="108" t="n">
        <v>0.0979020979020979</v>
      </c>
      <c r="N42" s="108" t="n">
        <v>0.0629370629370629</v>
      </c>
      <c r="O42" s="108" t="n">
        <v>0.020979020979021</v>
      </c>
      <c r="P42" s="108" t="n">
        <v>0.027972027972028</v>
      </c>
      <c r="Q42" s="109" t="n">
        <v>0.0629370629370629</v>
      </c>
      <c r="R42" s="107" t="n">
        <v>0.206896551724138</v>
      </c>
      <c r="S42" s="108" t="n">
        <v>0.310344827586207</v>
      </c>
      <c r="T42" s="108" t="n">
        <v>0.224137931034483</v>
      </c>
      <c r="U42" s="108" t="n">
        <v>0.0517241379310345</v>
      </c>
      <c r="V42" s="108" t="n">
        <v>0.137931034482759</v>
      </c>
      <c r="W42" s="109" t="n">
        <v>0.0689655172413793</v>
      </c>
      <c r="X42" s="110" t="n">
        <f aca="false">$F42*L42</f>
        <v>0</v>
      </c>
      <c r="Y42" s="111" t="n">
        <f aca="false">$F42*M42</f>
        <v>0</v>
      </c>
      <c r="Z42" s="111" t="n">
        <f aca="false">$F42*N42</f>
        <v>0</v>
      </c>
      <c r="AA42" s="111" t="n">
        <f aca="false">$F42*O42</f>
        <v>0</v>
      </c>
      <c r="AB42" s="111" t="n">
        <f aca="false">$F42*P42</f>
        <v>0</v>
      </c>
      <c r="AC42" s="112" t="n">
        <f aca="false">$F42*Q42</f>
        <v>0</v>
      </c>
      <c r="AD42" s="110" t="n">
        <f aca="false">$J42*R42</f>
        <v>1.03448275862069</v>
      </c>
      <c r="AE42" s="111" t="n">
        <f aca="false">$J42*S42</f>
        <v>1.55172413793103</v>
      </c>
      <c r="AF42" s="111" t="n">
        <f aca="false">$J42*T42</f>
        <v>1.12068965517241</v>
      </c>
      <c r="AG42" s="111" t="n">
        <f aca="false">$J42*U42</f>
        <v>0.258620689655172</v>
      </c>
      <c r="AH42" s="111" t="n">
        <f aca="false">$J42*V42</f>
        <v>0.689655172413793</v>
      </c>
      <c r="AI42" s="112" t="n">
        <f aca="false">$J42*W42</f>
        <v>0.344827586206897</v>
      </c>
      <c r="AJ42" s="116" t="n">
        <f aca="false">Input!$E$22*WRs!C42+Input!$E$23*WRs!D42+Input!$E$24*WRs!X42+Input!$E$25*WRs!Y42+Input!$E$26*WRs!Z42+Input!$E$27*WRs!AA42+Input!$E$28*WRs!AB42+Input!$E$29*WRs!AC42+Input!$E$30*WRs!E42+Input!$E$31*WRs!G42+Input!$E$32*WRs!H42+Input!$E$33*WRs!AD42+Input!$E$34*WRs!AE42+Input!$E$35*WRs!AF42+Input!$E$36*WRs!AG42+Input!$E$37*WRs!AH42+Input!$E$38*WRs!AI42+Input!$E$39*WRs!I42+Input!$E$40*WRs!K42</f>
        <v>131.446551724138</v>
      </c>
    </row>
    <row r="43" customFormat="false" ht="12.75" hidden="false" customHeight="false" outlineLevel="0" collapsed="false">
      <c r="A43" s="141" t="s">
        <v>382</v>
      </c>
      <c r="B43" s="112" t="s">
        <v>152</v>
      </c>
      <c r="C43" s="98" t="n">
        <v>3</v>
      </c>
      <c r="D43" s="96" t="n">
        <v>15</v>
      </c>
      <c r="E43" s="96" t="n">
        <v>0</v>
      </c>
      <c r="F43" s="97" t="n">
        <v>0</v>
      </c>
      <c r="G43" s="98" t="n">
        <v>62</v>
      </c>
      <c r="H43" s="96" t="n">
        <f aca="false">16.6*G43</f>
        <v>1029.2</v>
      </c>
      <c r="I43" s="96" t="n">
        <v>2</v>
      </c>
      <c r="J43" s="97" t="n">
        <v>6</v>
      </c>
      <c r="K43" s="96" t="n">
        <v>1</v>
      </c>
      <c r="L43" s="107" t="n">
        <v>0.727272727272727</v>
      </c>
      <c r="M43" s="108" t="n">
        <v>0.0979020979020979</v>
      </c>
      <c r="N43" s="108" t="n">
        <v>0.0629370629370629</v>
      </c>
      <c r="O43" s="108" t="n">
        <v>0.020979020979021</v>
      </c>
      <c r="P43" s="108" t="n">
        <v>0.027972027972028</v>
      </c>
      <c r="Q43" s="109" t="n">
        <v>0.0629370629370629</v>
      </c>
      <c r="R43" s="107" t="n">
        <v>0.369747899159664</v>
      </c>
      <c r="S43" s="108" t="n">
        <v>0.252100840336134</v>
      </c>
      <c r="T43" s="108" t="n">
        <v>0.210084033613445</v>
      </c>
      <c r="U43" s="108" t="n">
        <v>0.0588235294117647</v>
      </c>
      <c r="V43" s="108" t="n">
        <v>0.0756302521008403</v>
      </c>
      <c r="W43" s="109" t="n">
        <v>0.0420168067226891</v>
      </c>
      <c r="X43" s="110" t="n">
        <f aca="false">$F43*L43</f>
        <v>0</v>
      </c>
      <c r="Y43" s="111" t="n">
        <f aca="false">$F43*M43</f>
        <v>0</v>
      </c>
      <c r="Z43" s="111" t="n">
        <f aca="false">$F43*N43</f>
        <v>0</v>
      </c>
      <c r="AA43" s="111" t="n">
        <f aca="false">$F43*O43</f>
        <v>0</v>
      </c>
      <c r="AB43" s="111" t="n">
        <f aca="false">$F43*P43</f>
        <v>0</v>
      </c>
      <c r="AC43" s="112" t="n">
        <f aca="false">$F43*Q43</f>
        <v>0</v>
      </c>
      <c r="AD43" s="110" t="n">
        <f aca="false">$J43*R43</f>
        <v>2.21848739495798</v>
      </c>
      <c r="AE43" s="111" t="n">
        <f aca="false">$J43*S43</f>
        <v>1.51260504201681</v>
      </c>
      <c r="AF43" s="111" t="n">
        <f aca="false">$J43*T43</f>
        <v>1.26050420168067</v>
      </c>
      <c r="AG43" s="111" t="n">
        <f aca="false">$J43*U43</f>
        <v>0.352941176470588</v>
      </c>
      <c r="AH43" s="111" t="n">
        <f aca="false">$J43*V43</f>
        <v>0.453781512605042</v>
      </c>
      <c r="AI43" s="112" t="n">
        <f aca="false">$J43*W43</f>
        <v>0.252100840336134</v>
      </c>
      <c r="AJ43" s="116" t="n">
        <f aca="false">Input!$E$22*WRs!C43+Input!$E$23*WRs!D43+Input!$E$24*WRs!X43+Input!$E$25*WRs!Y43+Input!$E$26*WRs!Z43+Input!$E$27*WRs!AA43+Input!$E$28*WRs!AB43+Input!$E$29*WRs!AC43+Input!$E$30*WRs!E43+Input!$E$31*WRs!G43+Input!$E$32*WRs!H43+Input!$E$33*WRs!AD43+Input!$E$34*WRs!AE43+Input!$E$35*WRs!AF43+Input!$E$36*WRs!AG43+Input!$E$37*WRs!AH43+Input!$E$38*WRs!AI43+Input!$E$39*WRs!I43+Input!$E$40*WRs!K43</f>
        <v>154.14268907563</v>
      </c>
    </row>
    <row r="44" customFormat="false" ht="12.75" hidden="false" customHeight="false" outlineLevel="0" collapsed="false">
      <c r="A44" s="141" t="s">
        <v>383</v>
      </c>
      <c r="B44" s="112" t="s">
        <v>184</v>
      </c>
      <c r="C44" s="98" t="n">
        <v>1</v>
      </c>
      <c r="D44" s="96" t="n">
        <v>4</v>
      </c>
      <c r="E44" s="96" t="n">
        <v>0</v>
      </c>
      <c r="F44" s="97" t="n">
        <v>0</v>
      </c>
      <c r="G44" s="98" t="n">
        <v>55</v>
      </c>
      <c r="H44" s="96" t="n">
        <f aca="false">15.2*G44</f>
        <v>836</v>
      </c>
      <c r="I44" s="96" t="n">
        <v>2</v>
      </c>
      <c r="J44" s="97" t="n">
        <v>6</v>
      </c>
      <c r="K44" s="96" t="n">
        <v>1</v>
      </c>
      <c r="L44" s="107" t="n">
        <v>0.727272727272727</v>
      </c>
      <c r="M44" s="108" t="n">
        <v>0.0979020979020979</v>
      </c>
      <c r="N44" s="108" t="n">
        <v>0.0629370629370629</v>
      </c>
      <c r="O44" s="108" t="n">
        <v>0.020979020979021</v>
      </c>
      <c r="P44" s="108" t="n">
        <v>0.027972027972028</v>
      </c>
      <c r="Q44" s="109" t="n">
        <v>0.0629370629370629</v>
      </c>
      <c r="R44" s="107" t="n">
        <v>0.369747899159664</v>
      </c>
      <c r="S44" s="108" t="n">
        <v>0.252100840336134</v>
      </c>
      <c r="T44" s="108" t="n">
        <v>0.210084033613445</v>
      </c>
      <c r="U44" s="108" t="n">
        <v>0.0588235294117647</v>
      </c>
      <c r="V44" s="108" t="n">
        <v>0.0756302521008403</v>
      </c>
      <c r="W44" s="109" t="n">
        <v>0.0420168067226891</v>
      </c>
      <c r="X44" s="110" t="n">
        <f aca="false">$F44*L44</f>
        <v>0</v>
      </c>
      <c r="Y44" s="111" t="n">
        <f aca="false">$F44*M44</f>
        <v>0</v>
      </c>
      <c r="Z44" s="111" t="n">
        <f aca="false">$F44*N44</f>
        <v>0</v>
      </c>
      <c r="AA44" s="111" t="n">
        <f aca="false">$F44*O44</f>
        <v>0</v>
      </c>
      <c r="AB44" s="111" t="n">
        <f aca="false">$F44*P44</f>
        <v>0</v>
      </c>
      <c r="AC44" s="112" t="n">
        <f aca="false">$F44*Q44</f>
        <v>0</v>
      </c>
      <c r="AD44" s="110" t="n">
        <f aca="false">$J44*R44</f>
        <v>2.21848739495798</v>
      </c>
      <c r="AE44" s="111" t="n">
        <f aca="false">$J44*S44</f>
        <v>1.51260504201681</v>
      </c>
      <c r="AF44" s="111" t="n">
        <f aca="false">$J44*T44</f>
        <v>1.26050420168067</v>
      </c>
      <c r="AG44" s="111" t="n">
        <f aca="false">$J44*U44</f>
        <v>0.352941176470588</v>
      </c>
      <c r="AH44" s="111" t="n">
        <f aca="false">$J44*V44</f>
        <v>0.453781512605042</v>
      </c>
      <c r="AI44" s="112" t="n">
        <f aca="false">$J44*W44</f>
        <v>0.252100840336134</v>
      </c>
      <c r="AJ44" s="116" t="n">
        <f aca="false">Input!$E$22*WRs!C44+Input!$E$23*WRs!D44+Input!$E$24*WRs!X44+Input!$E$25*WRs!Y44+Input!$E$26*WRs!Z44+Input!$E$27*WRs!AA44+Input!$E$28*WRs!AB44+Input!$E$29*WRs!AC44+Input!$E$30*WRs!E44+Input!$E$31*WRs!G44+Input!$E$32*WRs!H44+Input!$E$33*WRs!AD44+Input!$E$34*WRs!AE44+Input!$E$35*WRs!AF44+Input!$E$36*WRs!AG44+Input!$E$37*WRs!AH44+Input!$E$38*WRs!AI44+Input!$E$39*WRs!I44+Input!$E$40*WRs!K44</f>
        <v>133.72268907563</v>
      </c>
    </row>
    <row r="45" customFormat="false" ht="12.75" hidden="false" customHeight="false" outlineLevel="0" collapsed="false">
      <c r="A45" s="141" t="s">
        <v>384</v>
      </c>
      <c r="B45" s="112" t="s">
        <v>188</v>
      </c>
      <c r="C45" s="98" t="n">
        <v>1</v>
      </c>
      <c r="D45" s="96" t="n">
        <v>7</v>
      </c>
      <c r="E45" s="96" t="n">
        <v>0</v>
      </c>
      <c r="F45" s="97" t="n">
        <v>0</v>
      </c>
      <c r="G45" s="98" t="n">
        <v>68</v>
      </c>
      <c r="H45" s="96" t="n">
        <f aca="false">13.6*G45</f>
        <v>924.8</v>
      </c>
      <c r="I45" s="96" t="n">
        <v>3</v>
      </c>
      <c r="J45" s="97" t="n">
        <v>4</v>
      </c>
      <c r="K45" s="96" t="n">
        <v>1</v>
      </c>
      <c r="L45" s="107" t="n">
        <v>0.727272727272727</v>
      </c>
      <c r="M45" s="108" t="n">
        <v>0.0979020979020979</v>
      </c>
      <c r="N45" s="108" t="n">
        <v>0.0629370629370629</v>
      </c>
      <c r="O45" s="108" t="n">
        <v>0.020979020979021</v>
      </c>
      <c r="P45" s="108" t="n">
        <v>0.027972027972028</v>
      </c>
      <c r="Q45" s="109" t="n">
        <v>0.0629370629370629</v>
      </c>
      <c r="R45" s="107" t="n">
        <v>0.369747899159664</v>
      </c>
      <c r="S45" s="108" t="n">
        <v>0.252100840336134</v>
      </c>
      <c r="T45" s="108" t="n">
        <v>0.210084033613445</v>
      </c>
      <c r="U45" s="108" t="n">
        <v>0.0588235294117647</v>
      </c>
      <c r="V45" s="108" t="n">
        <v>0.0756302521008403</v>
      </c>
      <c r="W45" s="109" t="n">
        <v>0.0420168067226891</v>
      </c>
      <c r="X45" s="110" t="n">
        <f aca="false">$F45*L45</f>
        <v>0</v>
      </c>
      <c r="Y45" s="111" t="n">
        <f aca="false">$F45*M45</f>
        <v>0</v>
      </c>
      <c r="Z45" s="111" t="n">
        <f aca="false">$F45*N45</f>
        <v>0</v>
      </c>
      <c r="AA45" s="111" t="n">
        <f aca="false">$F45*O45</f>
        <v>0</v>
      </c>
      <c r="AB45" s="111" t="n">
        <f aca="false">$F45*P45</f>
        <v>0</v>
      </c>
      <c r="AC45" s="112" t="n">
        <f aca="false">$F45*Q45</f>
        <v>0</v>
      </c>
      <c r="AD45" s="110" t="n">
        <f aca="false">$J45*R45</f>
        <v>1.47899159663866</v>
      </c>
      <c r="AE45" s="111" t="n">
        <f aca="false">$J45*S45</f>
        <v>1.00840336134454</v>
      </c>
      <c r="AF45" s="111" t="n">
        <f aca="false">$J45*T45</f>
        <v>0.840336134453782</v>
      </c>
      <c r="AG45" s="111" t="n">
        <f aca="false">$J45*U45</f>
        <v>0.235294117647059</v>
      </c>
      <c r="AH45" s="111" t="n">
        <f aca="false">$J45*V45</f>
        <v>0.302521008403361</v>
      </c>
      <c r="AI45" s="112" t="n">
        <f aca="false">$J45*W45</f>
        <v>0.168067226890756</v>
      </c>
      <c r="AJ45" s="116" t="n">
        <f aca="false">Input!$E$22*WRs!C45+Input!$E$23*WRs!D45+Input!$E$24*WRs!X45+Input!$E$25*WRs!Y45+Input!$E$26*WRs!Z45+Input!$E$27*WRs!AA45+Input!$E$28*WRs!AB45+Input!$E$29*WRs!AC45+Input!$E$30*WRs!E45+Input!$E$31*WRs!G45+Input!$E$32*WRs!H45+Input!$E$33*WRs!AD45+Input!$E$34*WRs!AE45+Input!$E$35*WRs!AF45+Input!$E$36*WRs!AG45+Input!$E$37*WRs!AH45+Input!$E$38*WRs!AI45+Input!$E$39*WRs!I45+Input!$E$40*WRs!K45</f>
        <v>130.99512605042</v>
      </c>
    </row>
    <row r="46" customFormat="false" ht="12.75" hidden="false" customHeight="false" outlineLevel="0" collapsed="false">
      <c r="A46" s="141" t="s">
        <v>385</v>
      </c>
      <c r="B46" s="112" t="s">
        <v>194</v>
      </c>
      <c r="C46" s="98" t="n">
        <v>0</v>
      </c>
      <c r="D46" s="96" t="n">
        <v>0</v>
      </c>
      <c r="E46" s="96" t="n">
        <v>0</v>
      </c>
      <c r="F46" s="97" t="n">
        <v>0</v>
      </c>
      <c r="G46" s="98" t="n">
        <v>55</v>
      </c>
      <c r="H46" s="96" t="n">
        <f aca="false">14.6*G46</f>
        <v>803</v>
      </c>
      <c r="I46" s="96" t="n">
        <v>3</v>
      </c>
      <c r="J46" s="97" t="n">
        <v>5</v>
      </c>
      <c r="K46" s="96" t="n">
        <v>1</v>
      </c>
      <c r="L46" s="107" t="n">
        <v>0.727272727272727</v>
      </c>
      <c r="M46" s="108" t="n">
        <v>0.0979020979020979</v>
      </c>
      <c r="N46" s="108" t="n">
        <v>0.0629370629370629</v>
      </c>
      <c r="O46" s="108" t="n">
        <v>0.020979020979021</v>
      </c>
      <c r="P46" s="108" t="n">
        <v>0.027972027972028</v>
      </c>
      <c r="Q46" s="109" t="n">
        <v>0.0629370629370629</v>
      </c>
      <c r="R46" s="107" t="n">
        <v>0.369747899159664</v>
      </c>
      <c r="S46" s="108" t="n">
        <v>0.252100840336134</v>
      </c>
      <c r="T46" s="108" t="n">
        <v>0.210084033613445</v>
      </c>
      <c r="U46" s="108" t="n">
        <v>0.0588235294117647</v>
      </c>
      <c r="V46" s="108" t="n">
        <v>0.0756302521008403</v>
      </c>
      <c r="W46" s="109" t="n">
        <v>0.0420168067226891</v>
      </c>
      <c r="X46" s="110" t="n">
        <f aca="false">$F46*L46</f>
        <v>0</v>
      </c>
      <c r="Y46" s="111" t="n">
        <f aca="false">$F46*M46</f>
        <v>0</v>
      </c>
      <c r="Z46" s="111" t="n">
        <f aca="false">$F46*N46</f>
        <v>0</v>
      </c>
      <c r="AA46" s="111" t="n">
        <f aca="false">$F46*O46</f>
        <v>0</v>
      </c>
      <c r="AB46" s="111" t="n">
        <f aca="false">$F46*P46</f>
        <v>0</v>
      </c>
      <c r="AC46" s="112" t="n">
        <f aca="false">$F46*Q46</f>
        <v>0</v>
      </c>
      <c r="AD46" s="110" t="n">
        <f aca="false">$J46*R46</f>
        <v>1.84873949579832</v>
      </c>
      <c r="AE46" s="111" t="n">
        <f aca="false">$J46*S46</f>
        <v>1.26050420168067</v>
      </c>
      <c r="AF46" s="111" t="n">
        <f aca="false">$J46*T46</f>
        <v>1.05042016806723</v>
      </c>
      <c r="AG46" s="111" t="n">
        <f aca="false">$J46*U46</f>
        <v>0.294117647058824</v>
      </c>
      <c r="AH46" s="111" t="n">
        <f aca="false">$J46*V46</f>
        <v>0.378151260504202</v>
      </c>
      <c r="AI46" s="112" t="n">
        <f aca="false">$J46*W46</f>
        <v>0.210084033613445</v>
      </c>
      <c r="AJ46" s="116" t="n">
        <f aca="false">Input!$E$22*WRs!C46+Input!$E$23*WRs!D46+Input!$E$24*WRs!X46+Input!$E$25*WRs!Y46+Input!$E$26*WRs!Z46+Input!$E$27*WRs!AA46+Input!$E$28*WRs!AB46+Input!$E$29*WRs!AC46+Input!$E$30*WRs!E46+Input!$E$31*WRs!G46+Input!$E$32*WRs!H46+Input!$E$33*WRs!AD46+Input!$E$34*WRs!AE46+Input!$E$35*WRs!AF46+Input!$E$36*WRs!AG46+Input!$E$37*WRs!AH46+Input!$E$38*WRs!AI46+Input!$E$39*WRs!I46+Input!$E$40*WRs!K46</f>
        <v>125.568907563025</v>
      </c>
    </row>
    <row r="47" customFormat="false" ht="12.75" hidden="false" customHeight="false" outlineLevel="0" collapsed="false">
      <c r="A47" s="141" t="s">
        <v>386</v>
      </c>
      <c r="B47" s="112" t="s">
        <v>186</v>
      </c>
      <c r="C47" s="98" t="n">
        <v>0</v>
      </c>
      <c r="D47" s="96" t="n">
        <v>0</v>
      </c>
      <c r="E47" s="96" t="n">
        <v>0</v>
      </c>
      <c r="F47" s="97" t="n">
        <v>0</v>
      </c>
      <c r="G47" s="98" t="n">
        <v>45</v>
      </c>
      <c r="H47" s="96" t="n">
        <f aca="false">16*G47</f>
        <v>720</v>
      </c>
      <c r="I47" s="96" t="n">
        <v>2</v>
      </c>
      <c r="J47" s="97" t="n">
        <v>5</v>
      </c>
      <c r="K47" s="96" t="n">
        <v>1</v>
      </c>
      <c r="L47" s="107" t="n">
        <v>0.727272727272727</v>
      </c>
      <c r="M47" s="108" t="n">
        <v>0.0979020979020979</v>
      </c>
      <c r="N47" s="108" t="n">
        <v>0.0629370629370629</v>
      </c>
      <c r="O47" s="108" t="n">
        <v>0.020979020979021</v>
      </c>
      <c r="P47" s="108" t="n">
        <v>0.027972027972028</v>
      </c>
      <c r="Q47" s="109" t="n">
        <v>0.0629370629370629</v>
      </c>
      <c r="R47" s="107" t="n">
        <v>0.369747899159664</v>
      </c>
      <c r="S47" s="108" t="n">
        <v>0.252100840336134</v>
      </c>
      <c r="T47" s="108" t="n">
        <v>0.210084033613445</v>
      </c>
      <c r="U47" s="108" t="n">
        <v>0.0588235294117647</v>
      </c>
      <c r="V47" s="108" t="n">
        <v>0.0756302521008403</v>
      </c>
      <c r="W47" s="109" t="n">
        <v>0.0420168067226891</v>
      </c>
      <c r="X47" s="110" t="n">
        <f aca="false">$F47*L47</f>
        <v>0</v>
      </c>
      <c r="Y47" s="111" t="n">
        <f aca="false">$F47*M47</f>
        <v>0</v>
      </c>
      <c r="Z47" s="111" t="n">
        <f aca="false">$F47*N47</f>
        <v>0</v>
      </c>
      <c r="AA47" s="111" t="n">
        <f aca="false">$F47*O47</f>
        <v>0</v>
      </c>
      <c r="AB47" s="111" t="n">
        <f aca="false">$F47*P47</f>
        <v>0</v>
      </c>
      <c r="AC47" s="112" t="n">
        <f aca="false">$F47*Q47</f>
        <v>0</v>
      </c>
      <c r="AD47" s="110" t="n">
        <f aca="false">$J47*R47</f>
        <v>1.84873949579832</v>
      </c>
      <c r="AE47" s="111" t="n">
        <f aca="false">$J47*S47</f>
        <v>1.26050420168067</v>
      </c>
      <c r="AF47" s="111" t="n">
        <f aca="false">$J47*T47</f>
        <v>1.05042016806723</v>
      </c>
      <c r="AG47" s="111" t="n">
        <f aca="false">$J47*U47</f>
        <v>0.294117647058824</v>
      </c>
      <c r="AH47" s="111" t="n">
        <f aca="false">$J47*V47</f>
        <v>0.378151260504202</v>
      </c>
      <c r="AI47" s="112" t="n">
        <f aca="false">$J47*W47</f>
        <v>0.210084033613445</v>
      </c>
      <c r="AJ47" s="116" t="n">
        <f aca="false">Input!$E$22*WRs!C47+Input!$E$23*WRs!D47+Input!$E$24*WRs!X47+Input!$E$25*WRs!Y47+Input!$E$26*WRs!Z47+Input!$E$27*WRs!AA47+Input!$E$28*WRs!AB47+Input!$E$29*WRs!AC47+Input!$E$30*WRs!E47+Input!$E$31*WRs!G47+Input!$E$32*WRs!H47+Input!$E$33*WRs!AD47+Input!$E$34*WRs!AE47+Input!$E$35*WRs!AF47+Input!$E$36*WRs!AG47+Input!$E$37*WRs!AH47+Input!$E$38*WRs!AI47+Input!$E$39*WRs!I47+Input!$E$40*WRs!K47</f>
        <v>114.268907563025</v>
      </c>
    </row>
    <row r="48" customFormat="false" ht="12.75" hidden="false" customHeight="false" outlineLevel="0" collapsed="false">
      <c r="A48" s="141" t="s">
        <v>387</v>
      </c>
      <c r="B48" s="112" t="s">
        <v>152</v>
      </c>
      <c r="C48" s="98" t="n">
        <v>0</v>
      </c>
      <c r="D48" s="96" t="n">
        <v>0</v>
      </c>
      <c r="E48" s="96" t="n">
        <v>0</v>
      </c>
      <c r="F48" s="97" t="n">
        <v>0</v>
      </c>
      <c r="G48" s="98" t="n">
        <v>57</v>
      </c>
      <c r="H48" s="96" t="n">
        <f aca="false">14.6*G48</f>
        <v>832.2</v>
      </c>
      <c r="I48" s="96" t="n">
        <v>2</v>
      </c>
      <c r="J48" s="97" t="n">
        <v>5</v>
      </c>
      <c r="K48" s="96" t="n">
        <v>1</v>
      </c>
      <c r="L48" s="107" t="n">
        <v>0.727272727272727</v>
      </c>
      <c r="M48" s="108" t="n">
        <v>0.0979020979020979</v>
      </c>
      <c r="N48" s="108" t="n">
        <v>0.0629370629370629</v>
      </c>
      <c r="O48" s="108" t="n">
        <v>0.020979020979021</v>
      </c>
      <c r="P48" s="108" t="n">
        <v>0.027972027972028</v>
      </c>
      <c r="Q48" s="109" t="n">
        <v>0.0629370629370629</v>
      </c>
      <c r="R48" s="107" t="n">
        <v>0.369747899159664</v>
      </c>
      <c r="S48" s="108" t="n">
        <v>0.252100840336134</v>
      </c>
      <c r="T48" s="108" t="n">
        <v>0.210084033613445</v>
      </c>
      <c r="U48" s="108" t="n">
        <v>0.0588235294117647</v>
      </c>
      <c r="V48" s="108" t="n">
        <v>0.0756302521008403</v>
      </c>
      <c r="W48" s="109" t="n">
        <v>0.0420168067226891</v>
      </c>
      <c r="X48" s="110" t="n">
        <f aca="false">$F48*L48</f>
        <v>0</v>
      </c>
      <c r="Y48" s="111" t="n">
        <f aca="false">$F48*M48</f>
        <v>0</v>
      </c>
      <c r="Z48" s="111" t="n">
        <f aca="false">$F48*N48</f>
        <v>0</v>
      </c>
      <c r="AA48" s="111" t="n">
        <f aca="false">$F48*O48</f>
        <v>0</v>
      </c>
      <c r="AB48" s="111" t="n">
        <f aca="false">$F48*P48</f>
        <v>0</v>
      </c>
      <c r="AC48" s="112" t="n">
        <f aca="false">$F48*Q48</f>
        <v>0</v>
      </c>
      <c r="AD48" s="110" t="n">
        <f aca="false">$J48*R48</f>
        <v>1.84873949579832</v>
      </c>
      <c r="AE48" s="111" t="n">
        <f aca="false">$J48*S48</f>
        <v>1.26050420168067</v>
      </c>
      <c r="AF48" s="111" t="n">
        <f aca="false">$J48*T48</f>
        <v>1.05042016806723</v>
      </c>
      <c r="AG48" s="111" t="n">
        <f aca="false">$J48*U48</f>
        <v>0.294117647058824</v>
      </c>
      <c r="AH48" s="111" t="n">
        <f aca="false">$J48*V48</f>
        <v>0.378151260504202</v>
      </c>
      <c r="AI48" s="112" t="n">
        <f aca="false">$J48*W48</f>
        <v>0.210084033613445</v>
      </c>
      <c r="AJ48" s="116" t="n">
        <f aca="false">Input!$E$22*WRs!C48+Input!$E$23*WRs!D48+Input!$E$24*WRs!X48+Input!$E$25*WRs!Y48+Input!$E$26*WRs!Z48+Input!$E$27*WRs!AA48+Input!$E$28*WRs!AB48+Input!$E$29*WRs!AC48+Input!$E$30*WRs!E48+Input!$E$31*WRs!G48+Input!$E$32*WRs!H48+Input!$E$33*WRs!AD48+Input!$E$34*WRs!AE48+Input!$E$35*WRs!AF48+Input!$E$36*WRs!AG48+Input!$E$37*WRs!AH48+Input!$E$38*WRs!AI48+Input!$E$39*WRs!I48+Input!$E$40*WRs!K48</f>
        <v>125.488907563025</v>
      </c>
    </row>
    <row r="49" customFormat="false" ht="12.75" hidden="false" customHeight="false" outlineLevel="0" collapsed="false">
      <c r="A49" s="141" t="s">
        <v>388</v>
      </c>
      <c r="B49" s="112" t="s">
        <v>164</v>
      </c>
      <c r="C49" s="98" t="n">
        <v>0</v>
      </c>
      <c r="D49" s="96" t="n">
        <v>0</v>
      </c>
      <c r="E49" s="96" t="n">
        <v>0</v>
      </c>
      <c r="F49" s="97" t="n">
        <v>0</v>
      </c>
      <c r="G49" s="98" t="n">
        <v>55</v>
      </c>
      <c r="H49" s="96" t="n">
        <f aca="false">15.5*G49</f>
        <v>852.5</v>
      </c>
      <c r="I49" s="96" t="n">
        <v>2</v>
      </c>
      <c r="J49" s="97" t="n">
        <v>6</v>
      </c>
      <c r="K49" s="96" t="n">
        <v>1</v>
      </c>
      <c r="L49" s="107" t="n">
        <v>0.727272727272727</v>
      </c>
      <c r="M49" s="108" t="n">
        <v>0.0979020979020979</v>
      </c>
      <c r="N49" s="108" t="n">
        <v>0.0629370629370629</v>
      </c>
      <c r="O49" s="108" t="n">
        <v>0.020979020979021</v>
      </c>
      <c r="P49" s="108" t="n">
        <v>0.027972027972028</v>
      </c>
      <c r="Q49" s="109" t="n">
        <v>0.0629370629370629</v>
      </c>
      <c r="R49" s="107" t="n">
        <v>0.369747899159664</v>
      </c>
      <c r="S49" s="108" t="n">
        <v>0.252100840336134</v>
      </c>
      <c r="T49" s="108" t="n">
        <v>0.210084033613445</v>
      </c>
      <c r="U49" s="108" t="n">
        <v>0.0588235294117647</v>
      </c>
      <c r="V49" s="108" t="n">
        <v>0.0756302521008403</v>
      </c>
      <c r="W49" s="109" t="n">
        <v>0.0420168067226891</v>
      </c>
      <c r="X49" s="110" t="n">
        <f aca="false">$F49*L49</f>
        <v>0</v>
      </c>
      <c r="Y49" s="111" t="n">
        <f aca="false">$F49*M49</f>
        <v>0</v>
      </c>
      <c r="Z49" s="111" t="n">
        <f aca="false">$F49*N49</f>
        <v>0</v>
      </c>
      <c r="AA49" s="111" t="n">
        <f aca="false">$F49*O49</f>
        <v>0</v>
      </c>
      <c r="AB49" s="111" t="n">
        <f aca="false">$F49*P49</f>
        <v>0</v>
      </c>
      <c r="AC49" s="112" t="n">
        <f aca="false">$F49*Q49</f>
        <v>0</v>
      </c>
      <c r="AD49" s="110" t="n">
        <f aca="false">$J49*R49</f>
        <v>2.21848739495798</v>
      </c>
      <c r="AE49" s="111" t="n">
        <f aca="false">$J49*S49</f>
        <v>1.51260504201681</v>
      </c>
      <c r="AF49" s="111" t="n">
        <f aca="false">$J49*T49</f>
        <v>1.26050420168067</v>
      </c>
      <c r="AG49" s="111" t="n">
        <f aca="false">$J49*U49</f>
        <v>0.352941176470588</v>
      </c>
      <c r="AH49" s="111" t="n">
        <f aca="false">$J49*V49</f>
        <v>0.453781512605042</v>
      </c>
      <c r="AI49" s="112" t="n">
        <f aca="false">$J49*W49</f>
        <v>0.252100840336134</v>
      </c>
      <c r="AJ49" s="116" t="n">
        <f aca="false">Input!$E$22*WRs!C49+Input!$E$23*WRs!D49+Input!$E$24*WRs!X49+Input!$E$25*WRs!Y49+Input!$E$26*WRs!Z49+Input!$E$27*WRs!AA49+Input!$E$28*WRs!AB49+Input!$E$29*WRs!AC49+Input!$E$30*WRs!E49+Input!$E$31*WRs!G49+Input!$E$32*WRs!H49+Input!$E$33*WRs!AD49+Input!$E$34*WRs!AE49+Input!$E$35*WRs!AF49+Input!$E$36*WRs!AG49+Input!$E$37*WRs!AH49+Input!$E$38*WRs!AI49+Input!$E$39*WRs!I49+Input!$E$40*WRs!K49</f>
        <v>134.97268907563</v>
      </c>
    </row>
    <row r="50" customFormat="false" ht="12.75" hidden="false" customHeight="false" outlineLevel="0" collapsed="false">
      <c r="A50" s="141" t="s">
        <v>389</v>
      </c>
      <c r="B50" s="112" t="s">
        <v>180</v>
      </c>
      <c r="C50" s="98" t="n">
        <v>5</v>
      </c>
      <c r="D50" s="96" t="n">
        <v>15</v>
      </c>
      <c r="E50" s="96" t="n">
        <v>0</v>
      </c>
      <c r="F50" s="97" t="n">
        <v>0</v>
      </c>
      <c r="G50" s="98" t="n">
        <v>53</v>
      </c>
      <c r="H50" s="96" t="n">
        <f aca="false">13*G50</f>
        <v>689</v>
      </c>
      <c r="I50" s="96" t="n">
        <v>1</v>
      </c>
      <c r="J50" s="97" t="n">
        <v>5</v>
      </c>
      <c r="K50" s="96" t="n">
        <v>1</v>
      </c>
      <c r="L50" s="107" t="n">
        <v>0.727272727272727</v>
      </c>
      <c r="M50" s="108" t="n">
        <v>0.0979020979020979</v>
      </c>
      <c r="N50" s="108" t="n">
        <v>0.0629370629370629</v>
      </c>
      <c r="O50" s="108" t="n">
        <v>0.020979020979021</v>
      </c>
      <c r="P50" s="108" t="n">
        <v>0.027972027972028</v>
      </c>
      <c r="Q50" s="109" t="n">
        <v>0.0629370629370629</v>
      </c>
      <c r="R50" s="107" t="n">
        <v>0.369747899159664</v>
      </c>
      <c r="S50" s="108" t="n">
        <v>0.252100840336134</v>
      </c>
      <c r="T50" s="108" t="n">
        <v>0.210084033613445</v>
      </c>
      <c r="U50" s="108" t="n">
        <v>0.0588235294117647</v>
      </c>
      <c r="V50" s="108" t="n">
        <v>0.0756302521008403</v>
      </c>
      <c r="W50" s="109" t="n">
        <v>0.0420168067226891</v>
      </c>
      <c r="X50" s="110" t="n">
        <f aca="false">$F50*L50</f>
        <v>0</v>
      </c>
      <c r="Y50" s="111" t="n">
        <f aca="false">$F50*M50</f>
        <v>0</v>
      </c>
      <c r="Z50" s="111" t="n">
        <f aca="false">$F50*N50</f>
        <v>0</v>
      </c>
      <c r="AA50" s="111" t="n">
        <f aca="false">$F50*O50</f>
        <v>0</v>
      </c>
      <c r="AB50" s="111" t="n">
        <f aca="false">$F50*P50</f>
        <v>0</v>
      </c>
      <c r="AC50" s="112" t="n">
        <f aca="false">$F50*Q50</f>
        <v>0</v>
      </c>
      <c r="AD50" s="110" t="n">
        <f aca="false">$J50*R50</f>
        <v>1.84873949579832</v>
      </c>
      <c r="AE50" s="111" t="n">
        <f aca="false">$J50*S50</f>
        <v>1.26050420168067</v>
      </c>
      <c r="AF50" s="111" t="n">
        <f aca="false">$J50*T50</f>
        <v>1.05042016806723</v>
      </c>
      <c r="AG50" s="111" t="n">
        <f aca="false">$J50*U50</f>
        <v>0.294117647058824</v>
      </c>
      <c r="AH50" s="111" t="n">
        <f aca="false">$J50*V50</f>
        <v>0.378151260504202</v>
      </c>
      <c r="AI50" s="112" t="n">
        <f aca="false">$J50*W50</f>
        <v>0.210084033613445</v>
      </c>
      <c r="AJ50" s="116" t="n">
        <f aca="false">Input!$E$22*WRs!C50+Input!$E$23*WRs!D50+Input!$E$24*WRs!X50+Input!$E$25*WRs!Y50+Input!$E$26*WRs!Z50+Input!$E$27*WRs!AA50+Input!$E$28*WRs!AB50+Input!$E$29*WRs!AC50+Input!$E$30*WRs!E50+Input!$E$31*WRs!G50+Input!$E$32*WRs!H50+Input!$E$33*WRs!AD50+Input!$E$34*WRs!AE50+Input!$E$35*WRs!AF50+Input!$E$36*WRs!AG50+Input!$E$37*WRs!AH50+Input!$E$38*WRs!AI50+Input!$E$39*WRs!I50+Input!$E$40*WRs!K50</f>
        <v>109.668907563025</v>
      </c>
    </row>
    <row r="51" customFormat="false" ht="12.75" hidden="false" customHeight="false" outlineLevel="0" collapsed="false">
      <c r="A51" s="141" t="s">
        <v>390</v>
      </c>
      <c r="B51" s="112" t="s">
        <v>196</v>
      </c>
      <c r="C51" s="98" t="n">
        <v>3</v>
      </c>
      <c r="D51" s="96" t="n">
        <f aca="false">8*C51</f>
        <v>24</v>
      </c>
      <c r="E51" s="96" t="n">
        <v>0</v>
      </c>
      <c r="F51" s="97" t="n">
        <v>0</v>
      </c>
      <c r="G51" s="98" t="n">
        <v>56</v>
      </c>
      <c r="H51" s="96" t="n">
        <f aca="false">12.9*G51</f>
        <v>722.4</v>
      </c>
      <c r="I51" s="96" t="n">
        <v>1</v>
      </c>
      <c r="J51" s="97" t="n">
        <v>4</v>
      </c>
      <c r="K51" s="96" t="n">
        <v>0</v>
      </c>
      <c r="L51" s="107" t="n">
        <v>0.727272727272727</v>
      </c>
      <c r="M51" s="108" t="n">
        <v>0.0979020979020979</v>
      </c>
      <c r="N51" s="108" t="n">
        <v>0.0629370629370629</v>
      </c>
      <c r="O51" s="108" t="n">
        <v>0.020979020979021</v>
      </c>
      <c r="P51" s="108" t="n">
        <v>0.027972027972028</v>
      </c>
      <c r="Q51" s="109" t="n">
        <v>0.0629370629370629</v>
      </c>
      <c r="R51" s="107" t="n">
        <v>0.369747899159664</v>
      </c>
      <c r="S51" s="108" t="n">
        <v>0.252100840336134</v>
      </c>
      <c r="T51" s="108" t="n">
        <v>0.210084033613445</v>
      </c>
      <c r="U51" s="108" t="n">
        <v>0.0588235294117647</v>
      </c>
      <c r="V51" s="108" t="n">
        <v>0.0756302521008403</v>
      </c>
      <c r="W51" s="109" t="n">
        <v>0.0420168067226891</v>
      </c>
      <c r="X51" s="110" t="n">
        <f aca="false">$F51*L51</f>
        <v>0</v>
      </c>
      <c r="Y51" s="111" t="n">
        <f aca="false">$F51*M51</f>
        <v>0</v>
      </c>
      <c r="Z51" s="111" t="n">
        <f aca="false">$F51*N51</f>
        <v>0</v>
      </c>
      <c r="AA51" s="111" t="n">
        <f aca="false">$F51*O51</f>
        <v>0</v>
      </c>
      <c r="AB51" s="111" t="n">
        <f aca="false">$F51*P51</f>
        <v>0</v>
      </c>
      <c r="AC51" s="112" t="n">
        <f aca="false">$F51*Q51</f>
        <v>0</v>
      </c>
      <c r="AD51" s="110" t="n">
        <f aca="false">$J51*R51</f>
        <v>1.47899159663866</v>
      </c>
      <c r="AE51" s="111" t="n">
        <f aca="false">$J51*S51</f>
        <v>1.00840336134454</v>
      </c>
      <c r="AF51" s="111" t="n">
        <f aca="false">$J51*T51</f>
        <v>0.840336134453782</v>
      </c>
      <c r="AG51" s="111" t="n">
        <f aca="false">$J51*U51</f>
        <v>0.235294117647059</v>
      </c>
      <c r="AH51" s="111" t="n">
        <f aca="false">$J51*V51</f>
        <v>0.302521008403361</v>
      </c>
      <c r="AI51" s="112" t="n">
        <f aca="false">$J51*W51</f>
        <v>0.168067226890756</v>
      </c>
      <c r="AJ51" s="116" t="n">
        <f aca="false">Input!$E$22*WRs!C51+Input!$E$23*WRs!D51+Input!$E$24*WRs!X51+Input!$E$25*WRs!Y51+Input!$E$26*WRs!Z51+Input!$E$27*WRs!AA51+Input!$E$28*WRs!AB51+Input!$E$29*WRs!AC51+Input!$E$30*WRs!E51+Input!$E$31*WRs!G51+Input!$E$32*WRs!H51+Input!$E$33*WRs!AD51+Input!$E$34*WRs!AE51+Input!$E$35*WRs!AF51+Input!$E$36*WRs!AG51+Input!$E$37*WRs!AH51+Input!$E$38*WRs!AI51+Input!$E$39*WRs!I51+Input!$E$40*WRs!K51</f>
        <v>107.45512605042</v>
      </c>
    </row>
    <row r="52" customFormat="false" ht="12.75" hidden="false" customHeight="false" outlineLevel="0" collapsed="false">
      <c r="A52" s="141" t="s">
        <v>391</v>
      </c>
      <c r="B52" s="112" t="s">
        <v>158</v>
      </c>
      <c r="C52" s="98" t="n">
        <v>0</v>
      </c>
      <c r="D52" s="96" t="n">
        <v>0</v>
      </c>
      <c r="E52" s="96" t="n">
        <v>0</v>
      </c>
      <c r="F52" s="97" t="n">
        <v>0</v>
      </c>
      <c r="G52" s="98" t="n">
        <v>60</v>
      </c>
      <c r="H52" s="96" t="n">
        <f aca="false">12.1*G52</f>
        <v>726</v>
      </c>
      <c r="I52" s="96" t="n">
        <v>1</v>
      </c>
      <c r="J52" s="97" t="n">
        <v>4</v>
      </c>
      <c r="K52" s="96" t="n">
        <v>0</v>
      </c>
      <c r="L52" s="107" t="n">
        <v>0.727272727272727</v>
      </c>
      <c r="M52" s="108" t="n">
        <v>0.0979020979020979</v>
      </c>
      <c r="N52" s="108" t="n">
        <v>0.0629370629370629</v>
      </c>
      <c r="O52" s="108" t="n">
        <v>0.020979020979021</v>
      </c>
      <c r="P52" s="108" t="n">
        <v>0.027972027972028</v>
      </c>
      <c r="Q52" s="109" t="n">
        <v>0.0629370629370629</v>
      </c>
      <c r="R52" s="107" t="n">
        <v>0.369747899159664</v>
      </c>
      <c r="S52" s="108" t="n">
        <v>0.252100840336134</v>
      </c>
      <c r="T52" s="108" t="n">
        <v>0.210084033613445</v>
      </c>
      <c r="U52" s="108" t="n">
        <v>0.0588235294117647</v>
      </c>
      <c r="V52" s="108" t="n">
        <v>0.0756302521008403</v>
      </c>
      <c r="W52" s="109" t="n">
        <v>0.0420168067226891</v>
      </c>
      <c r="X52" s="110" t="n">
        <f aca="false">$F52*L52</f>
        <v>0</v>
      </c>
      <c r="Y52" s="111" t="n">
        <f aca="false">$F52*M52</f>
        <v>0</v>
      </c>
      <c r="Z52" s="111" t="n">
        <f aca="false">$F52*N52</f>
        <v>0</v>
      </c>
      <c r="AA52" s="111" t="n">
        <f aca="false">$F52*O52</f>
        <v>0</v>
      </c>
      <c r="AB52" s="111" t="n">
        <f aca="false">$F52*P52</f>
        <v>0</v>
      </c>
      <c r="AC52" s="112" t="n">
        <f aca="false">$F52*Q52</f>
        <v>0</v>
      </c>
      <c r="AD52" s="110" t="n">
        <f aca="false">$J52*R52</f>
        <v>1.47899159663866</v>
      </c>
      <c r="AE52" s="111" t="n">
        <f aca="false">$J52*S52</f>
        <v>1.00840336134454</v>
      </c>
      <c r="AF52" s="111" t="n">
        <f aca="false">$J52*T52</f>
        <v>0.840336134453782</v>
      </c>
      <c r="AG52" s="111" t="n">
        <f aca="false">$J52*U52</f>
        <v>0.235294117647059</v>
      </c>
      <c r="AH52" s="111" t="n">
        <f aca="false">$J52*V52</f>
        <v>0.302521008403361</v>
      </c>
      <c r="AI52" s="112" t="n">
        <f aca="false">$J52*W52</f>
        <v>0.168067226890756</v>
      </c>
      <c r="AJ52" s="116" t="n">
        <f aca="false">Input!$E$22*WRs!C52+Input!$E$23*WRs!D52+Input!$E$24*WRs!X52+Input!$E$25*WRs!Y52+Input!$E$26*WRs!Z52+Input!$E$27*WRs!AA52+Input!$E$28*WRs!AB52+Input!$E$29*WRs!AC52+Input!$E$30*WRs!E52+Input!$E$31*WRs!G52+Input!$E$32*WRs!H52+Input!$E$33*WRs!AD52+Input!$E$34*WRs!AE52+Input!$E$35*WRs!AF52+Input!$E$36*WRs!AG52+Input!$E$37*WRs!AH52+Input!$E$38*WRs!AI52+Input!$E$39*WRs!I52+Input!$E$40*WRs!K52</f>
        <v>105.41512605042</v>
      </c>
    </row>
    <row r="53" customFormat="false" ht="12.75" hidden="false" customHeight="false" outlineLevel="0" collapsed="false">
      <c r="A53" s="141" t="s">
        <v>392</v>
      </c>
      <c r="B53" s="112" t="s">
        <v>190</v>
      </c>
      <c r="C53" s="98" t="n">
        <v>0</v>
      </c>
      <c r="D53" s="96" t="n">
        <v>0</v>
      </c>
      <c r="E53" s="96" t="n">
        <v>0</v>
      </c>
      <c r="F53" s="97" t="n">
        <v>0</v>
      </c>
      <c r="G53" s="98" t="n">
        <v>60</v>
      </c>
      <c r="H53" s="96" t="n">
        <f aca="false">12*G53</f>
        <v>720</v>
      </c>
      <c r="I53" s="96" t="n">
        <v>1</v>
      </c>
      <c r="J53" s="97" t="n">
        <v>4</v>
      </c>
      <c r="K53" s="96" t="n">
        <v>0</v>
      </c>
      <c r="L53" s="107" t="n">
        <v>0.727272727272727</v>
      </c>
      <c r="M53" s="108" t="n">
        <v>0.0979020979020979</v>
      </c>
      <c r="N53" s="108" t="n">
        <v>0.0629370629370629</v>
      </c>
      <c r="O53" s="108" t="n">
        <v>0.020979020979021</v>
      </c>
      <c r="P53" s="108" t="n">
        <v>0.027972027972028</v>
      </c>
      <c r="Q53" s="109" t="n">
        <v>0.0629370629370629</v>
      </c>
      <c r="R53" s="107" t="n">
        <v>0.369747899159664</v>
      </c>
      <c r="S53" s="108" t="n">
        <v>0.252100840336134</v>
      </c>
      <c r="T53" s="108" t="n">
        <v>0.210084033613445</v>
      </c>
      <c r="U53" s="108" t="n">
        <v>0.0588235294117647</v>
      </c>
      <c r="V53" s="108" t="n">
        <v>0.0756302521008403</v>
      </c>
      <c r="W53" s="109" t="n">
        <v>0.0420168067226891</v>
      </c>
      <c r="X53" s="110" t="n">
        <f aca="false">$F53*L53</f>
        <v>0</v>
      </c>
      <c r="Y53" s="111" t="n">
        <f aca="false">$F53*M53</f>
        <v>0</v>
      </c>
      <c r="Z53" s="111" t="n">
        <f aca="false">$F53*N53</f>
        <v>0</v>
      </c>
      <c r="AA53" s="111" t="n">
        <f aca="false">$F53*O53</f>
        <v>0</v>
      </c>
      <c r="AB53" s="111" t="n">
        <f aca="false">$F53*P53</f>
        <v>0</v>
      </c>
      <c r="AC53" s="112" t="n">
        <f aca="false">$F53*Q53</f>
        <v>0</v>
      </c>
      <c r="AD53" s="110" t="n">
        <f aca="false">$J53*R53</f>
        <v>1.47899159663866</v>
      </c>
      <c r="AE53" s="111" t="n">
        <f aca="false">$J53*S53</f>
        <v>1.00840336134454</v>
      </c>
      <c r="AF53" s="111" t="n">
        <f aca="false">$J53*T53</f>
        <v>0.840336134453782</v>
      </c>
      <c r="AG53" s="111" t="n">
        <f aca="false">$J53*U53</f>
        <v>0.235294117647059</v>
      </c>
      <c r="AH53" s="111" t="n">
        <f aca="false">$J53*V53</f>
        <v>0.302521008403361</v>
      </c>
      <c r="AI53" s="112" t="n">
        <f aca="false">$J53*W53</f>
        <v>0.168067226890756</v>
      </c>
      <c r="AJ53" s="116" t="n">
        <f aca="false">Input!$E$22*WRs!C53+Input!$E$23*WRs!D53+Input!$E$24*WRs!X53+Input!$E$25*WRs!Y53+Input!$E$26*WRs!Z53+Input!$E$27*WRs!AA53+Input!$E$28*WRs!AB53+Input!$E$29*WRs!AC53+Input!$E$30*WRs!E53+Input!$E$31*WRs!G53+Input!$E$32*WRs!H53+Input!$E$33*WRs!AD53+Input!$E$34*WRs!AE53+Input!$E$35*WRs!AF53+Input!$E$36*WRs!AG53+Input!$E$37*WRs!AH53+Input!$E$38*WRs!AI53+Input!$E$39*WRs!I53+Input!$E$40*WRs!K53</f>
        <v>104.81512605042</v>
      </c>
    </row>
    <row r="54" customFormat="false" ht="12.75" hidden="false" customHeight="false" outlineLevel="0" collapsed="false">
      <c r="A54" s="141" t="s">
        <v>393</v>
      </c>
      <c r="B54" s="112" t="s">
        <v>136</v>
      </c>
      <c r="C54" s="98" t="n">
        <v>0</v>
      </c>
      <c r="D54" s="96" t="n">
        <v>0</v>
      </c>
      <c r="E54" s="96" t="n">
        <v>0</v>
      </c>
      <c r="F54" s="97" t="n">
        <v>0</v>
      </c>
      <c r="G54" s="98" t="n">
        <v>40</v>
      </c>
      <c r="H54" s="96" t="n">
        <f aca="false">16.4*G54</f>
        <v>656</v>
      </c>
      <c r="I54" s="96" t="n">
        <v>1</v>
      </c>
      <c r="J54" s="97" t="n">
        <v>5</v>
      </c>
      <c r="K54" s="96" t="n">
        <v>0</v>
      </c>
      <c r="L54" s="107" t="n">
        <v>0.727272727272727</v>
      </c>
      <c r="M54" s="108" t="n">
        <v>0.0979020979020979</v>
      </c>
      <c r="N54" s="108" t="n">
        <v>0.0629370629370629</v>
      </c>
      <c r="O54" s="108" t="n">
        <v>0.020979020979021</v>
      </c>
      <c r="P54" s="108" t="n">
        <v>0.027972027972028</v>
      </c>
      <c r="Q54" s="109" t="n">
        <v>0.0629370629370629</v>
      </c>
      <c r="R54" s="119" t="n">
        <v>0.123809523809524</v>
      </c>
      <c r="S54" s="120" t="n">
        <v>0.152380952380952</v>
      </c>
      <c r="T54" s="120" t="n">
        <v>0.0952380952380952</v>
      </c>
      <c r="U54" s="120" t="n">
        <v>0.19047619047619</v>
      </c>
      <c r="V54" s="120" t="n">
        <v>0.142857142857143</v>
      </c>
      <c r="W54" s="121" t="n">
        <v>0.295238095238095</v>
      </c>
      <c r="X54" s="110" t="n">
        <f aca="false">$F54*L54</f>
        <v>0</v>
      </c>
      <c r="Y54" s="111" t="n">
        <f aca="false">$F54*M54</f>
        <v>0</v>
      </c>
      <c r="Z54" s="111" t="n">
        <f aca="false">$F54*N54</f>
        <v>0</v>
      </c>
      <c r="AA54" s="111" t="n">
        <f aca="false">$F54*O54</f>
        <v>0</v>
      </c>
      <c r="AB54" s="111" t="n">
        <f aca="false">$F54*P54</f>
        <v>0</v>
      </c>
      <c r="AC54" s="112" t="n">
        <f aca="false">$F54*Q54</f>
        <v>0</v>
      </c>
      <c r="AD54" s="110" t="n">
        <f aca="false">$J54*R54</f>
        <v>0.619047619047619</v>
      </c>
      <c r="AE54" s="111" t="n">
        <f aca="false">$J54*S54</f>
        <v>0.761904761904762</v>
      </c>
      <c r="AF54" s="111" t="n">
        <f aca="false">$J54*T54</f>
        <v>0.476190476190476</v>
      </c>
      <c r="AG54" s="111" t="n">
        <f aca="false">$J54*U54</f>
        <v>0.952380952380952</v>
      </c>
      <c r="AH54" s="111" t="n">
        <f aca="false">$J54*V54</f>
        <v>0.714285714285714</v>
      </c>
      <c r="AI54" s="112" t="n">
        <f aca="false">$J54*W54</f>
        <v>1.47619047619048</v>
      </c>
      <c r="AJ54" s="116" t="n">
        <f aca="false">Input!$E$22*WRs!C54+Input!$E$23*WRs!D54+Input!$E$24*WRs!X54+Input!$E$25*WRs!Y54+Input!$E$26*WRs!Z54+Input!$E$27*WRs!AA54+Input!$E$28*WRs!AB54+Input!$E$29*WRs!AC54+Input!$E$30*WRs!E54+Input!$E$31*WRs!G54+Input!$E$32*WRs!H54+Input!$E$33*WRs!AD54+Input!$E$34*WRs!AE54+Input!$E$35*WRs!AF54+Input!$E$36*WRs!AG54+Input!$E$37*WRs!AH54+Input!$E$38*WRs!AI54+Input!$E$39*WRs!I54+Input!$E$40*WRs!K54</f>
        <v>114.885714285714</v>
      </c>
    </row>
    <row r="55" customFormat="false" ht="12.75" hidden="false" customHeight="false" outlineLevel="0" collapsed="false">
      <c r="A55" s="141" t="s">
        <v>394</v>
      </c>
      <c r="B55" s="112" t="s">
        <v>142</v>
      </c>
      <c r="C55" s="98" t="n">
        <v>0</v>
      </c>
      <c r="D55" s="96" t="n">
        <v>0</v>
      </c>
      <c r="E55" s="96" t="n">
        <v>0</v>
      </c>
      <c r="F55" s="97" t="n">
        <v>0</v>
      </c>
      <c r="G55" s="98" t="n">
        <v>45</v>
      </c>
      <c r="H55" s="96" t="n">
        <f aca="false">12.7*G55</f>
        <v>571.5</v>
      </c>
      <c r="I55" s="96" t="n">
        <v>1</v>
      </c>
      <c r="J55" s="97" t="n">
        <v>5</v>
      </c>
      <c r="K55" s="96" t="n">
        <v>0</v>
      </c>
      <c r="L55" s="107" t="n">
        <v>0.727272727272727</v>
      </c>
      <c r="M55" s="108" t="n">
        <v>0.0979020979020979</v>
      </c>
      <c r="N55" s="108" t="n">
        <v>0.0629370629370629</v>
      </c>
      <c r="O55" s="108" t="n">
        <v>0.020979020979021</v>
      </c>
      <c r="P55" s="108" t="n">
        <v>0.027972027972028</v>
      </c>
      <c r="Q55" s="109" t="n">
        <v>0.0629370629370629</v>
      </c>
      <c r="R55" s="107" t="n">
        <v>0.369747899159664</v>
      </c>
      <c r="S55" s="108" t="n">
        <v>0.252100840336134</v>
      </c>
      <c r="T55" s="108" t="n">
        <v>0.210084033613445</v>
      </c>
      <c r="U55" s="108" t="n">
        <v>0.0588235294117647</v>
      </c>
      <c r="V55" s="108" t="n">
        <v>0.0756302521008403</v>
      </c>
      <c r="W55" s="109" t="n">
        <v>0.0420168067226891</v>
      </c>
      <c r="X55" s="110" t="n">
        <f aca="false">$F55*L55</f>
        <v>0</v>
      </c>
      <c r="Y55" s="111" t="n">
        <f aca="false">$F55*M55</f>
        <v>0</v>
      </c>
      <c r="Z55" s="111" t="n">
        <f aca="false">$F55*N55</f>
        <v>0</v>
      </c>
      <c r="AA55" s="111" t="n">
        <f aca="false">$F55*O55</f>
        <v>0</v>
      </c>
      <c r="AB55" s="111" t="n">
        <f aca="false">$F55*P55</f>
        <v>0</v>
      </c>
      <c r="AC55" s="112" t="n">
        <f aca="false">$F55*Q55</f>
        <v>0</v>
      </c>
      <c r="AD55" s="110" t="n">
        <f aca="false">$J55*R55</f>
        <v>1.84873949579832</v>
      </c>
      <c r="AE55" s="111" t="n">
        <f aca="false">$J55*S55</f>
        <v>1.26050420168067</v>
      </c>
      <c r="AF55" s="111" t="n">
        <f aca="false">$J55*T55</f>
        <v>1.05042016806723</v>
      </c>
      <c r="AG55" s="111" t="n">
        <f aca="false">$J55*U55</f>
        <v>0.294117647058824</v>
      </c>
      <c r="AH55" s="111" t="n">
        <f aca="false">$J55*V55</f>
        <v>0.378151260504202</v>
      </c>
      <c r="AI55" s="112" t="n">
        <f aca="false">$J55*W55</f>
        <v>0.210084033613445</v>
      </c>
      <c r="AJ55" s="116" t="n">
        <f aca="false">Input!$E$22*WRs!C55+Input!$E$23*WRs!D55+Input!$E$24*WRs!X55+Input!$E$25*WRs!Y55+Input!$E$26*WRs!Z55+Input!$E$27*WRs!AA55+Input!$E$28*WRs!AB55+Input!$E$29*WRs!AC55+Input!$E$30*WRs!E55+Input!$E$31*WRs!G55+Input!$E$32*WRs!H55+Input!$E$33*WRs!AD55+Input!$E$34*WRs!AE55+Input!$E$35*WRs!AF55+Input!$E$36*WRs!AG55+Input!$E$37*WRs!AH55+Input!$E$38*WRs!AI55+Input!$E$39*WRs!I55+Input!$E$40*WRs!K55</f>
        <v>97.4189075630252</v>
      </c>
    </row>
    <row r="56" customFormat="false" ht="12.75" hidden="false" customHeight="false" outlineLevel="0" collapsed="false">
      <c r="A56" s="141" t="s">
        <v>395</v>
      </c>
      <c r="B56" s="112" t="s">
        <v>138</v>
      </c>
      <c r="C56" s="98" t="n">
        <v>1</v>
      </c>
      <c r="D56" s="96" t="n">
        <v>4</v>
      </c>
      <c r="E56" s="96" t="n">
        <v>0</v>
      </c>
      <c r="F56" s="97" t="n">
        <v>0</v>
      </c>
      <c r="G56" s="98" t="n">
        <v>50</v>
      </c>
      <c r="H56" s="96" t="n">
        <f aca="false">13.92*G56</f>
        <v>696</v>
      </c>
      <c r="I56" s="96" t="n">
        <v>1</v>
      </c>
      <c r="J56" s="97" t="n">
        <v>6</v>
      </c>
      <c r="K56" s="96" t="n">
        <v>0</v>
      </c>
      <c r="L56" s="107" t="n">
        <v>0.727272727272727</v>
      </c>
      <c r="M56" s="108" t="n">
        <v>0.0979020979020979</v>
      </c>
      <c r="N56" s="108" t="n">
        <v>0.0629370629370629</v>
      </c>
      <c r="O56" s="108" t="n">
        <v>0.020979020979021</v>
      </c>
      <c r="P56" s="108" t="n">
        <v>0.027972027972028</v>
      </c>
      <c r="Q56" s="109" t="n">
        <v>0.0629370629370629</v>
      </c>
      <c r="R56" s="107" t="n">
        <v>0.369747899159664</v>
      </c>
      <c r="S56" s="108" t="n">
        <v>0.252100840336134</v>
      </c>
      <c r="T56" s="108" t="n">
        <v>0.210084033613445</v>
      </c>
      <c r="U56" s="108" t="n">
        <v>0.0588235294117647</v>
      </c>
      <c r="V56" s="108" t="n">
        <v>0.0756302521008403</v>
      </c>
      <c r="W56" s="109" t="n">
        <v>0.0420168067226891</v>
      </c>
      <c r="X56" s="110" t="n">
        <f aca="false">$F56*L56</f>
        <v>0</v>
      </c>
      <c r="Y56" s="111" t="n">
        <f aca="false">$F56*M56</f>
        <v>0</v>
      </c>
      <c r="Z56" s="111" t="n">
        <f aca="false">$F56*N56</f>
        <v>0</v>
      </c>
      <c r="AA56" s="111" t="n">
        <f aca="false">$F56*O56</f>
        <v>0</v>
      </c>
      <c r="AB56" s="111" t="n">
        <f aca="false">$F56*P56</f>
        <v>0</v>
      </c>
      <c r="AC56" s="112" t="n">
        <f aca="false">$F56*Q56</f>
        <v>0</v>
      </c>
      <c r="AD56" s="110" t="n">
        <f aca="false">$J56*R56</f>
        <v>2.21848739495798</v>
      </c>
      <c r="AE56" s="111" t="n">
        <f aca="false">$J56*S56</f>
        <v>1.51260504201681</v>
      </c>
      <c r="AF56" s="111" t="n">
        <f aca="false">$J56*T56</f>
        <v>1.26050420168067</v>
      </c>
      <c r="AG56" s="111" t="n">
        <f aca="false">$J56*U56</f>
        <v>0.352941176470588</v>
      </c>
      <c r="AH56" s="111" t="n">
        <f aca="false">$J56*V56</f>
        <v>0.453781512605042</v>
      </c>
      <c r="AI56" s="112" t="n">
        <f aca="false">$J56*W56</f>
        <v>0.252100840336134</v>
      </c>
      <c r="AJ56" s="116" t="n">
        <f aca="false">Input!$E$22*WRs!C56+Input!$E$23*WRs!D56+Input!$E$24*WRs!X56+Input!$E$25*WRs!Y56+Input!$E$26*WRs!Z56+Input!$E$27*WRs!AA56+Input!$E$28*WRs!AB56+Input!$E$29*WRs!AC56+Input!$E$30*WRs!E56+Input!$E$31*WRs!G56+Input!$E$32*WRs!H56+Input!$E$33*WRs!AD56+Input!$E$34*WRs!AE56+Input!$E$35*WRs!AF56+Input!$E$36*WRs!AG56+Input!$E$37*WRs!AH56+Input!$E$38*WRs!AI56+Input!$E$39*WRs!I56+Input!$E$40*WRs!K56</f>
        <v>117.72268907563</v>
      </c>
    </row>
    <row r="57" customFormat="false" ht="12.75" hidden="false" customHeight="false" outlineLevel="0" collapsed="false">
      <c r="A57" s="141" t="s">
        <v>396</v>
      </c>
      <c r="B57" s="112" t="s">
        <v>170</v>
      </c>
      <c r="C57" s="98" t="n">
        <v>0</v>
      </c>
      <c r="D57" s="96" t="n">
        <v>0</v>
      </c>
      <c r="E57" s="96" t="n">
        <v>0</v>
      </c>
      <c r="F57" s="97" t="n">
        <v>0</v>
      </c>
      <c r="G57" s="94" t="n">
        <v>60</v>
      </c>
      <c r="H57" s="95" t="n">
        <f aca="false">12.4*G57</f>
        <v>744</v>
      </c>
      <c r="I57" s="95" t="n">
        <v>1</v>
      </c>
      <c r="J57" s="122" t="n">
        <v>5</v>
      </c>
      <c r="K57" s="95" t="n">
        <v>0</v>
      </c>
      <c r="L57" s="107" t="n">
        <v>0.727272727272727</v>
      </c>
      <c r="M57" s="108" t="n">
        <v>0.0979020979020979</v>
      </c>
      <c r="N57" s="108" t="n">
        <v>0.0629370629370629</v>
      </c>
      <c r="O57" s="108" t="n">
        <v>0.020979020979021</v>
      </c>
      <c r="P57" s="108" t="n">
        <v>0.027972027972028</v>
      </c>
      <c r="Q57" s="109" t="n">
        <v>0.0629370629370629</v>
      </c>
      <c r="R57" s="107" t="n">
        <v>0.369747899159664</v>
      </c>
      <c r="S57" s="108" t="n">
        <v>0.252100840336134</v>
      </c>
      <c r="T57" s="108" t="n">
        <v>0.210084033613445</v>
      </c>
      <c r="U57" s="108" t="n">
        <v>0.0588235294117647</v>
      </c>
      <c r="V57" s="108" t="n">
        <v>0.0756302521008403</v>
      </c>
      <c r="W57" s="109" t="n">
        <v>0.0420168067226891</v>
      </c>
      <c r="X57" s="110" t="n">
        <f aca="false">$F57*L57</f>
        <v>0</v>
      </c>
      <c r="Y57" s="111" t="n">
        <f aca="false">$F57*M57</f>
        <v>0</v>
      </c>
      <c r="Z57" s="111" t="n">
        <f aca="false">$F57*N57</f>
        <v>0</v>
      </c>
      <c r="AA57" s="111" t="n">
        <f aca="false">$F57*O57</f>
        <v>0</v>
      </c>
      <c r="AB57" s="111" t="n">
        <f aca="false">$F57*P57</f>
        <v>0</v>
      </c>
      <c r="AC57" s="112" t="n">
        <f aca="false">$F57*Q57</f>
        <v>0</v>
      </c>
      <c r="AD57" s="110" t="n">
        <f aca="false">$J57*R57</f>
        <v>1.84873949579832</v>
      </c>
      <c r="AE57" s="111" t="n">
        <f aca="false">$J57*S57</f>
        <v>1.26050420168067</v>
      </c>
      <c r="AF57" s="111" t="n">
        <f aca="false">$J57*T57</f>
        <v>1.05042016806723</v>
      </c>
      <c r="AG57" s="111" t="n">
        <f aca="false">$J57*U57</f>
        <v>0.294117647058824</v>
      </c>
      <c r="AH57" s="111" t="n">
        <f aca="false">$J57*V57</f>
        <v>0.378151260504202</v>
      </c>
      <c r="AI57" s="112" t="n">
        <f aca="false">$J57*W57</f>
        <v>0.210084033613445</v>
      </c>
      <c r="AJ57" s="116" t="n">
        <f aca="false">Input!$E$22*WRs!C57+Input!$E$23*WRs!D57+Input!$E$24*WRs!X57+Input!$E$25*WRs!Y57+Input!$E$26*WRs!Z57+Input!$E$27*WRs!AA57+Input!$E$28*WRs!AB57+Input!$E$29*WRs!AC57+Input!$E$30*WRs!E57+Input!$E$31*WRs!G57+Input!$E$32*WRs!H57+Input!$E$33*WRs!AD57+Input!$E$34*WRs!AE57+Input!$E$35*WRs!AF57+Input!$E$36*WRs!AG57+Input!$E$37*WRs!AH57+Input!$E$38*WRs!AI57+Input!$E$39*WRs!I57+Input!$E$40*WRs!K57</f>
        <v>114.668907563025</v>
      </c>
    </row>
    <row r="58" customFormat="false" ht="12.75" hidden="false" customHeight="false" outlineLevel="0" collapsed="false">
      <c r="A58" s="141" t="s">
        <v>397</v>
      </c>
      <c r="B58" s="112" t="s">
        <v>142</v>
      </c>
      <c r="C58" s="98" t="n">
        <v>1</v>
      </c>
      <c r="D58" s="96" t="n">
        <v>5</v>
      </c>
      <c r="E58" s="96" t="n">
        <v>0</v>
      </c>
      <c r="F58" s="97" t="n">
        <v>0</v>
      </c>
      <c r="G58" s="98" t="n">
        <v>55</v>
      </c>
      <c r="H58" s="96" t="n">
        <f aca="false">12.2*G58</f>
        <v>671</v>
      </c>
      <c r="I58" s="96" t="n">
        <v>1</v>
      </c>
      <c r="J58" s="97" t="n">
        <v>5</v>
      </c>
      <c r="K58" s="96" t="n">
        <v>0</v>
      </c>
      <c r="L58" s="107" t="n">
        <v>0.727272727272727</v>
      </c>
      <c r="M58" s="108" t="n">
        <v>0.0979020979020979</v>
      </c>
      <c r="N58" s="108" t="n">
        <v>0.0629370629370629</v>
      </c>
      <c r="O58" s="108" t="n">
        <v>0.020979020979021</v>
      </c>
      <c r="P58" s="108" t="n">
        <v>0.027972027972028</v>
      </c>
      <c r="Q58" s="109" t="n">
        <v>0.0629370629370629</v>
      </c>
      <c r="R58" s="107" t="n">
        <v>0.369747899159664</v>
      </c>
      <c r="S58" s="108" t="n">
        <v>0.252100840336134</v>
      </c>
      <c r="T58" s="108" t="n">
        <v>0.210084033613445</v>
      </c>
      <c r="U58" s="108" t="n">
        <v>0.0588235294117647</v>
      </c>
      <c r="V58" s="108" t="n">
        <v>0.0756302521008403</v>
      </c>
      <c r="W58" s="109" t="n">
        <v>0.0420168067226891</v>
      </c>
      <c r="X58" s="110" t="n">
        <f aca="false">$F58*L58</f>
        <v>0</v>
      </c>
      <c r="Y58" s="111" t="n">
        <f aca="false">$F58*M58</f>
        <v>0</v>
      </c>
      <c r="Z58" s="111" t="n">
        <f aca="false">$F58*N58</f>
        <v>0</v>
      </c>
      <c r="AA58" s="111" t="n">
        <f aca="false">$F58*O58</f>
        <v>0</v>
      </c>
      <c r="AB58" s="111" t="n">
        <f aca="false">$F58*P58</f>
        <v>0</v>
      </c>
      <c r="AC58" s="112" t="n">
        <f aca="false">$F58*Q58</f>
        <v>0</v>
      </c>
      <c r="AD58" s="110" t="n">
        <f aca="false">$J58*R58</f>
        <v>1.84873949579832</v>
      </c>
      <c r="AE58" s="111" t="n">
        <f aca="false">$J58*S58</f>
        <v>1.26050420168067</v>
      </c>
      <c r="AF58" s="111" t="n">
        <f aca="false">$J58*T58</f>
        <v>1.05042016806723</v>
      </c>
      <c r="AG58" s="111" t="n">
        <f aca="false">$J58*U58</f>
        <v>0.294117647058824</v>
      </c>
      <c r="AH58" s="111" t="n">
        <f aca="false">$J58*V58</f>
        <v>0.378151260504202</v>
      </c>
      <c r="AI58" s="112" t="n">
        <f aca="false">$J58*W58</f>
        <v>0.210084033613445</v>
      </c>
      <c r="AJ58" s="116" t="n">
        <f aca="false">Input!$E$22*WRs!C58+Input!$E$23*WRs!D58+Input!$E$24*WRs!X58+Input!$E$25*WRs!Y58+Input!$E$26*WRs!Z58+Input!$E$27*WRs!AA58+Input!$E$28*WRs!AB58+Input!$E$29*WRs!AC58+Input!$E$30*WRs!E58+Input!$E$31*WRs!G58+Input!$E$32*WRs!H58+Input!$E$33*WRs!AD58+Input!$E$34*WRs!AE58+Input!$E$35*WRs!AF58+Input!$E$36*WRs!AG58+Input!$E$37*WRs!AH58+Input!$E$38*WRs!AI58+Input!$E$39*WRs!I58+Input!$E$40*WRs!K58</f>
        <v>107.868907563025</v>
      </c>
    </row>
    <row r="59" customFormat="false" ht="12.75" hidden="false" customHeight="false" outlineLevel="0" collapsed="false">
      <c r="A59" s="141" t="s">
        <v>398</v>
      </c>
      <c r="B59" s="112" t="s">
        <v>196</v>
      </c>
      <c r="C59" s="98" t="n">
        <v>0</v>
      </c>
      <c r="D59" s="96" t="n">
        <v>0</v>
      </c>
      <c r="E59" s="96" t="n">
        <v>0</v>
      </c>
      <c r="F59" s="97" t="n">
        <v>0</v>
      </c>
      <c r="G59" s="98" t="n">
        <v>54</v>
      </c>
      <c r="H59" s="96" t="n">
        <f aca="false">14*G59</f>
        <v>756</v>
      </c>
      <c r="I59" s="96" t="n">
        <v>1</v>
      </c>
      <c r="J59" s="97" t="n">
        <v>4</v>
      </c>
      <c r="K59" s="96" t="n">
        <v>0</v>
      </c>
      <c r="L59" s="107" t="n">
        <v>0.727272727272727</v>
      </c>
      <c r="M59" s="108" t="n">
        <v>0.0979020979020979</v>
      </c>
      <c r="N59" s="108" t="n">
        <v>0.0629370629370629</v>
      </c>
      <c r="O59" s="108" t="n">
        <v>0.020979020979021</v>
      </c>
      <c r="P59" s="108" t="n">
        <v>0.027972027972028</v>
      </c>
      <c r="Q59" s="109" t="n">
        <v>0.0629370629370629</v>
      </c>
      <c r="R59" s="107" t="n">
        <v>0.369747899159664</v>
      </c>
      <c r="S59" s="108" t="n">
        <v>0.252100840336134</v>
      </c>
      <c r="T59" s="108" t="n">
        <v>0.210084033613445</v>
      </c>
      <c r="U59" s="108" t="n">
        <v>0.0588235294117647</v>
      </c>
      <c r="V59" s="108" t="n">
        <v>0.0756302521008403</v>
      </c>
      <c r="W59" s="109" t="n">
        <v>0.0420168067226891</v>
      </c>
      <c r="X59" s="110" t="n">
        <f aca="false">$F59*L59</f>
        <v>0</v>
      </c>
      <c r="Y59" s="111" t="n">
        <f aca="false">$F59*M59</f>
        <v>0</v>
      </c>
      <c r="Z59" s="111" t="n">
        <f aca="false">$F59*N59</f>
        <v>0</v>
      </c>
      <c r="AA59" s="111" t="n">
        <f aca="false">$F59*O59</f>
        <v>0</v>
      </c>
      <c r="AB59" s="111" t="n">
        <f aca="false">$F59*P59</f>
        <v>0</v>
      </c>
      <c r="AC59" s="112" t="n">
        <f aca="false">$F59*Q59</f>
        <v>0</v>
      </c>
      <c r="AD59" s="110" t="n">
        <f aca="false">$J59*R59</f>
        <v>1.47899159663866</v>
      </c>
      <c r="AE59" s="111" t="n">
        <f aca="false">$J59*S59</f>
        <v>1.00840336134454</v>
      </c>
      <c r="AF59" s="111" t="n">
        <f aca="false">$J59*T59</f>
        <v>0.840336134453782</v>
      </c>
      <c r="AG59" s="111" t="n">
        <f aca="false">$J59*U59</f>
        <v>0.235294117647059</v>
      </c>
      <c r="AH59" s="111" t="n">
        <f aca="false">$J59*V59</f>
        <v>0.302521008403361</v>
      </c>
      <c r="AI59" s="112" t="n">
        <f aca="false">$J59*W59</f>
        <v>0.168067226890756</v>
      </c>
      <c r="AJ59" s="116" t="n">
        <f aca="false">Input!$E$22*WRs!C59+Input!$E$23*WRs!D59+Input!$E$24*WRs!X59+Input!$E$25*WRs!Y59+Input!$E$26*WRs!Z59+Input!$E$27*WRs!AA59+Input!$E$28*WRs!AB59+Input!$E$29*WRs!AC59+Input!$E$30*WRs!E59+Input!$E$31*WRs!G59+Input!$E$32*WRs!H59+Input!$E$33*WRs!AD59+Input!$E$34*WRs!AE59+Input!$E$35*WRs!AF59+Input!$E$36*WRs!AG59+Input!$E$37*WRs!AH59+Input!$E$38*WRs!AI59+Input!$E$39*WRs!I59+Input!$E$40*WRs!K59</f>
        <v>108.41512605042</v>
      </c>
    </row>
    <row r="60" customFormat="false" ht="12.75" hidden="false" customHeight="false" outlineLevel="0" collapsed="false">
      <c r="A60" s="141" t="s">
        <v>399</v>
      </c>
      <c r="B60" s="112" t="s">
        <v>182</v>
      </c>
      <c r="C60" s="98" t="n">
        <v>3</v>
      </c>
      <c r="D60" s="96" t="n">
        <v>10</v>
      </c>
      <c r="E60" s="96" t="n">
        <v>0</v>
      </c>
      <c r="F60" s="97" t="n">
        <v>0</v>
      </c>
      <c r="G60" s="98" t="n">
        <v>55</v>
      </c>
      <c r="H60" s="96" t="n">
        <f aca="false">14.9*G60</f>
        <v>819.5</v>
      </c>
      <c r="I60" s="96" t="n">
        <v>1</v>
      </c>
      <c r="J60" s="97" t="n">
        <v>4</v>
      </c>
      <c r="K60" s="96" t="n">
        <v>0</v>
      </c>
      <c r="L60" s="107" t="n">
        <v>0.727272727272727</v>
      </c>
      <c r="M60" s="108" t="n">
        <v>0.0979020979020979</v>
      </c>
      <c r="N60" s="108" t="n">
        <v>0.0629370629370629</v>
      </c>
      <c r="O60" s="108" t="n">
        <v>0.020979020979021</v>
      </c>
      <c r="P60" s="108" t="n">
        <v>0.027972027972028</v>
      </c>
      <c r="Q60" s="109" t="n">
        <v>0.0629370629370629</v>
      </c>
      <c r="R60" s="107" t="n">
        <v>0.369747899159664</v>
      </c>
      <c r="S60" s="108" t="n">
        <v>0.252100840336134</v>
      </c>
      <c r="T60" s="108" t="n">
        <v>0.210084033613445</v>
      </c>
      <c r="U60" s="108" t="n">
        <v>0.0588235294117647</v>
      </c>
      <c r="V60" s="108" t="n">
        <v>0.0756302521008403</v>
      </c>
      <c r="W60" s="109" t="n">
        <v>0.0420168067226891</v>
      </c>
      <c r="X60" s="110" t="n">
        <f aca="false">$F60*L60</f>
        <v>0</v>
      </c>
      <c r="Y60" s="111" t="n">
        <f aca="false">$F60*M60</f>
        <v>0</v>
      </c>
      <c r="Z60" s="111" t="n">
        <f aca="false">$F60*N60</f>
        <v>0</v>
      </c>
      <c r="AA60" s="111" t="n">
        <f aca="false">$F60*O60</f>
        <v>0</v>
      </c>
      <c r="AB60" s="111" t="n">
        <f aca="false">$F60*P60</f>
        <v>0</v>
      </c>
      <c r="AC60" s="112" t="n">
        <f aca="false">$F60*Q60</f>
        <v>0</v>
      </c>
      <c r="AD60" s="110" t="n">
        <f aca="false">$J60*R60</f>
        <v>1.47899159663866</v>
      </c>
      <c r="AE60" s="111" t="n">
        <f aca="false">$J60*S60</f>
        <v>1.00840336134454</v>
      </c>
      <c r="AF60" s="111" t="n">
        <f aca="false">$J60*T60</f>
        <v>0.840336134453782</v>
      </c>
      <c r="AG60" s="111" t="n">
        <f aca="false">$J60*U60</f>
        <v>0.235294117647059</v>
      </c>
      <c r="AH60" s="111" t="n">
        <f aca="false">$J60*V60</f>
        <v>0.302521008403361</v>
      </c>
      <c r="AI60" s="112" t="n">
        <f aca="false">$J60*W60</f>
        <v>0.168067226890756</v>
      </c>
      <c r="AJ60" s="116" t="n">
        <f aca="false">Input!$E$22*WRs!C60+Input!$E$23*WRs!D60+Input!$E$24*WRs!X60+Input!$E$25*WRs!Y60+Input!$E$26*WRs!Z60+Input!$E$27*WRs!AA60+Input!$E$28*WRs!AB60+Input!$E$29*WRs!AC60+Input!$E$30*WRs!E60+Input!$E$31*WRs!G60+Input!$E$32*WRs!H60+Input!$E$33*WRs!AD60+Input!$E$34*WRs!AE60+Input!$E$35*WRs!AF60+Input!$E$36*WRs!AG60+Input!$E$37*WRs!AH60+Input!$E$38*WRs!AI60+Input!$E$39*WRs!I60+Input!$E$40*WRs!K60</f>
        <v>115.76512605042</v>
      </c>
    </row>
    <row r="61" customFormat="false" ht="12.75" hidden="false" customHeight="false" outlineLevel="0" collapsed="false">
      <c r="A61" s="141" t="s">
        <v>400</v>
      </c>
      <c r="B61" s="112" t="s">
        <v>188</v>
      </c>
      <c r="C61" s="98" t="n">
        <v>0</v>
      </c>
      <c r="D61" s="96" t="n">
        <v>0</v>
      </c>
      <c r="E61" s="96" t="n">
        <v>0</v>
      </c>
      <c r="F61" s="97" t="n">
        <v>0</v>
      </c>
      <c r="G61" s="98" t="n">
        <v>55</v>
      </c>
      <c r="H61" s="96" t="n">
        <f aca="false">12.3*G61</f>
        <v>676.5</v>
      </c>
      <c r="I61" s="96" t="n">
        <v>1</v>
      </c>
      <c r="J61" s="97" t="n">
        <v>4</v>
      </c>
      <c r="K61" s="96" t="n">
        <v>0</v>
      </c>
      <c r="L61" s="107" t="n">
        <v>0.727272727272727</v>
      </c>
      <c r="M61" s="108" t="n">
        <v>0.0979020979020979</v>
      </c>
      <c r="N61" s="108" t="n">
        <v>0.0629370629370629</v>
      </c>
      <c r="O61" s="108" t="n">
        <v>0.020979020979021</v>
      </c>
      <c r="P61" s="108" t="n">
        <v>0.027972027972028</v>
      </c>
      <c r="Q61" s="109" t="n">
        <v>0.0629370629370629</v>
      </c>
      <c r="R61" s="107" t="n">
        <v>0.369747899159664</v>
      </c>
      <c r="S61" s="108" t="n">
        <v>0.252100840336134</v>
      </c>
      <c r="T61" s="108" t="n">
        <v>0.210084033613445</v>
      </c>
      <c r="U61" s="108" t="n">
        <v>0.0588235294117647</v>
      </c>
      <c r="V61" s="108" t="n">
        <v>0.0756302521008403</v>
      </c>
      <c r="W61" s="109" t="n">
        <v>0.0420168067226891</v>
      </c>
      <c r="X61" s="110" t="n">
        <f aca="false">$F61*L61</f>
        <v>0</v>
      </c>
      <c r="Y61" s="111" t="n">
        <f aca="false">$F61*M61</f>
        <v>0</v>
      </c>
      <c r="Z61" s="111" t="n">
        <f aca="false">$F61*N61</f>
        <v>0</v>
      </c>
      <c r="AA61" s="111" t="n">
        <f aca="false">$F61*O61</f>
        <v>0</v>
      </c>
      <c r="AB61" s="111" t="n">
        <f aca="false">$F61*P61</f>
        <v>0</v>
      </c>
      <c r="AC61" s="112" t="n">
        <f aca="false">$F61*Q61</f>
        <v>0</v>
      </c>
      <c r="AD61" s="110" t="n">
        <f aca="false">$J61*R61</f>
        <v>1.47899159663866</v>
      </c>
      <c r="AE61" s="111" t="n">
        <f aca="false">$J61*S61</f>
        <v>1.00840336134454</v>
      </c>
      <c r="AF61" s="111" t="n">
        <f aca="false">$J61*T61</f>
        <v>0.840336134453782</v>
      </c>
      <c r="AG61" s="111" t="n">
        <f aca="false">$J61*U61</f>
        <v>0.235294117647059</v>
      </c>
      <c r="AH61" s="111" t="n">
        <f aca="false">$J61*V61</f>
        <v>0.302521008403361</v>
      </c>
      <c r="AI61" s="112" t="n">
        <f aca="false">$J61*W61</f>
        <v>0.168067226890756</v>
      </c>
      <c r="AJ61" s="116" t="n">
        <f aca="false">Input!$E$22*WRs!C61+Input!$E$23*WRs!D61+Input!$E$24*WRs!X61+Input!$E$25*WRs!Y61+Input!$E$26*WRs!Z61+Input!$E$27*WRs!AA61+Input!$E$28*WRs!AB61+Input!$E$29*WRs!AC61+Input!$E$30*WRs!E61+Input!$E$31*WRs!G61+Input!$E$32*WRs!H61+Input!$E$33*WRs!AD61+Input!$E$34*WRs!AE61+Input!$E$35*WRs!AF61+Input!$E$36*WRs!AG61+Input!$E$37*WRs!AH61+Input!$E$38*WRs!AI61+Input!$E$39*WRs!I61+Input!$E$40*WRs!K61</f>
        <v>100.46512605042</v>
      </c>
    </row>
    <row r="62" customFormat="false" ht="12.75" hidden="false" customHeight="false" outlineLevel="0" collapsed="false">
      <c r="A62" s="141" t="s">
        <v>401</v>
      </c>
      <c r="B62" s="112" t="s">
        <v>164</v>
      </c>
      <c r="C62" s="98" t="n">
        <v>0</v>
      </c>
      <c r="D62" s="96" t="n">
        <v>0</v>
      </c>
      <c r="E62" s="96" t="n">
        <v>0</v>
      </c>
      <c r="F62" s="97" t="n">
        <v>0</v>
      </c>
      <c r="G62" s="98" t="n">
        <v>35</v>
      </c>
      <c r="H62" s="96" t="n">
        <f aca="false">13.5*G62</f>
        <v>472.5</v>
      </c>
      <c r="I62" s="96" t="n">
        <v>1</v>
      </c>
      <c r="J62" s="97" t="n">
        <v>3</v>
      </c>
      <c r="K62" s="96" t="n">
        <v>0</v>
      </c>
      <c r="L62" s="107" t="n">
        <v>0.727272727272727</v>
      </c>
      <c r="M62" s="108" t="n">
        <v>0.0979020979020979</v>
      </c>
      <c r="N62" s="108" t="n">
        <v>0.0629370629370629</v>
      </c>
      <c r="O62" s="108" t="n">
        <v>0.020979020979021</v>
      </c>
      <c r="P62" s="108" t="n">
        <v>0.027972027972028</v>
      </c>
      <c r="Q62" s="109" t="n">
        <v>0.0629370629370629</v>
      </c>
      <c r="R62" s="107" t="n">
        <v>0.369747899159664</v>
      </c>
      <c r="S62" s="108" t="n">
        <v>0.252100840336134</v>
      </c>
      <c r="T62" s="108" t="n">
        <v>0.210084033613445</v>
      </c>
      <c r="U62" s="108" t="n">
        <v>0.0588235294117647</v>
      </c>
      <c r="V62" s="108" t="n">
        <v>0.0756302521008403</v>
      </c>
      <c r="W62" s="109" t="n">
        <v>0.0420168067226891</v>
      </c>
      <c r="X62" s="110" t="n">
        <f aca="false">$F62*L62</f>
        <v>0</v>
      </c>
      <c r="Y62" s="111" t="n">
        <f aca="false">$F62*M62</f>
        <v>0</v>
      </c>
      <c r="Z62" s="111" t="n">
        <f aca="false">$F62*N62</f>
        <v>0</v>
      </c>
      <c r="AA62" s="111" t="n">
        <f aca="false">$F62*O62</f>
        <v>0</v>
      </c>
      <c r="AB62" s="111" t="n">
        <f aca="false">$F62*P62</f>
        <v>0</v>
      </c>
      <c r="AC62" s="112" t="n">
        <f aca="false">$F62*Q62</f>
        <v>0</v>
      </c>
      <c r="AD62" s="110" t="n">
        <f aca="false">$J62*R62</f>
        <v>1.10924369747899</v>
      </c>
      <c r="AE62" s="111" t="n">
        <f aca="false">$J62*S62</f>
        <v>0.756302521008403</v>
      </c>
      <c r="AF62" s="111" t="n">
        <f aca="false">$J62*T62</f>
        <v>0.630252100840336</v>
      </c>
      <c r="AG62" s="111" t="n">
        <f aca="false">$J62*U62</f>
        <v>0.176470588235294</v>
      </c>
      <c r="AH62" s="111" t="n">
        <f aca="false">$J62*V62</f>
        <v>0.226890756302521</v>
      </c>
      <c r="AI62" s="112" t="n">
        <f aca="false">$J62*W62</f>
        <v>0.126050420168067</v>
      </c>
      <c r="AJ62" s="116" t="n">
        <f aca="false">Input!$E$22*WRs!C62+Input!$E$23*WRs!D62+Input!$E$24*WRs!X62+Input!$E$25*WRs!Y62+Input!$E$26*WRs!Z62+Input!$E$27*WRs!AA62+Input!$E$28*WRs!AB62+Input!$E$29*WRs!AC62+Input!$E$30*WRs!E62+Input!$E$31*WRs!G62+Input!$E$32*WRs!H62+Input!$E$33*WRs!AD62+Input!$E$34*WRs!AE62+Input!$E$35*WRs!AF62+Input!$E$36*WRs!AG62+Input!$E$37*WRs!AH62+Input!$E$38*WRs!AI62+Input!$E$39*WRs!I62+Input!$E$40*WRs!K62</f>
        <v>72.6113445378151</v>
      </c>
    </row>
    <row r="63" customFormat="false" ht="12.75" hidden="false" customHeight="false" outlineLevel="0" collapsed="false">
      <c r="A63" s="141" t="s">
        <v>402</v>
      </c>
      <c r="B63" s="112" t="s">
        <v>142</v>
      </c>
      <c r="C63" s="98" t="n">
        <v>0</v>
      </c>
      <c r="D63" s="96" t="n">
        <v>0</v>
      </c>
      <c r="E63" s="96" t="n">
        <v>0</v>
      </c>
      <c r="F63" s="97" t="n">
        <v>0</v>
      </c>
      <c r="G63" s="98" t="n">
        <v>35</v>
      </c>
      <c r="H63" s="96" t="n">
        <f aca="false">15*G63</f>
        <v>525</v>
      </c>
      <c r="I63" s="96" t="n">
        <v>1</v>
      </c>
      <c r="J63" s="97" t="n">
        <v>3</v>
      </c>
      <c r="K63" s="96" t="n">
        <v>0</v>
      </c>
      <c r="L63" s="107" t="n">
        <v>0.727272727272727</v>
      </c>
      <c r="M63" s="108" t="n">
        <v>0.0979020979020979</v>
      </c>
      <c r="N63" s="108" t="n">
        <v>0.0629370629370629</v>
      </c>
      <c r="O63" s="108" t="n">
        <v>0.020979020979021</v>
      </c>
      <c r="P63" s="108" t="n">
        <v>0.027972027972028</v>
      </c>
      <c r="Q63" s="109" t="n">
        <v>0.0629370629370629</v>
      </c>
      <c r="R63" s="107" t="n">
        <v>0.369747899159664</v>
      </c>
      <c r="S63" s="108" t="n">
        <v>0.252100840336134</v>
      </c>
      <c r="T63" s="108" t="n">
        <v>0.210084033613445</v>
      </c>
      <c r="U63" s="108" t="n">
        <v>0.0588235294117647</v>
      </c>
      <c r="V63" s="108" t="n">
        <v>0.0756302521008403</v>
      </c>
      <c r="W63" s="109" t="n">
        <v>0.0420168067226891</v>
      </c>
      <c r="X63" s="110" t="n">
        <f aca="false">$F63*L63</f>
        <v>0</v>
      </c>
      <c r="Y63" s="111" t="n">
        <f aca="false">$F63*M63</f>
        <v>0</v>
      </c>
      <c r="Z63" s="111" t="n">
        <f aca="false">$F63*N63</f>
        <v>0</v>
      </c>
      <c r="AA63" s="111" t="n">
        <f aca="false">$F63*O63</f>
        <v>0</v>
      </c>
      <c r="AB63" s="111" t="n">
        <f aca="false">$F63*P63</f>
        <v>0</v>
      </c>
      <c r="AC63" s="112" t="n">
        <f aca="false">$F63*Q63</f>
        <v>0</v>
      </c>
      <c r="AD63" s="110" t="n">
        <f aca="false">$J63*R63</f>
        <v>1.10924369747899</v>
      </c>
      <c r="AE63" s="111" t="n">
        <f aca="false">$J63*S63</f>
        <v>0.756302521008403</v>
      </c>
      <c r="AF63" s="111" t="n">
        <f aca="false">$J63*T63</f>
        <v>0.630252100840336</v>
      </c>
      <c r="AG63" s="111" t="n">
        <f aca="false">$J63*U63</f>
        <v>0.176470588235294</v>
      </c>
      <c r="AH63" s="111" t="n">
        <f aca="false">$J63*V63</f>
        <v>0.226890756302521</v>
      </c>
      <c r="AI63" s="112" t="n">
        <f aca="false">$J63*W63</f>
        <v>0.126050420168067</v>
      </c>
      <c r="AJ63" s="116" t="n">
        <f aca="false">Input!$E$22*WRs!C63+Input!$E$23*WRs!D63+Input!$E$24*WRs!X63+Input!$E$25*WRs!Y63+Input!$E$26*WRs!Z63+Input!$E$27*WRs!AA63+Input!$E$28*WRs!AB63+Input!$E$29*WRs!AC63+Input!$E$30*WRs!E63+Input!$E$31*WRs!G63+Input!$E$32*WRs!H63+Input!$E$33*WRs!AD63+Input!$E$34*WRs!AE63+Input!$E$35*WRs!AF63+Input!$E$36*WRs!AG63+Input!$E$37*WRs!AH63+Input!$E$38*WRs!AI63+Input!$E$39*WRs!I63+Input!$E$40*WRs!K63</f>
        <v>77.8613445378151</v>
      </c>
    </row>
    <row r="64" customFormat="false" ht="12.75" hidden="false" customHeight="false" outlineLevel="0" collapsed="false">
      <c r="A64" s="141" t="s">
        <v>403</v>
      </c>
      <c r="B64" s="112" t="s">
        <v>170</v>
      </c>
      <c r="C64" s="98" t="n">
        <v>0</v>
      </c>
      <c r="D64" s="96" t="n">
        <v>0</v>
      </c>
      <c r="E64" s="96" t="n">
        <v>0</v>
      </c>
      <c r="F64" s="97" t="n">
        <v>0</v>
      </c>
      <c r="G64" s="94" t="n">
        <v>50</v>
      </c>
      <c r="H64" s="95" t="n">
        <f aca="false">13.4*G64</f>
        <v>670</v>
      </c>
      <c r="I64" s="95" t="n">
        <v>1</v>
      </c>
      <c r="J64" s="122" t="n">
        <v>3</v>
      </c>
      <c r="K64" s="95" t="n">
        <v>0</v>
      </c>
      <c r="L64" s="107" t="n">
        <v>0.727272727272727</v>
      </c>
      <c r="M64" s="108" t="n">
        <v>0.0979020979020979</v>
      </c>
      <c r="N64" s="108" t="n">
        <v>0.0629370629370629</v>
      </c>
      <c r="O64" s="108" t="n">
        <v>0.020979020979021</v>
      </c>
      <c r="P64" s="108" t="n">
        <v>0.027972027972028</v>
      </c>
      <c r="Q64" s="109" t="n">
        <v>0.0629370629370629</v>
      </c>
      <c r="R64" s="107" t="n">
        <v>0.369747899159664</v>
      </c>
      <c r="S64" s="108" t="n">
        <v>0.252100840336134</v>
      </c>
      <c r="T64" s="108" t="n">
        <v>0.210084033613445</v>
      </c>
      <c r="U64" s="108" t="n">
        <v>0.0588235294117647</v>
      </c>
      <c r="V64" s="108" t="n">
        <v>0.0756302521008403</v>
      </c>
      <c r="W64" s="109" t="n">
        <v>0.0420168067226891</v>
      </c>
      <c r="X64" s="110" t="n">
        <f aca="false">$F64*L64</f>
        <v>0</v>
      </c>
      <c r="Y64" s="111" t="n">
        <f aca="false">$F64*M64</f>
        <v>0</v>
      </c>
      <c r="Z64" s="111" t="n">
        <f aca="false">$F64*N64</f>
        <v>0</v>
      </c>
      <c r="AA64" s="111" t="n">
        <f aca="false">$F64*O64</f>
        <v>0</v>
      </c>
      <c r="AB64" s="111" t="n">
        <f aca="false">$F64*P64</f>
        <v>0</v>
      </c>
      <c r="AC64" s="112" t="n">
        <f aca="false">$F64*Q64</f>
        <v>0</v>
      </c>
      <c r="AD64" s="110" t="n">
        <f aca="false">$J64*R64</f>
        <v>1.10924369747899</v>
      </c>
      <c r="AE64" s="111" t="n">
        <f aca="false">$J64*S64</f>
        <v>0.756302521008403</v>
      </c>
      <c r="AF64" s="111" t="n">
        <f aca="false">$J64*T64</f>
        <v>0.630252100840336</v>
      </c>
      <c r="AG64" s="111" t="n">
        <f aca="false">$J64*U64</f>
        <v>0.176470588235294</v>
      </c>
      <c r="AH64" s="111" t="n">
        <f aca="false">$J64*V64</f>
        <v>0.226890756302521</v>
      </c>
      <c r="AI64" s="112" t="n">
        <f aca="false">$J64*W64</f>
        <v>0.126050420168067</v>
      </c>
      <c r="AJ64" s="116" t="n">
        <f aca="false">Input!$E$22*WRs!C64+Input!$E$23*WRs!D64+Input!$E$24*WRs!X64+Input!$E$25*WRs!Y64+Input!$E$26*WRs!Z64+Input!$E$27*WRs!AA64+Input!$E$28*WRs!AB64+Input!$E$29*WRs!AC64+Input!$E$30*WRs!E64+Input!$E$31*WRs!G64+Input!$E$32*WRs!H64+Input!$E$33*WRs!AD64+Input!$E$34*WRs!AE64+Input!$E$35*WRs!AF64+Input!$E$36*WRs!AG64+Input!$E$37*WRs!AH64+Input!$E$38*WRs!AI64+Input!$E$39*WRs!I64+Input!$E$40*WRs!K64</f>
        <v>92.3613445378151</v>
      </c>
    </row>
    <row r="65" customFormat="false" ht="12.75" hidden="false" customHeight="false" outlineLevel="0" collapsed="false">
      <c r="A65" s="141" t="s">
        <v>404</v>
      </c>
      <c r="B65" s="112" t="s">
        <v>146</v>
      </c>
      <c r="C65" s="98" t="n">
        <v>0</v>
      </c>
      <c r="D65" s="96" t="n">
        <v>0</v>
      </c>
      <c r="E65" s="96" t="n">
        <v>0</v>
      </c>
      <c r="F65" s="97" t="n">
        <v>0</v>
      </c>
      <c r="G65" s="98" t="n">
        <v>35</v>
      </c>
      <c r="H65" s="96" t="n">
        <f aca="false">16.3*G65</f>
        <v>570.5</v>
      </c>
      <c r="I65" s="96" t="n">
        <v>1</v>
      </c>
      <c r="J65" s="97" t="n">
        <v>3</v>
      </c>
      <c r="K65" s="96" t="n">
        <v>0</v>
      </c>
      <c r="L65" s="107" t="n">
        <v>0.727272727272727</v>
      </c>
      <c r="M65" s="108" t="n">
        <v>0.0979020979020979</v>
      </c>
      <c r="N65" s="108" t="n">
        <v>0.0629370629370629</v>
      </c>
      <c r="O65" s="108" t="n">
        <v>0.020979020979021</v>
      </c>
      <c r="P65" s="108" t="n">
        <v>0.027972027972028</v>
      </c>
      <c r="Q65" s="109" t="n">
        <v>0.0629370629370629</v>
      </c>
      <c r="R65" s="107" t="n">
        <v>0.123809523809524</v>
      </c>
      <c r="S65" s="108" t="n">
        <v>0.152380952380952</v>
      </c>
      <c r="T65" s="108" t="n">
        <v>0.0952380952380952</v>
      </c>
      <c r="U65" s="108" t="n">
        <v>0.19047619047619</v>
      </c>
      <c r="V65" s="108" t="n">
        <v>0.142857142857143</v>
      </c>
      <c r="W65" s="109" t="n">
        <v>0.295238095238095</v>
      </c>
      <c r="X65" s="110" t="n">
        <f aca="false">$F65*L65</f>
        <v>0</v>
      </c>
      <c r="Y65" s="111" t="n">
        <f aca="false">$F65*M65</f>
        <v>0</v>
      </c>
      <c r="Z65" s="111" t="n">
        <f aca="false">$F65*N65</f>
        <v>0</v>
      </c>
      <c r="AA65" s="111" t="n">
        <f aca="false">$F65*O65</f>
        <v>0</v>
      </c>
      <c r="AB65" s="111" t="n">
        <f aca="false">$F65*P65</f>
        <v>0</v>
      </c>
      <c r="AC65" s="112" t="n">
        <f aca="false">$F65*Q65</f>
        <v>0</v>
      </c>
      <c r="AD65" s="110" t="n">
        <f aca="false">$J65*R65</f>
        <v>0.371428571428571</v>
      </c>
      <c r="AE65" s="111" t="n">
        <f aca="false">$J65*S65</f>
        <v>0.457142857142857</v>
      </c>
      <c r="AF65" s="111" t="n">
        <f aca="false">$J65*T65</f>
        <v>0.285714285714286</v>
      </c>
      <c r="AG65" s="111" t="n">
        <f aca="false">$J65*U65</f>
        <v>0.571428571428571</v>
      </c>
      <c r="AH65" s="111" t="n">
        <f aca="false">$J65*V65</f>
        <v>0.428571428571429</v>
      </c>
      <c r="AI65" s="112" t="n">
        <f aca="false">$J65*W65</f>
        <v>0.885714285714286</v>
      </c>
      <c r="AJ65" s="116" t="n">
        <f aca="false">Input!$E$22*WRs!C65+Input!$E$23*WRs!D65+Input!$E$24*WRs!X65+Input!$E$25*WRs!Y65+Input!$E$26*WRs!Z65+Input!$E$27*WRs!AA65+Input!$E$28*WRs!AB65+Input!$E$29*WRs!AC65+Input!$E$30*WRs!E65+Input!$E$31*WRs!G65+Input!$E$32*WRs!H65+Input!$E$33*WRs!AD65+Input!$E$34*WRs!AE65+Input!$E$35*WRs!AF65+Input!$E$36*WRs!AG65+Input!$E$37*WRs!AH65+Input!$E$38*WRs!AI65+Input!$E$39*WRs!I65+Input!$E$40*WRs!K65</f>
        <v>87.8214285714286</v>
      </c>
    </row>
    <row r="66" customFormat="false" ht="12.75" hidden="false" customHeight="false" outlineLevel="0" collapsed="false">
      <c r="A66" s="141" t="s">
        <v>405</v>
      </c>
      <c r="B66" s="112" t="s">
        <v>180</v>
      </c>
      <c r="C66" s="98" t="n">
        <v>0</v>
      </c>
      <c r="D66" s="96" t="n">
        <v>0</v>
      </c>
      <c r="E66" s="96" t="n">
        <v>0</v>
      </c>
      <c r="F66" s="97" t="n">
        <v>0</v>
      </c>
      <c r="G66" s="98" t="n">
        <v>50</v>
      </c>
      <c r="H66" s="96" t="n">
        <f aca="false">12.9*G66</f>
        <v>645</v>
      </c>
      <c r="I66" s="96" t="n">
        <v>1</v>
      </c>
      <c r="J66" s="97" t="n">
        <v>3</v>
      </c>
      <c r="K66" s="96" t="n">
        <v>0</v>
      </c>
      <c r="L66" s="107" t="n">
        <v>0.727272727272727</v>
      </c>
      <c r="M66" s="108" t="n">
        <v>0.0979020979020979</v>
      </c>
      <c r="N66" s="108" t="n">
        <v>0.0629370629370629</v>
      </c>
      <c r="O66" s="108" t="n">
        <v>0.020979020979021</v>
      </c>
      <c r="P66" s="108" t="n">
        <v>0.027972027972028</v>
      </c>
      <c r="Q66" s="109" t="n">
        <v>0.0629370629370629</v>
      </c>
      <c r="R66" s="107" t="n">
        <v>0.369747899159664</v>
      </c>
      <c r="S66" s="108" t="n">
        <v>0.252100840336134</v>
      </c>
      <c r="T66" s="108" t="n">
        <v>0.210084033613445</v>
      </c>
      <c r="U66" s="108" t="n">
        <v>0.0588235294117647</v>
      </c>
      <c r="V66" s="108" t="n">
        <v>0.0756302521008403</v>
      </c>
      <c r="W66" s="109" t="n">
        <v>0.0420168067226891</v>
      </c>
      <c r="X66" s="110" t="n">
        <f aca="false">$F66*L66</f>
        <v>0</v>
      </c>
      <c r="Y66" s="111" t="n">
        <f aca="false">$F66*M66</f>
        <v>0</v>
      </c>
      <c r="Z66" s="111" t="n">
        <f aca="false">$F66*N66</f>
        <v>0</v>
      </c>
      <c r="AA66" s="111" t="n">
        <f aca="false">$F66*O66</f>
        <v>0</v>
      </c>
      <c r="AB66" s="111" t="n">
        <f aca="false">$F66*P66</f>
        <v>0</v>
      </c>
      <c r="AC66" s="112" t="n">
        <f aca="false">$F66*Q66</f>
        <v>0</v>
      </c>
      <c r="AD66" s="110" t="n">
        <f aca="false">$J66*R66</f>
        <v>1.10924369747899</v>
      </c>
      <c r="AE66" s="111" t="n">
        <f aca="false">$J66*S66</f>
        <v>0.756302521008403</v>
      </c>
      <c r="AF66" s="111" t="n">
        <f aca="false">$J66*T66</f>
        <v>0.630252100840336</v>
      </c>
      <c r="AG66" s="111" t="n">
        <f aca="false">$J66*U66</f>
        <v>0.176470588235294</v>
      </c>
      <c r="AH66" s="111" t="n">
        <f aca="false">$J66*V66</f>
        <v>0.226890756302521</v>
      </c>
      <c r="AI66" s="112" t="n">
        <f aca="false">$J66*W66</f>
        <v>0.126050420168067</v>
      </c>
      <c r="AJ66" s="116" t="n">
        <f aca="false">Input!$E$22*WRs!C66+Input!$E$23*WRs!D66+Input!$E$24*WRs!X66+Input!$E$25*WRs!Y66+Input!$E$26*WRs!Z66+Input!$E$27*WRs!AA66+Input!$E$28*WRs!AB66+Input!$E$29*WRs!AC66+Input!$E$30*WRs!E66+Input!$E$31*WRs!G66+Input!$E$32*WRs!H66+Input!$E$33*WRs!AD66+Input!$E$34*WRs!AE66+Input!$E$35*WRs!AF66+Input!$E$36*WRs!AG66+Input!$E$37*WRs!AH66+Input!$E$38*WRs!AI66+Input!$E$39*WRs!I66+Input!$E$40*WRs!K66</f>
        <v>89.8613445378151</v>
      </c>
    </row>
    <row r="67" customFormat="false" ht="12.75" hidden="false" customHeight="false" outlineLevel="0" collapsed="false">
      <c r="A67" s="141" t="s">
        <v>406</v>
      </c>
      <c r="B67" s="112" t="s">
        <v>178</v>
      </c>
      <c r="C67" s="98" t="n">
        <v>0</v>
      </c>
      <c r="D67" s="96" t="n">
        <v>0</v>
      </c>
      <c r="E67" s="96" t="n">
        <v>0</v>
      </c>
      <c r="F67" s="97" t="n">
        <v>0</v>
      </c>
      <c r="G67" s="98" t="n">
        <v>40</v>
      </c>
      <c r="H67" s="96" t="n">
        <f aca="false">15.7*G67</f>
        <v>628</v>
      </c>
      <c r="I67" s="96" t="n">
        <v>1</v>
      </c>
      <c r="J67" s="97" t="n">
        <v>3</v>
      </c>
      <c r="K67" s="96" t="n">
        <v>0</v>
      </c>
      <c r="L67" s="107" t="n">
        <v>0.727272727272727</v>
      </c>
      <c r="M67" s="108" t="n">
        <v>0.0979020979020979</v>
      </c>
      <c r="N67" s="108" t="n">
        <v>0.0629370629370629</v>
      </c>
      <c r="O67" s="108" t="n">
        <v>0.020979020979021</v>
      </c>
      <c r="P67" s="108" t="n">
        <v>0.027972027972028</v>
      </c>
      <c r="Q67" s="109" t="n">
        <v>0.0629370629370629</v>
      </c>
      <c r="R67" s="107" t="n">
        <v>0.369747899159664</v>
      </c>
      <c r="S67" s="108" t="n">
        <v>0.252100840336134</v>
      </c>
      <c r="T67" s="108" t="n">
        <v>0.210084033613445</v>
      </c>
      <c r="U67" s="108" t="n">
        <v>0.0588235294117647</v>
      </c>
      <c r="V67" s="108" t="n">
        <v>0.0756302521008403</v>
      </c>
      <c r="W67" s="109" t="n">
        <v>0.0420168067226891</v>
      </c>
      <c r="X67" s="110" t="n">
        <f aca="false">$F67*L67</f>
        <v>0</v>
      </c>
      <c r="Y67" s="111" t="n">
        <f aca="false">$F67*M67</f>
        <v>0</v>
      </c>
      <c r="Z67" s="111" t="n">
        <f aca="false">$F67*N67</f>
        <v>0</v>
      </c>
      <c r="AA67" s="111" t="n">
        <f aca="false">$F67*O67</f>
        <v>0</v>
      </c>
      <c r="AB67" s="111" t="n">
        <f aca="false">$F67*P67</f>
        <v>0</v>
      </c>
      <c r="AC67" s="112" t="n">
        <f aca="false">$F67*Q67</f>
        <v>0</v>
      </c>
      <c r="AD67" s="110" t="n">
        <f aca="false">$J67*R67</f>
        <v>1.10924369747899</v>
      </c>
      <c r="AE67" s="111" t="n">
        <f aca="false">$J67*S67</f>
        <v>0.756302521008403</v>
      </c>
      <c r="AF67" s="111" t="n">
        <f aca="false">$J67*T67</f>
        <v>0.630252100840336</v>
      </c>
      <c r="AG67" s="111" t="n">
        <f aca="false">$J67*U67</f>
        <v>0.176470588235294</v>
      </c>
      <c r="AH67" s="111" t="n">
        <f aca="false">$J67*V67</f>
        <v>0.226890756302521</v>
      </c>
      <c r="AI67" s="112" t="n">
        <f aca="false">$J67*W67</f>
        <v>0.126050420168067</v>
      </c>
      <c r="AJ67" s="116" t="n">
        <f aca="false">Input!$E$22*WRs!C67+Input!$E$23*WRs!D67+Input!$E$24*WRs!X67+Input!$E$25*WRs!Y67+Input!$E$26*WRs!Z67+Input!$E$27*WRs!AA67+Input!$E$28*WRs!AB67+Input!$E$29*WRs!AC67+Input!$E$30*WRs!E67+Input!$E$31*WRs!G67+Input!$E$32*WRs!H67+Input!$E$33*WRs!AD67+Input!$E$34*WRs!AE67+Input!$E$35*WRs!AF67+Input!$E$36*WRs!AG67+Input!$E$37*WRs!AH67+Input!$E$38*WRs!AI67+Input!$E$39*WRs!I67+Input!$E$40*WRs!K67</f>
        <v>88.1613445378151</v>
      </c>
    </row>
    <row r="68" customFormat="false" ht="12.75" hidden="false" customHeight="false" outlineLevel="0" collapsed="false">
      <c r="A68" s="141" t="s">
        <v>407</v>
      </c>
      <c r="B68" s="112" t="s">
        <v>140</v>
      </c>
      <c r="C68" s="98" t="n">
        <v>0</v>
      </c>
      <c r="D68" s="96" t="n">
        <v>0</v>
      </c>
      <c r="E68" s="96" t="n">
        <v>0</v>
      </c>
      <c r="F68" s="97" t="n">
        <v>0</v>
      </c>
      <c r="G68" s="98" t="n">
        <v>35</v>
      </c>
      <c r="H68" s="96" t="n">
        <f aca="false">16.8*G68</f>
        <v>588</v>
      </c>
      <c r="I68" s="96" t="n">
        <v>0</v>
      </c>
      <c r="J68" s="97" t="n">
        <v>4</v>
      </c>
      <c r="K68" s="96" t="n">
        <v>0</v>
      </c>
      <c r="L68" s="107" t="n">
        <v>0.727272727272727</v>
      </c>
      <c r="M68" s="108" t="n">
        <v>0.0979020979020979</v>
      </c>
      <c r="N68" s="108" t="n">
        <v>0.0629370629370629</v>
      </c>
      <c r="O68" s="108" t="n">
        <v>0.020979020979021</v>
      </c>
      <c r="P68" s="108" t="n">
        <v>0.027972027972028</v>
      </c>
      <c r="Q68" s="109" t="n">
        <v>0.0629370629370629</v>
      </c>
      <c r="R68" s="107" t="n">
        <v>0.369747899159664</v>
      </c>
      <c r="S68" s="108" t="n">
        <v>0.252100840336134</v>
      </c>
      <c r="T68" s="108" t="n">
        <v>0.210084033613445</v>
      </c>
      <c r="U68" s="108" t="n">
        <v>0.0588235294117647</v>
      </c>
      <c r="V68" s="108" t="n">
        <v>0.0756302521008403</v>
      </c>
      <c r="W68" s="109" t="n">
        <v>0.0420168067226891</v>
      </c>
      <c r="X68" s="110" t="n">
        <f aca="false">$F68*L68</f>
        <v>0</v>
      </c>
      <c r="Y68" s="111" t="n">
        <f aca="false">$F68*M68</f>
        <v>0</v>
      </c>
      <c r="Z68" s="111" t="n">
        <f aca="false">$F68*N68</f>
        <v>0</v>
      </c>
      <c r="AA68" s="111" t="n">
        <f aca="false">$F68*O68</f>
        <v>0</v>
      </c>
      <c r="AB68" s="111" t="n">
        <f aca="false">$F68*P68</f>
        <v>0</v>
      </c>
      <c r="AC68" s="112" t="n">
        <f aca="false">$F68*Q68</f>
        <v>0</v>
      </c>
      <c r="AD68" s="110" t="n">
        <f aca="false">$J68*R68</f>
        <v>1.47899159663866</v>
      </c>
      <c r="AE68" s="111" t="n">
        <f aca="false">$J68*S68</f>
        <v>1.00840336134454</v>
      </c>
      <c r="AF68" s="111" t="n">
        <f aca="false">$J68*T68</f>
        <v>0.840336134453782</v>
      </c>
      <c r="AG68" s="111" t="n">
        <f aca="false">$J68*U68</f>
        <v>0.235294117647059</v>
      </c>
      <c r="AH68" s="111" t="n">
        <f aca="false">$J68*V68</f>
        <v>0.302521008403361</v>
      </c>
      <c r="AI68" s="112" t="n">
        <f aca="false">$J68*W68</f>
        <v>0.168067226890756</v>
      </c>
      <c r="AJ68" s="116" t="n">
        <f aca="false">Input!$E$22*WRs!C68+Input!$E$23*WRs!D68+Input!$E$24*WRs!X68+Input!$E$25*WRs!Y68+Input!$E$26*WRs!Z68+Input!$E$27*WRs!AA68+Input!$E$28*WRs!AB68+Input!$E$29*WRs!AC68+Input!$E$30*WRs!E68+Input!$E$31*WRs!G68+Input!$E$32*WRs!H68+Input!$E$33*WRs!AD68+Input!$E$34*WRs!AE68+Input!$E$35*WRs!AF68+Input!$E$36*WRs!AG68+Input!$E$37*WRs!AH68+Input!$E$38*WRs!AI68+Input!$E$39*WRs!I68+Input!$E$40*WRs!K68</f>
        <v>88.6151260504202</v>
      </c>
    </row>
    <row r="69" customFormat="false" ht="12.75" hidden="false" customHeight="false" outlineLevel="0" collapsed="false">
      <c r="A69" s="141" t="s">
        <v>408</v>
      </c>
      <c r="B69" s="112" t="s">
        <v>154</v>
      </c>
      <c r="C69" s="98" t="n">
        <v>4</v>
      </c>
      <c r="D69" s="96" t="n">
        <v>18</v>
      </c>
      <c r="E69" s="96" t="n">
        <v>0</v>
      </c>
      <c r="F69" s="97" t="n">
        <v>0</v>
      </c>
      <c r="G69" s="98" t="n">
        <v>35</v>
      </c>
      <c r="H69" s="96" t="n">
        <f aca="false">15.5*G69</f>
        <v>542.5</v>
      </c>
      <c r="I69" s="96" t="n">
        <v>0</v>
      </c>
      <c r="J69" s="97" t="n">
        <v>2</v>
      </c>
      <c r="K69" s="96" t="n">
        <v>0</v>
      </c>
      <c r="L69" s="107" t="n">
        <v>0.727272727272727</v>
      </c>
      <c r="M69" s="108" t="n">
        <v>0.0979020979020979</v>
      </c>
      <c r="N69" s="108" t="n">
        <v>0.0629370629370629</v>
      </c>
      <c r="O69" s="108" t="n">
        <v>0.020979020979021</v>
      </c>
      <c r="P69" s="108" t="n">
        <v>0.027972027972028</v>
      </c>
      <c r="Q69" s="109" t="n">
        <v>0.0629370629370629</v>
      </c>
      <c r="R69" s="107" t="n">
        <v>0.369747899159664</v>
      </c>
      <c r="S69" s="108" t="n">
        <v>0.252100840336134</v>
      </c>
      <c r="T69" s="108" t="n">
        <v>0.210084033613445</v>
      </c>
      <c r="U69" s="108" t="n">
        <v>0.0588235294117647</v>
      </c>
      <c r="V69" s="108" t="n">
        <v>0.0756302521008403</v>
      </c>
      <c r="W69" s="109" t="n">
        <v>0.0420168067226891</v>
      </c>
      <c r="X69" s="110" t="n">
        <f aca="false">$F69*L69</f>
        <v>0</v>
      </c>
      <c r="Y69" s="111" t="n">
        <f aca="false">$F69*M69</f>
        <v>0</v>
      </c>
      <c r="Z69" s="111" t="n">
        <f aca="false">$F69*N69</f>
        <v>0</v>
      </c>
      <c r="AA69" s="111" t="n">
        <f aca="false">$F69*O69</f>
        <v>0</v>
      </c>
      <c r="AB69" s="111" t="n">
        <f aca="false">$F69*P69</f>
        <v>0</v>
      </c>
      <c r="AC69" s="112" t="n">
        <f aca="false">$F69*Q69</f>
        <v>0</v>
      </c>
      <c r="AD69" s="110" t="n">
        <f aca="false">$J69*R69</f>
        <v>0.739495798319328</v>
      </c>
      <c r="AE69" s="111" t="n">
        <f aca="false">$J69*S69</f>
        <v>0.504201680672269</v>
      </c>
      <c r="AF69" s="111" t="n">
        <f aca="false">$J69*T69</f>
        <v>0.420168067226891</v>
      </c>
      <c r="AG69" s="111" t="n">
        <f aca="false">$J69*U69</f>
        <v>0.117647058823529</v>
      </c>
      <c r="AH69" s="111" t="n">
        <f aca="false">$J69*V69</f>
        <v>0.151260504201681</v>
      </c>
      <c r="AI69" s="112" t="n">
        <f aca="false">$J69*W69</f>
        <v>0.0840336134453782</v>
      </c>
      <c r="AJ69" s="116" t="n">
        <f aca="false">Input!$E$22*WRs!C69+Input!$E$23*WRs!D69+Input!$E$24*WRs!X69+Input!$E$25*WRs!Y69+Input!$E$26*WRs!Z69+Input!$E$27*WRs!AA69+Input!$E$28*WRs!AB69+Input!$E$29*WRs!AC69+Input!$E$30*WRs!E69+Input!$E$31*WRs!G69+Input!$E$32*WRs!H69+Input!$E$33*WRs!AD69+Input!$E$34*WRs!AE69+Input!$E$35*WRs!AF69+Input!$E$36*WRs!AG69+Input!$E$37*WRs!AH69+Input!$E$38*WRs!AI69+Input!$E$39*WRs!I69+Input!$E$40*WRs!K69</f>
        <v>70.9575630252101</v>
      </c>
    </row>
    <row r="70" customFormat="false" ht="12.75" hidden="false" customHeight="false" outlineLevel="0" collapsed="false">
      <c r="A70" s="141" t="s">
        <v>409</v>
      </c>
      <c r="B70" s="112" t="s">
        <v>152</v>
      </c>
      <c r="C70" s="98" t="n">
        <v>1</v>
      </c>
      <c r="D70" s="96" t="n">
        <v>6</v>
      </c>
      <c r="E70" s="96" t="n">
        <v>0</v>
      </c>
      <c r="F70" s="97" t="n">
        <v>0</v>
      </c>
      <c r="G70" s="98" t="n">
        <v>35</v>
      </c>
      <c r="H70" s="96" t="n">
        <f aca="false">18.5*G70</f>
        <v>647.5</v>
      </c>
      <c r="I70" s="96" t="n">
        <v>1</v>
      </c>
      <c r="J70" s="97" t="n">
        <v>3</v>
      </c>
      <c r="K70" s="96" t="n">
        <v>0</v>
      </c>
      <c r="L70" s="107" t="n">
        <v>0.727272727272727</v>
      </c>
      <c r="M70" s="108" t="n">
        <v>0.0979020979020979</v>
      </c>
      <c r="N70" s="108" t="n">
        <v>0.0629370629370629</v>
      </c>
      <c r="O70" s="108" t="n">
        <v>0.020979020979021</v>
      </c>
      <c r="P70" s="108" t="n">
        <v>0.027972027972028</v>
      </c>
      <c r="Q70" s="109" t="n">
        <v>0.0629370629370629</v>
      </c>
      <c r="R70" s="107" t="n">
        <v>0.369747899159664</v>
      </c>
      <c r="S70" s="108" t="n">
        <v>0.252100840336134</v>
      </c>
      <c r="T70" s="108" t="n">
        <v>0.210084033613445</v>
      </c>
      <c r="U70" s="108" t="n">
        <v>0.0588235294117647</v>
      </c>
      <c r="V70" s="108" t="n">
        <v>0.0756302521008403</v>
      </c>
      <c r="W70" s="109" t="n">
        <v>0.0420168067226891</v>
      </c>
      <c r="X70" s="110" t="n">
        <f aca="false">$F70*L70</f>
        <v>0</v>
      </c>
      <c r="Y70" s="111" t="n">
        <f aca="false">$F70*M70</f>
        <v>0</v>
      </c>
      <c r="Z70" s="111" t="n">
        <f aca="false">$F70*N70</f>
        <v>0</v>
      </c>
      <c r="AA70" s="111" t="n">
        <f aca="false">$F70*O70</f>
        <v>0</v>
      </c>
      <c r="AB70" s="111" t="n">
        <f aca="false">$F70*P70</f>
        <v>0</v>
      </c>
      <c r="AC70" s="112" t="n">
        <f aca="false">$F70*Q70</f>
        <v>0</v>
      </c>
      <c r="AD70" s="110" t="n">
        <f aca="false">$J70*R70</f>
        <v>1.10924369747899</v>
      </c>
      <c r="AE70" s="111" t="n">
        <f aca="false">$J70*S70</f>
        <v>0.756302521008403</v>
      </c>
      <c r="AF70" s="111" t="n">
        <f aca="false">$J70*T70</f>
        <v>0.630252100840336</v>
      </c>
      <c r="AG70" s="111" t="n">
        <f aca="false">$J70*U70</f>
        <v>0.176470588235294</v>
      </c>
      <c r="AH70" s="111" t="n">
        <f aca="false">$J70*V70</f>
        <v>0.226890756302521</v>
      </c>
      <c r="AI70" s="112" t="n">
        <f aca="false">$J70*W70</f>
        <v>0.126050420168067</v>
      </c>
      <c r="AJ70" s="116" t="n">
        <f aca="false">Input!$E$22*WRs!C70+Input!$E$23*WRs!D70+Input!$E$24*WRs!X70+Input!$E$25*WRs!Y70+Input!$E$26*WRs!Z70+Input!$E$27*WRs!AA70+Input!$E$28*WRs!AB70+Input!$E$29*WRs!AC70+Input!$E$30*WRs!E70+Input!$E$31*WRs!G70+Input!$E$32*WRs!H70+Input!$E$33*WRs!AD70+Input!$E$34*WRs!AE70+Input!$E$35*WRs!AF70+Input!$E$36*WRs!AG70+Input!$E$37*WRs!AH70+Input!$E$38*WRs!AI70+Input!$E$39*WRs!I70+Input!$E$40*WRs!K70</f>
        <v>90.7113445378151</v>
      </c>
    </row>
    <row r="71" customFormat="false" ht="12.75" hidden="false" customHeight="false" outlineLevel="0" collapsed="false">
      <c r="A71" s="141" t="s">
        <v>410</v>
      </c>
      <c r="B71" s="112" t="s">
        <v>144</v>
      </c>
      <c r="C71" s="98" t="n">
        <v>1</v>
      </c>
      <c r="D71" s="96" t="n">
        <v>8</v>
      </c>
      <c r="E71" s="96" t="n">
        <v>0</v>
      </c>
      <c r="F71" s="97" t="n">
        <v>0</v>
      </c>
      <c r="G71" s="98" t="n">
        <v>45</v>
      </c>
      <c r="H71" s="96" t="n">
        <f aca="false">11.5*G71</f>
        <v>517.5</v>
      </c>
      <c r="I71" s="96" t="n">
        <v>0</v>
      </c>
      <c r="J71" s="97" t="n">
        <v>3</v>
      </c>
      <c r="K71" s="96" t="n">
        <v>0</v>
      </c>
      <c r="L71" s="107" t="n">
        <v>0.727272727272727</v>
      </c>
      <c r="M71" s="108" t="n">
        <v>0.0979020979020979</v>
      </c>
      <c r="N71" s="108" t="n">
        <v>0.0629370629370629</v>
      </c>
      <c r="O71" s="108" t="n">
        <v>0.020979020979021</v>
      </c>
      <c r="P71" s="108" t="n">
        <v>0.027972027972028</v>
      </c>
      <c r="Q71" s="109" t="n">
        <v>0.0629370629370629</v>
      </c>
      <c r="R71" s="107" t="n">
        <v>0.369747899159664</v>
      </c>
      <c r="S71" s="108" t="n">
        <v>0.252100840336134</v>
      </c>
      <c r="T71" s="108" t="n">
        <v>0.210084033613445</v>
      </c>
      <c r="U71" s="108" t="n">
        <v>0.0588235294117647</v>
      </c>
      <c r="V71" s="108" t="n">
        <v>0.0756302521008403</v>
      </c>
      <c r="W71" s="109" t="n">
        <v>0.0420168067226891</v>
      </c>
      <c r="X71" s="110" t="n">
        <f aca="false">$F71*L71</f>
        <v>0</v>
      </c>
      <c r="Y71" s="111" t="n">
        <f aca="false">$F71*M71</f>
        <v>0</v>
      </c>
      <c r="Z71" s="111" t="n">
        <f aca="false">$F71*N71</f>
        <v>0</v>
      </c>
      <c r="AA71" s="111" t="n">
        <f aca="false">$F71*O71</f>
        <v>0</v>
      </c>
      <c r="AB71" s="111" t="n">
        <f aca="false">$F71*P71</f>
        <v>0</v>
      </c>
      <c r="AC71" s="112" t="n">
        <f aca="false">$F71*Q71</f>
        <v>0</v>
      </c>
      <c r="AD71" s="110" t="n">
        <f aca="false">$J71*R71</f>
        <v>1.10924369747899</v>
      </c>
      <c r="AE71" s="111" t="n">
        <f aca="false">$J71*S71</f>
        <v>0.756302521008403</v>
      </c>
      <c r="AF71" s="111" t="n">
        <f aca="false">$J71*T71</f>
        <v>0.630252100840336</v>
      </c>
      <c r="AG71" s="111" t="n">
        <f aca="false">$J71*U71</f>
        <v>0.176470588235294</v>
      </c>
      <c r="AH71" s="111" t="n">
        <f aca="false">$J71*V71</f>
        <v>0.226890756302521</v>
      </c>
      <c r="AI71" s="112" t="n">
        <f aca="false">$J71*W71</f>
        <v>0.126050420168067</v>
      </c>
      <c r="AJ71" s="116" t="n">
        <f aca="false">Input!$E$22*WRs!C71+Input!$E$23*WRs!D71+Input!$E$24*WRs!X71+Input!$E$25*WRs!Y71+Input!$E$26*WRs!Z71+Input!$E$27*WRs!AA71+Input!$E$28*WRs!AB71+Input!$E$29*WRs!AC71+Input!$E$30*WRs!E71+Input!$E$31*WRs!G71+Input!$E$32*WRs!H71+Input!$E$33*WRs!AD71+Input!$E$34*WRs!AE71+Input!$E$35*WRs!AF71+Input!$E$36*WRs!AG71+Input!$E$37*WRs!AH71+Input!$E$38*WRs!AI71+Input!$E$39*WRs!I71+Input!$E$40*WRs!K71</f>
        <v>74.9113445378151</v>
      </c>
    </row>
    <row r="72" customFormat="false" ht="12.75" hidden="false" customHeight="false" outlineLevel="0" collapsed="false">
      <c r="A72" s="141" t="s">
        <v>411</v>
      </c>
      <c r="B72" s="112" t="s">
        <v>172</v>
      </c>
      <c r="C72" s="98" t="n">
        <v>0</v>
      </c>
      <c r="D72" s="96" t="n">
        <v>0</v>
      </c>
      <c r="E72" s="96" t="n">
        <v>0</v>
      </c>
      <c r="F72" s="97" t="n">
        <v>0</v>
      </c>
      <c r="G72" s="98" t="n">
        <v>45</v>
      </c>
      <c r="H72" s="96" t="n">
        <f aca="false">13*G72</f>
        <v>585</v>
      </c>
      <c r="I72" s="96" t="n">
        <v>1</v>
      </c>
      <c r="J72" s="97" t="n">
        <v>3</v>
      </c>
      <c r="K72" s="96" t="n">
        <v>0</v>
      </c>
      <c r="L72" s="107" t="n">
        <v>0.727272727272727</v>
      </c>
      <c r="M72" s="108" t="n">
        <v>0.0979020979020979</v>
      </c>
      <c r="N72" s="108" t="n">
        <v>0.0629370629370629</v>
      </c>
      <c r="O72" s="108" t="n">
        <v>0.020979020979021</v>
      </c>
      <c r="P72" s="108" t="n">
        <v>0.027972027972028</v>
      </c>
      <c r="Q72" s="109" t="n">
        <v>0.0629370629370629</v>
      </c>
      <c r="R72" s="107" t="n">
        <v>0.369747899159664</v>
      </c>
      <c r="S72" s="108" t="n">
        <v>0.252100840336134</v>
      </c>
      <c r="T72" s="108" t="n">
        <v>0.210084033613445</v>
      </c>
      <c r="U72" s="108" t="n">
        <v>0.0588235294117647</v>
      </c>
      <c r="V72" s="108" t="n">
        <v>0.0756302521008403</v>
      </c>
      <c r="W72" s="109" t="n">
        <v>0.0420168067226891</v>
      </c>
      <c r="X72" s="110" t="n">
        <f aca="false">$F72*L72</f>
        <v>0</v>
      </c>
      <c r="Y72" s="111" t="n">
        <f aca="false">$F72*M72</f>
        <v>0</v>
      </c>
      <c r="Z72" s="111" t="n">
        <f aca="false">$F72*N72</f>
        <v>0</v>
      </c>
      <c r="AA72" s="111" t="n">
        <f aca="false">$F72*O72</f>
        <v>0</v>
      </c>
      <c r="AB72" s="111" t="n">
        <f aca="false">$F72*P72</f>
        <v>0</v>
      </c>
      <c r="AC72" s="112" t="n">
        <f aca="false">$F72*Q72</f>
        <v>0</v>
      </c>
      <c r="AD72" s="110" t="n">
        <f aca="false">$J72*R72</f>
        <v>1.10924369747899</v>
      </c>
      <c r="AE72" s="111" t="n">
        <f aca="false">$J72*S72</f>
        <v>0.756302521008403</v>
      </c>
      <c r="AF72" s="111" t="n">
        <f aca="false">$J72*T72</f>
        <v>0.630252100840336</v>
      </c>
      <c r="AG72" s="111" t="n">
        <f aca="false">$J72*U72</f>
        <v>0.176470588235294</v>
      </c>
      <c r="AH72" s="111" t="n">
        <f aca="false">$J72*V72</f>
        <v>0.226890756302521</v>
      </c>
      <c r="AI72" s="112" t="n">
        <f aca="false">$J72*W72</f>
        <v>0.126050420168067</v>
      </c>
      <c r="AJ72" s="116" t="n">
        <f aca="false">Input!$E$22*WRs!C72+Input!$E$23*WRs!D72+Input!$E$24*WRs!X72+Input!$E$25*WRs!Y72+Input!$E$26*WRs!Z72+Input!$E$27*WRs!AA72+Input!$E$28*WRs!AB72+Input!$E$29*WRs!AC72+Input!$E$30*WRs!E72+Input!$E$31*WRs!G72+Input!$E$32*WRs!H72+Input!$E$33*WRs!AD72+Input!$E$34*WRs!AE72+Input!$E$35*WRs!AF72+Input!$E$36*WRs!AG72+Input!$E$37*WRs!AH72+Input!$E$38*WRs!AI72+Input!$E$39*WRs!I72+Input!$E$40*WRs!K72</f>
        <v>83.8613445378151</v>
      </c>
    </row>
    <row r="73" customFormat="false" ht="12.75" hidden="false" customHeight="false" outlineLevel="0" collapsed="false">
      <c r="A73" s="141" t="s">
        <v>412</v>
      </c>
      <c r="B73" s="112" t="s">
        <v>194</v>
      </c>
      <c r="C73" s="98" t="n">
        <v>1</v>
      </c>
      <c r="D73" s="96" t="n">
        <v>4</v>
      </c>
      <c r="E73" s="96" t="n">
        <v>0</v>
      </c>
      <c r="F73" s="97" t="n">
        <v>0</v>
      </c>
      <c r="G73" s="98" t="n">
        <v>45</v>
      </c>
      <c r="H73" s="96" t="n">
        <f aca="false">12.3*G73</f>
        <v>553.5</v>
      </c>
      <c r="I73" s="96" t="n">
        <v>1</v>
      </c>
      <c r="J73" s="97" t="n">
        <v>3</v>
      </c>
      <c r="K73" s="96" t="n">
        <v>0</v>
      </c>
      <c r="L73" s="107" t="n">
        <v>0.727272727272727</v>
      </c>
      <c r="M73" s="108" t="n">
        <v>0.0979020979020979</v>
      </c>
      <c r="N73" s="108" t="n">
        <v>0.0629370629370629</v>
      </c>
      <c r="O73" s="108" t="n">
        <v>0.020979020979021</v>
      </c>
      <c r="P73" s="108" t="n">
        <v>0.027972027972028</v>
      </c>
      <c r="Q73" s="109" t="n">
        <v>0.0629370629370629</v>
      </c>
      <c r="R73" s="107" t="n">
        <v>0.369747899159664</v>
      </c>
      <c r="S73" s="108" t="n">
        <v>0.252100840336134</v>
      </c>
      <c r="T73" s="108" t="n">
        <v>0.210084033613445</v>
      </c>
      <c r="U73" s="108" t="n">
        <v>0.0588235294117647</v>
      </c>
      <c r="V73" s="108" t="n">
        <v>0.0756302521008403</v>
      </c>
      <c r="W73" s="109" t="n">
        <v>0.0420168067226891</v>
      </c>
      <c r="X73" s="110" t="n">
        <f aca="false">$F73*L73</f>
        <v>0</v>
      </c>
      <c r="Y73" s="111" t="n">
        <f aca="false">$F73*M73</f>
        <v>0</v>
      </c>
      <c r="Z73" s="111" t="n">
        <f aca="false">$F73*N73</f>
        <v>0</v>
      </c>
      <c r="AA73" s="111" t="n">
        <f aca="false">$F73*O73</f>
        <v>0</v>
      </c>
      <c r="AB73" s="111" t="n">
        <f aca="false">$F73*P73</f>
        <v>0</v>
      </c>
      <c r="AC73" s="112" t="n">
        <f aca="false">$F73*Q73</f>
        <v>0</v>
      </c>
      <c r="AD73" s="110" t="n">
        <f aca="false">$J73*R73</f>
        <v>1.10924369747899</v>
      </c>
      <c r="AE73" s="111" t="n">
        <f aca="false">$J73*S73</f>
        <v>0.756302521008403</v>
      </c>
      <c r="AF73" s="111" t="n">
        <f aca="false">$J73*T73</f>
        <v>0.630252100840336</v>
      </c>
      <c r="AG73" s="111" t="n">
        <f aca="false">$J73*U73</f>
        <v>0.176470588235294</v>
      </c>
      <c r="AH73" s="111" t="n">
        <f aca="false">$J73*V73</f>
        <v>0.226890756302521</v>
      </c>
      <c r="AI73" s="112" t="n">
        <f aca="false">$J73*W73</f>
        <v>0.126050420168067</v>
      </c>
      <c r="AJ73" s="116" t="n">
        <f aca="false">Input!$E$22*WRs!C73+Input!$E$23*WRs!D73+Input!$E$24*WRs!X73+Input!$E$25*WRs!Y73+Input!$E$26*WRs!Z73+Input!$E$27*WRs!AA73+Input!$E$28*WRs!AB73+Input!$E$29*WRs!AC73+Input!$E$30*WRs!E73+Input!$E$31*WRs!G73+Input!$E$32*WRs!H73+Input!$E$33*WRs!AD73+Input!$E$34*WRs!AE73+Input!$E$35*WRs!AF73+Input!$E$36*WRs!AG73+Input!$E$37*WRs!AH73+Input!$E$38*WRs!AI73+Input!$E$39*WRs!I73+Input!$E$40*WRs!K73</f>
        <v>81.1113445378151</v>
      </c>
    </row>
    <row r="74" customFormat="false" ht="12.75" hidden="false" customHeight="false" outlineLevel="0" collapsed="false">
      <c r="A74" s="141" t="s">
        <v>413</v>
      </c>
      <c r="B74" s="112" t="s">
        <v>174</v>
      </c>
      <c r="C74" s="98" t="n">
        <v>0</v>
      </c>
      <c r="D74" s="96" t="n">
        <v>0</v>
      </c>
      <c r="E74" s="96" t="n">
        <v>0</v>
      </c>
      <c r="F74" s="97" t="n">
        <v>0</v>
      </c>
      <c r="G74" s="98" t="n">
        <v>35</v>
      </c>
      <c r="H74" s="96" t="n">
        <f aca="false">15.8*G74</f>
        <v>553</v>
      </c>
      <c r="I74" s="96" t="n">
        <v>1</v>
      </c>
      <c r="J74" s="97" t="n">
        <v>3</v>
      </c>
      <c r="K74" s="96" t="n">
        <v>0</v>
      </c>
      <c r="L74" s="107" t="n">
        <v>0.727272727272727</v>
      </c>
      <c r="M74" s="108" t="n">
        <v>0.0979020979020979</v>
      </c>
      <c r="N74" s="108" t="n">
        <v>0.0629370629370629</v>
      </c>
      <c r="O74" s="108" t="n">
        <v>0.020979020979021</v>
      </c>
      <c r="P74" s="108" t="n">
        <v>0.027972027972028</v>
      </c>
      <c r="Q74" s="109" t="n">
        <v>0.0629370629370629</v>
      </c>
      <c r="R74" s="107" t="n">
        <v>0.123809523809524</v>
      </c>
      <c r="S74" s="108" t="n">
        <v>0.152380952380952</v>
      </c>
      <c r="T74" s="108" t="n">
        <v>0.0952380952380952</v>
      </c>
      <c r="U74" s="108" t="n">
        <v>0.19047619047619</v>
      </c>
      <c r="V74" s="108" t="n">
        <v>0.142857142857143</v>
      </c>
      <c r="W74" s="109" t="n">
        <v>0.295238095238095</v>
      </c>
      <c r="X74" s="110" t="n">
        <f aca="false">$F74*L74</f>
        <v>0</v>
      </c>
      <c r="Y74" s="111" t="n">
        <f aca="false">$F74*M74</f>
        <v>0</v>
      </c>
      <c r="Z74" s="111" t="n">
        <f aca="false">$F74*N74</f>
        <v>0</v>
      </c>
      <c r="AA74" s="111" t="n">
        <f aca="false">$F74*O74</f>
        <v>0</v>
      </c>
      <c r="AB74" s="111" t="n">
        <f aca="false">$F74*P74</f>
        <v>0</v>
      </c>
      <c r="AC74" s="112" t="n">
        <f aca="false">$F74*Q74</f>
        <v>0</v>
      </c>
      <c r="AD74" s="110" t="n">
        <f aca="false">$J74*R74</f>
        <v>0.371428571428571</v>
      </c>
      <c r="AE74" s="111" t="n">
        <f aca="false">$J74*S74</f>
        <v>0.457142857142857</v>
      </c>
      <c r="AF74" s="111" t="n">
        <f aca="false">$J74*T74</f>
        <v>0.285714285714286</v>
      </c>
      <c r="AG74" s="111" t="n">
        <f aca="false">$J74*U74</f>
        <v>0.571428571428571</v>
      </c>
      <c r="AH74" s="111" t="n">
        <f aca="false">$J74*V74</f>
        <v>0.428571428571429</v>
      </c>
      <c r="AI74" s="112" t="n">
        <f aca="false">$J74*W74</f>
        <v>0.885714285714286</v>
      </c>
      <c r="AJ74" s="116" t="n">
        <f aca="false">Input!$E$22*WRs!C74+Input!$E$23*WRs!D74+Input!$E$24*WRs!X74+Input!$E$25*WRs!Y74+Input!$E$26*WRs!Z74+Input!$E$27*WRs!AA74+Input!$E$28*WRs!AB74+Input!$E$29*WRs!AC74+Input!$E$30*WRs!E74+Input!$E$31*WRs!G74+Input!$E$32*WRs!H74+Input!$E$33*WRs!AD74+Input!$E$34*WRs!AE74+Input!$E$35*WRs!AF74+Input!$E$36*WRs!AG74+Input!$E$37*WRs!AH74+Input!$E$38*WRs!AI74+Input!$E$39*WRs!I74+Input!$E$40*WRs!K74</f>
        <v>86.0714285714286</v>
      </c>
    </row>
    <row r="75" customFormat="false" ht="12.75" hidden="false" customHeight="false" outlineLevel="0" collapsed="false">
      <c r="A75" s="141" t="s">
        <v>414</v>
      </c>
      <c r="B75" s="112" t="s">
        <v>156</v>
      </c>
      <c r="C75" s="98" t="n">
        <v>0</v>
      </c>
      <c r="D75" s="96" t="n">
        <v>0</v>
      </c>
      <c r="E75" s="96" t="n">
        <v>0</v>
      </c>
      <c r="F75" s="97" t="n">
        <v>0</v>
      </c>
      <c r="G75" s="98" t="n">
        <v>35</v>
      </c>
      <c r="H75" s="96" t="n">
        <f aca="false">18*G75</f>
        <v>630</v>
      </c>
      <c r="I75" s="96" t="n">
        <v>1</v>
      </c>
      <c r="J75" s="97" t="n">
        <v>3</v>
      </c>
      <c r="K75" s="96" t="n">
        <v>0</v>
      </c>
      <c r="L75" s="107" t="n">
        <v>0.727272727272727</v>
      </c>
      <c r="M75" s="108" t="n">
        <v>0.0979020979020979</v>
      </c>
      <c r="N75" s="108" t="n">
        <v>0.0629370629370629</v>
      </c>
      <c r="O75" s="108" t="n">
        <v>0.020979020979021</v>
      </c>
      <c r="P75" s="108" t="n">
        <v>0.027972027972028</v>
      </c>
      <c r="Q75" s="109" t="n">
        <v>0.0629370629370629</v>
      </c>
      <c r="R75" s="107" t="n">
        <v>0.369747899159664</v>
      </c>
      <c r="S75" s="108" t="n">
        <v>0.252100840336134</v>
      </c>
      <c r="T75" s="108" t="n">
        <v>0.210084033613445</v>
      </c>
      <c r="U75" s="108" t="n">
        <v>0.0588235294117647</v>
      </c>
      <c r="V75" s="108" t="n">
        <v>0.0756302521008403</v>
      </c>
      <c r="W75" s="109" t="n">
        <v>0.0420168067226891</v>
      </c>
      <c r="X75" s="110" t="n">
        <f aca="false">$F75*L75</f>
        <v>0</v>
      </c>
      <c r="Y75" s="111" t="n">
        <f aca="false">$F75*M75</f>
        <v>0</v>
      </c>
      <c r="Z75" s="111" t="n">
        <f aca="false">$F75*N75</f>
        <v>0</v>
      </c>
      <c r="AA75" s="111" t="n">
        <f aca="false">$F75*O75</f>
        <v>0</v>
      </c>
      <c r="AB75" s="111" t="n">
        <f aca="false">$F75*P75</f>
        <v>0</v>
      </c>
      <c r="AC75" s="112" t="n">
        <f aca="false">$F75*Q75</f>
        <v>0</v>
      </c>
      <c r="AD75" s="110" t="n">
        <f aca="false">$J75*R75</f>
        <v>1.10924369747899</v>
      </c>
      <c r="AE75" s="111" t="n">
        <f aca="false">$J75*S75</f>
        <v>0.756302521008403</v>
      </c>
      <c r="AF75" s="111" t="n">
        <f aca="false">$J75*T75</f>
        <v>0.630252100840336</v>
      </c>
      <c r="AG75" s="111" t="n">
        <f aca="false">$J75*U75</f>
        <v>0.176470588235294</v>
      </c>
      <c r="AH75" s="111" t="n">
        <f aca="false">$J75*V75</f>
        <v>0.226890756302521</v>
      </c>
      <c r="AI75" s="112" t="n">
        <f aca="false">$J75*W75</f>
        <v>0.126050420168067</v>
      </c>
      <c r="AJ75" s="116" t="n">
        <f aca="false">Input!$E$22*WRs!C75+Input!$E$23*WRs!D75+Input!$E$24*WRs!X75+Input!$E$25*WRs!Y75+Input!$E$26*WRs!Z75+Input!$E$27*WRs!AA75+Input!$E$28*WRs!AB75+Input!$E$29*WRs!AC75+Input!$E$30*WRs!E75+Input!$E$31*WRs!G75+Input!$E$32*WRs!H75+Input!$E$33*WRs!AD75+Input!$E$34*WRs!AE75+Input!$E$35*WRs!AF75+Input!$E$36*WRs!AG75+Input!$E$37*WRs!AH75+Input!$E$38*WRs!AI75+Input!$E$39*WRs!I75+Input!$E$40*WRs!K75</f>
        <v>88.3613445378151</v>
      </c>
    </row>
    <row r="76" customFormat="false" ht="12.75" hidden="false" customHeight="false" outlineLevel="0" collapsed="false">
      <c r="A76" s="141" t="s">
        <v>415</v>
      </c>
      <c r="B76" s="112" t="s">
        <v>174</v>
      </c>
      <c r="C76" s="98" t="n">
        <v>0</v>
      </c>
      <c r="D76" s="96" t="n">
        <v>0</v>
      </c>
      <c r="E76" s="96" t="n">
        <v>0</v>
      </c>
      <c r="F76" s="97" t="n">
        <v>0</v>
      </c>
      <c r="G76" s="98" t="n">
        <v>40</v>
      </c>
      <c r="H76" s="96" t="n">
        <f aca="false">13.4*G76</f>
        <v>536</v>
      </c>
      <c r="I76" s="96" t="n">
        <v>0</v>
      </c>
      <c r="J76" s="97" t="n">
        <v>2</v>
      </c>
      <c r="K76" s="96" t="n">
        <v>0</v>
      </c>
      <c r="L76" s="107" t="n">
        <v>0.727272727272727</v>
      </c>
      <c r="M76" s="108" t="n">
        <v>0.0979020979020979</v>
      </c>
      <c r="N76" s="108" t="n">
        <v>0.0629370629370629</v>
      </c>
      <c r="O76" s="108" t="n">
        <v>0.020979020979021</v>
      </c>
      <c r="P76" s="108" t="n">
        <v>0.027972027972028</v>
      </c>
      <c r="Q76" s="109" t="n">
        <v>0.0629370629370629</v>
      </c>
      <c r="R76" s="107" t="n">
        <v>0.369747899159664</v>
      </c>
      <c r="S76" s="108" t="n">
        <v>0.252100840336134</v>
      </c>
      <c r="T76" s="108" t="n">
        <v>0.210084033613445</v>
      </c>
      <c r="U76" s="108" t="n">
        <v>0.0588235294117647</v>
      </c>
      <c r="V76" s="108" t="n">
        <v>0.0756302521008403</v>
      </c>
      <c r="W76" s="109" t="n">
        <v>0.0420168067226891</v>
      </c>
      <c r="X76" s="110" t="n">
        <f aca="false">$F76*L76</f>
        <v>0</v>
      </c>
      <c r="Y76" s="111" t="n">
        <f aca="false">$F76*M76</f>
        <v>0</v>
      </c>
      <c r="Z76" s="111" t="n">
        <f aca="false">$F76*N76</f>
        <v>0</v>
      </c>
      <c r="AA76" s="111" t="n">
        <f aca="false">$F76*O76</f>
        <v>0</v>
      </c>
      <c r="AB76" s="111" t="n">
        <f aca="false">$F76*P76</f>
        <v>0</v>
      </c>
      <c r="AC76" s="112" t="n">
        <f aca="false">$F76*Q76</f>
        <v>0</v>
      </c>
      <c r="AD76" s="110" t="n">
        <f aca="false">$J76*R76</f>
        <v>0.739495798319328</v>
      </c>
      <c r="AE76" s="111" t="n">
        <f aca="false">$J76*S76</f>
        <v>0.504201680672269</v>
      </c>
      <c r="AF76" s="111" t="n">
        <f aca="false">$J76*T76</f>
        <v>0.420168067226891</v>
      </c>
      <c r="AG76" s="111" t="n">
        <f aca="false">$J76*U76</f>
        <v>0.117647058823529</v>
      </c>
      <c r="AH76" s="111" t="n">
        <f aca="false">$J76*V76</f>
        <v>0.151260504201681</v>
      </c>
      <c r="AI76" s="112" t="n">
        <f aca="false">$J76*W76</f>
        <v>0.0840336134453782</v>
      </c>
      <c r="AJ76" s="116" t="n">
        <f aca="false">Input!$E$22*WRs!C76+Input!$E$23*WRs!D76+Input!$E$24*WRs!X76+Input!$E$25*WRs!Y76+Input!$E$26*WRs!Z76+Input!$E$27*WRs!AA76+Input!$E$28*WRs!AB76+Input!$E$29*WRs!AC76+Input!$E$30*WRs!E76+Input!$E$31*WRs!G76+Input!$E$32*WRs!H76+Input!$E$33*WRs!AD76+Input!$E$34*WRs!AE76+Input!$E$35*WRs!AF76+Input!$E$36*WRs!AG76+Input!$E$37*WRs!AH76+Input!$E$38*WRs!AI76+Input!$E$39*WRs!I76+Input!$E$40*WRs!K76</f>
        <v>68.5075630252101</v>
      </c>
    </row>
    <row r="77" customFormat="false" ht="12.75" hidden="false" customHeight="false" outlineLevel="0" collapsed="false">
      <c r="A77" s="141" t="s">
        <v>416</v>
      </c>
      <c r="B77" s="112" t="s">
        <v>184</v>
      </c>
      <c r="C77" s="98" t="n">
        <v>1</v>
      </c>
      <c r="D77" s="96" t="n">
        <v>8</v>
      </c>
      <c r="E77" s="96" t="n">
        <v>0</v>
      </c>
      <c r="F77" s="97" t="n">
        <v>0</v>
      </c>
      <c r="G77" s="98" t="n">
        <v>15</v>
      </c>
      <c r="H77" s="96" t="n">
        <v>260</v>
      </c>
      <c r="I77" s="96" t="n">
        <v>0</v>
      </c>
      <c r="J77" s="97" t="n">
        <v>1</v>
      </c>
      <c r="K77" s="96" t="n">
        <v>0</v>
      </c>
      <c r="L77" s="107" t="n">
        <v>0.727272727272727</v>
      </c>
      <c r="M77" s="108" t="n">
        <v>0.0979020979020979</v>
      </c>
      <c r="N77" s="108" t="n">
        <v>0.0629370629370629</v>
      </c>
      <c r="O77" s="108" t="n">
        <v>0.020979020979021</v>
      </c>
      <c r="P77" s="108" t="n">
        <v>0.027972027972028</v>
      </c>
      <c r="Q77" s="109" t="n">
        <v>0.0629370629370629</v>
      </c>
      <c r="R77" s="107" t="n">
        <v>0.369747899159664</v>
      </c>
      <c r="S77" s="108" t="n">
        <v>0.252100840336134</v>
      </c>
      <c r="T77" s="108" t="n">
        <v>0.210084033613445</v>
      </c>
      <c r="U77" s="108" t="n">
        <v>0.0588235294117647</v>
      </c>
      <c r="V77" s="108" t="n">
        <v>0.0756302521008403</v>
      </c>
      <c r="W77" s="109" t="n">
        <v>0.0420168067226891</v>
      </c>
      <c r="X77" s="110" t="n">
        <f aca="false">$F77*L77</f>
        <v>0</v>
      </c>
      <c r="Y77" s="111" t="n">
        <f aca="false">$F77*M77</f>
        <v>0</v>
      </c>
      <c r="Z77" s="111" t="n">
        <f aca="false">$F77*N77</f>
        <v>0</v>
      </c>
      <c r="AA77" s="111" t="n">
        <f aca="false">$F77*O77</f>
        <v>0</v>
      </c>
      <c r="AB77" s="111" t="n">
        <f aca="false">$F77*P77</f>
        <v>0</v>
      </c>
      <c r="AC77" s="112" t="n">
        <f aca="false">$F77*Q77</f>
        <v>0</v>
      </c>
      <c r="AD77" s="110" t="n">
        <f aca="false">$J77*R77</f>
        <v>0.369747899159664</v>
      </c>
      <c r="AE77" s="111" t="n">
        <f aca="false">$J77*S77</f>
        <v>0.252100840336134</v>
      </c>
      <c r="AF77" s="111" t="n">
        <f aca="false">$J77*T77</f>
        <v>0.210084033613445</v>
      </c>
      <c r="AG77" s="111" t="n">
        <f aca="false">$J77*U77</f>
        <v>0.0588235294117647</v>
      </c>
      <c r="AH77" s="111" t="n">
        <f aca="false">$J77*V77</f>
        <v>0.0756302521008403</v>
      </c>
      <c r="AI77" s="112" t="n">
        <f aca="false">$J77*W77</f>
        <v>0.0420168067226891</v>
      </c>
      <c r="AJ77" s="116" t="n">
        <f aca="false">Input!$E$22*WRs!C77+Input!$E$23*WRs!D77+Input!$E$24*WRs!X77+Input!$E$25*WRs!Y77+Input!$E$26*WRs!Z77+Input!$E$27*WRs!AA77+Input!$E$28*WRs!AB77+Input!$E$29*WRs!AC77+Input!$E$30*WRs!E77+Input!$E$31*WRs!G77+Input!$E$32*WRs!H77+Input!$E$33*WRs!AD77+Input!$E$34*WRs!AE77+Input!$E$35*WRs!AF77+Input!$E$36*WRs!AG77+Input!$E$37*WRs!AH77+Input!$E$38*WRs!AI77+Input!$E$39*WRs!I77+Input!$E$40*WRs!K77</f>
        <v>34.253781512605</v>
      </c>
    </row>
    <row r="78" customFormat="false" ht="12.75" hidden="false" customHeight="false" outlineLevel="0" collapsed="false">
      <c r="A78" s="141" t="s">
        <v>417</v>
      </c>
      <c r="B78" s="112" t="s">
        <v>158</v>
      </c>
      <c r="C78" s="98" t="n">
        <v>0</v>
      </c>
      <c r="D78" s="96" t="n">
        <v>0</v>
      </c>
      <c r="E78" s="96" t="n">
        <v>0</v>
      </c>
      <c r="F78" s="97" t="n">
        <v>0</v>
      </c>
      <c r="G78" s="98" t="n">
        <v>40</v>
      </c>
      <c r="H78" s="96" t="n">
        <f aca="false">12*G78</f>
        <v>480</v>
      </c>
      <c r="I78" s="96" t="n">
        <v>0</v>
      </c>
      <c r="J78" s="97" t="n">
        <v>3</v>
      </c>
      <c r="K78" s="96" t="n">
        <v>0</v>
      </c>
      <c r="L78" s="107" t="n">
        <v>0.727272727272727</v>
      </c>
      <c r="M78" s="108" t="n">
        <v>0.0979020979020979</v>
      </c>
      <c r="N78" s="108" t="n">
        <v>0.0629370629370629</v>
      </c>
      <c r="O78" s="108" t="n">
        <v>0.020979020979021</v>
      </c>
      <c r="P78" s="108" t="n">
        <v>0.027972027972028</v>
      </c>
      <c r="Q78" s="109" t="n">
        <v>0.0629370629370629</v>
      </c>
      <c r="R78" s="107" t="n">
        <v>0.369747899159664</v>
      </c>
      <c r="S78" s="108" t="n">
        <v>0.252100840336134</v>
      </c>
      <c r="T78" s="108" t="n">
        <v>0.210084033613445</v>
      </c>
      <c r="U78" s="108" t="n">
        <v>0.0588235294117647</v>
      </c>
      <c r="V78" s="108" t="n">
        <v>0.0756302521008403</v>
      </c>
      <c r="W78" s="109" t="n">
        <v>0.0420168067226891</v>
      </c>
      <c r="X78" s="110" t="n">
        <f aca="false">$F78*L78</f>
        <v>0</v>
      </c>
      <c r="Y78" s="111" t="n">
        <f aca="false">$F78*M78</f>
        <v>0</v>
      </c>
      <c r="Z78" s="111" t="n">
        <f aca="false">$F78*N78</f>
        <v>0</v>
      </c>
      <c r="AA78" s="111" t="n">
        <f aca="false">$F78*O78</f>
        <v>0</v>
      </c>
      <c r="AB78" s="111" t="n">
        <f aca="false">$F78*P78</f>
        <v>0</v>
      </c>
      <c r="AC78" s="112" t="n">
        <f aca="false">$F78*Q78</f>
        <v>0</v>
      </c>
      <c r="AD78" s="110" t="n">
        <f aca="false">$J78*R78</f>
        <v>1.10924369747899</v>
      </c>
      <c r="AE78" s="111" t="n">
        <f aca="false">$J78*S78</f>
        <v>0.756302521008403</v>
      </c>
      <c r="AF78" s="111" t="n">
        <f aca="false">$J78*T78</f>
        <v>0.630252100840336</v>
      </c>
      <c r="AG78" s="111" t="n">
        <f aca="false">$J78*U78</f>
        <v>0.176470588235294</v>
      </c>
      <c r="AH78" s="111" t="n">
        <f aca="false">$J78*V78</f>
        <v>0.226890756302521</v>
      </c>
      <c r="AI78" s="112" t="n">
        <f aca="false">$J78*W78</f>
        <v>0.126050420168067</v>
      </c>
      <c r="AJ78" s="116" t="n">
        <f aca="false">Input!$E$22*WRs!C78+Input!$E$23*WRs!D78+Input!$E$24*WRs!X78+Input!$E$25*WRs!Y78+Input!$E$26*WRs!Z78+Input!$E$27*WRs!AA78+Input!$E$28*WRs!AB78+Input!$E$29*WRs!AC78+Input!$E$30*WRs!E78+Input!$E$31*WRs!G78+Input!$E$32*WRs!H78+Input!$E$33*WRs!AD78+Input!$E$34*WRs!AE78+Input!$E$35*WRs!AF78+Input!$E$36*WRs!AG78+Input!$E$37*WRs!AH78+Input!$E$38*WRs!AI78+Input!$E$39*WRs!I78+Input!$E$40*WRs!K78</f>
        <v>70.3613445378151</v>
      </c>
    </row>
    <row r="79" customFormat="false" ht="12.75" hidden="false" customHeight="false" outlineLevel="0" collapsed="false">
      <c r="A79" s="141" t="s">
        <v>418</v>
      </c>
      <c r="B79" s="112" t="s">
        <v>164</v>
      </c>
      <c r="C79" s="98" t="n">
        <v>0</v>
      </c>
      <c r="D79" s="96" t="n">
        <v>0</v>
      </c>
      <c r="E79" s="96" t="n">
        <v>0</v>
      </c>
      <c r="F79" s="97" t="n">
        <v>0</v>
      </c>
      <c r="G79" s="98" t="n">
        <v>15</v>
      </c>
      <c r="H79" s="96" t="n">
        <f aca="false">13.5*G79</f>
        <v>202.5</v>
      </c>
      <c r="I79" s="96" t="n">
        <v>0</v>
      </c>
      <c r="J79" s="97" t="n">
        <v>1</v>
      </c>
      <c r="K79" s="96" t="n">
        <v>0</v>
      </c>
      <c r="L79" s="107" t="n">
        <v>0.727272727272727</v>
      </c>
      <c r="M79" s="108" t="n">
        <v>0.0979020979020979</v>
      </c>
      <c r="N79" s="108" t="n">
        <v>0.0629370629370629</v>
      </c>
      <c r="O79" s="108" t="n">
        <v>0.020979020979021</v>
      </c>
      <c r="P79" s="108" t="n">
        <v>0.027972027972028</v>
      </c>
      <c r="Q79" s="109" t="n">
        <v>0.0629370629370629</v>
      </c>
      <c r="R79" s="107" t="n">
        <v>0.369747899159664</v>
      </c>
      <c r="S79" s="108" t="n">
        <v>0.252100840336134</v>
      </c>
      <c r="T79" s="108" t="n">
        <v>0.210084033613445</v>
      </c>
      <c r="U79" s="108" t="n">
        <v>0.0588235294117647</v>
      </c>
      <c r="V79" s="108" t="n">
        <v>0.0756302521008403</v>
      </c>
      <c r="W79" s="109" t="n">
        <v>0.0420168067226891</v>
      </c>
      <c r="X79" s="110" t="n">
        <f aca="false">$F79*L79</f>
        <v>0</v>
      </c>
      <c r="Y79" s="111" t="n">
        <f aca="false">$F79*M79</f>
        <v>0</v>
      </c>
      <c r="Z79" s="111" t="n">
        <f aca="false">$F79*N79</f>
        <v>0</v>
      </c>
      <c r="AA79" s="111" t="n">
        <f aca="false">$F79*O79</f>
        <v>0</v>
      </c>
      <c r="AB79" s="111" t="n">
        <f aca="false">$F79*P79</f>
        <v>0</v>
      </c>
      <c r="AC79" s="112" t="n">
        <f aca="false">$F79*Q79</f>
        <v>0</v>
      </c>
      <c r="AD79" s="110" t="n">
        <f aca="false">$J79*R79</f>
        <v>0.369747899159664</v>
      </c>
      <c r="AE79" s="111" t="n">
        <f aca="false">$J79*S79</f>
        <v>0.252100840336134</v>
      </c>
      <c r="AF79" s="111" t="n">
        <f aca="false">$J79*T79</f>
        <v>0.210084033613445</v>
      </c>
      <c r="AG79" s="111" t="n">
        <f aca="false">$J79*U79</f>
        <v>0.0588235294117647</v>
      </c>
      <c r="AH79" s="111" t="n">
        <f aca="false">$J79*V79</f>
        <v>0.0756302521008403</v>
      </c>
      <c r="AI79" s="112" t="n">
        <f aca="false">$J79*W79</f>
        <v>0.0420168067226891</v>
      </c>
      <c r="AJ79" s="116" t="n">
        <f aca="false">Input!$E$22*WRs!C79+Input!$E$23*WRs!D79+Input!$E$24*WRs!X79+Input!$E$25*WRs!Y79+Input!$E$26*WRs!Z79+Input!$E$27*WRs!AA79+Input!$E$28*WRs!AB79+Input!$E$29*WRs!AC79+Input!$E$30*WRs!E79+Input!$E$31*WRs!G79+Input!$E$32*WRs!H79+Input!$E$33*WRs!AD79+Input!$E$34*WRs!AE79+Input!$E$35*WRs!AF79+Input!$E$36*WRs!AG79+Input!$E$37*WRs!AH79+Input!$E$38*WRs!AI79+Input!$E$39*WRs!I79+Input!$E$40*WRs!K79</f>
        <v>27.703781512605</v>
      </c>
    </row>
    <row r="80" customFormat="false" ht="12.75" hidden="false" customHeight="false" outlineLevel="0" collapsed="false">
      <c r="A80" s="141" t="s">
        <v>419</v>
      </c>
      <c r="B80" s="112" t="s">
        <v>184</v>
      </c>
      <c r="C80" s="98" t="n">
        <v>5</v>
      </c>
      <c r="D80" s="96" t="n">
        <f aca="false">3.1*C80</f>
        <v>15.5</v>
      </c>
      <c r="E80" s="96" t="n">
        <v>0</v>
      </c>
      <c r="F80" s="97" t="n">
        <v>0</v>
      </c>
      <c r="G80" s="98" t="n">
        <v>40</v>
      </c>
      <c r="H80" s="96" t="n">
        <f aca="false">15.3*G80</f>
        <v>612</v>
      </c>
      <c r="I80" s="96" t="n">
        <v>0</v>
      </c>
      <c r="J80" s="97" t="n">
        <v>4</v>
      </c>
      <c r="K80" s="96" t="n">
        <v>0</v>
      </c>
      <c r="L80" s="107" t="n">
        <v>0.727272727272727</v>
      </c>
      <c r="M80" s="108" t="n">
        <v>0.0979020979020979</v>
      </c>
      <c r="N80" s="108" t="n">
        <v>0.0629370629370629</v>
      </c>
      <c r="O80" s="108" t="n">
        <v>0.020979020979021</v>
      </c>
      <c r="P80" s="108" t="n">
        <v>0.027972027972028</v>
      </c>
      <c r="Q80" s="109" t="n">
        <v>0.0629370629370629</v>
      </c>
      <c r="R80" s="107" t="n">
        <v>0.369747899159664</v>
      </c>
      <c r="S80" s="108" t="n">
        <v>0.252100840336134</v>
      </c>
      <c r="T80" s="108" t="n">
        <v>0.210084033613445</v>
      </c>
      <c r="U80" s="108" t="n">
        <v>0.0588235294117647</v>
      </c>
      <c r="V80" s="108" t="n">
        <v>0.0756302521008403</v>
      </c>
      <c r="W80" s="109" t="n">
        <v>0.0420168067226891</v>
      </c>
      <c r="X80" s="110" t="n">
        <f aca="false">$F80*L80</f>
        <v>0</v>
      </c>
      <c r="Y80" s="111" t="n">
        <f aca="false">$F80*M80</f>
        <v>0</v>
      </c>
      <c r="Z80" s="111" t="n">
        <f aca="false">$F80*N80</f>
        <v>0</v>
      </c>
      <c r="AA80" s="111" t="n">
        <f aca="false">$F80*O80</f>
        <v>0</v>
      </c>
      <c r="AB80" s="111" t="n">
        <f aca="false">$F80*P80</f>
        <v>0</v>
      </c>
      <c r="AC80" s="112" t="n">
        <f aca="false">$F80*Q80</f>
        <v>0</v>
      </c>
      <c r="AD80" s="110" t="n">
        <f aca="false">$J80*R80</f>
        <v>1.47899159663866</v>
      </c>
      <c r="AE80" s="111" t="n">
        <f aca="false">$J80*S80</f>
        <v>1.00840336134454</v>
      </c>
      <c r="AF80" s="111" t="n">
        <f aca="false">$J80*T80</f>
        <v>0.840336134453782</v>
      </c>
      <c r="AG80" s="111" t="n">
        <f aca="false">$J80*U80</f>
        <v>0.235294117647059</v>
      </c>
      <c r="AH80" s="111" t="n">
        <f aca="false">$J80*V80</f>
        <v>0.302521008403361</v>
      </c>
      <c r="AI80" s="112" t="n">
        <f aca="false">$J80*W80</f>
        <v>0.168067226890756</v>
      </c>
      <c r="AJ80" s="116" t="n">
        <f aca="false">Input!$E$22*WRs!C80+Input!$E$23*WRs!D80+Input!$E$24*WRs!X80+Input!$E$25*WRs!Y80+Input!$E$26*WRs!Z80+Input!$E$27*WRs!AA80+Input!$E$28*WRs!AB80+Input!$E$29*WRs!AC80+Input!$E$30*WRs!E80+Input!$E$31*WRs!G80+Input!$E$32*WRs!H80+Input!$E$33*WRs!AD80+Input!$E$34*WRs!AE80+Input!$E$35*WRs!AF80+Input!$E$36*WRs!AG80+Input!$E$37*WRs!AH80+Input!$E$38*WRs!AI80+Input!$E$39*WRs!I80+Input!$E$40*WRs!K80</f>
        <v>92.5651260504202</v>
      </c>
    </row>
    <row r="81" customFormat="false" ht="12.75" hidden="false" customHeight="false" outlineLevel="0" collapsed="false">
      <c r="A81" s="141" t="s">
        <v>420</v>
      </c>
      <c r="B81" s="112" t="s">
        <v>160</v>
      </c>
      <c r="C81" s="98" t="n">
        <v>0</v>
      </c>
      <c r="D81" s="96" t="n">
        <v>0</v>
      </c>
      <c r="E81" s="96" t="n">
        <v>0</v>
      </c>
      <c r="F81" s="97" t="n">
        <v>0</v>
      </c>
      <c r="G81" s="98" t="n">
        <v>35</v>
      </c>
      <c r="H81" s="96" t="n">
        <f aca="false">15*G81</f>
        <v>525</v>
      </c>
      <c r="I81" s="96" t="n">
        <v>0</v>
      </c>
      <c r="J81" s="97" t="n">
        <v>2</v>
      </c>
      <c r="K81" s="96" t="n">
        <v>0</v>
      </c>
      <c r="L81" s="107" t="n">
        <v>0.727272727272727</v>
      </c>
      <c r="M81" s="108" t="n">
        <v>0.0979020979020979</v>
      </c>
      <c r="N81" s="108" t="n">
        <v>0.0629370629370629</v>
      </c>
      <c r="O81" s="108" t="n">
        <v>0.020979020979021</v>
      </c>
      <c r="P81" s="108" t="n">
        <v>0.027972027972028</v>
      </c>
      <c r="Q81" s="109" t="n">
        <v>0.0629370629370629</v>
      </c>
      <c r="R81" s="107" t="n">
        <v>0.369747899159664</v>
      </c>
      <c r="S81" s="108" t="n">
        <v>0.252100840336134</v>
      </c>
      <c r="T81" s="108" t="n">
        <v>0.210084033613445</v>
      </c>
      <c r="U81" s="108" t="n">
        <v>0.0588235294117647</v>
      </c>
      <c r="V81" s="108" t="n">
        <v>0.0756302521008403</v>
      </c>
      <c r="W81" s="109" t="n">
        <v>0.0420168067226891</v>
      </c>
      <c r="X81" s="110" t="n">
        <f aca="false">$F81*L81</f>
        <v>0</v>
      </c>
      <c r="Y81" s="111" t="n">
        <f aca="false">$F81*M81</f>
        <v>0</v>
      </c>
      <c r="Z81" s="111" t="n">
        <f aca="false">$F81*N81</f>
        <v>0</v>
      </c>
      <c r="AA81" s="111" t="n">
        <f aca="false">$F81*O81</f>
        <v>0</v>
      </c>
      <c r="AB81" s="111" t="n">
        <f aca="false">$F81*P81</f>
        <v>0</v>
      </c>
      <c r="AC81" s="112" t="n">
        <f aca="false">$F81*Q81</f>
        <v>0</v>
      </c>
      <c r="AD81" s="110" t="n">
        <f aca="false">$J81*R81</f>
        <v>0.739495798319328</v>
      </c>
      <c r="AE81" s="111" t="n">
        <f aca="false">$J81*S81</f>
        <v>0.504201680672269</v>
      </c>
      <c r="AF81" s="111" t="n">
        <f aca="false">$J81*T81</f>
        <v>0.420168067226891</v>
      </c>
      <c r="AG81" s="111" t="n">
        <f aca="false">$J81*U81</f>
        <v>0.117647058823529</v>
      </c>
      <c r="AH81" s="111" t="n">
        <f aca="false">$J81*V81</f>
        <v>0.151260504201681</v>
      </c>
      <c r="AI81" s="112" t="n">
        <f aca="false">$J81*W81</f>
        <v>0.0840336134453782</v>
      </c>
      <c r="AJ81" s="116" t="n">
        <f aca="false">Input!$E$22*WRs!C81+Input!$E$23*WRs!D81+Input!$E$24*WRs!X81+Input!$E$25*WRs!Y81+Input!$E$26*WRs!Z81+Input!$E$27*WRs!AA81+Input!$E$28*WRs!AB81+Input!$E$29*WRs!AC81+Input!$E$30*WRs!E81+Input!$E$31*WRs!G81+Input!$E$32*WRs!H81+Input!$E$33*WRs!AD81+Input!$E$34*WRs!AE81+Input!$E$35*WRs!AF81+Input!$E$36*WRs!AG81+Input!$E$37*WRs!AH81+Input!$E$38*WRs!AI81+Input!$E$39*WRs!I81+Input!$E$40*WRs!K81</f>
        <v>67.4075630252101</v>
      </c>
    </row>
    <row r="82" customFormat="false" ht="12.75" hidden="false" customHeight="false" outlineLevel="0" collapsed="false">
      <c r="A82" s="141" t="s">
        <v>421</v>
      </c>
      <c r="B82" s="112" t="s">
        <v>162</v>
      </c>
      <c r="C82" s="98" t="n">
        <v>0</v>
      </c>
      <c r="D82" s="96" t="n">
        <v>0</v>
      </c>
      <c r="E82" s="96" t="n">
        <v>0</v>
      </c>
      <c r="F82" s="97" t="n">
        <v>0</v>
      </c>
      <c r="G82" s="98" t="n">
        <v>35</v>
      </c>
      <c r="H82" s="96" t="n">
        <f aca="false">12.6*G82</f>
        <v>441</v>
      </c>
      <c r="I82" s="96" t="n">
        <v>0</v>
      </c>
      <c r="J82" s="97" t="n">
        <v>3</v>
      </c>
      <c r="K82" s="96" t="n">
        <v>0</v>
      </c>
      <c r="L82" s="107" t="n">
        <v>0.727272727272727</v>
      </c>
      <c r="M82" s="108" t="n">
        <v>0.0979020979020979</v>
      </c>
      <c r="N82" s="108" t="n">
        <v>0.0629370629370629</v>
      </c>
      <c r="O82" s="108" t="n">
        <v>0.020979020979021</v>
      </c>
      <c r="P82" s="108" t="n">
        <v>0.027972027972028</v>
      </c>
      <c r="Q82" s="109" t="n">
        <v>0.0629370629370629</v>
      </c>
      <c r="R82" s="107" t="n">
        <v>0.369747899159664</v>
      </c>
      <c r="S82" s="108" t="n">
        <v>0.252100840336134</v>
      </c>
      <c r="T82" s="108" t="n">
        <v>0.210084033613445</v>
      </c>
      <c r="U82" s="108" t="n">
        <v>0.0588235294117647</v>
      </c>
      <c r="V82" s="108" t="n">
        <v>0.0756302521008403</v>
      </c>
      <c r="W82" s="109" t="n">
        <v>0.0420168067226891</v>
      </c>
      <c r="X82" s="110" t="n">
        <f aca="false">$F82*L82</f>
        <v>0</v>
      </c>
      <c r="Y82" s="111" t="n">
        <f aca="false">$F82*M82</f>
        <v>0</v>
      </c>
      <c r="Z82" s="111" t="n">
        <f aca="false">$F82*N82</f>
        <v>0</v>
      </c>
      <c r="AA82" s="111" t="n">
        <f aca="false">$F82*O82</f>
        <v>0</v>
      </c>
      <c r="AB82" s="111" t="n">
        <f aca="false">$F82*P82</f>
        <v>0</v>
      </c>
      <c r="AC82" s="112" t="n">
        <f aca="false">$F82*Q82</f>
        <v>0</v>
      </c>
      <c r="AD82" s="110" t="n">
        <f aca="false">$J82*R82</f>
        <v>1.10924369747899</v>
      </c>
      <c r="AE82" s="111" t="n">
        <f aca="false">$J82*S82</f>
        <v>0.756302521008403</v>
      </c>
      <c r="AF82" s="111" t="n">
        <f aca="false">$J82*T82</f>
        <v>0.630252100840336</v>
      </c>
      <c r="AG82" s="111" t="n">
        <f aca="false">$J82*U82</f>
        <v>0.176470588235294</v>
      </c>
      <c r="AH82" s="111" t="n">
        <f aca="false">$J82*V82</f>
        <v>0.226890756302521</v>
      </c>
      <c r="AI82" s="112" t="n">
        <f aca="false">$J82*W82</f>
        <v>0.126050420168067</v>
      </c>
      <c r="AJ82" s="116" t="n">
        <f aca="false">Input!$E$22*WRs!C82+Input!$E$23*WRs!D82+Input!$E$24*WRs!X82+Input!$E$25*WRs!Y82+Input!$E$26*WRs!Z82+Input!$E$27*WRs!AA82+Input!$E$28*WRs!AB82+Input!$E$29*WRs!AC82+Input!$E$30*WRs!E82+Input!$E$31*WRs!G82+Input!$E$32*WRs!H82+Input!$E$33*WRs!AD82+Input!$E$34*WRs!AE82+Input!$E$35*WRs!AF82+Input!$E$36*WRs!AG82+Input!$E$37*WRs!AH82+Input!$E$38*WRs!AI82+Input!$E$39*WRs!I82+Input!$E$40*WRs!K82</f>
        <v>66.4613445378151</v>
      </c>
    </row>
    <row r="83" customFormat="false" ht="12.75" hidden="false" customHeight="false" outlineLevel="0" collapsed="false">
      <c r="A83" s="141" t="s">
        <v>422</v>
      </c>
      <c r="B83" s="112" t="s">
        <v>148</v>
      </c>
      <c r="C83" s="98" t="n">
        <v>0</v>
      </c>
      <c r="D83" s="96" t="n">
        <v>0</v>
      </c>
      <c r="E83" s="96" t="n">
        <v>0</v>
      </c>
      <c r="F83" s="97" t="n">
        <v>0</v>
      </c>
      <c r="G83" s="98" t="n">
        <v>35</v>
      </c>
      <c r="H83" s="96" t="n">
        <f aca="false">12.6*G83</f>
        <v>441</v>
      </c>
      <c r="I83" s="96" t="n">
        <v>0</v>
      </c>
      <c r="J83" s="97" t="n">
        <v>3</v>
      </c>
      <c r="K83" s="96" t="n">
        <v>0</v>
      </c>
      <c r="L83" s="107" t="n">
        <v>0.727272727272727</v>
      </c>
      <c r="M83" s="108" t="n">
        <v>0.0979020979020979</v>
      </c>
      <c r="N83" s="108" t="n">
        <v>0.0629370629370629</v>
      </c>
      <c r="O83" s="108" t="n">
        <v>0.020979020979021</v>
      </c>
      <c r="P83" s="108" t="n">
        <v>0.027972027972028</v>
      </c>
      <c r="Q83" s="109" t="n">
        <v>0.0629370629370629</v>
      </c>
      <c r="R83" s="107" t="n">
        <v>0.369747899159664</v>
      </c>
      <c r="S83" s="108" t="n">
        <v>0.252100840336134</v>
      </c>
      <c r="T83" s="108" t="n">
        <v>0.210084033613445</v>
      </c>
      <c r="U83" s="108" t="n">
        <v>0.0588235294117647</v>
      </c>
      <c r="V83" s="108" t="n">
        <v>0.0756302521008403</v>
      </c>
      <c r="W83" s="109" t="n">
        <v>0.0420168067226891</v>
      </c>
      <c r="X83" s="110" t="n">
        <f aca="false">$F83*L83</f>
        <v>0</v>
      </c>
      <c r="Y83" s="111" t="n">
        <f aca="false">$F83*M83</f>
        <v>0</v>
      </c>
      <c r="Z83" s="111" t="n">
        <f aca="false">$F83*N83</f>
        <v>0</v>
      </c>
      <c r="AA83" s="111" t="n">
        <f aca="false">$F83*O83</f>
        <v>0</v>
      </c>
      <c r="AB83" s="111" t="n">
        <f aca="false">$F83*P83</f>
        <v>0</v>
      </c>
      <c r="AC83" s="112" t="n">
        <f aca="false">$F83*Q83</f>
        <v>0</v>
      </c>
      <c r="AD83" s="110" t="n">
        <f aca="false">$J83*R83</f>
        <v>1.10924369747899</v>
      </c>
      <c r="AE83" s="111" t="n">
        <f aca="false">$J83*S83</f>
        <v>0.756302521008403</v>
      </c>
      <c r="AF83" s="111" t="n">
        <f aca="false">$J83*T83</f>
        <v>0.630252100840336</v>
      </c>
      <c r="AG83" s="111" t="n">
        <f aca="false">$J83*U83</f>
        <v>0.176470588235294</v>
      </c>
      <c r="AH83" s="111" t="n">
        <f aca="false">$J83*V83</f>
        <v>0.226890756302521</v>
      </c>
      <c r="AI83" s="112" t="n">
        <f aca="false">$J83*W83</f>
        <v>0.126050420168067</v>
      </c>
      <c r="AJ83" s="116" t="n">
        <f aca="false">Input!$E$22*WRs!C83+Input!$E$23*WRs!D83+Input!$E$24*WRs!X83+Input!$E$25*WRs!Y83+Input!$E$26*WRs!Z83+Input!$E$27*WRs!AA83+Input!$E$28*WRs!AB83+Input!$E$29*WRs!AC83+Input!$E$30*WRs!E83+Input!$E$31*WRs!G83+Input!$E$32*WRs!H83+Input!$E$33*WRs!AD83+Input!$E$34*WRs!AE83+Input!$E$35*WRs!AF83+Input!$E$36*WRs!AG83+Input!$E$37*WRs!AH83+Input!$E$38*WRs!AI83+Input!$E$39*WRs!I83+Input!$E$40*WRs!K83</f>
        <v>66.4613445378151</v>
      </c>
    </row>
    <row r="84" customFormat="false" ht="12.75" hidden="false" customHeight="false" outlineLevel="0" collapsed="false">
      <c r="A84" s="141" t="s">
        <v>423</v>
      </c>
      <c r="B84" s="112" t="s">
        <v>190</v>
      </c>
      <c r="C84" s="98" t="n">
        <v>0</v>
      </c>
      <c r="D84" s="96" t="n">
        <v>0</v>
      </c>
      <c r="E84" s="96" t="n">
        <v>0</v>
      </c>
      <c r="F84" s="97" t="n">
        <v>0</v>
      </c>
      <c r="G84" s="98" t="n">
        <v>40</v>
      </c>
      <c r="H84" s="96" t="n">
        <f aca="false">10.9*G84</f>
        <v>436</v>
      </c>
      <c r="I84" s="96" t="n">
        <v>0</v>
      </c>
      <c r="J84" s="97" t="n">
        <v>3</v>
      </c>
      <c r="K84" s="96" t="n">
        <v>0</v>
      </c>
      <c r="L84" s="107" t="n">
        <v>0.727272727272727</v>
      </c>
      <c r="M84" s="108" t="n">
        <v>0.0979020979020979</v>
      </c>
      <c r="N84" s="108" t="n">
        <v>0.0629370629370629</v>
      </c>
      <c r="O84" s="108" t="n">
        <v>0.020979020979021</v>
      </c>
      <c r="P84" s="108" t="n">
        <v>0.027972027972028</v>
      </c>
      <c r="Q84" s="109" t="n">
        <v>0.0629370629370629</v>
      </c>
      <c r="R84" s="107" t="n">
        <v>0.369747899159664</v>
      </c>
      <c r="S84" s="108" t="n">
        <v>0.252100840336134</v>
      </c>
      <c r="T84" s="108" t="n">
        <v>0.210084033613445</v>
      </c>
      <c r="U84" s="108" t="n">
        <v>0.0588235294117647</v>
      </c>
      <c r="V84" s="108" t="n">
        <v>0.0756302521008403</v>
      </c>
      <c r="W84" s="109" t="n">
        <v>0.0420168067226891</v>
      </c>
      <c r="X84" s="110" t="n">
        <f aca="false">$F84*L84</f>
        <v>0</v>
      </c>
      <c r="Y84" s="111" t="n">
        <f aca="false">$F84*M84</f>
        <v>0</v>
      </c>
      <c r="Z84" s="111" t="n">
        <f aca="false">$F84*N84</f>
        <v>0</v>
      </c>
      <c r="AA84" s="111" t="n">
        <f aca="false">$F84*O84</f>
        <v>0</v>
      </c>
      <c r="AB84" s="111" t="n">
        <f aca="false">$F84*P84</f>
        <v>0</v>
      </c>
      <c r="AC84" s="112" t="n">
        <f aca="false">$F84*Q84</f>
        <v>0</v>
      </c>
      <c r="AD84" s="110" t="n">
        <f aca="false">$J84*R84</f>
        <v>1.10924369747899</v>
      </c>
      <c r="AE84" s="111" t="n">
        <f aca="false">$J84*S84</f>
        <v>0.756302521008403</v>
      </c>
      <c r="AF84" s="111" t="n">
        <f aca="false">$J84*T84</f>
        <v>0.630252100840336</v>
      </c>
      <c r="AG84" s="111" t="n">
        <f aca="false">$J84*U84</f>
        <v>0.176470588235294</v>
      </c>
      <c r="AH84" s="111" t="n">
        <f aca="false">$J84*V84</f>
        <v>0.226890756302521</v>
      </c>
      <c r="AI84" s="112" t="n">
        <f aca="false">$J84*W84</f>
        <v>0.126050420168067</v>
      </c>
      <c r="AJ84" s="116" t="n">
        <f aca="false">Input!$E$22*WRs!C84+Input!$E$23*WRs!D84+Input!$E$24*WRs!X84+Input!$E$25*WRs!Y84+Input!$E$26*WRs!Z84+Input!$E$27*WRs!AA84+Input!$E$28*WRs!AB84+Input!$E$29*WRs!AC84+Input!$E$30*WRs!E84+Input!$E$31*WRs!G84+Input!$E$32*WRs!H84+Input!$E$33*WRs!AD84+Input!$E$34*WRs!AE84+Input!$E$35*WRs!AF84+Input!$E$36*WRs!AG84+Input!$E$37*WRs!AH84+Input!$E$38*WRs!AI84+Input!$E$39*WRs!I84+Input!$E$40*WRs!K84</f>
        <v>65.9613445378151</v>
      </c>
    </row>
    <row r="85" customFormat="false" ht="12.75" hidden="false" customHeight="false" outlineLevel="0" collapsed="false">
      <c r="A85" s="141" t="s">
        <v>424</v>
      </c>
      <c r="B85" s="112" t="s">
        <v>166</v>
      </c>
      <c r="C85" s="98" t="n">
        <v>0</v>
      </c>
      <c r="D85" s="96" t="n">
        <v>0</v>
      </c>
      <c r="E85" s="96" t="n">
        <v>0</v>
      </c>
      <c r="F85" s="97" t="n">
        <v>0</v>
      </c>
      <c r="G85" s="98" t="n">
        <v>30</v>
      </c>
      <c r="H85" s="96" t="n">
        <f aca="false">15*G85</f>
        <v>450</v>
      </c>
      <c r="I85" s="96" t="n">
        <v>0</v>
      </c>
      <c r="J85" s="97" t="n">
        <v>2</v>
      </c>
      <c r="K85" s="96" t="n">
        <v>0</v>
      </c>
      <c r="L85" s="107" t="n">
        <v>0.727272727272727</v>
      </c>
      <c r="M85" s="108" t="n">
        <v>0.0979020979020979</v>
      </c>
      <c r="N85" s="108" t="n">
        <v>0.0629370629370629</v>
      </c>
      <c r="O85" s="108" t="n">
        <v>0.020979020979021</v>
      </c>
      <c r="P85" s="108" t="n">
        <v>0.027972027972028</v>
      </c>
      <c r="Q85" s="109" t="n">
        <v>0.0629370629370629</v>
      </c>
      <c r="R85" s="107" t="n">
        <v>0.369747899159664</v>
      </c>
      <c r="S85" s="108" t="n">
        <v>0.252100840336134</v>
      </c>
      <c r="T85" s="108" t="n">
        <v>0.210084033613445</v>
      </c>
      <c r="U85" s="108" t="n">
        <v>0.0588235294117647</v>
      </c>
      <c r="V85" s="108" t="n">
        <v>0.0756302521008403</v>
      </c>
      <c r="W85" s="109" t="n">
        <v>0.0420168067226891</v>
      </c>
      <c r="X85" s="110" t="n">
        <f aca="false">$F85*L85</f>
        <v>0</v>
      </c>
      <c r="Y85" s="111" t="n">
        <f aca="false">$F85*M85</f>
        <v>0</v>
      </c>
      <c r="Z85" s="111" t="n">
        <f aca="false">$F85*N85</f>
        <v>0</v>
      </c>
      <c r="AA85" s="111" t="n">
        <f aca="false">$F85*O85</f>
        <v>0</v>
      </c>
      <c r="AB85" s="111" t="n">
        <f aca="false">$F85*P85</f>
        <v>0</v>
      </c>
      <c r="AC85" s="112" t="n">
        <f aca="false">$F85*Q85</f>
        <v>0</v>
      </c>
      <c r="AD85" s="110" t="n">
        <f aca="false">$J85*R85</f>
        <v>0.739495798319328</v>
      </c>
      <c r="AE85" s="111" t="n">
        <f aca="false">$J85*S85</f>
        <v>0.504201680672269</v>
      </c>
      <c r="AF85" s="111" t="n">
        <f aca="false">$J85*T85</f>
        <v>0.420168067226891</v>
      </c>
      <c r="AG85" s="111" t="n">
        <f aca="false">$J85*U85</f>
        <v>0.117647058823529</v>
      </c>
      <c r="AH85" s="111" t="n">
        <f aca="false">$J85*V85</f>
        <v>0.151260504201681</v>
      </c>
      <c r="AI85" s="112" t="n">
        <f aca="false">$J85*W85</f>
        <v>0.0840336134453782</v>
      </c>
      <c r="AJ85" s="116" t="n">
        <f aca="false">Input!$E$22*WRs!C85+Input!$E$23*WRs!D85+Input!$E$24*WRs!X85+Input!$E$25*WRs!Y85+Input!$E$26*WRs!Z85+Input!$E$27*WRs!AA85+Input!$E$28*WRs!AB85+Input!$E$29*WRs!AC85+Input!$E$30*WRs!E85+Input!$E$31*WRs!G85+Input!$E$32*WRs!H85+Input!$E$33*WRs!AD85+Input!$E$34*WRs!AE85+Input!$E$35*WRs!AF85+Input!$E$36*WRs!AG85+Input!$E$37*WRs!AH85+Input!$E$38*WRs!AI85+Input!$E$39*WRs!I85+Input!$E$40*WRs!K85</f>
        <v>59.9075630252101</v>
      </c>
    </row>
    <row r="86" customFormat="false" ht="12.75" hidden="false" customHeight="false" outlineLevel="0" collapsed="false">
      <c r="A86" s="141" t="s">
        <v>425</v>
      </c>
      <c r="B86" s="112" t="s">
        <v>178</v>
      </c>
      <c r="C86" s="98" t="n">
        <v>0</v>
      </c>
      <c r="D86" s="96" t="n">
        <v>0</v>
      </c>
      <c r="E86" s="96" t="n">
        <v>0</v>
      </c>
      <c r="F86" s="97" t="n">
        <v>0</v>
      </c>
      <c r="G86" s="98" t="n">
        <v>30</v>
      </c>
      <c r="H86" s="96" t="n">
        <f aca="false">13*G86</f>
        <v>390</v>
      </c>
      <c r="I86" s="96" t="n">
        <v>0</v>
      </c>
      <c r="J86" s="97" t="n">
        <v>2</v>
      </c>
      <c r="K86" s="96" t="n">
        <v>0</v>
      </c>
      <c r="L86" s="107" t="n">
        <v>0.727272727272727</v>
      </c>
      <c r="M86" s="108" t="n">
        <v>0.0979020979020979</v>
      </c>
      <c r="N86" s="108" t="n">
        <v>0.0629370629370629</v>
      </c>
      <c r="O86" s="108" t="n">
        <v>0.020979020979021</v>
      </c>
      <c r="P86" s="108" t="n">
        <v>0.027972027972028</v>
      </c>
      <c r="Q86" s="109" t="n">
        <v>0.0629370629370629</v>
      </c>
      <c r="R86" s="107" t="n">
        <v>0.369747899159664</v>
      </c>
      <c r="S86" s="108" t="n">
        <v>0.252100840336134</v>
      </c>
      <c r="T86" s="108" t="n">
        <v>0.210084033613445</v>
      </c>
      <c r="U86" s="108" t="n">
        <v>0.0588235294117647</v>
      </c>
      <c r="V86" s="108" t="n">
        <v>0.0756302521008403</v>
      </c>
      <c r="W86" s="109" t="n">
        <v>0.0420168067226891</v>
      </c>
      <c r="X86" s="110" t="n">
        <f aca="false">$F86*L86</f>
        <v>0</v>
      </c>
      <c r="Y86" s="111" t="n">
        <f aca="false">$F86*M86</f>
        <v>0</v>
      </c>
      <c r="Z86" s="111" t="n">
        <f aca="false">$F86*N86</f>
        <v>0</v>
      </c>
      <c r="AA86" s="111" t="n">
        <f aca="false">$F86*O86</f>
        <v>0</v>
      </c>
      <c r="AB86" s="111" t="n">
        <f aca="false">$F86*P86</f>
        <v>0</v>
      </c>
      <c r="AC86" s="112" t="n">
        <f aca="false">$F86*Q86</f>
        <v>0</v>
      </c>
      <c r="AD86" s="110" t="n">
        <f aca="false">$J86*R86</f>
        <v>0.739495798319328</v>
      </c>
      <c r="AE86" s="111" t="n">
        <f aca="false">$J86*S86</f>
        <v>0.504201680672269</v>
      </c>
      <c r="AF86" s="111" t="n">
        <f aca="false">$J86*T86</f>
        <v>0.420168067226891</v>
      </c>
      <c r="AG86" s="111" t="n">
        <f aca="false">$J86*U86</f>
        <v>0.117647058823529</v>
      </c>
      <c r="AH86" s="111" t="n">
        <f aca="false">$J86*V86</f>
        <v>0.151260504201681</v>
      </c>
      <c r="AI86" s="112" t="n">
        <f aca="false">$J86*W86</f>
        <v>0.0840336134453782</v>
      </c>
      <c r="AJ86" s="116" t="n">
        <f aca="false">Input!$E$22*WRs!C86+Input!$E$23*WRs!D86+Input!$E$24*WRs!X86+Input!$E$25*WRs!Y86+Input!$E$26*WRs!Z86+Input!$E$27*WRs!AA86+Input!$E$28*WRs!AB86+Input!$E$29*WRs!AC86+Input!$E$30*WRs!E86+Input!$E$31*WRs!G86+Input!$E$32*WRs!H86+Input!$E$33*WRs!AD86+Input!$E$34*WRs!AE86+Input!$E$35*WRs!AF86+Input!$E$36*WRs!AG86+Input!$E$37*WRs!AH86+Input!$E$38*WRs!AI86+Input!$E$39*WRs!I86+Input!$E$40*WRs!K86</f>
        <v>53.9075630252101</v>
      </c>
    </row>
    <row r="87" customFormat="false" ht="12.75" hidden="false" customHeight="false" outlineLevel="0" collapsed="false">
      <c r="A87" s="141" t="s">
        <v>426</v>
      </c>
      <c r="B87" s="112" t="s">
        <v>142</v>
      </c>
      <c r="C87" s="98" t="n">
        <v>0</v>
      </c>
      <c r="D87" s="96" t="n">
        <v>0</v>
      </c>
      <c r="E87" s="96" t="n">
        <v>0</v>
      </c>
      <c r="F87" s="97" t="n">
        <v>0</v>
      </c>
      <c r="G87" s="98" t="n">
        <v>20</v>
      </c>
      <c r="H87" s="96" t="n">
        <f aca="false">18*G87</f>
        <v>360</v>
      </c>
      <c r="I87" s="96" t="n">
        <v>0</v>
      </c>
      <c r="J87" s="97" t="n">
        <v>2</v>
      </c>
      <c r="K87" s="96" t="n">
        <v>0</v>
      </c>
      <c r="L87" s="107" t="n">
        <v>0.727272727272727</v>
      </c>
      <c r="M87" s="108" t="n">
        <v>0.0979020979020979</v>
      </c>
      <c r="N87" s="108" t="n">
        <v>0.0629370629370629</v>
      </c>
      <c r="O87" s="108" t="n">
        <v>0.020979020979021</v>
      </c>
      <c r="P87" s="108" t="n">
        <v>0.027972027972028</v>
      </c>
      <c r="Q87" s="109" t="n">
        <v>0.0629370629370629</v>
      </c>
      <c r="R87" s="107" t="n">
        <v>0.369747899159664</v>
      </c>
      <c r="S87" s="108" t="n">
        <v>0.252100840336134</v>
      </c>
      <c r="T87" s="108" t="n">
        <v>0.210084033613445</v>
      </c>
      <c r="U87" s="108" t="n">
        <v>0.0588235294117647</v>
      </c>
      <c r="V87" s="108" t="n">
        <v>0.0756302521008403</v>
      </c>
      <c r="W87" s="109" t="n">
        <v>0.0420168067226891</v>
      </c>
      <c r="X87" s="110" t="n">
        <f aca="false">$F87*L87</f>
        <v>0</v>
      </c>
      <c r="Y87" s="111" t="n">
        <f aca="false">$F87*M87</f>
        <v>0</v>
      </c>
      <c r="Z87" s="111" t="n">
        <f aca="false">$F87*N87</f>
        <v>0</v>
      </c>
      <c r="AA87" s="111" t="n">
        <f aca="false">$F87*O87</f>
        <v>0</v>
      </c>
      <c r="AB87" s="111" t="n">
        <f aca="false">$F87*P87</f>
        <v>0</v>
      </c>
      <c r="AC87" s="112" t="n">
        <f aca="false">$F87*Q87</f>
        <v>0</v>
      </c>
      <c r="AD87" s="110" t="n">
        <f aca="false">$J87*R87</f>
        <v>0.739495798319328</v>
      </c>
      <c r="AE87" s="111" t="n">
        <f aca="false">$J87*S87</f>
        <v>0.504201680672269</v>
      </c>
      <c r="AF87" s="111" t="n">
        <f aca="false">$J87*T87</f>
        <v>0.420168067226891</v>
      </c>
      <c r="AG87" s="111" t="n">
        <f aca="false">$J87*U87</f>
        <v>0.117647058823529</v>
      </c>
      <c r="AH87" s="111" t="n">
        <f aca="false">$J87*V87</f>
        <v>0.151260504201681</v>
      </c>
      <c r="AI87" s="112" t="n">
        <f aca="false">$J87*W87</f>
        <v>0.0840336134453782</v>
      </c>
      <c r="AJ87" s="116" t="n">
        <f aca="false">Input!$E$22*WRs!C87+Input!$E$23*WRs!D87+Input!$E$24*WRs!X87+Input!$E$25*WRs!Y87+Input!$E$26*WRs!Z87+Input!$E$27*WRs!AA87+Input!$E$28*WRs!AB87+Input!$E$29*WRs!AC87+Input!$E$30*WRs!E87+Input!$E$31*WRs!G87+Input!$E$32*WRs!H87+Input!$E$33*WRs!AD87+Input!$E$34*WRs!AE87+Input!$E$35*WRs!AF87+Input!$E$36*WRs!AG87+Input!$E$37*WRs!AH87+Input!$E$38*WRs!AI87+Input!$E$39*WRs!I87+Input!$E$40*WRs!K87</f>
        <v>50.9075630252101</v>
      </c>
    </row>
    <row r="88" customFormat="false" ht="12.75" hidden="false" customHeight="false" outlineLevel="0" collapsed="false">
      <c r="A88" s="141" t="s">
        <v>427</v>
      </c>
      <c r="B88" s="112" t="s">
        <v>172</v>
      </c>
      <c r="C88" s="98" t="n">
        <v>0</v>
      </c>
      <c r="D88" s="96" t="n">
        <v>0</v>
      </c>
      <c r="E88" s="96" t="n">
        <v>0</v>
      </c>
      <c r="F88" s="97" t="n">
        <v>0</v>
      </c>
      <c r="G88" s="98" t="n">
        <v>37</v>
      </c>
      <c r="H88" s="96" t="n">
        <f aca="false">12*G88</f>
        <v>444</v>
      </c>
      <c r="I88" s="96" t="n">
        <v>0</v>
      </c>
      <c r="J88" s="97" t="n">
        <v>2</v>
      </c>
      <c r="K88" s="96" t="n">
        <v>0</v>
      </c>
      <c r="L88" s="107" t="n">
        <v>0.727272727272727</v>
      </c>
      <c r="M88" s="108" t="n">
        <v>0.0979020979020979</v>
      </c>
      <c r="N88" s="108" t="n">
        <v>0.0629370629370629</v>
      </c>
      <c r="O88" s="108" t="n">
        <v>0.020979020979021</v>
      </c>
      <c r="P88" s="108" t="n">
        <v>0.027972027972028</v>
      </c>
      <c r="Q88" s="109" t="n">
        <v>0.0629370629370629</v>
      </c>
      <c r="R88" s="107" t="n">
        <v>0.369747899159664</v>
      </c>
      <c r="S88" s="108" t="n">
        <v>0.252100840336134</v>
      </c>
      <c r="T88" s="108" t="n">
        <v>0.210084033613445</v>
      </c>
      <c r="U88" s="108" t="n">
        <v>0.0588235294117647</v>
      </c>
      <c r="V88" s="108" t="n">
        <v>0.0756302521008403</v>
      </c>
      <c r="W88" s="109" t="n">
        <v>0.0420168067226891</v>
      </c>
      <c r="X88" s="110" t="n">
        <f aca="false">$F88*L88</f>
        <v>0</v>
      </c>
      <c r="Y88" s="111" t="n">
        <f aca="false">$F88*M88</f>
        <v>0</v>
      </c>
      <c r="Z88" s="111" t="n">
        <f aca="false">$F88*N88</f>
        <v>0</v>
      </c>
      <c r="AA88" s="111" t="n">
        <f aca="false">$F88*O88</f>
        <v>0</v>
      </c>
      <c r="AB88" s="111" t="n">
        <f aca="false">$F88*P88</f>
        <v>0</v>
      </c>
      <c r="AC88" s="112" t="n">
        <f aca="false">$F88*Q88</f>
        <v>0</v>
      </c>
      <c r="AD88" s="110" t="n">
        <f aca="false">$J88*R88</f>
        <v>0.739495798319328</v>
      </c>
      <c r="AE88" s="111" t="n">
        <f aca="false">$J88*S88</f>
        <v>0.504201680672269</v>
      </c>
      <c r="AF88" s="111" t="n">
        <f aca="false">$J88*T88</f>
        <v>0.420168067226891</v>
      </c>
      <c r="AG88" s="111" t="n">
        <f aca="false">$J88*U88</f>
        <v>0.117647058823529</v>
      </c>
      <c r="AH88" s="111" t="n">
        <f aca="false">$J88*V88</f>
        <v>0.151260504201681</v>
      </c>
      <c r="AI88" s="112" t="n">
        <f aca="false">$J88*W88</f>
        <v>0.0840336134453782</v>
      </c>
      <c r="AJ88" s="116" t="n">
        <f aca="false">Input!$E$22*WRs!C88+Input!$E$23*WRs!D88+Input!$E$24*WRs!X88+Input!$E$25*WRs!Y88+Input!$E$26*WRs!Z88+Input!$E$27*WRs!AA88+Input!$E$28*WRs!AB88+Input!$E$29*WRs!AC88+Input!$E$30*WRs!E88+Input!$E$31*WRs!G88+Input!$E$32*WRs!H88+Input!$E$33*WRs!AD88+Input!$E$34*WRs!AE88+Input!$E$35*WRs!AF88+Input!$E$36*WRs!AG88+Input!$E$37*WRs!AH88+Input!$E$38*WRs!AI88+Input!$E$39*WRs!I88+Input!$E$40*WRs!K88</f>
        <v>59.3075630252101</v>
      </c>
    </row>
    <row r="89" customFormat="false" ht="12.75" hidden="false" customHeight="false" outlineLevel="0" collapsed="false">
      <c r="A89" s="141" t="s">
        <v>428</v>
      </c>
      <c r="B89" s="112" t="s">
        <v>146</v>
      </c>
      <c r="C89" s="98" t="n">
        <v>0</v>
      </c>
      <c r="D89" s="96" t="n">
        <v>0</v>
      </c>
      <c r="E89" s="96" t="n">
        <v>0</v>
      </c>
      <c r="F89" s="97" t="n">
        <v>0</v>
      </c>
      <c r="G89" s="98" t="n">
        <v>30</v>
      </c>
      <c r="H89" s="96" t="n">
        <f aca="false">13.5*G89</f>
        <v>405</v>
      </c>
      <c r="I89" s="96" t="n">
        <v>0</v>
      </c>
      <c r="J89" s="97" t="n">
        <v>2</v>
      </c>
      <c r="K89" s="96" t="n">
        <v>0</v>
      </c>
      <c r="L89" s="107" t="n">
        <v>0.727272727272727</v>
      </c>
      <c r="M89" s="108" t="n">
        <v>0.0979020979020979</v>
      </c>
      <c r="N89" s="108" t="n">
        <v>0.0629370629370629</v>
      </c>
      <c r="O89" s="108" t="n">
        <v>0.020979020979021</v>
      </c>
      <c r="P89" s="108" t="n">
        <v>0.027972027972028</v>
      </c>
      <c r="Q89" s="109" t="n">
        <v>0.0629370629370629</v>
      </c>
      <c r="R89" s="107" t="n">
        <v>0.369747899159664</v>
      </c>
      <c r="S89" s="108" t="n">
        <v>0.252100840336134</v>
      </c>
      <c r="T89" s="108" t="n">
        <v>0.210084033613445</v>
      </c>
      <c r="U89" s="108" t="n">
        <v>0.0588235294117647</v>
      </c>
      <c r="V89" s="108" t="n">
        <v>0.0756302521008403</v>
      </c>
      <c r="W89" s="109" t="n">
        <v>0.0420168067226891</v>
      </c>
      <c r="X89" s="110" t="n">
        <f aca="false">$F89*L89</f>
        <v>0</v>
      </c>
      <c r="Y89" s="111" t="n">
        <f aca="false">$F89*M89</f>
        <v>0</v>
      </c>
      <c r="Z89" s="111" t="n">
        <f aca="false">$F89*N89</f>
        <v>0</v>
      </c>
      <c r="AA89" s="111" t="n">
        <f aca="false">$F89*O89</f>
        <v>0</v>
      </c>
      <c r="AB89" s="111" t="n">
        <f aca="false">$F89*P89</f>
        <v>0</v>
      </c>
      <c r="AC89" s="112" t="n">
        <f aca="false">$F89*Q89</f>
        <v>0</v>
      </c>
      <c r="AD89" s="110" t="n">
        <f aca="false">$J89*R89</f>
        <v>0.739495798319328</v>
      </c>
      <c r="AE89" s="111" t="n">
        <f aca="false">$J89*S89</f>
        <v>0.504201680672269</v>
      </c>
      <c r="AF89" s="111" t="n">
        <f aca="false">$J89*T89</f>
        <v>0.420168067226891</v>
      </c>
      <c r="AG89" s="111" t="n">
        <f aca="false">$J89*U89</f>
        <v>0.117647058823529</v>
      </c>
      <c r="AH89" s="111" t="n">
        <f aca="false">$J89*V89</f>
        <v>0.151260504201681</v>
      </c>
      <c r="AI89" s="112" t="n">
        <f aca="false">$J89*W89</f>
        <v>0.0840336134453782</v>
      </c>
      <c r="AJ89" s="116" t="n">
        <f aca="false">Input!$E$22*WRs!C89+Input!$E$23*WRs!D89+Input!$E$24*WRs!X89+Input!$E$25*WRs!Y89+Input!$E$26*WRs!Z89+Input!$E$27*WRs!AA89+Input!$E$28*WRs!AB89+Input!$E$29*WRs!AC89+Input!$E$30*WRs!E89+Input!$E$31*WRs!G89+Input!$E$32*WRs!H89+Input!$E$33*WRs!AD89+Input!$E$34*WRs!AE89+Input!$E$35*WRs!AF89+Input!$E$36*WRs!AG89+Input!$E$37*WRs!AH89+Input!$E$38*WRs!AI89+Input!$E$39*WRs!I89+Input!$E$40*WRs!K89</f>
        <v>55.4075630252101</v>
      </c>
    </row>
    <row r="90" customFormat="false" ht="12.75" hidden="false" customHeight="false" outlineLevel="0" collapsed="false">
      <c r="A90" s="141" t="s">
        <v>429</v>
      </c>
      <c r="B90" s="112" t="s">
        <v>184</v>
      </c>
      <c r="C90" s="98" t="n">
        <v>0</v>
      </c>
      <c r="D90" s="96" t="n">
        <v>0</v>
      </c>
      <c r="E90" s="96" t="n">
        <v>0</v>
      </c>
      <c r="F90" s="97" t="n">
        <v>0</v>
      </c>
      <c r="G90" s="98" t="n">
        <v>15</v>
      </c>
      <c r="H90" s="96" t="n">
        <f aca="false">13.4*G90</f>
        <v>201</v>
      </c>
      <c r="I90" s="96" t="n">
        <v>0</v>
      </c>
      <c r="J90" s="97" t="n">
        <v>1</v>
      </c>
      <c r="K90" s="96" t="n">
        <v>0</v>
      </c>
      <c r="L90" s="107" t="n">
        <v>0.727272727272727</v>
      </c>
      <c r="M90" s="108" t="n">
        <v>0.0979020979020979</v>
      </c>
      <c r="N90" s="108" t="n">
        <v>0.0629370629370629</v>
      </c>
      <c r="O90" s="108" t="n">
        <v>0.020979020979021</v>
      </c>
      <c r="P90" s="108" t="n">
        <v>0.027972027972028</v>
      </c>
      <c r="Q90" s="109" t="n">
        <v>0.0629370629370629</v>
      </c>
      <c r="R90" s="107" t="n">
        <v>0.369747899159664</v>
      </c>
      <c r="S90" s="108" t="n">
        <v>0.252100840336134</v>
      </c>
      <c r="T90" s="108" t="n">
        <v>0.210084033613445</v>
      </c>
      <c r="U90" s="108" t="n">
        <v>0.0588235294117647</v>
      </c>
      <c r="V90" s="108" t="n">
        <v>0.0756302521008403</v>
      </c>
      <c r="W90" s="109" t="n">
        <v>0.0420168067226891</v>
      </c>
      <c r="X90" s="110" t="n">
        <f aca="false">$F90*L90</f>
        <v>0</v>
      </c>
      <c r="Y90" s="111" t="n">
        <f aca="false">$F90*M90</f>
        <v>0</v>
      </c>
      <c r="Z90" s="111" t="n">
        <f aca="false">$F90*N90</f>
        <v>0</v>
      </c>
      <c r="AA90" s="111" t="n">
        <f aca="false">$F90*O90</f>
        <v>0</v>
      </c>
      <c r="AB90" s="111" t="n">
        <f aca="false">$F90*P90</f>
        <v>0</v>
      </c>
      <c r="AC90" s="112" t="n">
        <f aca="false">$F90*Q90</f>
        <v>0</v>
      </c>
      <c r="AD90" s="110" t="n">
        <f aca="false">$J90*R90</f>
        <v>0.369747899159664</v>
      </c>
      <c r="AE90" s="111" t="n">
        <f aca="false">$J90*S90</f>
        <v>0.252100840336134</v>
      </c>
      <c r="AF90" s="111" t="n">
        <f aca="false">$J90*T90</f>
        <v>0.210084033613445</v>
      </c>
      <c r="AG90" s="111" t="n">
        <f aca="false">$J90*U90</f>
        <v>0.0588235294117647</v>
      </c>
      <c r="AH90" s="111" t="n">
        <f aca="false">$J90*V90</f>
        <v>0.0756302521008403</v>
      </c>
      <c r="AI90" s="112" t="n">
        <f aca="false">$J90*W90</f>
        <v>0.0420168067226891</v>
      </c>
      <c r="AJ90" s="116" t="n">
        <f aca="false">Input!$E$22*WRs!C90+Input!$E$23*WRs!D90+Input!$E$24*WRs!X90+Input!$E$25*WRs!Y90+Input!$E$26*WRs!Z90+Input!$E$27*WRs!AA90+Input!$E$28*WRs!AB90+Input!$E$29*WRs!AC90+Input!$E$30*WRs!E90+Input!$E$31*WRs!G90+Input!$E$32*WRs!H90+Input!$E$33*WRs!AD90+Input!$E$34*WRs!AE90+Input!$E$35*WRs!AF90+Input!$E$36*WRs!AG90+Input!$E$37*WRs!AH90+Input!$E$38*WRs!AI90+Input!$E$39*WRs!I90+Input!$E$40*WRs!K90</f>
        <v>27.5537815126051</v>
      </c>
    </row>
    <row r="91" customFormat="false" ht="12.75" hidden="false" customHeight="false" outlineLevel="0" collapsed="false">
      <c r="A91" s="141" t="s">
        <v>430</v>
      </c>
      <c r="B91" s="112" t="s">
        <v>192</v>
      </c>
      <c r="C91" s="98" t="n">
        <v>0</v>
      </c>
      <c r="D91" s="96" t="n">
        <v>0</v>
      </c>
      <c r="E91" s="96" t="n">
        <v>0</v>
      </c>
      <c r="F91" s="97" t="n">
        <v>0</v>
      </c>
      <c r="G91" s="98" t="n">
        <v>40</v>
      </c>
      <c r="H91" s="96" t="n">
        <v>500</v>
      </c>
      <c r="I91" s="96" t="n">
        <v>0</v>
      </c>
      <c r="J91" s="97" t="n">
        <v>2</v>
      </c>
      <c r="K91" s="96" t="n">
        <v>0</v>
      </c>
      <c r="L91" s="107" t="n">
        <v>0.727272727272727</v>
      </c>
      <c r="M91" s="108" t="n">
        <v>0.0979020979020979</v>
      </c>
      <c r="N91" s="108" t="n">
        <v>0.0629370629370629</v>
      </c>
      <c r="O91" s="108" t="n">
        <v>0.020979020979021</v>
      </c>
      <c r="P91" s="108" t="n">
        <v>0.027972027972028</v>
      </c>
      <c r="Q91" s="109" t="n">
        <v>0.0629370629370629</v>
      </c>
      <c r="R91" s="107" t="n">
        <v>0.369747899159664</v>
      </c>
      <c r="S91" s="108" t="n">
        <v>0.252100840336134</v>
      </c>
      <c r="T91" s="108" t="n">
        <v>0.210084033613445</v>
      </c>
      <c r="U91" s="108" t="n">
        <v>0.0588235294117647</v>
      </c>
      <c r="V91" s="108" t="n">
        <v>0.0756302521008403</v>
      </c>
      <c r="W91" s="109" t="n">
        <v>0.0420168067226891</v>
      </c>
      <c r="X91" s="110" t="n">
        <f aca="false">$F91*L91</f>
        <v>0</v>
      </c>
      <c r="Y91" s="111" t="n">
        <f aca="false">$F91*M91</f>
        <v>0</v>
      </c>
      <c r="Z91" s="111" t="n">
        <f aca="false">$F91*N91</f>
        <v>0</v>
      </c>
      <c r="AA91" s="111" t="n">
        <f aca="false">$F91*O91</f>
        <v>0</v>
      </c>
      <c r="AB91" s="111" t="n">
        <f aca="false">$F91*P91</f>
        <v>0</v>
      </c>
      <c r="AC91" s="112" t="n">
        <f aca="false">$F91*Q91</f>
        <v>0</v>
      </c>
      <c r="AD91" s="110" t="n">
        <f aca="false">$J91*R91</f>
        <v>0.739495798319328</v>
      </c>
      <c r="AE91" s="111" t="n">
        <f aca="false">$J91*S91</f>
        <v>0.504201680672269</v>
      </c>
      <c r="AF91" s="111" t="n">
        <f aca="false">$J91*T91</f>
        <v>0.420168067226891</v>
      </c>
      <c r="AG91" s="111" t="n">
        <f aca="false">$J91*U91</f>
        <v>0.117647058823529</v>
      </c>
      <c r="AH91" s="111" t="n">
        <f aca="false">$J91*V91</f>
        <v>0.151260504201681</v>
      </c>
      <c r="AI91" s="112" t="n">
        <f aca="false">$J91*W91</f>
        <v>0.0840336134453782</v>
      </c>
      <c r="AJ91" s="116" t="n">
        <f aca="false">Input!$E$22*WRs!C91+Input!$E$23*WRs!D91+Input!$E$24*WRs!X91+Input!$E$25*WRs!Y91+Input!$E$26*WRs!Z91+Input!$E$27*WRs!AA91+Input!$E$28*WRs!AB91+Input!$E$29*WRs!AC91+Input!$E$30*WRs!E91+Input!$E$31*WRs!G91+Input!$E$32*WRs!H91+Input!$E$33*WRs!AD91+Input!$E$34*WRs!AE91+Input!$E$35*WRs!AF91+Input!$E$36*WRs!AG91+Input!$E$37*WRs!AH91+Input!$E$38*WRs!AI91+Input!$E$39*WRs!I91+Input!$E$40*WRs!K91</f>
        <v>64.9075630252101</v>
      </c>
    </row>
    <row r="92" customFormat="false" ht="12.75" hidden="false" customHeight="false" outlineLevel="0" collapsed="false">
      <c r="A92" s="141" t="s">
        <v>431</v>
      </c>
      <c r="B92" s="112" t="s">
        <v>174</v>
      </c>
      <c r="C92" s="98" t="n">
        <v>0</v>
      </c>
      <c r="D92" s="96" t="n">
        <v>0</v>
      </c>
      <c r="E92" s="96" t="n">
        <v>0</v>
      </c>
      <c r="F92" s="97" t="n">
        <v>0</v>
      </c>
      <c r="G92" s="98" t="n">
        <v>30</v>
      </c>
      <c r="H92" s="96" t="n">
        <f aca="false">12.7*G92</f>
        <v>381</v>
      </c>
      <c r="I92" s="96" t="n">
        <v>0</v>
      </c>
      <c r="J92" s="97" t="n">
        <v>2</v>
      </c>
      <c r="K92" s="96" t="n">
        <v>0</v>
      </c>
      <c r="L92" s="107" t="n">
        <v>0.727272727272727</v>
      </c>
      <c r="M92" s="108" t="n">
        <v>0.0979020979020979</v>
      </c>
      <c r="N92" s="108" t="n">
        <v>0.0629370629370629</v>
      </c>
      <c r="O92" s="108" t="n">
        <v>0.020979020979021</v>
      </c>
      <c r="P92" s="108" t="n">
        <v>0.027972027972028</v>
      </c>
      <c r="Q92" s="109" t="n">
        <v>0.0629370629370629</v>
      </c>
      <c r="R92" s="107" t="n">
        <v>0.369747899159664</v>
      </c>
      <c r="S92" s="108" t="n">
        <v>0.252100840336134</v>
      </c>
      <c r="T92" s="108" t="n">
        <v>0.210084033613445</v>
      </c>
      <c r="U92" s="108" t="n">
        <v>0.0588235294117647</v>
      </c>
      <c r="V92" s="108" t="n">
        <v>0.0756302521008403</v>
      </c>
      <c r="W92" s="109" t="n">
        <v>0.0420168067226891</v>
      </c>
      <c r="X92" s="110" t="n">
        <f aca="false">$F92*L92</f>
        <v>0</v>
      </c>
      <c r="Y92" s="111" t="n">
        <f aca="false">$F92*M92</f>
        <v>0</v>
      </c>
      <c r="Z92" s="111" t="n">
        <f aca="false">$F92*N92</f>
        <v>0</v>
      </c>
      <c r="AA92" s="111" t="n">
        <f aca="false">$F92*O92</f>
        <v>0</v>
      </c>
      <c r="AB92" s="111" t="n">
        <f aca="false">$F92*P92</f>
        <v>0</v>
      </c>
      <c r="AC92" s="112" t="n">
        <f aca="false">$F92*Q92</f>
        <v>0</v>
      </c>
      <c r="AD92" s="110" t="n">
        <f aca="false">$J92*R92</f>
        <v>0.739495798319328</v>
      </c>
      <c r="AE92" s="111" t="n">
        <f aca="false">$J92*S92</f>
        <v>0.504201680672269</v>
      </c>
      <c r="AF92" s="111" t="n">
        <f aca="false">$J92*T92</f>
        <v>0.420168067226891</v>
      </c>
      <c r="AG92" s="111" t="n">
        <f aca="false">$J92*U92</f>
        <v>0.117647058823529</v>
      </c>
      <c r="AH92" s="111" t="n">
        <f aca="false">$J92*V92</f>
        <v>0.151260504201681</v>
      </c>
      <c r="AI92" s="112" t="n">
        <f aca="false">$J92*W92</f>
        <v>0.0840336134453782</v>
      </c>
      <c r="AJ92" s="116" t="n">
        <f aca="false">Input!$E$22*WRs!C92+Input!$E$23*WRs!D92+Input!$E$24*WRs!X92+Input!$E$25*WRs!Y92+Input!$E$26*WRs!Z92+Input!$E$27*WRs!AA92+Input!$E$28*WRs!AB92+Input!$E$29*WRs!AC92+Input!$E$30*WRs!E92+Input!$E$31*WRs!G92+Input!$E$32*WRs!H92+Input!$E$33*WRs!AD92+Input!$E$34*WRs!AE92+Input!$E$35*WRs!AF92+Input!$E$36*WRs!AG92+Input!$E$37*WRs!AH92+Input!$E$38*WRs!AI92+Input!$E$39*WRs!I92+Input!$E$40*WRs!K92</f>
        <v>53.0075630252101</v>
      </c>
    </row>
    <row r="93" customFormat="false" ht="12.75" hidden="false" customHeight="false" outlineLevel="0" collapsed="false">
      <c r="A93" s="141" t="s">
        <v>432</v>
      </c>
      <c r="B93" s="112" t="s">
        <v>138</v>
      </c>
      <c r="C93" s="98" t="n">
        <v>1</v>
      </c>
      <c r="D93" s="96" t="n">
        <v>3</v>
      </c>
      <c r="E93" s="96" t="n">
        <v>0</v>
      </c>
      <c r="F93" s="97" t="n">
        <v>0</v>
      </c>
      <c r="G93" s="98" t="n">
        <v>35</v>
      </c>
      <c r="H93" s="96" t="n">
        <f aca="false">10.9*G93</f>
        <v>381.5</v>
      </c>
      <c r="I93" s="96" t="n">
        <v>0</v>
      </c>
      <c r="J93" s="97" t="n">
        <v>1</v>
      </c>
      <c r="K93" s="96" t="n">
        <v>0</v>
      </c>
      <c r="L93" s="107" t="n">
        <v>0.727272727272727</v>
      </c>
      <c r="M93" s="108" t="n">
        <v>0.0979020979020979</v>
      </c>
      <c r="N93" s="108" t="n">
        <v>0.0629370629370629</v>
      </c>
      <c r="O93" s="108" t="n">
        <v>0.020979020979021</v>
      </c>
      <c r="P93" s="108" t="n">
        <v>0.027972027972028</v>
      </c>
      <c r="Q93" s="109" t="n">
        <v>0.0629370629370629</v>
      </c>
      <c r="R93" s="107" t="n">
        <v>0.369747899159664</v>
      </c>
      <c r="S93" s="108" t="n">
        <v>0.252100840336134</v>
      </c>
      <c r="T93" s="108" t="n">
        <v>0.210084033613445</v>
      </c>
      <c r="U93" s="108" t="n">
        <v>0.0588235294117647</v>
      </c>
      <c r="V93" s="108" t="n">
        <v>0.0756302521008403</v>
      </c>
      <c r="W93" s="109" t="n">
        <v>0.0420168067226891</v>
      </c>
      <c r="X93" s="110" t="n">
        <f aca="false">$F93*L93</f>
        <v>0</v>
      </c>
      <c r="Y93" s="111" t="n">
        <f aca="false">$F93*M93</f>
        <v>0</v>
      </c>
      <c r="Z93" s="111" t="n">
        <f aca="false">$F93*N93</f>
        <v>0</v>
      </c>
      <c r="AA93" s="111" t="n">
        <f aca="false">$F93*O93</f>
        <v>0</v>
      </c>
      <c r="AB93" s="111" t="n">
        <f aca="false">$F93*P93</f>
        <v>0</v>
      </c>
      <c r="AC93" s="112" t="n">
        <f aca="false">$F93*Q93</f>
        <v>0</v>
      </c>
      <c r="AD93" s="110" t="n">
        <f aca="false">$J93*R93</f>
        <v>0.369747899159664</v>
      </c>
      <c r="AE93" s="111" t="n">
        <f aca="false">$J93*S93</f>
        <v>0.252100840336134</v>
      </c>
      <c r="AF93" s="111" t="n">
        <f aca="false">$J93*T93</f>
        <v>0.210084033613445</v>
      </c>
      <c r="AG93" s="111" t="n">
        <f aca="false">$J93*U93</f>
        <v>0.0588235294117647</v>
      </c>
      <c r="AH93" s="111" t="n">
        <f aca="false">$J93*V93</f>
        <v>0.0756302521008403</v>
      </c>
      <c r="AI93" s="112" t="n">
        <f aca="false">$J93*W93</f>
        <v>0.0420168067226891</v>
      </c>
      <c r="AJ93" s="116" t="n">
        <f aca="false">Input!$E$22*WRs!C93+Input!$E$23*WRs!D93+Input!$E$24*WRs!X93+Input!$E$25*WRs!Y93+Input!$E$26*WRs!Z93+Input!$E$27*WRs!AA93+Input!$E$28*WRs!AB93+Input!$E$29*WRs!AC93+Input!$E$30*WRs!E93+Input!$E$31*WRs!G93+Input!$E$32*WRs!H93+Input!$E$33*WRs!AD93+Input!$E$34*WRs!AE93+Input!$E$35*WRs!AF93+Input!$E$36*WRs!AG93+Input!$E$37*WRs!AH93+Input!$E$38*WRs!AI93+Input!$E$39*WRs!I93+Input!$E$40*WRs!K93</f>
        <v>45.903781512605</v>
      </c>
    </row>
    <row r="94" customFormat="false" ht="12.75" hidden="false" customHeight="false" outlineLevel="0" collapsed="false">
      <c r="A94" s="141" t="s">
        <v>433</v>
      </c>
      <c r="B94" s="112" t="s">
        <v>176</v>
      </c>
      <c r="C94" s="98" t="n">
        <v>0</v>
      </c>
      <c r="D94" s="96" t="n">
        <v>0</v>
      </c>
      <c r="E94" s="96" t="n">
        <v>0</v>
      </c>
      <c r="F94" s="97" t="n">
        <v>0</v>
      </c>
      <c r="G94" s="98" t="n">
        <v>35</v>
      </c>
      <c r="H94" s="96" t="n">
        <f aca="false">12*G94</f>
        <v>420</v>
      </c>
      <c r="I94" s="96" t="n">
        <v>0</v>
      </c>
      <c r="J94" s="97" t="n">
        <v>1</v>
      </c>
      <c r="K94" s="96" t="n">
        <v>0</v>
      </c>
      <c r="L94" s="107" t="n">
        <v>0.727272727272727</v>
      </c>
      <c r="M94" s="108" t="n">
        <v>0.0979020979020979</v>
      </c>
      <c r="N94" s="108" t="n">
        <v>0.0629370629370629</v>
      </c>
      <c r="O94" s="108" t="n">
        <v>0.020979020979021</v>
      </c>
      <c r="P94" s="108" t="n">
        <v>0.027972027972028</v>
      </c>
      <c r="Q94" s="109" t="n">
        <v>0.0629370629370629</v>
      </c>
      <c r="R94" s="107" t="n">
        <v>0.369747899159664</v>
      </c>
      <c r="S94" s="108" t="n">
        <v>0.252100840336134</v>
      </c>
      <c r="T94" s="108" t="n">
        <v>0.210084033613445</v>
      </c>
      <c r="U94" s="108" t="n">
        <v>0.0588235294117647</v>
      </c>
      <c r="V94" s="108" t="n">
        <v>0.0756302521008403</v>
      </c>
      <c r="W94" s="109" t="n">
        <v>0.0420168067226891</v>
      </c>
      <c r="X94" s="110" t="n">
        <f aca="false">$F94*L94</f>
        <v>0</v>
      </c>
      <c r="Y94" s="111" t="n">
        <f aca="false">$F94*M94</f>
        <v>0</v>
      </c>
      <c r="Z94" s="111" t="n">
        <f aca="false">$F94*N94</f>
        <v>0</v>
      </c>
      <c r="AA94" s="111" t="n">
        <f aca="false">$F94*O94</f>
        <v>0</v>
      </c>
      <c r="AB94" s="111" t="n">
        <f aca="false">$F94*P94</f>
        <v>0</v>
      </c>
      <c r="AC94" s="112" t="n">
        <f aca="false">$F94*Q94</f>
        <v>0</v>
      </c>
      <c r="AD94" s="110" t="n">
        <f aca="false">$J94*R94</f>
        <v>0.369747899159664</v>
      </c>
      <c r="AE94" s="111" t="n">
        <f aca="false">$J94*S94</f>
        <v>0.252100840336134</v>
      </c>
      <c r="AF94" s="111" t="n">
        <f aca="false">$J94*T94</f>
        <v>0.210084033613445</v>
      </c>
      <c r="AG94" s="111" t="n">
        <f aca="false">$J94*U94</f>
        <v>0.0588235294117647</v>
      </c>
      <c r="AH94" s="111" t="n">
        <f aca="false">$J94*V94</f>
        <v>0.0756302521008403</v>
      </c>
      <c r="AI94" s="112" t="n">
        <f aca="false">$J94*W94</f>
        <v>0.0420168067226891</v>
      </c>
      <c r="AJ94" s="116" t="n">
        <f aca="false">Input!$E$22*WRs!C94+Input!$E$23*WRs!D94+Input!$E$24*WRs!X94+Input!$E$25*WRs!Y94+Input!$E$26*WRs!Z94+Input!$E$27*WRs!AA94+Input!$E$28*WRs!AB94+Input!$E$29*WRs!AC94+Input!$E$30*WRs!E94+Input!$E$31*WRs!G94+Input!$E$32*WRs!H94+Input!$E$33*WRs!AD94+Input!$E$34*WRs!AE94+Input!$E$35*WRs!AF94+Input!$E$36*WRs!AG94+Input!$E$37*WRs!AH94+Input!$E$38*WRs!AI94+Input!$E$39*WRs!I94+Input!$E$40*WRs!K94</f>
        <v>49.453781512605</v>
      </c>
    </row>
    <row r="95" customFormat="false" ht="12.75" hidden="false" customHeight="false" outlineLevel="0" collapsed="false">
      <c r="A95" s="141" t="s">
        <v>434</v>
      </c>
      <c r="B95" s="112" t="s">
        <v>196</v>
      </c>
      <c r="C95" s="98" t="n">
        <v>0</v>
      </c>
      <c r="D95" s="96" t="n">
        <v>0</v>
      </c>
      <c r="E95" s="96" t="n">
        <v>0</v>
      </c>
      <c r="F95" s="97" t="n">
        <v>0</v>
      </c>
      <c r="G95" s="98" t="n">
        <v>30</v>
      </c>
      <c r="H95" s="96" t="n">
        <f aca="false">12*G95</f>
        <v>360</v>
      </c>
      <c r="I95" s="96" t="n">
        <v>0</v>
      </c>
      <c r="J95" s="97" t="n">
        <v>2</v>
      </c>
      <c r="K95" s="96" t="n">
        <v>0</v>
      </c>
      <c r="L95" s="107" t="n">
        <v>0.727272727272727</v>
      </c>
      <c r="M95" s="108" t="n">
        <v>0.0979020979020979</v>
      </c>
      <c r="N95" s="108" t="n">
        <v>0.0629370629370629</v>
      </c>
      <c r="O95" s="108" t="n">
        <v>0.020979020979021</v>
      </c>
      <c r="P95" s="108" t="n">
        <v>0.027972027972028</v>
      </c>
      <c r="Q95" s="109" t="n">
        <v>0.0629370629370629</v>
      </c>
      <c r="R95" s="107" t="n">
        <v>0.369747899159664</v>
      </c>
      <c r="S95" s="108" t="n">
        <v>0.252100840336134</v>
      </c>
      <c r="T95" s="108" t="n">
        <v>0.210084033613445</v>
      </c>
      <c r="U95" s="108" t="n">
        <v>0.0588235294117647</v>
      </c>
      <c r="V95" s="108" t="n">
        <v>0.0756302521008403</v>
      </c>
      <c r="W95" s="109" t="n">
        <v>0.0420168067226891</v>
      </c>
      <c r="X95" s="110" t="n">
        <f aca="false">$F95*L95</f>
        <v>0</v>
      </c>
      <c r="Y95" s="111" t="n">
        <f aca="false">$F95*M95</f>
        <v>0</v>
      </c>
      <c r="Z95" s="111" t="n">
        <f aca="false">$F95*N95</f>
        <v>0</v>
      </c>
      <c r="AA95" s="111" t="n">
        <f aca="false">$F95*O95</f>
        <v>0</v>
      </c>
      <c r="AB95" s="111" t="n">
        <f aca="false">$F95*P95</f>
        <v>0</v>
      </c>
      <c r="AC95" s="112" t="n">
        <f aca="false">$F95*Q95</f>
        <v>0</v>
      </c>
      <c r="AD95" s="110" t="n">
        <f aca="false">$J95*R95</f>
        <v>0.739495798319328</v>
      </c>
      <c r="AE95" s="111" t="n">
        <f aca="false">$J95*S95</f>
        <v>0.504201680672269</v>
      </c>
      <c r="AF95" s="111" t="n">
        <f aca="false">$J95*T95</f>
        <v>0.420168067226891</v>
      </c>
      <c r="AG95" s="111" t="n">
        <f aca="false">$J95*U95</f>
        <v>0.117647058823529</v>
      </c>
      <c r="AH95" s="111" t="n">
        <f aca="false">$J95*V95</f>
        <v>0.151260504201681</v>
      </c>
      <c r="AI95" s="112" t="n">
        <f aca="false">$J95*W95</f>
        <v>0.0840336134453782</v>
      </c>
      <c r="AJ95" s="116" t="n">
        <f aca="false">Input!$E$22*WRs!C95+Input!$E$23*WRs!D95+Input!$E$24*WRs!X95+Input!$E$25*WRs!Y95+Input!$E$26*WRs!Z95+Input!$E$27*WRs!AA95+Input!$E$28*WRs!AB95+Input!$E$29*WRs!AC95+Input!$E$30*WRs!E95+Input!$E$31*WRs!G95+Input!$E$32*WRs!H95+Input!$E$33*WRs!AD95+Input!$E$34*WRs!AE95+Input!$E$35*WRs!AF95+Input!$E$36*WRs!AG95+Input!$E$37*WRs!AH95+Input!$E$38*WRs!AI95+Input!$E$39*WRs!I95+Input!$E$40*WRs!K95</f>
        <v>50.9075630252101</v>
      </c>
    </row>
    <row r="96" customFormat="false" ht="12.75" hidden="false" customHeight="false" outlineLevel="0" collapsed="false">
      <c r="A96" s="141" t="s">
        <v>435</v>
      </c>
      <c r="B96" s="112" t="s">
        <v>178</v>
      </c>
      <c r="C96" s="98" t="n">
        <v>0</v>
      </c>
      <c r="D96" s="96" t="n">
        <v>0</v>
      </c>
      <c r="E96" s="96" t="n">
        <v>0</v>
      </c>
      <c r="F96" s="97" t="n">
        <v>0</v>
      </c>
      <c r="G96" s="98" t="n">
        <v>25</v>
      </c>
      <c r="H96" s="96" t="n">
        <f aca="false">12*G96</f>
        <v>300</v>
      </c>
      <c r="I96" s="96" t="n">
        <v>0</v>
      </c>
      <c r="J96" s="97" t="n">
        <v>2</v>
      </c>
      <c r="K96" s="96" t="n">
        <v>0</v>
      </c>
      <c r="L96" s="107" t="n">
        <v>0.727272727272727</v>
      </c>
      <c r="M96" s="108" t="n">
        <v>0.0979020979020979</v>
      </c>
      <c r="N96" s="108" t="n">
        <v>0.0629370629370629</v>
      </c>
      <c r="O96" s="108" t="n">
        <v>0.020979020979021</v>
      </c>
      <c r="P96" s="108" t="n">
        <v>0.027972027972028</v>
      </c>
      <c r="Q96" s="109" t="n">
        <v>0.0629370629370629</v>
      </c>
      <c r="R96" s="107" t="n">
        <v>0.369747899159664</v>
      </c>
      <c r="S96" s="108" t="n">
        <v>0.252100840336134</v>
      </c>
      <c r="T96" s="108" t="n">
        <v>0.210084033613445</v>
      </c>
      <c r="U96" s="108" t="n">
        <v>0.0588235294117647</v>
      </c>
      <c r="V96" s="108" t="n">
        <v>0.0756302521008403</v>
      </c>
      <c r="W96" s="109" t="n">
        <v>0.0420168067226891</v>
      </c>
      <c r="X96" s="110" t="n">
        <f aca="false">$F96*L96</f>
        <v>0</v>
      </c>
      <c r="Y96" s="111" t="n">
        <f aca="false">$F96*M96</f>
        <v>0</v>
      </c>
      <c r="Z96" s="111" t="n">
        <f aca="false">$F96*N96</f>
        <v>0</v>
      </c>
      <c r="AA96" s="111" t="n">
        <f aca="false">$F96*O96</f>
        <v>0</v>
      </c>
      <c r="AB96" s="111" t="n">
        <f aca="false">$F96*P96</f>
        <v>0</v>
      </c>
      <c r="AC96" s="112" t="n">
        <f aca="false">$F96*Q96</f>
        <v>0</v>
      </c>
      <c r="AD96" s="110" t="n">
        <f aca="false">$J96*R96</f>
        <v>0.739495798319328</v>
      </c>
      <c r="AE96" s="111" t="n">
        <f aca="false">$J96*S96</f>
        <v>0.504201680672269</v>
      </c>
      <c r="AF96" s="111" t="n">
        <f aca="false">$J96*T96</f>
        <v>0.420168067226891</v>
      </c>
      <c r="AG96" s="111" t="n">
        <f aca="false">$J96*U96</f>
        <v>0.117647058823529</v>
      </c>
      <c r="AH96" s="111" t="n">
        <f aca="false">$J96*V96</f>
        <v>0.151260504201681</v>
      </c>
      <c r="AI96" s="112" t="n">
        <f aca="false">$J96*W96</f>
        <v>0.0840336134453782</v>
      </c>
      <c r="AJ96" s="116" t="n">
        <f aca="false">Input!$E$22*WRs!C96+Input!$E$23*WRs!D96+Input!$E$24*WRs!X96+Input!$E$25*WRs!Y96+Input!$E$26*WRs!Z96+Input!$E$27*WRs!AA96+Input!$E$28*WRs!AB96+Input!$E$29*WRs!AC96+Input!$E$30*WRs!E96+Input!$E$31*WRs!G96+Input!$E$32*WRs!H96+Input!$E$33*WRs!AD96+Input!$E$34*WRs!AE96+Input!$E$35*WRs!AF96+Input!$E$36*WRs!AG96+Input!$E$37*WRs!AH96+Input!$E$38*WRs!AI96+Input!$E$39*WRs!I96+Input!$E$40*WRs!K96</f>
        <v>44.9075630252101</v>
      </c>
    </row>
    <row r="97" customFormat="false" ht="12.75" hidden="false" customHeight="false" outlineLevel="0" collapsed="false">
      <c r="A97" s="141" t="s">
        <v>436</v>
      </c>
      <c r="B97" s="112" t="s">
        <v>194</v>
      </c>
      <c r="C97" s="98" t="n">
        <v>0</v>
      </c>
      <c r="D97" s="96" t="n">
        <v>0</v>
      </c>
      <c r="E97" s="96" t="n">
        <v>0</v>
      </c>
      <c r="F97" s="97" t="n">
        <v>0</v>
      </c>
      <c r="G97" s="98" t="n">
        <v>24</v>
      </c>
      <c r="H97" s="96" t="n">
        <f aca="false">12*G97</f>
        <v>288</v>
      </c>
      <c r="I97" s="96" t="n">
        <v>0</v>
      </c>
      <c r="J97" s="97" t="n">
        <v>2</v>
      </c>
      <c r="K97" s="96" t="n">
        <v>0</v>
      </c>
      <c r="L97" s="107" t="n">
        <v>0.727272727272727</v>
      </c>
      <c r="M97" s="108" t="n">
        <v>0.0979020979020979</v>
      </c>
      <c r="N97" s="108" t="n">
        <v>0.0629370629370629</v>
      </c>
      <c r="O97" s="108" t="n">
        <v>0.020979020979021</v>
      </c>
      <c r="P97" s="108" t="n">
        <v>0.027972027972028</v>
      </c>
      <c r="Q97" s="109" t="n">
        <v>0.0629370629370629</v>
      </c>
      <c r="R97" s="107" t="n">
        <v>0.369747899159664</v>
      </c>
      <c r="S97" s="108" t="n">
        <v>0.252100840336134</v>
      </c>
      <c r="T97" s="108" t="n">
        <v>0.210084033613445</v>
      </c>
      <c r="U97" s="108" t="n">
        <v>0.0588235294117647</v>
      </c>
      <c r="V97" s="108" t="n">
        <v>0.0756302521008403</v>
      </c>
      <c r="W97" s="109" t="n">
        <v>0.0420168067226891</v>
      </c>
      <c r="X97" s="110" t="n">
        <f aca="false">$F97*L97</f>
        <v>0</v>
      </c>
      <c r="Y97" s="111" t="n">
        <f aca="false">$F97*M97</f>
        <v>0</v>
      </c>
      <c r="Z97" s="111" t="n">
        <f aca="false">$F97*N97</f>
        <v>0</v>
      </c>
      <c r="AA97" s="111" t="n">
        <f aca="false">$F97*O97</f>
        <v>0</v>
      </c>
      <c r="AB97" s="111" t="n">
        <f aca="false">$F97*P97</f>
        <v>0</v>
      </c>
      <c r="AC97" s="112" t="n">
        <f aca="false">$F97*Q97</f>
        <v>0</v>
      </c>
      <c r="AD97" s="110" t="n">
        <f aca="false">$J97*R97</f>
        <v>0.739495798319328</v>
      </c>
      <c r="AE97" s="111" t="n">
        <f aca="false">$J97*S97</f>
        <v>0.504201680672269</v>
      </c>
      <c r="AF97" s="111" t="n">
        <f aca="false">$J97*T97</f>
        <v>0.420168067226891</v>
      </c>
      <c r="AG97" s="111" t="n">
        <f aca="false">$J97*U97</f>
        <v>0.117647058823529</v>
      </c>
      <c r="AH97" s="111" t="n">
        <f aca="false">$J97*V97</f>
        <v>0.151260504201681</v>
      </c>
      <c r="AI97" s="112" t="n">
        <f aca="false">$J97*W97</f>
        <v>0.0840336134453782</v>
      </c>
      <c r="AJ97" s="116" t="n">
        <f aca="false">Input!$E$22*WRs!C97+Input!$E$23*WRs!D97+Input!$E$24*WRs!X97+Input!$E$25*WRs!Y97+Input!$E$26*WRs!Z97+Input!$E$27*WRs!AA97+Input!$E$28*WRs!AB97+Input!$E$29*WRs!AC97+Input!$E$30*WRs!E97+Input!$E$31*WRs!G97+Input!$E$32*WRs!H97+Input!$E$33*WRs!AD97+Input!$E$34*WRs!AE97+Input!$E$35*WRs!AF97+Input!$E$36*WRs!AG97+Input!$E$37*WRs!AH97+Input!$E$38*WRs!AI97+Input!$E$39*WRs!I97+Input!$E$40*WRs!K97</f>
        <v>43.7075630252101</v>
      </c>
    </row>
    <row r="98" customFormat="false" ht="12.75" hidden="false" customHeight="false" outlineLevel="0" collapsed="false">
      <c r="A98" s="141" t="s">
        <v>437</v>
      </c>
      <c r="B98" s="112" t="s">
        <v>138</v>
      </c>
      <c r="C98" s="98" t="n">
        <v>0</v>
      </c>
      <c r="D98" s="96" t="n">
        <v>0</v>
      </c>
      <c r="E98" s="96" t="n">
        <v>0</v>
      </c>
      <c r="F98" s="97" t="n">
        <v>0</v>
      </c>
      <c r="G98" s="98" t="n">
        <v>25</v>
      </c>
      <c r="H98" s="96" t="n">
        <f aca="false">12.9*G98</f>
        <v>322.5</v>
      </c>
      <c r="I98" s="96" t="n">
        <v>0</v>
      </c>
      <c r="J98" s="97" t="n">
        <v>1</v>
      </c>
      <c r="K98" s="96" t="n">
        <v>0</v>
      </c>
      <c r="L98" s="107" t="n">
        <v>0.727272727272727</v>
      </c>
      <c r="M98" s="108" t="n">
        <v>0.0979020979020979</v>
      </c>
      <c r="N98" s="108" t="n">
        <v>0.0629370629370629</v>
      </c>
      <c r="O98" s="108" t="n">
        <v>0.020979020979021</v>
      </c>
      <c r="P98" s="108" t="n">
        <v>0.027972027972028</v>
      </c>
      <c r="Q98" s="109" t="n">
        <v>0.0629370629370629</v>
      </c>
      <c r="R98" s="107" t="n">
        <v>0.369747899159664</v>
      </c>
      <c r="S98" s="108" t="n">
        <v>0.252100840336134</v>
      </c>
      <c r="T98" s="108" t="n">
        <v>0.210084033613445</v>
      </c>
      <c r="U98" s="108" t="n">
        <v>0.0588235294117647</v>
      </c>
      <c r="V98" s="108" t="n">
        <v>0.0756302521008403</v>
      </c>
      <c r="W98" s="109" t="n">
        <v>0.0420168067226891</v>
      </c>
      <c r="X98" s="110" t="n">
        <f aca="false">$F98*L98</f>
        <v>0</v>
      </c>
      <c r="Y98" s="111" t="n">
        <f aca="false">$F98*M98</f>
        <v>0</v>
      </c>
      <c r="Z98" s="111" t="n">
        <f aca="false">$F98*N98</f>
        <v>0</v>
      </c>
      <c r="AA98" s="111" t="n">
        <f aca="false">$F98*O98</f>
        <v>0</v>
      </c>
      <c r="AB98" s="111" t="n">
        <f aca="false">$F98*P98</f>
        <v>0</v>
      </c>
      <c r="AC98" s="112" t="n">
        <f aca="false">$F98*Q98</f>
        <v>0</v>
      </c>
      <c r="AD98" s="110" t="n">
        <f aca="false">$J98*R98</f>
        <v>0.369747899159664</v>
      </c>
      <c r="AE98" s="111" t="n">
        <f aca="false">$J98*S98</f>
        <v>0.252100840336134</v>
      </c>
      <c r="AF98" s="111" t="n">
        <f aca="false">$J98*T98</f>
        <v>0.210084033613445</v>
      </c>
      <c r="AG98" s="111" t="n">
        <f aca="false">$J98*U98</f>
        <v>0.0588235294117647</v>
      </c>
      <c r="AH98" s="111" t="n">
        <f aca="false">$J98*V98</f>
        <v>0.0756302521008403</v>
      </c>
      <c r="AI98" s="112" t="n">
        <f aca="false">$J98*W98</f>
        <v>0.0420168067226891</v>
      </c>
      <c r="AJ98" s="116" t="n">
        <f aca="false">Input!$E$22*WRs!C98+Input!$E$23*WRs!D98+Input!$E$24*WRs!X98+Input!$E$25*WRs!Y98+Input!$E$26*WRs!Z98+Input!$E$27*WRs!AA98+Input!$E$28*WRs!AB98+Input!$E$29*WRs!AC98+Input!$E$30*WRs!E98+Input!$E$31*WRs!G98+Input!$E$32*WRs!H98+Input!$E$33*WRs!AD98+Input!$E$34*WRs!AE98+Input!$E$35*WRs!AF98+Input!$E$36*WRs!AG98+Input!$E$37*WRs!AH98+Input!$E$38*WRs!AI98+Input!$E$39*WRs!I98+Input!$E$40*WRs!K98</f>
        <v>39.703781512605</v>
      </c>
    </row>
    <row r="99" customFormat="false" ht="12.75" hidden="false" customHeight="false" outlineLevel="0" collapsed="false">
      <c r="A99" s="141" t="s">
        <v>438</v>
      </c>
      <c r="B99" s="112" t="s">
        <v>196</v>
      </c>
      <c r="C99" s="98" t="n">
        <v>0</v>
      </c>
      <c r="D99" s="96" t="n">
        <v>0</v>
      </c>
      <c r="E99" s="96" t="n">
        <v>0</v>
      </c>
      <c r="F99" s="97" t="n">
        <v>0</v>
      </c>
      <c r="G99" s="98" t="n">
        <v>20</v>
      </c>
      <c r="H99" s="96" t="n">
        <f aca="false">13.5*G99</f>
        <v>270</v>
      </c>
      <c r="I99" s="96" t="n">
        <v>0</v>
      </c>
      <c r="J99" s="97" t="n">
        <v>1</v>
      </c>
      <c r="K99" s="96" t="n">
        <v>0</v>
      </c>
      <c r="L99" s="107" t="n">
        <v>0.727272727272727</v>
      </c>
      <c r="M99" s="108" t="n">
        <v>0.0979020979020979</v>
      </c>
      <c r="N99" s="108" t="n">
        <v>0.0629370629370629</v>
      </c>
      <c r="O99" s="108" t="n">
        <v>0.020979020979021</v>
      </c>
      <c r="P99" s="108" t="n">
        <v>0.027972027972028</v>
      </c>
      <c r="Q99" s="109" t="n">
        <v>0.0629370629370629</v>
      </c>
      <c r="R99" s="107" t="n">
        <v>0.369747899159664</v>
      </c>
      <c r="S99" s="108" t="n">
        <v>0.252100840336134</v>
      </c>
      <c r="T99" s="108" t="n">
        <v>0.210084033613445</v>
      </c>
      <c r="U99" s="108" t="n">
        <v>0.0588235294117647</v>
      </c>
      <c r="V99" s="108" t="n">
        <v>0.0756302521008403</v>
      </c>
      <c r="W99" s="109" t="n">
        <v>0.0420168067226891</v>
      </c>
      <c r="X99" s="110" t="n">
        <f aca="false">$F99*L99</f>
        <v>0</v>
      </c>
      <c r="Y99" s="111" t="n">
        <f aca="false">$F99*M99</f>
        <v>0</v>
      </c>
      <c r="Z99" s="111" t="n">
        <f aca="false">$F99*N99</f>
        <v>0</v>
      </c>
      <c r="AA99" s="111" t="n">
        <f aca="false">$F99*O99</f>
        <v>0</v>
      </c>
      <c r="AB99" s="111" t="n">
        <f aca="false">$F99*P99</f>
        <v>0</v>
      </c>
      <c r="AC99" s="112" t="n">
        <f aca="false">$F99*Q99</f>
        <v>0</v>
      </c>
      <c r="AD99" s="110" t="n">
        <f aca="false">$J99*R99</f>
        <v>0.369747899159664</v>
      </c>
      <c r="AE99" s="111" t="n">
        <f aca="false">$J99*S99</f>
        <v>0.252100840336134</v>
      </c>
      <c r="AF99" s="111" t="n">
        <f aca="false">$J99*T99</f>
        <v>0.210084033613445</v>
      </c>
      <c r="AG99" s="111" t="n">
        <f aca="false">$J99*U99</f>
        <v>0.0588235294117647</v>
      </c>
      <c r="AH99" s="111" t="n">
        <f aca="false">$J99*V99</f>
        <v>0.0756302521008403</v>
      </c>
      <c r="AI99" s="112" t="n">
        <f aca="false">$J99*W99</f>
        <v>0.0420168067226891</v>
      </c>
      <c r="AJ99" s="116" t="n">
        <f aca="false">Input!$E$22*WRs!C99+Input!$E$23*WRs!D99+Input!$E$24*WRs!X99+Input!$E$25*WRs!Y99+Input!$E$26*WRs!Z99+Input!$E$27*WRs!AA99+Input!$E$28*WRs!AB99+Input!$E$29*WRs!AC99+Input!$E$30*WRs!E99+Input!$E$31*WRs!G99+Input!$E$32*WRs!H99+Input!$E$33*WRs!AD99+Input!$E$34*WRs!AE99+Input!$E$35*WRs!AF99+Input!$E$36*WRs!AG99+Input!$E$37*WRs!AH99+Input!$E$38*WRs!AI99+Input!$E$39*WRs!I99+Input!$E$40*WRs!K99</f>
        <v>34.453781512605</v>
      </c>
    </row>
    <row r="100" customFormat="false" ht="12.75" hidden="false" customHeight="false" outlineLevel="0" collapsed="false">
      <c r="A100" s="141" t="s">
        <v>439</v>
      </c>
      <c r="B100" s="112" t="s">
        <v>194</v>
      </c>
      <c r="C100" s="98" t="n">
        <v>0</v>
      </c>
      <c r="D100" s="96" t="n">
        <v>0</v>
      </c>
      <c r="E100" s="96" t="n">
        <v>0</v>
      </c>
      <c r="F100" s="97" t="n">
        <v>0</v>
      </c>
      <c r="G100" s="98" t="n">
        <v>20</v>
      </c>
      <c r="H100" s="96" t="n">
        <f aca="false">13*G100</f>
        <v>260</v>
      </c>
      <c r="I100" s="96" t="n">
        <v>0</v>
      </c>
      <c r="J100" s="97" t="n">
        <v>2</v>
      </c>
      <c r="K100" s="96" t="n">
        <v>0</v>
      </c>
      <c r="L100" s="107" t="n">
        <v>0.727272727272727</v>
      </c>
      <c r="M100" s="108" t="n">
        <v>0.0979020979020979</v>
      </c>
      <c r="N100" s="108" t="n">
        <v>0.0629370629370629</v>
      </c>
      <c r="O100" s="108" t="n">
        <v>0.020979020979021</v>
      </c>
      <c r="P100" s="108" t="n">
        <v>0.027972027972028</v>
      </c>
      <c r="Q100" s="109" t="n">
        <v>0.0629370629370629</v>
      </c>
      <c r="R100" s="107" t="n">
        <v>0.369747899159664</v>
      </c>
      <c r="S100" s="108" t="n">
        <v>0.252100840336134</v>
      </c>
      <c r="T100" s="108" t="n">
        <v>0.210084033613445</v>
      </c>
      <c r="U100" s="108" t="n">
        <v>0.0588235294117647</v>
      </c>
      <c r="V100" s="108" t="n">
        <v>0.0756302521008403</v>
      </c>
      <c r="W100" s="109" t="n">
        <v>0.0420168067226891</v>
      </c>
      <c r="X100" s="110" t="n">
        <f aca="false">$F100*L100</f>
        <v>0</v>
      </c>
      <c r="Y100" s="111" t="n">
        <f aca="false">$F100*M100</f>
        <v>0</v>
      </c>
      <c r="Z100" s="111" t="n">
        <f aca="false">$F100*N100</f>
        <v>0</v>
      </c>
      <c r="AA100" s="111" t="n">
        <f aca="false">$F100*O100</f>
        <v>0</v>
      </c>
      <c r="AB100" s="111" t="n">
        <f aca="false">$F100*P100</f>
        <v>0</v>
      </c>
      <c r="AC100" s="112" t="n">
        <f aca="false">$F100*Q100</f>
        <v>0</v>
      </c>
      <c r="AD100" s="110" t="n">
        <f aca="false">$J100*R100</f>
        <v>0.739495798319328</v>
      </c>
      <c r="AE100" s="111" t="n">
        <f aca="false">$J100*S100</f>
        <v>0.504201680672269</v>
      </c>
      <c r="AF100" s="111" t="n">
        <f aca="false">$J100*T100</f>
        <v>0.420168067226891</v>
      </c>
      <c r="AG100" s="111" t="n">
        <f aca="false">$J100*U100</f>
        <v>0.117647058823529</v>
      </c>
      <c r="AH100" s="111" t="n">
        <f aca="false">$J100*V100</f>
        <v>0.151260504201681</v>
      </c>
      <c r="AI100" s="112" t="n">
        <f aca="false">$J100*W100</f>
        <v>0.0840336134453782</v>
      </c>
      <c r="AJ100" s="116" t="n">
        <f aca="false">Input!$E$22*WRs!C100+Input!$E$23*WRs!D100+Input!$E$24*WRs!X100+Input!$E$25*WRs!Y100+Input!$E$26*WRs!Z100+Input!$E$27*WRs!AA100+Input!$E$28*WRs!AB100+Input!$E$29*WRs!AC100+Input!$E$30*WRs!E100+Input!$E$31*WRs!G100+Input!$E$32*WRs!H100+Input!$E$33*WRs!AD100+Input!$E$34*WRs!AE100+Input!$E$35*WRs!AF100+Input!$E$36*WRs!AG100+Input!$E$37*WRs!AH100+Input!$E$38*WRs!AI100+Input!$E$39*WRs!I100+Input!$E$40*WRs!K100</f>
        <v>40.9075630252101</v>
      </c>
    </row>
    <row r="101" customFormat="false" ht="12.75" hidden="false" customHeight="false" outlineLevel="0" collapsed="false">
      <c r="A101" s="141" t="s">
        <v>440</v>
      </c>
      <c r="B101" s="112" t="s">
        <v>158</v>
      </c>
      <c r="C101" s="98" t="n">
        <v>0</v>
      </c>
      <c r="D101" s="96" t="n">
        <v>0</v>
      </c>
      <c r="E101" s="96" t="n">
        <v>0</v>
      </c>
      <c r="F101" s="97" t="n">
        <v>0</v>
      </c>
      <c r="G101" s="98" t="n">
        <v>28</v>
      </c>
      <c r="H101" s="96" t="n">
        <f aca="false">11*G101</f>
        <v>308</v>
      </c>
      <c r="I101" s="96" t="n">
        <v>0</v>
      </c>
      <c r="J101" s="97" t="n">
        <v>1</v>
      </c>
      <c r="K101" s="96" t="n">
        <v>0</v>
      </c>
      <c r="L101" s="107" t="n">
        <v>0.727272727272727</v>
      </c>
      <c r="M101" s="108" t="n">
        <v>0.0979020979020979</v>
      </c>
      <c r="N101" s="108" t="n">
        <v>0.0629370629370629</v>
      </c>
      <c r="O101" s="108" t="n">
        <v>0.020979020979021</v>
      </c>
      <c r="P101" s="108" t="n">
        <v>0.027972027972028</v>
      </c>
      <c r="Q101" s="109" t="n">
        <v>0.0629370629370629</v>
      </c>
      <c r="R101" s="107" t="n">
        <v>0.369747899159664</v>
      </c>
      <c r="S101" s="108" t="n">
        <v>0.252100840336134</v>
      </c>
      <c r="T101" s="108" t="n">
        <v>0.210084033613445</v>
      </c>
      <c r="U101" s="108" t="n">
        <v>0.0588235294117647</v>
      </c>
      <c r="V101" s="108" t="n">
        <v>0.0756302521008403</v>
      </c>
      <c r="W101" s="109" t="n">
        <v>0.0420168067226891</v>
      </c>
      <c r="X101" s="110" t="n">
        <f aca="false">$F101*L101</f>
        <v>0</v>
      </c>
      <c r="Y101" s="111" t="n">
        <f aca="false">$F101*M101</f>
        <v>0</v>
      </c>
      <c r="Z101" s="111" t="n">
        <f aca="false">$F101*N101</f>
        <v>0</v>
      </c>
      <c r="AA101" s="111" t="n">
        <f aca="false">$F101*O101</f>
        <v>0</v>
      </c>
      <c r="AB101" s="111" t="n">
        <f aca="false">$F101*P101</f>
        <v>0</v>
      </c>
      <c r="AC101" s="112" t="n">
        <f aca="false">$F101*Q101</f>
        <v>0</v>
      </c>
      <c r="AD101" s="110" t="n">
        <f aca="false">$J101*R101</f>
        <v>0.369747899159664</v>
      </c>
      <c r="AE101" s="111" t="n">
        <f aca="false">$J101*S101</f>
        <v>0.252100840336134</v>
      </c>
      <c r="AF101" s="111" t="n">
        <f aca="false">$J101*T101</f>
        <v>0.210084033613445</v>
      </c>
      <c r="AG101" s="111" t="n">
        <f aca="false">$J101*U101</f>
        <v>0.0588235294117647</v>
      </c>
      <c r="AH101" s="111" t="n">
        <f aca="false">$J101*V101</f>
        <v>0.0756302521008403</v>
      </c>
      <c r="AI101" s="112" t="n">
        <f aca="false">$J101*W101</f>
        <v>0.0420168067226891</v>
      </c>
      <c r="AJ101" s="116" t="n">
        <f aca="false">Input!$E$22*WRs!C101+Input!$E$23*WRs!D101+Input!$E$24*WRs!X101+Input!$E$25*WRs!Y101+Input!$E$26*WRs!Z101+Input!$E$27*WRs!AA101+Input!$E$28*WRs!AB101+Input!$E$29*WRs!AC101+Input!$E$30*WRs!E101+Input!$E$31*WRs!G101+Input!$E$32*WRs!H101+Input!$E$33*WRs!AD101+Input!$E$34*WRs!AE101+Input!$E$35*WRs!AF101+Input!$E$36*WRs!AG101+Input!$E$37*WRs!AH101+Input!$E$38*WRs!AI101+Input!$E$39*WRs!I101+Input!$E$40*WRs!K101</f>
        <v>38.253781512605</v>
      </c>
    </row>
    <row r="102" customFormat="false" ht="12.75" hidden="false" customHeight="false" outlineLevel="0" collapsed="false">
      <c r="A102" s="141" t="s">
        <v>441</v>
      </c>
      <c r="B102" s="112" t="s">
        <v>168</v>
      </c>
      <c r="C102" s="98" t="n">
        <v>0</v>
      </c>
      <c r="D102" s="96" t="n">
        <v>0</v>
      </c>
      <c r="E102" s="96" t="n">
        <v>0</v>
      </c>
      <c r="F102" s="97" t="n">
        <v>0</v>
      </c>
      <c r="G102" s="98" t="n">
        <v>20</v>
      </c>
      <c r="H102" s="96" t="n">
        <f aca="false">12*G102</f>
        <v>240</v>
      </c>
      <c r="I102" s="96" t="n">
        <v>0</v>
      </c>
      <c r="J102" s="97" t="n">
        <v>1</v>
      </c>
      <c r="K102" s="96" t="n">
        <v>0</v>
      </c>
      <c r="L102" s="107" t="n">
        <v>0.727272727272727</v>
      </c>
      <c r="M102" s="108" t="n">
        <v>0.0979020979020979</v>
      </c>
      <c r="N102" s="108" t="n">
        <v>0.0629370629370629</v>
      </c>
      <c r="O102" s="108" t="n">
        <v>0.020979020979021</v>
      </c>
      <c r="P102" s="108" t="n">
        <v>0.027972027972028</v>
      </c>
      <c r="Q102" s="109" t="n">
        <v>0.0629370629370629</v>
      </c>
      <c r="R102" s="107" t="n">
        <v>0.369747899159664</v>
      </c>
      <c r="S102" s="108" t="n">
        <v>0.252100840336134</v>
      </c>
      <c r="T102" s="108" t="n">
        <v>0.210084033613445</v>
      </c>
      <c r="U102" s="108" t="n">
        <v>0.0588235294117647</v>
      </c>
      <c r="V102" s="108" t="n">
        <v>0.0756302521008403</v>
      </c>
      <c r="W102" s="109" t="n">
        <v>0.0420168067226891</v>
      </c>
      <c r="X102" s="110" t="n">
        <f aca="false">$F102*L102</f>
        <v>0</v>
      </c>
      <c r="Y102" s="111" t="n">
        <f aca="false">$F102*M102</f>
        <v>0</v>
      </c>
      <c r="Z102" s="111" t="n">
        <f aca="false">$F102*N102</f>
        <v>0</v>
      </c>
      <c r="AA102" s="111" t="n">
        <f aca="false">$F102*O102</f>
        <v>0</v>
      </c>
      <c r="AB102" s="111" t="n">
        <f aca="false">$F102*P102</f>
        <v>0</v>
      </c>
      <c r="AC102" s="112" t="n">
        <f aca="false">$F102*Q102</f>
        <v>0</v>
      </c>
      <c r="AD102" s="110" t="n">
        <f aca="false">$J102*R102</f>
        <v>0.369747899159664</v>
      </c>
      <c r="AE102" s="111" t="n">
        <f aca="false">$J102*S102</f>
        <v>0.252100840336134</v>
      </c>
      <c r="AF102" s="111" t="n">
        <f aca="false">$J102*T102</f>
        <v>0.210084033613445</v>
      </c>
      <c r="AG102" s="111" t="n">
        <f aca="false">$J102*U102</f>
        <v>0.0588235294117647</v>
      </c>
      <c r="AH102" s="111" t="n">
        <f aca="false">$J102*V102</f>
        <v>0.0756302521008403</v>
      </c>
      <c r="AI102" s="112" t="n">
        <f aca="false">$J102*W102</f>
        <v>0.0420168067226891</v>
      </c>
      <c r="AJ102" s="116" t="n">
        <f aca="false">Input!$E$22*WRs!C102+Input!$E$23*WRs!D102+Input!$E$24*WRs!X102+Input!$E$25*WRs!Y102+Input!$E$26*WRs!Z102+Input!$E$27*WRs!AA102+Input!$E$28*WRs!AB102+Input!$E$29*WRs!AC102+Input!$E$30*WRs!E102+Input!$E$31*WRs!G102+Input!$E$32*WRs!H102+Input!$E$33*WRs!AD102+Input!$E$34*WRs!AE102+Input!$E$35*WRs!AF102+Input!$E$36*WRs!AG102+Input!$E$37*WRs!AH102+Input!$E$38*WRs!AI102+Input!$E$39*WRs!I102+Input!$E$40*WRs!K102</f>
        <v>31.453781512605</v>
      </c>
    </row>
    <row r="103" customFormat="false" ht="12.75" hidden="false" customHeight="false" outlineLevel="0" collapsed="false">
      <c r="A103" s="141" t="s">
        <v>442</v>
      </c>
      <c r="B103" s="112" t="s">
        <v>172</v>
      </c>
      <c r="C103" s="98" t="n">
        <v>0</v>
      </c>
      <c r="D103" s="96" t="n">
        <v>0</v>
      </c>
      <c r="E103" s="96" t="n">
        <v>0</v>
      </c>
      <c r="F103" s="97" t="n">
        <v>0</v>
      </c>
      <c r="G103" s="98" t="n">
        <v>25</v>
      </c>
      <c r="H103" s="96" t="n">
        <f aca="false">12*G103</f>
        <v>300</v>
      </c>
      <c r="I103" s="96" t="n">
        <v>0</v>
      </c>
      <c r="J103" s="97" t="n">
        <v>1</v>
      </c>
      <c r="K103" s="96" t="n">
        <v>0</v>
      </c>
      <c r="L103" s="107" t="n">
        <v>0.727272727272727</v>
      </c>
      <c r="M103" s="108" t="n">
        <v>0.0979020979020979</v>
      </c>
      <c r="N103" s="108" t="n">
        <v>0.0629370629370629</v>
      </c>
      <c r="O103" s="108" t="n">
        <v>0.020979020979021</v>
      </c>
      <c r="P103" s="108" t="n">
        <v>0.027972027972028</v>
      </c>
      <c r="Q103" s="109" t="n">
        <v>0.0629370629370629</v>
      </c>
      <c r="R103" s="107" t="n">
        <v>0.369747899159664</v>
      </c>
      <c r="S103" s="108" t="n">
        <v>0.252100840336134</v>
      </c>
      <c r="T103" s="108" t="n">
        <v>0.210084033613445</v>
      </c>
      <c r="U103" s="108" t="n">
        <v>0.0588235294117647</v>
      </c>
      <c r="V103" s="108" t="n">
        <v>0.0756302521008403</v>
      </c>
      <c r="W103" s="109" t="n">
        <v>0.0420168067226891</v>
      </c>
      <c r="X103" s="110" t="n">
        <f aca="false">$F103*L103</f>
        <v>0</v>
      </c>
      <c r="Y103" s="111" t="n">
        <f aca="false">$F103*M103</f>
        <v>0</v>
      </c>
      <c r="Z103" s="111" t="n">
        <f aca="false">$F103*N103</f>
        <v>0</v>
      </c>
      <c r="AA103" s="111" t="n">
        <f aca="false">$F103*O103</f>
        <v>0</v>
      </c>
      <c r="AB103" s="111" t="n">
        <f aca="false">$F103*P103</f>
        <v>0</v>
      </c>
      <c r="AC103" s="112" t="n">
        <f aca="false">$F103*Q103</f>
        <v>0</v>
      </c>
      <c r="AD103" s="110" t="n">
        <f aca="false">$J103*R103</f>
        <v>0.369747899159664</v>
      </c>
      <c r="AE103" s="111" t="n">
        <f aca="false">$J103*S103</f>
        <v>0.252100840336134</v>
      </c>
      <c r="AF103" s="111" t="n">
        <f aca="false">$J103*T103</f>
        <v>0.210084033613445</v>
      </c>
      <c r="AG103" s="111" t="n">
        <f aca="false">$J103*U103</f>
        <v>0.0588235294117647</v>
      </c>
      <c r="AH103" s="111" t="n">
        <f aca="false">$J103*V103</f>
        <v>0.0756302521008403</v>
      </c>
      <c r="AI103" s="112" t="n">
        <f aca="false">$J103*W103</f>
        <v>0.0420168067226891</v>
      </c>
      <c r="AJ103" s="116" t="n">
        <f aca="false">Input!$E$22*WRs!C103+Input!$E$23*WRs!D103+Input!$E$24*WRs!X103+Input!$E$25*WRs!Y103+Input!$E$26*WRs!Z103+Input!$E$27*WRs!AA103+Input!$E$28*WRs!AB103+Input!$E$29*WRs!AC103+Input!$E$30*WRs!E103+Input!$E$31*WRs!G103+Input!$E$32*WRs!H103+Input!$E$33*WRs!AD103+Input!$E$34*WRs!AE103+Input!$E$35*WRs!AF103+Input!$E$36*WRs!AG103+Input!$E$37*WRs!AH103+Input!$E$38*WRs!AI103+Input!$E$39*WRs!I103+Input!$E$40*WRs!K103</f>
        <v>37.453781512605</v>
      </c>
    </row>
    <row r="104" customFormat="false" ht="12.75" hidden="false" customHeight="false" outlineLevel="0" collapsed="false">
      <c r="A104" s="141" t="s">
        <v>443</v>
      </c>
      <c r="B104" s="112" t="s">
        <v>182</v>
      </c>
      <c r="C104" s="98" t="n">
        <v>0</v>
      </c>
      <c r="D104" s="96" t="n">
        <v>0</v>
      </c>
      <c r="E104" s="96" t="n">
        <v>0</v>
      </c>
      <c r="F104" s="97" t="n">
        <v>0</v>
      </c>
      <c r="G104" s="98" t="n">
        <v>25</v>
      </c>
      <c r="H104" s="96" t="n">
        <f aca="false">12*G104</f>
        <v>300</v>
      </c>
      <c r="I104" s="96" t="n">
        <v>0</v>
      </c>
      <c r="J104" s="97" t="n">
        <v>1</v>
      </c>
      <c r="K104" s="96" t="n">
        <v>0</v>
      </c>
      <c r="L104" s="107" t="n">
        <v>0.727272727272727</v>
      </c>
      <c r="M104" s="108" t="n">
        <v>0.0979020979020979</v>
      </c>
      <c r="N104" s="108" t="n">
        <v>0.0629370629370629</v>
      </c>
      <c r="O104" s="108" t="n">
        <v>0.020979020979021</v>
      </c>
      <c r="P104" s="108" t="n">
        <v>0.027972027972028</v>
      </c>
      <c r="Q104" s="109" t="n">
        <v>0.0629370629370629</v>
      </c>
      <c r="R104" s="107" t="n">
        <v>0.369747899159664</v>
      </c>
      <c r="S104" s="108" t="n">
        <v>0.252100840336134</v>
      </c>
      <c r="T104" s="108" t="n">
        <v>0.210084033613445</v>
      </c>
      <c r="U104" s="108" t="n">
        <v>0.0588235294117647</v>
      </c>
      <c r="V104" s="108" t="n">
        <v>0.0756302521008403</v>
      </c>
      <c r="W104" s="109" t="n">
        <v>0.0420168067226891</v>
      </c>
      <c r="X104" s="110" t="n">
        <f aca="false">$F104*L104</f>
        <v>0</v>
      </c>
      <c r="Y104" s="111" t="n">
        <f aca="false">$F104*M104</f>
        <v>0</v>
      </c>
      <c r="Z104" s="111" t="n">
        <f aca="false">$F104*N104</f>
        <v>0</v>
      </c>
      <c r="AA104" s="111" t="n">
        <f aca="false">$F104*O104</f>
        <v>0</v>
      </c>
      <c r="AB104" s="111" t="n">
        <f aca="false">$F104*P104</f>
        <v>0</v>
      </c>
      <c r="AC104" s="112" t="n">
        <f aca="false">$F104*Q104</f>
        <v>0</v>
      </c>
      <c r="AD104" s="110" t="n">
        <f aca="false">$J104*R104</f>
        <v>0.369747899159664</v>
      </c>
      <c r="AE104" s="111" t="n">
        <f aca="false">$J104*S104</f>
        <v>0.252100840336134</v>
      </c>
      <c r="AF104" s="111" t="n">
        <f aca="false">$J104*T104</f>
        <v>0.210084033613445</v>
      </c>
      <c r="AG104" s="111" t="n">
        <f aca="false">$J104*U104</f>
        <v>0.0588235294117647</v>
      </c>
      <c r="AH104" s="111" t="n">
        <f aca="false">$J104*V104</f>
        <v>0.0756302521008403</v>
      </c>
      <c r="AI104" s="112" t="n">
        <f aca="false">$J104*W104</f>
        <v>0.0420168067226891</v>
      </c>
      <c r="AJ104" s="116" t="n">
        <f aca="false">Input!$E$22*WRs!C104+Input!$E$23*WRs!D104+Input!$E$24*WRs!X104+Input!$E$25*WRs!Y104+Input!$E$26*WRs!Z104+Input!$E$27*WRs!AA104+Input!$E$28*WRs!AB104+Input!$E$29*WRs!AC104+Input!$E$30*WRs!E104+Input!$E$31*WRs!G104+Input!$E$32*WRs!H104+Input!$E$33*WRs!AD104+Input!$E$34*WRs!AE104+Input!$E$35*WRs!AF104+Input!$E$36*WRs!AG104+Input!$E$37*WRs!AH104+Input!$E$38*WRs!AI104+Input!$E$39*WRs!I104+Input!$E$40*WRs!K104</f>
        <v>37.453781512605</v>
      </c>
    </row>
    <row r="105" customFormat="false" ht="12.75" hidden="false" customHeight="false" outlineLevel="0" collapsed="false">
      <c r="A105" s="141" t="s">
        <v>444</v>
      </c>
      <c r="B105" s="112" t="s">
        <v>150</v>
      </c>
      <c r="C105" s="98" t="n">
        <v>0</v>
      </c>
      <c r="D105" s="96" t="n">
        <v>0</v>
      </c>
      <c r="E105" s="96" t="n">
        <v>0</v>
      </c>
      <c r="F105" s="97" t="n">
        <v>0</v>
      </c>
      <c r="G105" s="98" t="n">
        <v>20</v>
      </c>
      <c r="H105" s="96" t="n">
        <f aca="false">11.6*G105</f>
        <v>232</v>
      </c>
      <c r="I105" s="96" t="n">
        <v>0</v>
      </c>
      <c r="J105" s="97" t="n">
        <v>2</v>
      </c>
      <c r="K105" s="96" t="n">
        <v>0</v>
      </c>
      <c r="L105" s="107" t="n">
        <v>0.727272727272727</v>
      </c>
      <c r="M105" s="108" t="n">
        <v>0.0979020979020979</v>
      </c>
      <c r="N105" s="108" t="n">
        <v>0.0629370629370629</v>
      </c>
      <c r="O105" s="108" t="n">
        <v>0.020979020979021</v>
      </c>
      <c r="P105" s="108" t="n">
        <v>0.027972027972028</v>
      </c>
      <c r="Q105" s="109" t="n">
        <v>0.0629370629370629</v>
      </c>
      <c r="R105" s="107" t="n">
        <v>0.369747899159664</v>
      </c>
      <c r="S105" s="108" t="n">
        <v>0.252100840336134</v>
      </c>
      <c r="T105" s="108" t="n">
        <v>0.210084033613445</v>
      </c>
      <c r="U105" s="108" t="n">
        <v>0.0588235294117647</v>
      </c>
      <c r="V105" s="108" t="n">
        <v>0.0756302521008403</v>
      </c>
      <c r="W105" s="109" t="n">
        <v>0.0420168067226891</v>
      </c>
      <c r="X105" s="110" t="n">
        <f aca="false">$F105*L105</f>
        <v>0</v>
      </c>
      <c r="Y105" s="111" t="n">
        <f aca="false">$F105*M105</f>
        <v>0</v>
      </c>
      <c r="Z105" s="111" t="n">
        <f aca="false">$F105*N105</f>
        <v>0</v>
      </c>
      <c r="AA105" s="111" t="n">
        <f aca="false">$F105*O105</f>
        <v>0</v>
      </c>
      <c r="AB105" s="111" t="n">
        <f aca="false">$F105*P105</f>
        <v>0</v>
      </c>
      <c r="AC105" s="112" t="n">
        <f aca="false">$F105*Q105</f>
        <v>0</v>
      </c>
      <c r="AD105" s="110" t="n">
        <f aca="false">$J105*R105</f>
        <v>0.739495798319328</v>
      </c>
      <c r="AE105" s="111" t="n">
        <f aca="false">$J105*S105</f>
        <v>0.504201680672269</v>
      </c>
      <c r="AF105" s="111" t="n">
        <f aca="false">$J105*T105</f>
        <v>0.420168067226891</v>
      </c>
      <c r="AG105" s="111" t="n">
        <f aca="false">$J105*U105</f>
        <v>0.117647058823529</v>
      </c>
      <c r="AH105" s="111" t="n">
        <f aca="false">$J105*V105</f>
        <v>0.151260504201681</v>
      </c>
      <c r="AI105" s="112" t="n">
        <f aca="false">$J105*W105</f>
        <v>0.0840336134453782</v>
      </c>
      <c r="AJ105" s="116" t="n">
        <f aca="false">Input!$E$22*WRs!C105+Input!$E$23*WRs!D105+Input!$E$24*WRs!X105+Input!$E$25*WRs!Y105+Input!$E$26*WRs!Z105+Input!$E$27*WRs!AA105+Input!$E$28*WRs!AB105+Input!$E$29*WRs!AC105+Input!$E$30*WRs!E105+Input!$E$31*WRs!G105+Input!$E$32*WRs!H105+Input!$E$33*WRs!AD105+Input!$E$34*WRs!AE105+Input!$E$35*WRs!AF105+Input!$E$36*WRs!AG105+Input!$E$37*WRs!AH105+Input!$E$38*WRs!AI105+Input!$E$39*WRs!I105+Input!$E$40*WRs!K105</f>
        <v>38.1075630252101</v>
      </c>
    </row>
    <row r="106" customFormat="false" ht="12.75" hidden="false" customHeight="false" outlineLevel="0" collapsed="false">
      <c r="A106" s="141" t="s">
        <v>445</v>
      </c>
      <c r="B106" s="112" t="s">
        <v>170</v>
      </c>
      <c r="C106" s="98" t="n">
        <v>0</v>
      </c>
      <c r="D106" s="96" t="n">
        <v>0</v>
      </c>
      <c r="E106" s="96" t="n">
        <v>0</v>
      </c>
      <c r="F106" s="97" t="n">
        <v>0</v>
      </c>
      <c r="G106" s="94" t="n">
        <v>25</v>
      </c>
      <c r="H106" s="95" t="n">
        <f aca="false">11*G106</f>
        <v>275</v>
      </c>
      <c r="I106" s="96" t="n">
        <v>0</v>
      </c>
      <c r="J106" s="122" t="n">
        <v>1</v>
      </c>
      <c r="K106" s="95" t="n">
        <v>0</v>
      </c>
      <c r="L106" s="107" t="n">
        <v>0.727272727272727</v>
      </c>
      <c r="M106" s="108" t="n">
        <v>0.0979020979020979</v>
      </c>
      <c r="N106" s="108" t="n">
        <v>0.0629370629370629</v>
      </c>
      <c r="O106" s="108" t="n">
        <v>0.020979020979021</v>
      </c>
      <c r="P106" s="108" t="n">
        <v>0.027972027972028</v>
      </c>
      <c r="Q106" s="109" t="n">
        <v>0.0629370629370629</v>
      </c>
      <c r="R106" s="107" t="n">
        <v>0.369747899159664</v>
      </c>
      <c r="S106" s="108" t="n">
        <v>0.252100840336134</v>
      </c>
      <c r="T106" s="108" t="n">
        <v>0.210084033613445</v>
      </c>
      <c r="U106" s="108" t="n">
        <v>0.0588235294117647</v>
      </c>
      <c r="V106" s="108" t="n">
        <v>0.0756302521008403</v>
      </c>
      <c r="W106" s="109" t="n">
        <v>0.0420168067226891</v>
      </c>
      <c r="X106" s="110" t="n">
        <f aca="false">$F106*L106</f>
        <v>0</v>
      </c>
      <c r="Y106" s="111" t="n">
        <f aca="false">$F106*M106</f>
        <v>0</v>
      </c>
      <c r="Z106" s="111" t="n">
        <f aca="false">$F106*N106</f>
        <v>0</v>
      </c>
      <c r="AA106" s="111" t="n">
        <f aca="false">$F106*O106</f>
        <v>0</v>
      </c>
      <c r="AB106" s="111" t="n">
        <f aca="false">$F106*P106</f>
        <v>0</v>
      </c>
      <c r="AC106" s="112" t="n">
        <f aca="false">$F106*Q106</f>
        <v>0</v>
      </c>
      <c r="AD106" s="110" t="n">
        <f aca="false">$J106*R106</f>
        <v>0.369747899159664</v>
      </c>
      <c r="AE106" s="111" t="n">
        <f aca="false">$J106*S106</f>
        <v>0.252100840336134</v>
      </c>
      <c r="AF106" s="111" t="n">
        <f aca="false">$J106*T106</f>
        <v>0.210084033613445</v>
      </c>
      <c r="AG106" s="111" t="n">
        <f aca="false">$J106*U106</f>
        <v>0.0588235294117647</v>
      </c>
      <c r="AH106" s="111" t="n">
        <f aca="false">$J106*V106</f>
        <v>0.0756302521008403</v>
      </c>
      <c r="AI106" s="112" t="n">
        <f aca="false">$J106*W106</f>
        <v>0.0420168067226891</v>
      </c>
      <c r="AJ106" s="116" t="n">
        <f aca="false">Input!$E$22*WRs!C106+Input!$E$23*WRs!D106+Input!$E$24*WRs!X106+Input!$E$25*WRs!Y106+Input!$E$26*WRs!Z106+Input!$E$27*WRs!AA106+Input!$E$28*WRs!AB106+Input!$E$29*WRs!AC106+Input!$E$30*WRs!E106+Input!$E$31*WRs!G106+Input!$E$32*WRs!H106+Input!$E$33*WRs!AD106+Input!$E$34*WRs!AE106+Input!$E$35*WRs!AF106+Input!$E$36*WRs!AG106+Input!$E$37*WRs!AH106+Input!$E$38*WRs!AI106+Input!$E$39*WRs!I106+Input!$E$40*WRs!K106</f>
        <v>34.953781512605</v>
      </c>
    </row>
    <row r="107" customFormat="false" ht="12.75" hidden="false" customHeight="false" outlineLevel="0" collapsed="false">
      <c r="A107" s="141" t="s">
        <v>446</v>
      </c>
      <c r="B107" s="112" t="s">
        <v>168</v>
      </c>
      <c r="C107" s="98" t="n">
        <v>0</v>
      </c>
      <c r="D107" s="96" t="n">
        <v>0</v>
      </c>
      <c r="E107" s="96" t="n">
        <v>0</v>
      </c>
      <c r="F107" s="97" t="n">
        <v>0</v>
      </c>
      <c r="G107" s="98" t="n">
        <v>15</v>
      </c>
      <c r="H107" s="96" t="n">
        <f aca="false">18*G107</f>
        <v>270</v>
      </c>
      <c r="I107" s="96" t="n">
        <v>0</v>
      </c>
      <c r="J107" s="97" t="n">
        <v>1</v>
      </c>
      <c r="K107" s="96" t="n">
        <v>0</v>
      </c>
      <c r="L107" s="107" t="n">
        <v>0.727272727272727</v>
      </c>
      <c r="M107" s="108" t="n">
        <v>0.0979020979020979</v>
      </c>
      <c r="N107" s="108" t="n">
        <v>0.0629370629370629</v>
      </c>
      <c r="O107" s="108" t="n">
        <v>0.020979020979021</v>
      </c>
      <c r="P107" s="108" t="n">
        <v>0.027972027972028</v>
      </c>
      <c r="Q107" s="109" t="n">
        <v>0.0629370629370629</v>
      </c>
      <c r="R107" s="107" t="n">
        <v>0.369747899159664</v>
      </c>
      <c r="S107" s="108" t="n">
        <v>0.252100840336134</v>
      </c>
      <c r="T107" s="108" t="n">
        <v>0.210084033613445</v>
      </c>
      <c r="U107" s="108" t="n">
        <v>0.0588235294117647</v>
      </c>
      <c r="V107" s="108" t="n">
        <v>0.0756302521008403</v>
      </c>
      <c r="W107" s="109" t="n">
        <v>0.0420168067226891</v>
      </c>
      <c r="X107" s="110" t="n">
        <f aca="false">$F107*L107</f>
        <v>0</v>
      </c>
      <c r="Y107" s="111" t="n">
        <f aca="false">$F107*M107</f>
        <v>0</v>
      </c>
      <c r="Z107" s="111" t="n">
        <f aca="false">$F107*N107</f>
        <v>0</v>
      </c>
      <c r="AA107" s="111" t="n">
        <f aca="false">$F107*O107</f>
        <v>0</v>
      </c>
      <c r="AB107" s="111" t="n">
        <f aca="false">$F107*P107</f>
        <v>0</v>
      </c>
      <c r="AC107" s="112" t="n">
        <f aca="false">$F107*Q107</f>
        <v>0</v>
      </c>
      <c r="AD107" s="110" t="n">
        <f aca="false">$J107*R107</f>
        <v>0.369747899159664</v>
      </c>
      <c r="AE107" s="111" t="n">
        <f aca="false">$J107*S107</f>
        <v>0.252100840336134</v>
      </c>
      <c r="AF107" s="111" t="n">
        <f aca="false">$J107*T107</f>
        <v>0.210084033613445</v>
      </c>
      <c r="AG107" s="111" t="n">
        <f aca="false">$J107*U107</f>
        <v>0.0588235294117647</v>
      </c>
      <c r="AH107" s="111" t="n">
        <f aca="false">$J107*V107</f>
        <v>0.0756302521008403</v>
      </c>
      <c r="AI107" s="112" t="n">
        <f aca="false">$J107*W107</f>
        <v>0.0420168067226891</v>
      </c>
      <c r="AJ107" s="116" t="n">
        <f aca="false">Input!$E$22*WRs!C107+Input!$E$23*WRs!D107+Input!$E$24*WRs!X107+Input!$E$25*WRs!Y107+Input!$E$26*WRs!Z107+Input!$E$27*WRs!AA107+Input!$E$28*WRs!AB107+Input!$E$29*WRs!AC107+Input!$E$30*WRs!E107+Input!$E$31*WRs!G107+Input!$E$32*WRs!H107+Input!$E$33*WRs!AD107+Input!$E$34*WRs!AE107+Input!$E$35*WRs!AF107+Input!$E$36*WRs!AG107+Input!$E$37*WRs!AH107+Input!$E$38*WRs!AI107+Input!$E$39*WRs!I107+Input!$E$40*WRs!K107</f>
        <v>34.453781512605</v>
      </c>
    </row>
    <row r="108" customFormat="false" ht="12.75" hidden="false" customHeight="false" outlineLevel="0" collapsed="false">
      <c r="A108" s="141" t="s">
        <v>447</v>
      </c>
      <c r="B108" s="112" t="s">
        <v>152</v>
      </c>
      <c r="C108" s="98" t="n">
        <v>0</v>
      </c>
      <c r="D108" s="96" t="n">
        <v>0</v>
      </c>
      <c r="E108" s="96" t="n">
        <v>0</v>
      </c>
      <c r="F108" s="97" t="n">
        <v>0</v>
      </c>
      <c r="G108" s="98" t="n">
        <v>10</v>
      </c>
      <c r="H108" s="96" t="n">
        <f aca="false">17.5*G108</f>
        <v>175</v>
      </c>
      <c r="I108" s="96" t="n">
        <v>0</v>
      </c>
      <c r="J108" s="97" t="n">
        <v>1</v>
      </c>
      <c r="K108" s="96" t="n">
        <v>0</v>
      </c>
      <c r="L108" s="107" t="n">
        <v>0.727272727272727</v>
      </c>
      <c r="M108" s="108" t="n">
        <v>0.0979020979020979</v>
      </c>
      <c r="N108" s="108" t="n">
        <v>0.0629370629370629</v>
      </c>
      <c r="O108" s="108" t="n">
        <v>0.020979020979021</v>
      </c>
      <c r="P108" s="108" t="n">
        <v>0.027972027972028</v>
      </c>
      <c r="Q108" s="109" t="n">
        <v>0.0629370629370629</v>
      </c>
      <c r="R108" s="107" t="n">
        <v>0.369747899159664</v>
      </c>
      <c r="S108" s="108" t="n">
        <v>0.252100840336134</v>
      </c>
      <c r="T108" s="108" t="n">
        <v>0.210084033613445</v>
      </c>
      <c r="U108" s="108" t="n">
        <v>0.0588235294117647</v>
      </c>
      <c r="V108" s="108" t="n">
        <v>0.0756302521008403</v>
      </c>
      <c r="W108" s="109" t="n">
        <v>0.0420168067226891</v>
      </c>
      <c r="X108" s="110" t="n">
        <f aca="false">$F108*L108</f>
        <v>0</v>
      </c>
      <c r="Y108" s="111" t="n">
        <f aca="false">$F108*M108</f>
        <v>0</v>
      </c>
      <c r="Z108" s="111" t="n">
        <f aca="false">$F108*N108</f>
        <v>0</v>
      </c>
      <c r="AA108" s="111" t="n">
        <f aca="false">$F108*O108</f>
        <v>0</v>
      </c>
      <c r="AB108" s="111" t="n">
        <f aca="false">$F108*P108</f>
        <v>0</v>
      </c>
      <c r="AC108" s="112" t="n">
        <f aca="false">$F108*Q108</f>
        <v>0</v>
      </c>
      <c r="AD108" s="110" t="n">
        <f aca="false">$J108*R108</f>
        <v>0.369747899159664</v>
      </c>
      <c r="AE108" s="111" t="n">
        <f aca="false">$J108*S108</f>
        <v>0.252100840336134</v>
      </c>
      <c r="AF108" s="111" t="n">
        <f aca="false">$J108*T108</f>
        <v>0.210084033613445</v>
      </c>
      <c r="AG108" s="111" t="n">
        <f aca="false">$J108*U108</f>
        <v>0.0588235294117647</v>
      </c>
      <c r="AH108" s="111" t="n">
        <f aca="false">$J108*V108</f>
        <v>0.0756302521008403</v>
      </c>
      <c r="AI108" s="112" t="n">
        <f aca="false">$J108*W108</f>
        <v>0.0420168067226891</v>
      </c>
      <c r="AJ108" s="116" t="n">
        <f aca="false">Input!$E$22*WRs!C108+Input!$E$23*WRs!D108+Input!$E$24*WRs!X108+Input!$E$25*WRs!Y108+Input!$E$26*WRs!Z108+Input!$E$27*WRs!AA108+Input!$E$28*WRs!AB108+Input!$E$29*WRs!AC108+Input!$E$30*WRs!E108+Input!$E$31*WRs!G108+Input!$E$32*WRs!H108+Input!$E$33*WRs!AD108+Input!$E$34*WRs!AE108+Input!$E$35*WRs!AF108+Input!$E$36*WRs!AG108+Input!$E$37*WRs!AH108+Input!$E$38*WRs!AI108+Input!$E$39*WRs!I108+Input!$E$40*WRs!K108</f>
        <v>24.953781512605</v>
      </c>
    </row>
    <row r="109" customFormat="false" ht="12.75" hidden="false" customHeight="false" outlineLevel="0" collapsed="false">
      <c r="A109" s="141" t="s">
        <v>448</v>
      </c>
      <c r="B109" s="112" t="s">
        <v>192</v>
      </c>
      <c r="C109" s="98" t="n">
        <v>0</v>
      </c>
      <c r="D109" s="96" t="n">
        <v>0</v>
      </c>
      <c r="E109" s="96" t="n">
        <v>0</v>
      </c>
      <c r="F109" s="97" t="n">
        <v>0</v>
      </c>
      <c r="G109" s="98" t="n">
        <v>45</v>
      </c>
      <c r="H109" s="96" t="n">
        <f aca="false">13*G109</f>
        <v>585</v>
      </c>
      <c r="I109" s="96" t="n">
        <v>0</v>
      </c>
      <c r="J109" s="97" t="n">
        <v>3</v>
      </c>
      <c r="K109" s="96" t="n">
        <v>0</v>
      </c>
      <c r="L109" s="107" t="n">
        <v>0.727272727272727</v>
      </c>
      <c r="M109" s="108" t="n">
        <v>0.0979020979020979</v>
      </c>
      <c r="N109" s="108" t="n">
        <v>0.0629370629370629</v>
      </c>
      <c r="O109" s="108" t="n">
        <v>0.020979020979021</v>
      </c>
      <c r="P109" s="108" t="n">
        <v>0.027972027972028</v>
      </c>
      <c r="Q109" s="109" t="n">
        <v>0.0629370629370629</v>
      </c>
      <c r="R109" s="107" t="n">
        <v>0.369747899159664</v>
      </c>
      <c r="S109" s="108" t="n">
        <v>0.252100840336134</v>
      </c>
      <c r="T109" s="108" t="n">
        <v>0.210084033613445</v>
      </c>
      <c r="U109" s="108" t="n">
        <v>0.0588235294117647</v>
      </c>
      <c r="V109" s="108" t="n">
        <v>0.0756302521008403</v>
      </c>
      <c r="W109" s="109" t="n">
        <v>0.0420168067226891</v>
      </c>
      <c r="X109" s="110" t="n">
        <f aca="false">$F109*L109</f>
        <v>0</v>
      </c>
      <c r="Y109" s="111" t="n">
        <f aca="false">$F109*M109</f>
        <v>0</v>
      </c>
      <c r="Z109" s="111" t="n">
        <f aca="false">$F109*N109</f>
        <v>0</v>
      </c>
      <c r="AA109" s="111" t="n">
        <f aca="false">$F109*O109</f>
        <v>0</v>
      </c>
      <c r="AB109" s="111" t="n">
        <f aca="false">$F109*P109</f>
        <v>0</v>
      </c>
      <c r="AC109" s="112" t="n">
        <f aca="false">$F109*Q109</f>
        <v>0</v>
      </c>
      <c r="AD109" s="110" t="n">
        <f aca="false">$J109*R109</f>
        <v>1.10924369747899</v>
      </c>
      <c r="AE109" s="111" t="n">
        <f aca="false">$J109*S109</f>
        <v>0.756302521008403</v>
      </c>
      <c r="AF109" s="111" t="n">
        <f aca="false">$J109*T109</f>
        <v>0.630252100840336</v>
      </c>
      <c r="AG109" s="111" t="n">
        <f aca="false">$J109*U109</f>
        <v>0.176470588235294</v>
      </c>
      <c r="AH109" s="111" t="n">
        <f aca="false">$J109*V109</f>
        <v>0.226890756302521</v>
      </c>
      <c r="AI109" s="112" t="n">
        <f aca="false">$J109*W109</f>
        <v>0.126050420168067</v>
      </c>
      <c r="AJ109" s="116" t="n">
        <f aca="false">Input!$E$22*WRs!C109+Input!$E$23*WRs!D109+Input!$E$24*WRs!X109+Input!$E$25*WRs!Y109+Input!$E$26*WRs!Z109+Input!$E$27*WRs!AA109+Input!$E$28*WRs!AB109+Input!$E$29*WRs!AC109+Input!$E$30*WRs!E109+Input!$E$31*WRs!G109+Input!$E$32*WRs!H109+Input!$E$33*WRs!AD109+Input!$E$34*WRs!AE109+Input!$E$35*WRs!AF109+Input!$E$36*WRs!AG109+Input!$E$37*WRs!AH109+Input!$E$38*WRs!AI109+Input!$E$39*WRs!I109+Input!$E$40*WRs!K109</f>
        <v>80.8613445378151</v>
      </c>
    </row>
    <row r="110" customFormat="false" ht="12.75" hidden="false" customHeight="false" outlineLevel="0" collapsed="false">
      <c r="A110" s="141" t="s">
        <v>449</v>
      </c>
      <c r="B110" s="112" t="s">
        <v>152</v>
      </c>
      <c r="C110" s="98" t="n">
        <v>0</v>
      </c>
      <c r="D110" s="96" t="n">
        <v>0</v>
      </c>
      <c r="E110" s="96" t="n">
        <v>0</v>
      </c>
      <c r="F110" s="97" t="n">
        <v>0</v>
      </c>
      <c r="G110" s="98" t="n">
        <v>20</v>
      </c>
      <c r="H110" s="96" t="n">
        <f aca="false">13*G110</f>
        <v>260</v>
      </c>
      <c r="I110" s="96" t="n">
        <v>0</v>
      </c>
      <c r="J110" s="97" t="n">
        <v>1</v>
      </c>
      <c r="K110" s="96" t="n">
        <v>0</v>
      </c>
      <c r="L110" s="107" t="n">
        <v>0.727272727272727</v>
      </c>
      <c r="M110" s="108" t="n">
        <v>0.0979020979020979</v>
      </c>
      <c r="N110" s="108" t="n">
        <v>0.0629370629370629</v>
      </c>
      <c r="O110" s="108" t="n">
        <v>0.020979020979021</v>
      </c>
      <c r="P110" s="108" t="n">
        <v>0.027972027972028</v>
      </c>
      <c r="Q110" s="109" t="n">
        <v>0.0629370629370629</v>
      </c>
      <c r="R110" s="107" t="n">
        <v>0.369747899159664</v>
      </c>
      <c r="S110" s="108" t="n">
        <v>0.252100840336134</v>
      </c>
      <c r="T110" s="108" t="n">
        <v>0.210084033613445</v>
      </c>
      <c r="U110" s="108" t="n">
        <v>0.0588235294117647</v>
      </c>
      <c r="V110" s="108" t="n">
        <v>0.0756302521008403</v>
      </c>
      <c r="W110" s="109" t="n">
        <v>0.0420168067226891</v>
      </c>
      <c r="X110" s="110" t="n">
        <f aca="false">$F110*L110</f>
        <v>0</v>
      </c>
      <c r="Y110" s="111" t="n">
        <f aca="false">$F110*M110</f>
        <v>0</v>
      </c>
      <c r="Z110" s="111" t="n">
        <f aca="false">$F110*N110</f>
        <v>0</v>
      </c>
      <c r="AA110" s="111" t="n">
        <f aca="false">$F110*O110</f>
        <v>0</v>
      </c>
      <c r="AB110" s="111" t="n">
        <f aca="false">$F110*P110</f>
        <v>0</v>
      </c>
      <c r="AC110" s="112" t="n">
        <f aca="false">$F110*Q110</f>
        <v>0</v>
      </c>
      <c r="AD110" s="110" t="n">
        <f aca="false">$J110*R110</f>
        <v>0.369747899159664</v>
      </c>
      <c r="AE110" s="111" t="n">
        <f aca="false">$J110*S110</f>
        <v>0.252100840336134</v>
      </c>
      <c r="AF110" s="111" t="n">
        <f aca="false">$J110*T110</f>
        <v>0.210084033613445</v>
      </c>
      <c r="AG110" s="111" t="n">
        <f aca="false">$J110*U110</f>
        <v>0.0588235294117647</v>
      </c>
      <c r="AH110" s="111" t="n">
        <f aca="false">$J110*V110</f>
        <v>0.0756302521008403</v>
      </c>
      <c r="AI110" s="112" t="n">
        <f aca="false">$J110*W110</f>
        <v>0.0420168067226891</v>
      </c>
      <c r="AJ110" s="116" t="n">
        <f aca="false">Input!$E$22*WRs!C110+Input!$E$23*WRs!D110+Input!$E$24*WRs!X110+Input!$E$25*WRs!Y110+Input!$E$26*WRs!Z110+Input!$E$27*WRs!AA110+Input!$E$28*WRs!AB110+Input!$E$29*WRs!AC110+Input!$E$30*WRs!E110+Input!$E$31*WRs!G110+Input!$E$32*WRs!H110+Input!$E$33*WRs!AD110+Input!$E$34*WRs!AE110+Input!$E$35*WRs!AF110+Input!$E$36*WRs!AG110+Input!$E$37*WRs!AH110+Input!$E$38*WRs!AI110+Input!$E$39*WRs!I110+Input!$E$40*WRs!K110</f>
        <v>33.453781512605</v>
      </c>
    </row>
    <row r="111" customFormat="false" ht="12.75" hidden="false" customHeight="false" outlineLevel="0" collapsed="false">
      <c r="A111" s="141" t="s">
        <v>450</v>
      </c>
      <c r="B111" s="112" t="s">
        <v>164</v>
      </c>
      <c r="C111" s="98" t="n">
        <v>0</v>
      </c>
      <c r="D111" s="96" t="n">
        <v>0</v>
      </c>
      <c r="E111" s="96" t="n">
        <v>0</v>
      </c>
      <c r="F111" s="97" t="n">
        <v>0</v>
      </c>
      <c r="G111" s="98" t="n">
        <v>5</v>
      </c>
      <c r="H111" s="96" t="n">
        <f aca="false">12.5*G111</f>
        <v>62.5</v>
      </c>
      <c r="I111" s="96" t="n">
        <v>0</v>
      </c>
      <c r="J111" s="97" t="n">
        <v>0</v>
      </c>
      <c r="K111" s="96" t="n">
        <v>0</v>
      </c>
      <c r="L111" s="107" t="n">
        <v>0.727272727272727</v>
      </c>
      <c r="M111" s="108" t="n">
        <v>0.0979020979020979</v>
      </c>
      <c r="N111" s="108" t="n">
        <v>0.0629370629370629</v>
      </c>
      <c r="O111" s="108" t="n">
        <v>0.020979020979021</v>
      </c>
      <c r="P111" s="108" t="n">
        <v>0.027972027972028</v>
      </c>
      <c r="Q111" s="109" t="n">
        <v>0.0629370629370629</v>
      </c>
      <c r="R111" s="107" t="n">
        <v>0.369747899159664</v>
      </c>
      <c r="S111" s="108" t="n">
        <v>0.252100840336134</v>
      </c>
      <c r="T111" s="108" t="n">
        <v>0.210084033613445</v>
      </c>
      <c r="U111" s="108" t="n">
        <v>0.0588235294117647</v>
      </c>
      <c r="V111" s="108" t="n">
        <v>0.0756302521008403</v>
      </c>
      <c r="W111" s="109" t="n">
        <v>0.0420168067226891</v>
      </c>
      <c r="X111" s="110" t="n">
        <f aca="false">$F111*L111</f>
        <v>0</v>
      </c>
      <c r="Y111" s="111" t="n">
        <f aca="false">$F111*M111</f>
        <v>0</v>
      </c>
      <c r="Z111" s="111" t="n">
        <f aca="false">$F111*N111</f>
        <v>0</v>
      </c>
      <c r="AA111" s="111" t="n">
        <f aca="false">$F111*O111</f>
        <v>0</v>
      </c>
      <c r="AB111" s="111" t="n">
        <f aca="false">$F111*P111</f>
        <v>0</v>
      </c>
      <c r="AC111" s="112" t="n">
        <f aca="false">$F111*Q111</f>
        <v>0</v>
      </c>
      <c r="AD111" s="110" t="n">
        <f aca="false">$J111*R111</f>
        <v>0</v>
      </c>
      <c r="AE111" s="111" t="n">
        <f aca="false">$J111*S111</f>
        <v>0</v>
      </c>
      <c r="AF111" s="111" t="n">
        <f aca="false">$J111*T111</f>
        <v>0</v>
      </c>
      <c r="AG111" s="111" t="n">
        <f aca="false">$J111*U111</f>
        <v>0</v>
      </c>
      <c r="AH111" s="111" t="n">
        <f aca="false">$J111*V111</f>
        <v>0</v>
      </c>
      <c r="AI111" s="112" t="n">
        <f aca="false">$J111*W111</f>
        <v>0</v>
      </c>
      <c r="AJ111" s="116" t="n">
        <f aca="false">Input!$E$22*WRs!C111+Input!$E$23*WRs!D111+Input!$E$24*WRs!X111+Input!$E$25*WRs!Y111+Input!$E$26*WRs!Z111+Input!$E$27*WRs!AA111+Input!$E$28*WRs!AB111+Input!$E$29*WRs!AC111+Input!$E$30*WRs!E111+Input!$E$31*WRs!G111+Input!$E$32*WRs!H111+Input!$E$33*WRs!AD111+Input!$E$34*WRs!AE111+Input!$E$35*WRs!AF111+Input!$E$36*WRs!AG111+Input!$E$37*WRs!AH111+Input!$E$38*WRs!AI111+Input!$E$39*WRs!I111+Input!$E$40*WRs!K111</f>
        <v>6.25</v>
      </c>
    </row>
    <row r="112" customFormat="false" ht="12.75" hidden="false" customHeight="false" outlineLevel="0" collapsed="false">
      <c r="A112" s="141" t="s">
        <v>451</v>
      </c>
      <c r="B112" s="112" t="s">
        <v>142</v>
      </c>
      <c r="C112" s="98" t="n">
        <v>0</v>
      </c>
      <c r="D112" s="96" t="n">
        <v>0</v>
      </c>
      <c r="E112" s="96" t="n">
        <v>0</v>
      </c>
      <c r="F112" s="97" t="n">
        <v>0</v>
      </c>
      <c r="G112" s="98" t="n">
        <v>10</v>
      </c>
      <c r="H112" s="96" t="n">
        <f aca="false">16.6*G112</f>
        <v>166</v>
      </c>
      <c r="I112" s="96" t="n">
        <v>0</v>
      </c>
      <c r="J112" s="97" t="n">
        <v>0</v>
      </c>
      <c r="K112" s="96" t="n">
        <v>0</v>
      </c>
      <c r="L112" s="107" t="n">
        <v>0.727272727272727</v>
      </c>
      <c r="M112" s="108" t="n">
        <v>0.0979020979020979</v>
      </c>
      <c r="N112" s="108" t="n">
        <v>0.0629370629370629</v>
      </c>
      <c r="O112" s="108" t="n">
        <v>0.020979020979021</v>
      </c>
      <c r="P112" s="108" t="n">
        <v>0.027972027972028</v>
      </c>
      <c r="Q112" s="109" t="n">
        <v>0.0629370629370629</v>
      </c>
      <c r="R112" s="107" t="n">
        <v>0.369747899159664</v>
      </c>
      <c r="S112" s="108" t="n">
        <v>0.252100840336134</v>
      </c>
      <c r="T112" s="108" t="n">
        <v>0.210084033613445</v>
      </c>
      <c r="U112" s="108" t="n">
        <v>0.0588235294117647</v>
      </c>
      <c r="V112" s="108" t="n">
        <v>0.0756302521008403</v>
      </c>
      <c r="W112" s="109" t="n">
        <v>0.0420168067226891</v>
      </c>
      <c r="X112" s="110" t="n">
        <f aca="false">$F112*L112</f>
        <v>0</v>
      </c>
      <c r="Y112" s="111" t="n">
        <f aca="false">$F112*M112</f>
        <v>0</v>
      </c>
      <c r="Z112" s="111" t="n">
        <f aca="false">$F112*N112</f>
        <v>0</v>
      </c>
      <c r="AA112" s="111" t="n">
        <f aca="false">$F112*O112</f>
        <v>0</v>
      </c>
      <c r="AB112" s="111" t="n">
        <f aca="false">$F112*P112</f>
        <v>0</v>
      </c>
      <c r="AC112" s="112" t="n">
        <f aca="false">$F112*Q112</f>
        <v>0</v>
      </c>
      <c r="AD112" s="110" t="n">
        <f aca="false">$J112*R112</f>
        <v>0</v>
      </c>
      <c r="AE112" s="111" t="n">
        <f aca="false">$J112*S112</f>
        <v>0</v>
      </c>
      <c r="AF112" s="111" t="n">
        <f aca="false">$J112*T112</f>
        <v>0</v>
      </c>
      <c r="AG112" s="111" t="n">
        <f aca="false">$J112*U112</f>
        <v>0</v>
      </c>
      <c r="AH112" s="111" t="n">
        <f aca="false">$J112*V112</f>
        <v>0</v>
      </c>
      <c r="AI112" s="112" t="n">
        <f aca="false">$J112*W112</f>
        <v>0</v>
      </c>
      <c r="AJ112" s="116" t="n">
        <f aca="false">Input!$E$22*WRs!C112+Input!$E$23*WRs!D112+Input!$E$24*WRs!X112+Input!$E$25*WRs!Y112+Input!$E$26*WRs!Z112+Input!$E$27*WRs!AA112+Input!$E$28*WRs!AB112+Input!$E$29*WRs!AC112+Input!$E$30*WRs!E112+Input!$E$31*WRs!G112+Input!$E$32*WRs!H112+Input!$E$33*WRs!AD112+Input!$E$34*WRs!AE112+Input!$E$35*WRs!AF112+Input!$E$36*WRs!AG112+Input!$E$37*WRs!AH112+Input!$E$38*WRs!AI112+Input!$E$39*WRs!I112+Input!$E$40*WRs!K112</f>
        <v>16.6</v>
      </c>
    </row>
    <row r="113" customFormat="false" ht="12.75" hidden="false" customHeight="false" outlineLevel="0" collapsed="false">
      <c r="A113" s="141" t="s">
        <v>452</v>
      </c>
      <c r="B113" s="112" t="s">
        <v>144</v>
      </c>
      <c r="C113" s="98" t="n">
        <v>0</v>
      </c>
      <c r="D113" s="96" t="n">
        <v>0</v>
      </c>
      <c r="E113" s="96" t="n">
        <v>0</v>
      </c>
      <c r="F113" s="97" t="n">
        <v>0</v>
      </c>
      <c r="G113" s="98" t="n">
        <v>20</v>
      </c>
      <c r="H113" s="96" t="n">
        <f aca="false">12*G113</f>
        <v>240</v>
      </c>
      <c r="I113" s="96" t="n">
        <v>0</v>
      </c>
      <c r="J113" s="97" t="n">
        <v>1</v>
      </c>
      <c r="K113" s="96" t="n">
        <v>0</v>
      </c>
      <c r="L113" s="107" t="n">
        <v>0.727272727272727</v>
      </c>
      <c r="M113" s="108" t="n">
        <v>0.0979020979020979</v>
      </c>
      <c r="N113" s="108" t="n">
        <v>0.0629370629370629</v>
      </c>
      <c r="O113" s="108" t="n">
        <v>0.020979020979021</v>
      </c>
      <c r="P113" s="108" t="n">
        <v>0.027972027972028</v>
      </c>
      <c r="Q113" s="109" t="n">
        <v>0.0629370629370629</v>
      </c>
      <c r="R113" s="107" t="n">
        <v>0.369747899159664</v>
      </c>
      <c r="S113" s="108" t="n">
        <v>0.252100840336134</v>
      </c>
      <c r="T113" s="108" t="n">
        <v>0.210084033613445</v>
      </c>
      <c r="U113" s="108" t="n">
        <v>0.0588235294117647</v>
      </c>
      <c r="V113" s="108" t="n">
        <v>0.0756302521008403</v>
      </c>
      <c r="W113" s="109" t="n">
        <v>0.0420168067226891</v>
      </c>
      <c r="X113" s="110" t="n">
        <f aca="false">$F113*L113</f>
        <v>0</v>
      </c>
      <c r="Y113" s="111" t="n">
        <f aca="false">$F113*M113</f>
        <v>0</v>
      </c>
      <c r="Z113" s="111" t="n">
        <f aca="false">$F113*N113</f>
        <v>0</v>
      </c>
      <c r="AA113" s="111" t="n">
        <f aca="false">$F113*O113</f>
        <v>0</v>
      </c>
      <c r="AB113" s="111" t="n">
        <f aca="false">$F113*P113</f>
        <v>0</v>
      </c>
      <c r="AC113" s="112" t="n">
        <f aca="false">$F113*Q113</f>
        <v>0</v>
      </c>
      <c r="AD113" s="110" t="n">
        <f aca="false">$J113*R113</f>
        <v>0.369747899159664</v>
      </c>
      <c r="AE113" s="111" t="n">
        <f aca="false">$J113*S113</f>
        <v>0.252100840336134</v>
      </c>
      <c r="AF113" s="111" t="n">
        <f aca="false">$J113*T113</f>
        <v>0.210084033613445</v>
      </c>
      <c r="AG113" s="111" t="n">
        <f aca="false">$J113*U113</f>
        <v>0.0588235294117647</v>
      </c>
      <c r="AH113" s="111" t="n">
        <f aca="false">$J113*V113</f>
        <v>0.0756302521008403</v>
      </c>
      <c r="AI113" s="112" t="n">
        <f aca="false">$J113*W113</f>
        <v>0.0420168067226891</v>
      </c>
      <c r="AJ113" s="116" t="n">
        <f aca="false">Input!$E$22*WRs!C113+Input!$E$23*WRs!D113+Input!$E$24*WRs!X113+Input!$E$25*WRs!Y113+Input!$E$26*WRs!Z113+Input!$E$27*WRs!AA113+Input!$E$28*WRs!AB113+Input!$E$29*WRs!AC113+Input!$E$30*WRs!E113+Input!$E$31*WRs!G113+Input!$E$32*WRs!H113+Input!$E$33*WRs!AD113+Input!$E$34*WRs!AE113+Input!$E$35*WRs!AF113+Input!$E$36*WRs!AG113+Input!$E$37*WRs!AH113+Input!$E$38*WRs!AI113+Input!$E$39*WRs!I113+Input!$E$40*WRs!K113</f>
        <v>31.453781512605</v>
      </c>
    </row>
    <row r="114" customFormat="false" ht="12.75" hidden="false" customHeight="false" outlineLevel="0" collapsed="false">
      <c r="A114" s="141" t="s">
        <v>453</v>
      </c>
      <c r="B114" s="112" t="s">
        <v>168</v>
      </c>
      <c r="C114" s="98" t="n">
        <v>0</v>
      </c>
      <c r="D114" s="96" t="n">
        <v>0</v>
      </c>
      <c r="E114" s="96" t="n">
        <v>0</v>
      </c>
      <c r="F114" s="97" t="n">
        <v>0</v>
      </c>
      <c r="G114" s="98" t="n">
        <v>15</v>
      </c>
      <c r="H114" s="96" t="n">
        <f aca="false">16*G114</f>
        <v>240</v>
      </c>
      <c r="I114" s="96" t="n">
        <v>0</v>
      </c>
      <c r="J114" s="97" t="n">
        <v>1</v>
      </c>
      <c r="K114" s="96" t="n">
        <v>0</v>
      </c>
      <c r="L114" s="107" t="n">
        <v>0.727272727272727</v>
      </c>
      <c r="M114" s="108" t="n">
        <v>0.0979020979020979</v>
      </c>
      <c r="N114" s="108" t="n">
        <v>0.0629370629370629</v>
      </c>
      <c r="O114" s="108" t="n">
        <v>0.020979020979021</v>
      </c>
      <c r="P114" s="108" t="n">
        <v>0.027972027972028</v>
      </c>
      <c r="Q114" s="109" t="n">
        <v>0.0629370629370629</v>
      </c>
      <c r="R114" s="107" t="n">
        <v>0.369747899159664</v>
      </c>
      <c r="S114" s="108" t="n">
        <v>0.252100840336134</v>
      </c>
      <c r="T114" s="108" t="n">
        <v>0.210084033613445</v>
      </c>
      <c r="U114" s="108" t="n">
        <v>0.0588235294117647</v>
      </c>
      <c r="V114" s="108" t="n">
        <v>0.0756302521008403</v>
      </c>
      <c r="W114" s="109" t="n">
        <v>0.0420168067226891</v>
      </c>
      <c r="X114" s="110" t="n">
        <f aca="false">$F114*L114</f>
        <v>0</v>
      </c>
      <c r="Y114" s="111" t="n">
        <f aca="false">$F114*M114</f>
        <v>0</v>
      </c>
      <c r="Z114" s="111" t="n">
        <f aca="false">$F114*N114</f>
        <v>0</v>
      </c>
      <c r="AA114" s="111" t="n">
        <f aca="false">$F114*O114</f>
        <v>0</v>
      </c>
      <c r="AB114" s="111" t="n">
        <f aca="false">$F114*P114</f>
        <v>0</v>
      </c>
      <c r="AC114" s="112" t="n">
        <f aca="false">$F114*Q114</f>
        <v>0</v>
      </c>
      <c r="AD114" s="110" t="n">
        <f aca="false">$J114*R114</f>
        <v>0.369747899159664</v>
      </c>
      <c r="AE114" s="111" t="n">
        <f aca="false">$J114*S114</f>
        <v>0.252100840336134</v>
      </c>
      <c r="AF114" s="111" t="n">
        <f aca="false">$J114*T114</f>
        <v>0.210084033613445</v>
      </c>
      <c r="AG114" s="111" t="n">
        <f aca="false">$J114*U114</f>
        <v>0.0588235294117647</v>
      </c>
      <c r="AH114" s="111" t="n">
        <f aca="false">$J114*V114</f>
        <v>0.0756302521008403</v>
      </c>
      <c r="AI114" s="112" t="n">
        <f aca="false">$J114*W114</f>
        <v>0.0420168067226891</v>
      </c>
      <c r="AJ114" s="116" t="n">
        <f aca="false">Input!$E$22*WRs!C114+Input!$E$23*WRs!D114+Input!$E$24*WRs!X114+Input!$E$25*WRs!Y114+Input!$E$26*WRs!Z114+Input!$E$27*WRs!AA114+Input!$E$28*WRs!AB114+Input!$E$29*WRs!AC114+Input!$E$30*WRs!E114+Input!$E$31*WRs!G114+Input!$E$32*WRs!H114+Input!$E$33*WRs!AD114+Input!$E$34*WRs!AE114+Input!$E$35*WRs!AF114+Input!$E$36*WRs!AG114+Input!$E$37*WRs!AH114+Input!$E$38*WRs!AI114+Input!$E$39*WRs!I114+Input!$E$40*WRs!K114</f>
        <v>31.453781512605</v>
      </c>
    </row>
    <row r="115" customFormat="false" ht="12.75" hidden="false" customHeight="false" outlineLevel="0" collapsed="false">
      <c r="A115" s="141" t="s">
        <v>454</v>
      </c>
      <c r="B115" s="112" t="s">
        <v>144</v>
      </c>
      <c r="C115" s="98" t="n">
        <v>0</v>
      </c>
      <c r="D115" s="96" t="n">
        <v>0</v>
      </c>
      <c r="E115" s="96" t="n">
        <v>0</v>
      </c>
      <c r="F115" s="97" t="n">
        <v>0</v>
      </c>
      <c r="G115" s="98" t="n">
        <v>15</v>
      </c>
      <c r="H115" s="96" t="n">
        <f aca="false">11*G115</f>
        <v>165</v>
      </c>
      <c r="I115" s="96" t="n">
        <v>0</v>
      </c>
      <c r="J115" s="97" t="n">
        <v>2</v>
      </c>
      <c r="K115" s="96" t="n">
        <v>0</v>
      </c>
      <c r="L115" s="107" t="n">
        <v>0.727272727272727</v>
      </c>
      <c r="M115" s="108" t="n">
        <v>0.0979020979020979</v>
      </c>
      <c r="N115" s="108" t="n">
        <v>0.0629370629370629</v>
      </c>
      <c r="O115" s="108" t="n">
        <v>0.020979020979021</v>
      </c>
      <c r="P115" s="108" t="n">
        <v>0.027972027972028</v>
      </c>
      <c r="Q115" s="109" t="n">
        <v>0.0629370629370629</v>
      </c>
      <c r="R115" s="107" t="n">
        <v>0.369747899159664</v>
      </c>
      <c r="S115" s="108" t="n">
        <v>0.252100840336134</v>
      </c>
      <c r="T115" s="108" t="n">
        <v>0.210084033613445</v>
      </c>
      <c r="U115" s="108" t="n">
        <v>0.0588235294117647</v>
      </c>
      <c r="V115" s="108" t="n">
        <v>0.0756302521008403</v>
      </c>
      <c r="W115" s="109" t="n">
        <v>0.0420168067226891</v>
      </c>
      <c r="X115" s="110" t="n">
        <f aca="false">$F115*L115</f>
        <v>0</v>
      </c>
      <c r="Y115" s="111" t="n">
        <f aca="false">$F115*M115</f>
        <v>0</v>
      </c>
      <c r="Z115" s="111" t="n">
        <f aca="false">$F115*N115</f>
        <v>0</v>
      </c>
      <c r="AA115" s="111" t="n">
        <f aca="false">$F115*O115</f>
        <v>0</v>
      </c>
      <c r="AB115" s="111" t="n">
        <f aca="false">$F115*P115</f>
        <v>0</v>
      </c>
      <c r="AC115" s="112" t="n">
        <f aca="false">$F115*Q115</f>
        <v>0</v>
      </c>
      <c r="AD115" s="110" t="n">
        <f aca="false">$J115*R115</f>
        <v>0.739495798319328</v>
      </c>
      <c r="AE115" s="111" t="n">
        <f aca="false">$J115*S115</f>
        <v>0.504201680672269</v>
      </c>
      <c r="AF115" s="111" t="n">
        <f aca="false">$J115*T115</f>
        <v>0.420168067226891</v>
      </c>
      <c r="AG115" s="111" t="n">
        <f aca="false">$J115*U115</f>
        <v>0.117647058823529</v>
      </c>
      <c r="AH115" s="111" t="n">
        <f aca="false">$J115*V115</f>
        <v>0.151260504201681</v>
      </c>
      <c r="AI115" s="112" t="n">
        <f aca="false">$J115*W115</f>
        <v>0.0840336134453782</v>
      </c>
      <c r="AJ115" s="116" t="n">
        <f aca="false">Input!$E$22*WRs!C115+Input!$E$23*WRs!D115+Input!$E$24*WRs!X115+Input!$E$25*WRs!Y115+Input!$E$26*WRs!Z115+Input!$E$27*WRs!AA115+Input!$E$28*WRs!AB115+Input!$E$29*WRs!AC115+Input!$E$30*WRs!E115+Input!$E$31*WRs!G115+Input!$E$32*WRs!H115+Input!$E$33*WRs!AD115+Input!$E$34*WRs!AE115+Input!$E$35*WRs!AF115+Input!$E$36*WRs!AG115+Input!$E$37*WRs!AH115+Input!$E$38*WRs!AI115+Input!$E$39*WRs!I115+Input!$E$40*WRs!K115</f>
        <v>31.4075630252101</v>
      </c>
    </row>
    <row r="116" customFormat="false" ht="12.75" hidden="false" customHeight="false" outlineLevel="0" collapsed="false">
      <c r="A116" s="141" t="s">
        <v>455</v>
      </c>
      <c r="B116" s="112" t="s">
        <v>136</v>
      </c>
      <c r="C116" s="98" t="n">
        <v>0</v>
      </c>
      <c r="D116" s="96" t="n">
        <v>0</v>
      </c>
      <c r="E116" s="96" t="n">
        <v>0</v>
      </c>
      <c r="F116" s="97" t="n">
        <v>0</v>
      </c>
      <c r="G116" s="98" t="n">
        <v>20</v>
      </c>
      <c r="H116" s="96" t="n">
        <f aca="false">11*G116</f>
        <v>220</v>
      </c>
      <c r="I116" s="96" t="n">
        <v>0</v>
      </c>
      <c r="J116" s="97" t="n">
        <v>1</v>
      </c>
      <c r="K116" s="96" t="n">
        <v>0</v>
      </c>
      <c r="L116" s="107" t="n">
        <v>0.727272727272727</v>
      </c>
      <c r="M116" s="108" t="n">
        <v>0.0979020979020979</v>
      </c>
      <c r="N116" s="108" t="n">
        <v>0.0629370629370629</v>
      </c>
      <c r="O116" s="108" t="n">
        <v>0.020979020979021</v>
      </c>
      <c r="P116" s="108" t="n">
        <v>0.027972027972028</v>
      </c>
      <c r="Q116" s="109" t="n">
        <v>0.0629370629370629</v>
      </c>
      <c r="R116" s="107" t="n">
        <v>0.369747899159664</v>
      </c>
      <c r="S116" s="108" t="n">
        <v>0.252100840336134</v>
      </c>
      <c r="T116" s="108" t="n">
        <v>0.210084033613445</v>
      </c>
      <c r="U116" s="108" t="n">
        <v>0.0588235294117647</v>
      </c>
      <c r="V116" s="108" t="n">
        <v>0.0756302521008403</v>
      </c>
      <c r="W116" s="109" t="n">
        <v>0.0420168067226891</v>
      </c>
      <c r="X116" s="110" t="n">
        <f aca="false">$F116*L116</f>
        <v>0</v>
      </c>
      <c r="Y116" s="111" t="n">
        <f aca="false">$F116*M116</f>
        <v>0</v>
      </c>
      <c r="Z116" s="111" t="n">
        <f aca="false">$F116*N116</f>
        <v>0</v>
      </c>
      <c r="AA116" s="111" t="n">
        <f aca="false">$F116*O116</f>
        <v>0</v>
      </c>
      <c r="AB116" s="111" t="n">
        <f aca="false">$F116*P116</f>
        <v>0</v>
      </c>
      <c r="AC116" s="112" t="n">
        <f aca="false">$F116*Q116</f>
        <v>0</v>
      </c>
      <c r="AD116" s="110" t="n">
        <f aca="false">$J116*R116</f>
        <v>0.369747899159664</v>
      </c>
      <c r="AE116" s="111" t="n">
        <f aca="false">$J116*S116</f>
        <v>0.252100840336134</v>
      </c>
      <c r="AF116" s="111" t="n">
        <f aca="false">$J116*T116</f>
        <v>0.210084033613445</v>
      </c>
      <c r="AG116" s="111" t="n">
        <f aca="false">$J116*U116</f>
        <v>0.0588235294117647</v>
      </c>
      <c r="AH116" s="111" t="n">
        <f aca="false">$J116*V116</f>
        <v>0.0756302521008403</v>
      </c>
      <c r="AI116" s="112" t="n">
        <f aca="false">$J116*W116</f>
        <v>0.0420168067226891</v>
      </c>
      <c r="AJ116" s="116" t="n">
        <f aca="false">Input!$E$22*WRs!C116+Input!$E$23*WRs!D116+Input!$E$24*WRs!X116+Input!$E$25*WRs!Y116+Input!$E$26*WRs!Z116+Input!$E$27*WRs!AA116+Input!$E$28*WRs!AB116+Input!$E$29*WRs!AC116+Input!$E$30*WRs!E116+Input!$E$31*WRs!G116+Input!$E$32*WRs!H116+Input!$E$33*WRs!AD116+Input!$E$34*WRs!AE116+Input!$E$35*WRs!AF116+Input!$E$36*WRs!AG116+Input!$E$37*WRs!AH116+Input!$E$38*WRs!AI116+Input!$E$39*WRs!I116+Input!$E$40*WRs!K116</f>
        <v>29.453781512605</v>
      </c>
    </row>
    <row r="117" customFormat="false" ht="12.75" hidden="false" customHeight="false" outlineLevel="0" collapsed="false">
      <c r="A117" s="141" t="s">
        <v>456</v>
      </c>
      <c r="B117" s="112" t="s">
        <v>144</v>
      </c>
      <c r="C117" s="98" t="n">
        <v>0</v>
      </c>
      <c r="D117" s="96" t="n">
        <v>0</v>
      </c>
      <c r="E117" s="96" t="n">
        <v>0</v>
      </c>
      <c r="F117" s="97" t="n">
        <v>0</v>
      </c>
      <c r="G117" s="98" t="n">
        <v>15</v>
      </c>
      <c r="H117" s="96" t="n">
        <f aca="false">13*G117</f>
        <v>195</v>
      </c>
      <c r="I117" s="96" t="n">
        <v>0</v>
      </c>
      <c r="J117" s="97" t="n">
        <v>1</v>
      </c>
      <c r="K117" s="96" t="n">
        <v>0</v>
      </c>
      <c r="L117" s="107" t="n">
        <v>0.727272727272727</v>
      </c>
      <c r="M117" s="108" t="n">
        <v>0.0979020979020979</v>
      </c>
      <c r="N117" s="108" t="n">
        <v>0.0629370629370629</v>
      </c>
      <c r="O117" s="108" t="n">
        <v>0.020979020979021</v>
      </c>
      <c r="P117" s="108" t="n">
        <v>0.027972027972028</v>
      </c>
      <c r="Q117" s="109" t="n">
        <v>0.0629370629370629</v>
      </c>
      <c r="R117" s="107" t="n">
        <v>0.369747899159664</v>
      </c>
      <c r="S117" s="108" t="n">
        <v>0.252100840336134</v>
      </c>
      <c r="T117" s="108" t="n">
        <v>0.210084033613445</v>
      </c>
      <c r="U117" s="108" t="n">
        <v>0.0588235294117647</v>
      </c>
      <c r="V117" s="108" t="n">
        <v>0.0756302521008403</v>
      </c>
      <c r="W117" s="109" t="n">
        <v>0.0420168067226891</v>
      </c>
      <c r="X117" s="110" t="n">
        <f aca="false">$F117*L117</f>
        <v>0</v>
      </c>
      <c r="Y117" s="111" t="n">
        <f aca="false">$F117*M117</f>
        <v>0</v>
      </c>
      <c r="Z117" s="111" t="n">
        <f aca="false">$F117*N117</f>
        <v>0</v>
      </c>
      <c r="AA117" s="111" t="n">
        <f aca="false">$F117*O117</f>
        <v>0</v>
      </c>
      <c r="AB117" s="111" t="n">
        <f aca="false">$F117*P117</f>
        <v>0</v>
      </c>
      <c r="AC117" s="112" t="n">
        <f aca="false">$F117*Q117</f>
        <v>0</v>
      </c>
      <c r="AD117" s="110" t="n">
        <f aca="false">$J117*R117</f>
        <v>0.369747899159664</v>
      </c>
      <c r="AE117" s="111" t="n">
        <f aca="false">$J117*S117</f>
        <v>0.252100840336134</v>
      </c>
      <c r="AF117" s="111" t="n">
        <f aca="false">$J117*T117</f>
        <v>0.210084033613445</v>
      </c>
      <c r="AG117" s="111" t="n">
        <f aca="false">$J117*U117</f>
        <v>0.0588235294117647</v>
      </c>
      <c r="AH117" s="111" t="n">
        <f aca="false">$J117*V117</f>
        <v>0.0756302521008403</v>
      </c>
      <c r="AI117" s="112" t="n">
        <f aca="false">$J117*W117</f>
        <v>0.0420168067226891</v>
      </c>
      <c r="AJ117" s="116" t="n">
        <f aca="false">Input!$E$22*WRs!C117+Input!$E$23*WRs!D117+Input!$E$24*WRs!X117+Input!$E$25*WRs!Y117+Input!$E$26*WRs!Z117+Input!$E$27*WRs!AA117+Input!$E$28*WRs!AB117+Input!$E$29*WRs!AC117+Input!$E$30*WRs!E117+Input!$E$31*WRs!G117+Input!$E$32*WRs!H117+Input!$E$33*WRs!AD117+Input!$E$34*WRs!AE117+Input!$E$35*WRs!AF117+Input!$E$36*WRs!AG117+Input!$E$37*WRs!AH117+Input!$E$38*WRs!AI117+Input!$E$39*WRs!I117+Input!$E$40*WRs!K117</f>
        <v>26.953781512605</v>
      </c>
    </row>
    <row r="118" customFormat="false" ht="12.75" hidden="false" customHeight="false" outlineLevel="0" collapsed="false">
      <c r="A118" s="141" t="s">
        <v>457</v>
      </c>
      <c r="B118" s="112" t="s">
        <v>176</v>
      </c>
      <c r="C118" s="98" t="n">
        <v>0</v>
      </c>
      <c r="D118" s="96" t="n">
        <v>0</v>
      </c>
      <c r="E118" s="96" t="n">
        <v>0</v>
      </c>
      <c r="F118" s="97" t="n">
        <v>0</v>
      </c>
      <c r="G118" s="98" t="n">
        <v>15</v>
      </c>
      <c r="H118" s="96" t="n">
        <f aca="false">12.8*G118</f>
        <v>192</v>
      </c>
      <c r="I118" s="96" t="n">
        <v>0</v>
      </c>
      <c r="J118" s="97" t="n">
        <v>1</v>
      </c>
      <c r="K118" s="96" t="n">
        <v>0</v>
      </c>
      <c r="L118" s="107" t="n">
        <v>0.727272727272727</v>
      </c>
      <c r="M118" s="108" t="n">
        <v>0.0979020979020979</v>
      </c>
      <c r="N118" s="108" t="n">
        <v>0.0629370629370629</v>
      </c>
      <c r="O118" s="108" t="n">
        <v>0.020979020979021</v>
      </c>
      <c r="P118" s="108" t="n">
        <v>0.027972027972028</v>
      </c>
      <c r="Q118" s="109" t="n">
        <v>0.0629370629370629</v>
      </c>
      <c r="R118" s="107" t="n">
        <v>0.369747899159664</v>
      </c>
      <c r="S118" s="108" t="n">
        <v>0.252100840336134</v>
      </c>
      <c r="T118" s="108" t="n">
        <v>0.210084033613445</v>
      </c>
      <c r="U118" s="108" t="n">
        <v>0.0588235294117647</v>
      </c>
      <c r="V118" s="108" t="n">
        <v>0.0756302521008403</v>
      </c>
      <c r="W118" s="109" t="n">
        <v>0.0420168067226891</v>
      </c>
      <c r="X118" s="110" t="n">
        <f aca="false">$F118*L118</f>
        <v>0</v>
      </c>
      <c r="Y118" s="111" t="n">
        <f aca="false">$F118*M118</f>
        <v>0</v>
      </c>
      <c r="Z118" s="111" t="n">
        <f aca="false">$F118*N118</f>
        <v>0</v>
      </c>
      <c r="AA118" s="111" t="n">
        <f aca="false">$F118*O118</f>
        <v>0</v>
      </c>
      <c r="AB118" s="111" t="n">
        <f aca="false">$F118*P118</f>
        <v>0</v>
      </c>
      <c r="AC118" s="112" t="n">
        <f aca="false">$F118*Q118</f>
        <v>0</v>
      </c>
      <c r="AD118" s="110" t="n">
        <f aca="false">$J118*R118</f>
        <v>0.369747899159664</v>
      </c>
      <c r="AE118" s="111" t="n">
        <f aca="false">$J118*S118</f>
        <v>0.252100840336134</v>
      </c>
      <c r="AF118" s="111" t="n">
        <f aca="false">$J118*T118</f>
        <v>0.210084033613445</v>
      </c>
      <c r="AG118" s="111" t="n">
        <f aca="false">$J118*U118</f>
        <v>0.0588235294117647</v>
      </c>
      <c r="AH118" s="111" t="n">
        <f aca="false">$J118*V118</f>
        <v>0.0756302521008403</v>
      </c>
      <c r="AI118" s="112" t="n">
        <f aca="false">$J118*W118</f>
        <v>0.0420168067226891</v>
      </c>
      <c r="AJ118" s="116" t="n">
        <f aca="false">Input!$E$22*WRs!C118+Input!$E$23*WRs!D118+Input!$E$24*WRs!X118+Input!$E$25*WRs!Y118+Input!$E$26*WRs!Z118+Input!$E$27*WRs!AA118+Input!$E$28*WRs!AB118+Input!$E$29*WRs!AC118+Input!$E$30*WRs!E118+Input!$E$31*WRs!G118+Input!$E$32*WRs!H118+Input!$E$33*WRs!AD118+Input!$E$34*WRs!AE118+Input!$E$35*WRs!AF118+Input!$E$36*WRs!AG118+Input!$E$37*WRs!AH118+Input!$E$38*WRs!AI118+Input!$E$39*WRs!I118+Input!$E$40*WRs!K118</f>
        <v>26.6537815126051</v>
      </c>
    </row>
    <row r="119" customFormat="false" ht="12.75" hidden="false" customHeight="false" outlineLevel="0" collapsed="false">
      <c r="A119" s="141" t="s">
        <v>458</v>
      </c>
      <c r="B119" s="112" t="s">
        <v>190</v>
      </c>
      <c r="C119" s="98" t="n">
        <v>0</v>
      </c>
      <c r="D119" s="96" t="n">
        <v>0</v>
      </c>
      <c r="E119" s="96" t="n">
        <v>0</v>
      </c>
      <c r="F119" s="97" t="n">
        <v>0</v>
      </c>
      <c r="G119" s="98" t="n">
        <v>15</v>
      </c>
      <c r="H119" s="96" t="n">
        <f aca="false">12*G119</f>
        <v>180</v>
      </c>
      <c r="I119" s="96" t="n">
        <v>0</v>
      </c>
      <c r="J119" s="97" t="n">
        <v>1</v>
      </c>
      <c r="K119" s="96" t="n">
        <v>0</v>
      </c>
      <c r="L119" s="107" t="n">
        <v>0.727272727272727</v>
      </c>
      <c r="M119" s="108" t="n">
        <v>0.0979020979020979</v>
      </c>
      <c r="N119" s="108" t="n">
        <v>0.0629370629370629</v>
      </c>
      <c r="O119" s="108" t="n">
        <v>0.020979020979021</v>
      </c>
      <c r="P119" s="108" t="n">
        <v>0.027972027972028</v>
      </c>
      <c r="Q119" s="109" t="n">
        <v>0.0629370629370629</v>
      </c>
      <c r="R119" s="107" t="n">
        <v>0.369747899159664</v>
      </c>
      <c r="S119" s="108" t="n">
        <v>0.252100840336134</v>
      </c>
      <c r="T119" s="108" t="n">
        <v>0.210084033613445</v>
      </c>
      <c r="U119" s="108" t="n">
        <v>0.0588235294117647</v>
      </c>
      <c r="V119" s="108" t="n">
        <v>0.0756302521008403</v>
      </c>
      <c r="W119" s="109" t="n">
        <v>0.0420168067226891</v>
      </c>
      <c r="X119" s="110" t="n">
        <f aca="false">$F119*L119</f>
        <v>0</v>
      </c>
      <c r="Y119" s="111" t="n">
        <f aca="false">$F119*M119</f>
        <v>0</v>
      </c>
      <c r="Z119" s="111" t="n">
        <f aca="false">$F119*N119</f>
        <v>0</v>
      </c>
      <c r="AA119" s="111" t="n">
        <f aca="false">$F119*O119</f>
        <v>0</v>
      </c>
      <c r="AB119" s="111" t="n">
        <f aca="false">$F119*P119</f>
        <v>0</v>
      </c>
      <c r="AC119" s="112" t="n">
        <f aca="false">$F119*Q119</f>
        <v>0</v>
      </c>
      <c r="AD119" s="110" t="n">
        <f aca="false">$J119*R119</f>
        <v>0.369747899159664</v>
      </c>
      <c r="AE119" s="111" t="n">
        <f aca="false">$J119*S119</f>
        <v>0.252100840336134</v>
      </c>
      <c r="AF119" s="111" t="n">
        <f aca="false">$J119*T119</f>
        <v>0.210084033613445</v>
      </c>
      <c r="AG119" s="111" t="n">
        <f aca="false">$J119*U119</f>
        <v>0.0588235294117647</v>
      </c>
      <c r="AH119" s="111" t="n">
        <f aca="false">$J119*V119</f>
        <v>0.0756302521008403</v>
      </c>
      <c r="AI119" s="112" t="n">
        <f aca="false">$J119*W119</f>
        <v>0.0420168067226891</v>
      </c>
      <c r="AJ119" s="116" t="n">
        <f aca="false">Input!$E$22*WRs!C119+Input!$E$23*WRs!D119+Input!$E$24*WRs!X119+Input!$E$25*WRs!Y119+Input!$E$26*WRs!Z119+Input!$E$27*WRs!AA119+Input!$E$28*WRs!AB119+Input!$E$29*WRs!AC119+Input!$E$30*WRs!E119+Input!$E$31*WRs!G119+Input!$E$32*WRs!H119+Input!$E$33*WRs!AD119+Input!$E$34*WRs!AE119+Input!$E$35*WRs!AF119+Input!$E$36*WRs!AG119+Input!$E$37*WRs!AH119+Input!$E$38*WRs!AI119+Input!$E$39*WRs!I119+Input!$E$40*WRs!K119</f>
        <v>25.453781512605</v>
      </c>
    </row>
    <row r="120" customFormat="false" ht="12.75" hidden="false" customHeight="false" outlineLevel="0" collapsed="false">
      <c r="A120" s="141" t="s">
        <v>459</v>
      </c>
      <c r="B120" s="112" t="s">
        <v>190</v>
      </c>
      <c r="C120" s="98" t="n">
        <v>0</v>
      </c>
      <c r="D120" s="96" t="n">
        <v>0</v>
      </c>
      <c r="E120" s="96" t="n">
        <v>0</v>
      </c>
      <c r="F120" s="97" t="n">
        <v>0</v>
      </c>
      <c r="G120" s="98" t="n">
        <v>15</v>
      </c>
      <c r="H120" s="96" t="n">
        <f aca="false">12*G120</f>
        <v>180</v>
      </c>
      <c r="I120" s="96" t="n">
        <v>0</v>
      </c>
      <c r="J120" s="97" t="n">
        <v>1</v>
      </c>
      <c r="K120" s="96" t="n">
        <v>0</v>
      </c>
      <c r="L120" s="107" t="n">
        <v>0.727272727272727</v>
      </c>
      <c r="M120" s="108" t="n">
        <v>0.0979020979020979</v>
      </c>
      <c r="N120" s="108" t="n">
        <v>0.0629370629370629</v>
      </c>
      <c r="O120" s="108" t="n">
        <v>0.020979020979021</v>
      </c>
      <c r="P120" s="108" t="n">
        <v>0.027972027972028</v>
      </c>
      <c r="Q120" s="109" t="n">
        <v>0.0629370629370629</v>
      </c>
      <c r="R120" s="107" t="n">
        <v>0.369747899159664</v>
      </c>
      <c r="S120" s="108" t="n">
        <v>0.252100840336134</v>
      </c>
      <c r="T120" s="108" t="n">
        <v>0.210084033613445</v>
      </c>
      <c r="U120" s="108" t="n">
        <v>0.0588235294117647</v>
      </c>
      <c r="V120" s="108" t="n">
        <v>0.0756302521008403</v>
      </c>
      <c r="W120" s="109" t="n">
        <v>0.0420168067226891</v>
      </c>
      <c r="X120" s="110" t="n">
        <f aca="false">$F120*L120</f>
        <v>0</v>
      </c>
      <c r="Y120" s="111" t="n">
        <f aca="false">$F120*M120</f>
        <v>0</v>
      </c>
      <c r="Z120" s="111" t="n">
        <f aca="false">$F120*N120</f>
        <v>0</v>
      </c>
      <c r="AA120" s="111" t="n">
        <f aca="false">$F120*O120</f>
        <v>0</v>
      </c>
      <c r="AB120" s="111" t="n">
        <f aca="false">$F120*P120</f>
        <v>0</v>
      </c>
      <c r="AC120" s="112" t="n">
        <f aca="false">$F120*Q120</f>
        <v>0</v>
      </c>
      <c r="AD120" s="110" t="n">
        <f aca="false">$J120*R120</f>
        <v>0.369747899159664</v>
      </c>
      <c r="AE120" s="111" t="n">
        <f aca="false">$J120*S120</f>
        <v>0.252100840336134</v>
      </c>
      <c r="AF120" s="111" t="n">
        <f aca="false">$J120*T120</f>
        <v>0.210084033613445</v>
      </c>
      <c r="AG120" s="111" t="n">
        <f aca="false">$J120*U120</f>
        <v>0.0588235294117647</v>
      </c>
      <c r="AH120" s="111" t="n">
        <f aca="false">$J120*V120</f>
        <v>0.0756302521008403</v>
      </c>
      <c r="AI120" s="112" t="n">
        <f aca="false">$J120*W120</f>
        <v>0.0420168067226891</v>
      </c>
      <c r="AJ120" s="116" t="n">
        <f aca="false">Input!$E$22*WRs!C120+Input!$E$23*WRs!D120+Input!$E$24*WRs!X120+Input!$E$25*WRs!Y120+Input!$E$26*WRs!Z120+Input!$E$27*WRs!AA120+Input!$E$28*WRs!AB120+Input!$E$29*WRs!AC120+Input!$E$30*WRs!E120+Input!$E$31*WRs!G120+Input!$E$32*WRs!H120+Input!$E$33*WRs!AD120+Input!$E$34*WRs!AE120+Input!$E$35*WRs!AF120+Input!$E$36*WRs!AG120+Input!$E$37*WRs!AH120+Input!$E$38*WRs!AI120+Input!$E$39*WRs!I120+Input!$E$40*WRs!K120</f>
        <v>25.453781512605</v>
      </c>
    </row>
    <row r="121" customFormat="false" ht="12.75" hidden="false" customHeight="false" outlineLevel="0" collapsed="false">
      <c r="A121" s="141" t="s">
        <v>460</v>
      </c>
      <c r="B121" s="112" t="s">
        <v>148</v>
      </c>
      <c r="C121" s="98" t="n">
        <v>0</v>
      </c>
      <c r="D121" s="96" t="n">
        <v>0</v>
      </c>
      <c r="E121" s="96" t="n">
        <v>0</v>
      </c>
      <c r="F121" s="97" t="n">
        <v>0</v>
      </c>
      <c r="G121" s="98" t="n">
        <v>13</v>
      </c>
      <c r="H121" s="96" t="n">
        <f aca="false">12.5*G121</f>
        <v>162.5</v>
      </c>
      <c r="I121" s="96" t="n">
        <v>0</v>
      </c>
      <c r="J121" s="97" t="n">
        <v>1</v>
      </c>
      <c r="K121" s="96" t="n">
        <v>0</v>
      </c>
      <c r="L121" s="107" t="n">
        <v>0.727272727272727</v>
      </c>
      <c r="M121" s="108" t="n">
        <v>0.0979020979020979</v>
      </c>
      <c r="N121" s="108" t="n">
        <v>0.0629370629370629</v>
      </c>
      <c r="O121" s="108" t="n">
        <v>0.020979020979021</v>
      </c>
      <c r="P121" s="108" t="n">
        <v>0.027972027972028</v>
      </c>
      <c r="Q121" s="109" t="n">
        <v>0.0629370629370629</v>
      </c>
      <c r="R121" s="107" t="n">
        <v>0.369747899159664</v>
      </c>
      <c r="S121" s="108" t="n">
        <v>0.252100840336134</v>
      </c>
      <c r="T121" s="108" t="n">
        <v>0.210084033613445</v>
      </c>
      <c r="U121" s="108" t="n">
        <v>0.0588235294117647</v>
      </c>
      <c r="V121" s="108" t="n">
        <v>0.0756302521008403</v>
      </c>
      <c r="W121" s="109" t="n">
        <v>0.0420168067226891</v>
      </c>
      <c r="X121" s="110" t="n">
        <f aca="false">$F121*L121</f>
        <v>0</v>
      </c>
      <c r="Y121" s="111" t="n">
        <f aca="false">$F121*M121</f>
        <v>0</v>
      </c>
      <c r="Z121" s="111" t="n">
        <f aca="false">$F121*N121</f>
        <v>0</v>
      </c>
      <c r="AA121" s="111" t="n">
        <f aca="false">$F121*O121</f>
        <v>0</v>
      </c>
      <c r="AB121" s="111" t="n">
        <f aca="false">$F121*P121</f>
        <v>0</v>
      </c>
      <c r="AC121" s="112" t="n">
        <f aca="false">$F121*Q121</f>
        <v>0</v>
      </c>
      <c r="AD121" s="110" t="n">
        <f aca="false">$J121*R121</f>
        <v>0.369747899159664</v>
      </c>
      <c r="AE121" s="111" t="n">
        <f aca="false">$J121*S121</f>
        <v>0.252100840336134</v>
      </c>
      <c r="AF121" s="111" t="n">
        <f aca="false">$J121*T121</f>
        <v>0.210084033613445</v>
      </c>
      <c r="AG121" s="111" t="n">
        <f aca="false">$J121*U121</f>
        <v>0.0588235294117647</v>
      </c>
      <c r="AH121" s="111" t="n">
        <f aca="false">$J121*V121</f>
        <v>0.0756302521008403</v>
      </c>
      <c r="AI121" s="112" t="n">
        <f aca="false">$J121*W121</f>
        <v>0.0420168067226891</v>
      </c>
      <c r="AJ121" s="116" t="n">
        <f aca="false">Input!$E$22*WRs!C121+Input!$E$23*WRs!D121+Input!$E$24*WRs!X121+Input!$E$25*WRs!Y121+Input!$E$26*WRs!Z121+Input!$E$27*WRs!AA121+Input!$E$28*WRs!AB121+Input!$E$29*WRs!AC121+Input!$E$30*WRs!E121+Input!$E$31*WRs!G121+Input!$E$32*WRs!H121+Input!$E$33*WRs!AD121+Input!$E$34*WRs!AE121+Input!$E$35*WRs!AF121+Input!$E$36*WRs!AG121+Input!$E$37*WRs!AH121+Input!$E$38*WRs!AI121+Input!$E$39*WRs!I121+Input!$E$40*WRs!K121</f>
        <v>23.703781512605</v>
      </c>
    </row>
    <row r="122" customFormat="false" ht="12.75" hidden="false" customHeight="false" outlineLevel="0" collapsed="false">
      <c r="A122" s="141" t="s">
        <v>461</v>
      </c>
      <c r="B122" s="112" t="s">
        <v>146</v>
      </c>
      <c r="C122" s="98" t="n">
        <v>0</v>
      </c>
      <c r="D122" s="96" t="n">
        <v>0</v>
      </c>
      <c r="E122" s="96" t="n">
        <v>0</v>
      </c>
      <c r="F122" s="97" t="n">
        <v>0</v>
      </c>
      <c r="G122" s="98" t="n">
        <v>10</v>
      </c>
      <c r="H122" s="96" t="n">
        <f aca="false">13.6*G122</f>
        <v>136</v>
      </c>
      <c r="I122" s="96" t="n">
        <v>0</v>
      </c>
      <c r="J122" s="97" t="n">
        <v>0</v>
      </c>
      <c r="K122" s="96" t="n">
        <v>0</v>
      </c>
      <c r="L122" s="107" t="n">
        <v>0.727272727272727</v>
      </c>
      <c r="M122" s="108" t="n">
        <v>0.0979020979020979</v>
      </c>
      <c r="N122" s="108" t="n">
        <v>0.0629370629370629</v>
      </c>
      <c r="O122" s="108" t="n">
        <v>0.020979020979021</v>
      </c>
      <c r="P122" s="108" t="n">
        <v>0.027972027972028</v>
      </c>
      <c r="Q122" s="109" t="n">
        <v>0.0629370629370629</v>
      </c>
      <c r="R122" s="107" t="n">
        <v>0.369747899159664</v>
      </c>
      <c r="S122" s="108" t="n">
        <v>0.252100840336134</v>
      </c>
      <c r="T122" s="108" t="n">
        <v>0.210084033613445</v>
      </c>
      <c r="U122" s="108" t="n">
        <v>0.0588235294117647</v>
      </c>
      <c r="V122" s="108" t="n">
        <v>0.0756302521008403</v>
      </c>
      <c r="W122" s="109" t="n">
        <v>0.0420168067226891</v>
      </c>
      <c r="X122" s="110" t="n">
        <f aca="false">$F122*L122</f>
        <v>0</v>
      </c>
      <c r="Y122" s="111" t="n">
        <f aca="false">$F122*M122</f>
        <v>0</v>
      </c>
      <c r="Z122" s="111" t="n">
        <f aca="false">$F122*N122</f>
        <v>0</v>
      </c>
      <c r="AA122" s="111" t="n">
        <f aca="false">$F122*O122</f>
        <v>0</v>
      </c>
      <c r="AB122" s="111" t="n">
        <f aca="false">$F122*P122</f>
        <v>0</v>
      </c>
      <c r="AC122" s="112" t="n">
        <f aca="false">$F122*Q122</f>
        <v>0</v>
      </c>
      <c r="AD122" s="110" t="n">
        <f aca="false">$J122*R122</f>
        <v>0</v>
      </c>
      <c r="AE122" s="111" t="n">
        <f aca="false">$J122*S122</f>
        <v>0</v>
      </c>
      <c r="AF122" s="111" t="n">
        <f aca="false">$J122*T122</f>
        <v>0</v>
      </c>
      <c r="AG122" s="111" t="n">
        <f aca="false">$J122*U122</f>
        <v>0</v>
      </c>
      <c r="AH122" s="111" t="n">
        <f aca="false">$J122*V122</f>
        <v>0</v>
      </c>
      <c r="AI122" s="112" t="n">
        <f aca="false">$J122*W122</f>
        <v>0</v>
      </c>
      <c r="AJ122" s="116" t="n">
        <f aca="false">Input!$E$22*WRs!C122+Input!$E$23*WRs!D122+Input!$E$24*WRs!X122+Input!$E$25*WRs!Y122+Input!$E$26*WRs!Z122+Input!$E$27*WRs!AA122+Input!$E$28*WRs!AB122+Input!$E$29*WRs!AC122+Input!$E$30*WRs!E122+Input!$E$31*WRs!G122+Input!$E$32*WRs!H122+Input!$E$33*WRs!AD122+Input!$E$34*WRs!AE122+Input!$E$35*WRs!AF122+Input!$E$36*WRs!AG122+Input!$E$37*WRs!AH122+Input!$E$38*WRs!AI122+Input!$E$39*WRs!I122+Input!$E$40*WRs!K122</f>
        <v>13.6</v>
      </c>
    </row>
    <row r="123" customFormat="false" ht="12.75" hidden="false" customHeight="false" outlineLevel="0" collapsed="false">
      <c r="A123" s="141" t="s">
        <v>462</v>
      </c>
      <c r="B123" s="112" t="s">
        <v>156</v>
      </c>
      <c r="C123" s="98" t="n">
        <v>0</v>
      </c>
      <c r="D123" s="96" t="n">
        <v>0</v>
      </c>
      <c r="E123" s="96" t="n">
        <v>0</v>
      </c>
      <c r="F123" s="97" t="n">
        <v>0</v>
      </c>
      <c r="G123" s="98" t="n">
        <v>10</v>
      </c>
      <c r="H123" s="96" t="n">
        <f aca="false">13*G123</f>
        <v>130</v>
      </c>
      <c r="I123" s="96" t="n">
        <v>0</v>
      </c>
      <c r="J123" s="97" t="n">
        <v>1</v>
      </c>
      <c r="K123" s="96" t="n">
        <v>0</v>
      </c>
      <c r="L123" s="107" t="n">
        <v>0.727272727272727</v>
      </c>
      <c r="M123" s="108" t="n">
        <v>0.0979020979020979</v>
      </c>
      <c r="N123" s="108" t="n">
        <v>0.0629370629370629</v>
      </c>
      <c r="O123" s="108" t="n">
        <v>0.020979020979021</v>
      </c>
      <c r="P123" s="108" t="n">
        <v>0.027972027972028</v>
      </c>
      <c r="Q123" s="109" t="n">
        <v>0.0629370629370629</v>
      </c>
      <c r="R123" s="107" t="n">
        <v>0.369747899159664</v>
      </c>
      <c r="S123" s="108" t="n">
        <v>0.252100840336134</v>
      </c>
      <c r="T123" s="108" t="n">
        <v>0.210084033613445</v>
      </c>
      <c r="U123" s="108" t="n">
        <v>0.0588235294117647</v>
      </c>
      <c r="V123" s="108" t="n">
        <v>0.0756302521008403</v>
      </c>
      <c r="W123" s="109" t="n">
        <v>0.0420168067226891</v>
      </c>
      <c r="X123" s="110" t="n">
        <f aca="false">$F123*L123</f>
        <v>0</v>
      </c>
      <c r="Y123" s="111" t="n">
        <f aca="false">$F123*M123</f>
        <v>0</v>
      </c>
      <c r="Z123" s="111" t="n">
        <f aca="false">$F123*N123</f>
        <v>0</v>
      </c>
      <c r="AA123" s="111" t="n">
        <f aca="false">$F123*O123</f>
        <v>0</v>
      </c>
      <c r="AB123" s="111" t="n">
        <f aca="false">$F123*P123</f>
        <v>0</v>
      </c>
      <c r="AC123" s="112" t="n">
        <f aca="false">$F123*Q123</f>
        <v>0</v>
      </c>
      <c r="AD123" s="110" t="n">
        <f aca="false">$J123*R123</f>
        <v>0.369747899159664</v>
      </c>
      <c r="AE123" s="111" t="n">
        <f aca="false">$J123*S123</f>
        <v>0.252100840336134</v>
      </c>
      <c r="AF123" s="111" t="n">
        <f aca="false">$J123*T123</f>
        <v>0.210084033613445</v>
      </c>
      <c r="AG123" s="111" t="n">
        <f aca="false">$J123*U123</f>
        <v>0.0588235294117647</v>
      </c>
      <c r="AH123" s="111" t="n">
        <f aca="false">$J123*V123</f>
        <v>0.0756302521008403</v>
      </c>
      <c r="AI123" s="112" t="n">
        <f aca="false">$J123*W123</f>
        <v>0.0420168067226891</v>
      </c>
      <c r="AJ123" s="116" t="n">
        <f aca="false">Input!$E$22*WRs!C123+Input!$E$23*WRs!D123+Input!$E$24*WRs!X123+Input!$E$25*WRs!Y123+Input!$E$26*WRs!Z123+Input!$E$27*WRs!AA123+Input!$E$28*WRs!AB123+Input!$E$29*WRs!AC123+Input!$E$30*WRs!E123+Input!$E$31*WRs!G123+Input!$E$32*WRs!H123+Input!$E$33*WRs!AD123+Input!$E$34*WRs!AE123+Input!$E$35*WRs!AF123+Input!$E$36*WRs!AG123+Input!$E$37*WRs!AH123+Input!$E$38*WRs!AI123+Input!$E$39*WRs!I123+Input!$E$40*WRs!K123</f>
        <v>20.453781512605</v>
      </c>
    </row>
    <row r="124" customFormat="false" ht="12.75" hidden="false" customHeight="false" outlineLevel="0" collapsed="false">
      <c r="A124" s="141" t="s">
        <v>463</v>
      </c>
      <c r="B124" s="112" t="s">
        <v>178</v>
      </c>
      <c r="C124" s="98" t="n">
        <v>0</v>
      </c>
      <c r="D124" s="96" t="n">
        <v>0</v>
      </c>
      <c r="E124" s="96" t="n">
        <v>0</v>
      </c>
      <c r="F124" s="97" t="n">
        <v>0</v>
      </c>
      <c r="G124" s="98" t="n">
        <v>10</v>
      </c>
      <c r="H124" s="96" t="n">
        <f aca="false">13*G124</f>
        <v>130</v>
      </c>
      <c r="I124" s="96" t="n">
        <v>0</v>
      </c>
      <c r="J124" s="97" t="n">
        <v>1</v>
      </c>
      <c r="K124" s="96" t="n">
        <v>0</v>
      </c>
      <c r="L124" s="107" t="n">
        <v>0.727272727272727</v>
      </c>
      <c r="M124" s="108" t="n">
        <v>0.0979020979020979</v>
      </c>
      <c r="N124" s="108" t="n">
        <v>0.0629370629370629</v>
      </c>
      <c r="O124" s="108" t="n">
        <v>0.020979020979021</v>
      </c>
      <c r="P124" s="108" t="n">
        <v>0.027972027972028</v>
      </c>
      <c r="Q124" s="109" t="n">
        <v>0.0629370629370629</v>
      </c>
      <c r="R124" s="107" t="n">
        <v>0.369747899159664</v>
      </c>
      <c r="S124" s="108" t="n">
        <v>0.252100840336134</v>
      </c>
      <c r="T124" s="108" t="n">
        <v>0.210084033613445</v>
      </c>
      <c r="U124" s="108" t="n">
        <v>0.0588235294117647</v>
      </c>
      <c r="V124" s="108" t="n">
        <v>0.0756302521008403</v>
      </c>
      <c r="W124" s="109" t="n">
        <v>0.0420168067226891</v>
      </c>
      <c r="X124" s="110" t="n">
        <f aca="false">$F124*L124</f>
        <v>0</v>
      </c>
      <c r="Y124" s="111" t="n">
        <f aca="false">$F124*M124</f>
        <v>0</v>
      </c>
      <c r="Z124" s="111" t="n">
        <f aca="false">$F124*N124</f>
        <v>0</v>
      </c>
      <c r="AA124" s="111" t="n">
        <f aca="false">$F124*O124</f>
        <v>0</v>
      </c>
      <c r="AB124" s="111" t="n">
        <f aca="false">$F124*P124</f>
        <v>0</v>
      </c>
      <c r="AC124" s="112" t="n">
        <f aca="false">$F124*Q124</f>
        <v>0</v>
      </c>
      <c r="AD124" s="110" t="n">
        <f aca="false">$J124*R124</f>
        <v>0.369747899159664</v>
      </c>
      <c r="AE124" s="111" t="n">
        <f aca="false">$J124*S124</f>
        <v>0.252100840336134</v>
      </c>
      <c r="AF124" s="111" t="n">
        <f aca="false">$J124*T124</f>
        <v>0.210084033613445</v>
      </c>
      <c r="AG124" s="111" t="n">
        <f aca="false">$J124*U124</f>
        <v>0.0588235294117647</v>
      </c>
      <c r="AH124" s="111" t="n">
        <f aca="false">$J124*V124</f>
        <v>0.0756302521008403</v>
      </c>
      <c r="AI124" s="112" t="n">
        <f aca="false">$J124*W124</f>
        <v>0.0420168067226891</v>
      </c>
      <c r="AJ124" s="116" t="n">
        <f aca="false">Input!$E$22*WRs!C124+Input!$E$23*WRs!D124+Input!$E$24*WRs!X124+Input!$E$25*WRs!Y124+Input!$E$26*WRs!Z124+Input!$E$27*WRs!AA124+Input!$E$28*WRs!AB124+Input!$E$29*WRs!AC124+Input!$E$30*WRs!E124+Input!$E$31*WRs!G124+Input!$E$32*WRs!H124+Input!$E$33*WRs!AD124+Input!$E$34*WRs!AE124+Input!$E$35*WRs!AF124+Input!$E$36*WRs!AG124+Input!$E$37*WRs!AH124+Input!$E$38*WRs!AI124+Input!$E$39*WRs!I124+Input!$E$40*WRs!K124</f>
        <v>20.453781512605</v>
      </c>
    </row>
    <row r="125" customFormat="false" ht="12.75" hidden="false" customHeight="false" outlineLevel="0" collapsed="false">
      <c r="A125" s="141" t="s">
        <v>464</v>
      </c>
      <c r="B125" s="112" t="s">
        <v>170</v>
      </c>
      <c r="C125" s="98" t="n">
        <v>0</v>
      </c>
      <c r="D125" s="96" t="n">
        <v>0</v>
      </c>
      <c r="E125" s="96" t="n">
        <v>0</v>
      </c>
      <c r="F125" s="97" t="n">
        <v>0</v>
      </c>
      <c r="G125" s="94" t="n">
        <v>15</v>
      </c>
      <c r="H125" s="95" t="n">
        <f aca="false">12*G125</f>
        <v>180</v>
      </c>
      <c r="I125" s="96" t="n">
        <v>0</v>
      </c>
      <c r="J125" s="122" t="n">
        <v>0</v>
      </c>
      <c r="K125" s="95" t="n">
        <v>0</v>
      </c>
      <c r="L125" s="107" t="n">
        <v>0.727272727272727</v>
      </c>
      <c r="M125" s="108" t="n">
        <v>0.0979020979020979</v>
      </c>
      <c r="N125" s="108" t="n">
        <v>0.0629370629370629</v>
      </c>
      <c r="O125" s="108" t="n">
        <v>0.020979020979021</v>
      </c>
      <c r="P125" s="108" t="n">
        <v>0.027972027972028</v>
      </c>
      <c r="Q125" s="109" t="n">
        <v>0.0629370629370629</v>
      </c>
      <c r="R125" s="107" t="n">
        <v>0.369747899159664</v>
      </c>
      <c r="S125" s="108" t="n">
        <v>0.252100840336134</v>
      </c>
      <c r="T125" s="108" t="n">
        <v>0.210084033613445</v>
      </c>
      <c r="U125" s="108" t="n">
        <v>0.0588235294117647</v>
      </c>
      <c r="V125" s="108" t="n">
        <v>0.0756302521008403</v>
      </c>
      <c r="W125" s="109" t="n">
        <v>0.0420168067226891</v>
      </c>
      <c r="X125" s="110" t="n">
        <f aca="false">$F125*L125</f>
        <v>0</v>
      </c>
      <c r="Y125" s="111" t="n">
        <f aca="false">$F125*M125</f>
        <v>0</v>
      </c>
      <c r="Z125" s="111" t="n">
        <f aca="false">$F125*N125</f>
        <v>0</v>
      </c>
      <c r="AA125" s="111" t="n">
        <f aca="false">$F125*O125</f>
        <v>0</v>
      </c>
      <c r="AB125" s="111" t="n">
        <f aca="false">$F125*P125</f>
        <v>0</v>
      </c>
      <c r="AC125" s="112" t="n">
        <f aca="false">$F125*Q125</f>
        <v>0</v>
      </c>
      <c r="AD125" s="110" t="n">
        <f aca="false">$J125*R125</f>
        <v>0</v>
      </c>
      <c r="AE125" s="111" t="n">
        <f aca="false">$J125*S125</f>
        <v>0</v>
      </c>
      <c r="AF125" s="111" t="n">
        <f aca="false">$J125*T125</f>
        <v>0</v>
      </c>
      <c r="AG125" s="111" t="n">
        <f aca="false">$J125*U125</f>
        <v>0</v>
      </c>
      <c r="AH125" s="111" t="n">
        <f aca="false">$J125*V125</f>
        <v>0</v>
      </c>
      <c r="AI125" s="112" t="n">
        <f aca="false">$J125*W125</f>
        <v>0</v>
      </c>
      <c r="AJ125" s="116" t="n">
        <f aca="false">Input!$E$22*WRs!C125+Input!$E$23*WRs!D125+Input!$E$24*WRs!X125+Input!$E$25*WRs!Y125+Input!$E$26*WRs!Z125+Input!$E$27*WRs!AA125+Input!$E$28*WRs!AB125+Input!$E$29*WRs!AC125+Input!$E$30*WRs!E125+Input!$E$31*WRs!G125+Input!$E$32*WRs!H125+Input!$E$33*WRs!AD125+Input!$E$34*WRs!AE125+Input!$E$35*WRs!AF125+Input!$E$36*WRs!AG125+Input!$E$37*WRs!AH125+Input!$E$38*WRs!AI125+Input!$E$39*WRs!I125+Input!$E$40*WRs!K125</f>
        <v>18</v>
      </c>
    </row>
    <row r="126" customFormat="false" ht="12.75" hidden="false" customHeight="false" outlineLevel="0" collapsed="false">
      <c r="A126" s="141" t="s">
        <v>465</v>
      </c>
      <c r="B126" s="112" t="s">
        <v>150</v>
      </c>
      <c r="C126" s="98" t="n">
        <v>1</v>
      </c>
      <c r="D126" s="96" t="n">
        <v>12</v>
      </c>
      <c r="E126" s="96" t="n">
        <v>0</v>
      </c>
      <c r="F126" s="97" t="n">
        <v>0</v>
      </c>
      <c r="G126" s="98" t="n">
        <v>10</v>
      </c>
      <c r="H126" s="96" t="n">
        <f aca="false">15*G126</f>
        <v>150</v>
      </c>
      <c r="I126" s="96" t="n">
        <v>0</v>
      </c>
      <c r="J126" s="97" t="n">
        <v>0</v>
      </c>
      <c r="K126" s="96" t="n">
        <v>0</v>
      </c>
      <c r="L126" s="107" t="n">
        <v>0.727272727272727</v>
      </c>
      <c r="M126" s="108" t="n">
        <v>0.0979020979020979</v>
      </c>
      <c r="N126" s="108" t="n">
        <v>0.0629370629370629</v>
      </c>
      <c r="O126" s="108" t="n">
        <v>0.020979020979021</v>
      </c>
      <c r="P126" s="108" t="n">
        <v>0.027972027972028</v>
      </c>
      <c r="Q126" s="109" t="n">
        <v>0.0629370629370629</v>
      </c>
      <c r="R126" s="107" t="n">
        <v>0.369747899159664</v>
      </c>
      <c r="S126" s="108" t="n">
        <v>0.252100840336134</v>
      </c>
      <c r="T126" s="108" t="n">
        <v>0.210084033613445</v>
      </c>
      <c r="U126" s="108" t="n">
        <v>0.0588235294117647</v>
      </c>
      <c r="V126" s="108" t="n">
        <v>0.0756302521008403</v>
      </c>
      <c r="W126" s="109" t="n">
        <v>0.0420168067226891</v>
      </c>
      <c r="X126" s="110" t="n">
        <f aca="false">$F126*L126</f>
        <v>0</v>
      </c>
      <c r="Y126" s="111" t="n">
        <f aca="false">$F126*M126</f>
        <v>0</v>
      </c>
      <c r="Z126" s="111" t="n">
        <f aca="false">$F126*N126</f>
        <v>0</v>
      </c>
      <c r="AA126" s="111" t="n">
        <f aca="false">$F126*O126</f>
        <v>0</v>
      </c>
      <c r="AB126" s="111" t="n">
        <f aca="false">$F126*P126</f>
        <v>0</v>
      </c>
      <c r="AC126" s="112" t="n">
        <f aca="false">$F126*Q126</f>
        <v>0</v>
      </c>
      <c r="AD126" s="110" t="n">
        <f aca="false">$J126*R126</f>
        <v>0</v>
      </c>
      <c r="AE126" s="111" t="n">
        <f aca="false">$J126*S126</f>
        <v>0</v>
      </c>
      <c r="AF126" s="111" t="n">
        <f aca="false">$J126*T126</f>
        <v>0</v>
      </c>
      <c r="AG126" s="111" t="n">
        <f aca="false">$J126*U126</f>
        <v>0</v>
      </c>
      <c r="AH126" s="111" t="n">
        <f aca="false">$J126*V126</f>
        <v>0</v>
      </c>
      <c r="AI126" s="112" t="n">
        <f aca="false">$J126*W126</f>
        <v>0</v>
      </c>
      <c r="AJ126" s="116" t="n">
        <f aca="false">Input!$E$22*WRs!C126+Input!$E$23*WRs!D126+Input!$E$24*WRs!X126+Input!$E$25*WRs!Y126+Input!$E$26*WRs!Z126+Input!$E$27*WRs!AA126+Input!$E$28*WRs!AB126+Input!$E$29*WRs!AC126+Input!$E$30*WRs!E126+Input!$E$31*WRs!G126+Input!$E$32*WRs!H126+Input!$E$33*WRs!AD126+Input!$E$34*WRs!AE126+Input!$E$35*WRs!AF126+Input!$E$36*WRs!AG126+Input!$E$37*WRs!AH126+Input!$E$38*WRs!AI126+Input!$E$39*WRs!I126+Input!$E$40*WRs!K126</f>
        <v>16.2</v>
      </c>
    </row>
    <row r="127" customFormat="false" ht="12.75" hidden="false" customHeight="false" outlineLevel="0" collapsed="false">
      <c r="A127" s="141" t="s">
        <v>466</v>
      </c>
      <c r="B127" s="112" t="s">
        <v>144</v>
      </c>
      <c r="C127" s="98" t="n">
        <v>0</v>
      </c>
      <c r="D127" s="96" t="n">
        <v>0</v>
      </c>
      <c r="E127" s="96" t="n">
        <v>0</v>
      </c>
      <c r="F127" s="97" t="n">
        <v>0</v>
      </c>
      <c r="G127" s="98" t="n">
        <v>10</v>
      </c>
      <c r="H127" s="96" t="n">
        <f aca="false">10*G127</f>
        <v>100</v>
      </c>
      <c r="I127" s="96" t="n">
        <v>0</v>
      </c>
      <c r="J127" s="97" t="n">
        <v>1</v>
      </c>
      <c r="K127" s="96" t="n">
        <v>0</v>
      </c>
      <c r="L127" s="107" t="n">
        <v>0.727272727272727</v>
      </c>
      <c r="M127" s="108" t="n">
        <v>0.0979020979020979</v>
      </c>
      <c r="N127" s="108" t="n">
        <v>0.0629370629370629</v>
      </c>
      <c r="O127" s="108" t="n">
        <v>0.020979020979021</v>
      </c>
      <c r="P127" s="108" t="n">
        <v>0.027972027972028</v>
      </c>
      <c r="Q127" s="109" t="n">
        <v>0.0629370629370629</v>
      </c>
      <c r="R127" s="107" t="n">
        <v>0.369747899159664</v>
      </c>
      <c r="S127" s="108" t="n">
        <v>0.252100840336134</v>
      </c>
      <c r="T127" s="108" t="n">
        <v>0.210084033613445</v>
      </c>
      <c r="U127" s="108" t="n">
        <v>0.0588235294117647</v>
      </c>
      <c r="V127" s="108" t="n">
        <v>0.0756302521008403</v>
      </c>
      <c r="W127" s="109" t="n">
        <v>0.0420168067226891</v>
      </c>
      <c r="X127" s="110" t="n">
        <f aca="false">$F127*L127</f>
        <v>0</v>
      </c>
      <c r="Y127" s="111" t="n">
        <f aca="false">$F127*M127</f>
        <v>0</v>
      </c>
      <c r="Z127" s="111" t="n">
        <f aca="false">$F127*N127</f>
        <v>0</v>
      </c>
      <c r="AA127" s="111" t="n">
        <f aca="false">$F127*O127</f>
        <v>0</v>
      </c>
      <c r="AB127" s="111" t="n">
        <f aca="false">$F127*P127</f>
        <v>0</v>
      </c>
      <c r="AC127" s="112" t="n">
        <f aca="false">$F127*Q127</f>
        <v>0</v>
      </c>
      <c r="AD127" s="110" t="n">
        <f aca="false">$J127*R127</f>
        <v>0.369747899159664</v>
      </c>
      <c r="AE127" s="111" t="n">
        <f aca="false">$J127*S127</f>
        <v>0.252100840336134</v>
      </c>
      <c r="AF127" s="111" t="n">
        <f aca="false">$J127*T127</f>
        <v>0.210084033613445</v>
      </c>
      <c r="AG127" s="111" t="n">
        <f aca="false">$J127*U127</f>
        <v>0.0588235294117647</v>
      </c>
      <c r="AH127" s="111" t="n">
        <f aca="false">$J127*V127</f>
        <v>0.0756302521008403</v>
      </c>
      <c r="AI127" s="112" t="n">
        <f aca="false">$J127*W127</f>
        <v>0.0420168067226891</v>
      </c>
      <c r="AJ127" s="116" t="n">
        <f aca="false">Input!$E$22*WRs!C127+Input!$E$23*WRs!D127+Input!$E$24*WRs!X127+Input!$E$25*WRs!Y127+Input!$E$26*WRs!Z127+Input!$E$27*WRs!AA127+Input!$E$28*WRs!AB127+Input!$E$29*WRs!AC127+Input!$E$30*WRs!E127+Input!$E$31*WRs!G127+Input!$E$32*WRs!H127+Input!$E$33*WRs!AD127+Input!$E$34*WRs!AE127+Input!$E$35*WRs!AF127+Input!$E$36*WRs!AG127+Input!$E$37*WRs!AH127+Input!$E$38*WRs!AI127+Input!$E$39*WRs!I127+Input!$E$40*WRs!K127</f>
        <v>17.453781512605</v>
      </c>
    </row>
    <row r="128" customFormat="false" ht="12.75" hidden="false" customHeight="false" outlineLevel="0" collapsed="false">
      <c r="A128" s="141" t="s">
        <v>467</v>
      </c>
      <c r="B128" s="112" t="s">
        <v>188</v>
      </c>
      <c r="C128" s="98" t="n">
        <v>0</v>
      </c>
      <c r="D128" s="96" t="n">
        <v>0</v>
      </c>
      <c r="E128" s="96" t="n">
        <v>0</v>
      </c>
      <c r="F128" s="97" t="n">
        <v>0</v>
      </c>
      <c r="G128" s="98" t="n">
        <v>9</v>
      </c>
      <c r="H128" s="96" t="n">
        <f aca="false">11.1*G128</f>
        <v>99.9</v>
      </c>
      <c r="I128" s="96" t="n">
        <v>0</v>
      </c>
      <c r="J128" s="97" t="n">
        <v>1</v>
      </c>
      <c r="K128" s="96" t="n">
        <v>0</v>
      </c>
      <c r="L128" s="107" t="n">
        <v>0.727272727272727</v>
      </c>
      <c r="M128" s="108" t="n">
        <v>0.0979020979020979</v>
      </c>
      <c r="N128" s="108" t="n">
        <v>0.0629370629370629</v>
      </c>
      <c r="O128" s="108" t="n">
        <v>0.020979020979021</v>
      </c>
      <c r="P128" s="108" t="n">
        <v>0.027972027972028</v>
      </c>
      <c r="Q128" s="109" t="n">
        <v>0.0629370629370629</v>
      </c>
      <c r="R128" s="107" t="n">
        <v>0.369747899159664</v>
      </c>
      <c r="S128" s="108" t="n">
        <v>0.252100840336134</v>
      </c>
      <c r="T128" s="108" t="n">
        <v>0.210084033613445</v>
      </c>
      <c r="U128" s="108" t="n">
        <v>0.0588235294117647</v>
      </c>
      <c r="V128" s="108" t="n">
        <v>0.0756302521008403</v>
      </c>
      <c r="W128" s="109" t="n">
        <v>0.0420168067226891</v>
      </c>
      <c r="X128" s="110" t="n">
        <f aca="false">$F128*L128</f>
        <v>0</v>
      </c>
      <c r="Y128" s="111" t="n">
        <f aca="false">$F128*M128</f>
        <v>0</v>
      </c>
      <c r="Z128" s="111" t="n">
        <f aca="false">$F128*N128</f>
        <v>0</v>
      </c>
      <c r="AA128" s="111" t="n">
        <f aca="false">$F128*O128</f>
        <v>0</v>
      </c>
      <c r="AB128" s="111" t="n">
        <f aca="false">$F128*P128</f>
        <v>0</v>
      </c>
      <c r="AC128" s="112" t="n">
        <f aca="false">$F128*Q128</f>
        <v>0</v>
      </c>
      <c r="AD128" s="110" t="n">
        <f aca="false">$J128*R128</f>
        <v>0.369747899159664</v>
      </c>
      <c r="AE128" s="111" t="n">
        <f aca="false">$J128*S128</f>
        <v>0.252100840336134</v>
      </c>
      <c r="AF128" s="111" t="n">
        <f aca="false">$J128*T128</f>
        <v>0.210084033613445</v>
      </c>
      <c r="AG128" s="111" t="n">
        <f aca="false">$J128*U128</f>
        <v>0.0588235294117647</v>
      </c>
      <c r="AH128" s="111" t="n">
        <f aca="false">$J128*V128</f>
        <v>0.0756302521008403</v>
      </c>
      <c r="AI128" s="112" t="n">
        <f aca="false">$J128*W128</f>
        <v>0.0420168067226891</v>
      </c>
      <c r="AJ128" s="116" t="n">
        <f aca="false">Input!$E$22*WRs!C128+Input!$E$23*WRs!D128+Input!$E$24*WRs!X128+Input!$E$25*WRs!Y128+Input!$E$26*WRs!Z128+Input!$E$27*WRs!AA128+Input!$E$28*WRs!AB128+Input!$E$29*WRs!AC128+Input!$E$30*WRs!E128+Input!$E$31*WRs!G128+Input!$E$32*WRs!H128+Input!$E$33*WRs!AD128+Input!$E$34*WRs!AE128+Input!$E$35*WRs!AF128+Input!$E$36*WRs!AG128+Input!$E$37*WRs!AH128+Input!$E$38*WRs!AI128+Input!$E$39*WRs!I128+Input!$E$40*WRs!K128</f>
        <v>17.443781512605</v>
      </c>
    </row>
    <row r="129" customFormat="false" ht="12.75" hidden="false" customHeight="false" outlineLevel="0" collapsed="false">
      <c r="A129" s="141" t="s">
        <v>468</v>
      </c>
      <c r="B129" s="112" t="s">
        <v>186</v>
      </c>
      <c r="C129" s="98" t="n">
        <v>0</v>
      </c>
      <c r="D129" s="96" t="n">
        <v>0</v>
      </c>
      <c r="E129" s="96" t="n">
        <v>0</v>
      </c>
      <c r="F129" s="97" t="n">
        <v>0</v>
      </c>
      <c r="G129" s="98" t="n">
        <v>10</v>
      </c>
      <c r="H129" s="96" t="n">
        <f aca="false">14.5*G129</f>
        <v>145</v>
      </c>
      <c r="I129" s="96" t="n">
        <v>0</v>
      </c>
      <c r="J129" s="97" t="n">
        <v>0</v>
      </c>
      <c r="K129" s="96" t="n">
        <v>0</v>
      </c>
      <c r="L129" s="107" t="n">
        <v>0.727272727272727</v>
      </c>
      <c r="M129" s="108" t="n">
        <v>0.0979020979020979</v>
      </c>
      <c r="N129" s="108" t="n">
        <v>0.0629370629370629</v>
      </c>
      <c r="O129" s="108" t="n">
        <v>0.020979020979021</v>
      </c>
      <c r="P129" s="108" t="n">
        <v>0.027972027972028</v>
      </c>
      <c r="Q129" s="109" t="n">
        <v>0.0629370629370629</v>
      </c>
      <c r="R129" s="107" t="n">
        <v>0.369747899159664</v>
      </c>
      <c r="S129" s="108" t="n">
        <v>0.252100840336134</v>
      </c>
      <c r="T129" s="108" t="n">
        <v>0.210084033613445</v>
      </c>
      <c r="U129" s="108" t="n">
        <v>0.0588235294117647</v>
      </c>
      <c r="V129" s="108" t="n">
        <v>0.0756302521008403</v>
      </c>
      <c r="W129" s="109" t="n">
        <v>0.0420168067226891</v>
      </c>
      <c r="X129" s="110" t="n">
        <f aca="false">$F129*L129</f>
        <v>0</v>
      </c>
      <c r="Y129" s="111" t="n">
        <f aca="false">$F129*M129</f>
        <v>0</v>
      </c>
      <c r="Z129" s="111" t="n">
        <f aca="false">$F129*N129</f>
        <v>0</v>
      </c>
      <c r="AA129" s="111" t="n">
        <f aca="false">$F129*O129</f>
        <v>0</v>
      </c>
      <c r="AB129" s="111" t="n">
        <f aca="false">$F129*P129</f>
        <v>0</v>
      </c>
      <c r="AC129" s="112" t="n">
        <f aca="false">$F129*Q129</f>
        <v>0</v>
      </c>
      <c r="AD129" s="110" t="n">
        <f aca="false">$J129*R129</f>
        <v>0</v>
      </c>
      <c r="AE129" s="111" t="n">
        <f aca="false">$J129*S129</f>
        <v>0</v>
      </c>
      <c r="AF129" s="111" t="n">
        <f aca="false">$J129*T129</f>
        <v>0</v>
      </c>
      <c r="AG129" s="111" t="n">
        <f aca="false">$J129*U129</f>
        <v>0</v>
      </c>
      <c r="AH129" s="111" t="n">
        <f aca="false">$J129*V129</f>
        <v>0</v>
      </c>
      <c r="AI129" s="112" t="n">
        <f aca="false">$J129*W129</f>
        <v>0</v>
      </c>
      <c r="AJ129" s="116" t="n">
        <f aca="false">Input!$E$22*WRs!C129+Input!$E$23*WRs!D129+Input!$E$24*WRs!X129+Input!$E$25*WRs!Y129+Input!$E$26*WRs!Z129+Input!$E$27*WRs!AA129+Input!$E$28*WRs!AB129+Input!$E$29*WRs!AC129+Input!$E$30*WRs!E129+Input!$E$31*WRs!G129+Input!$E$32*WRs!H129+Input!$E$33*WRs!AD129+Input!$E$34*WRs!AE129+Input!$E$35*WRs!AF129+Input!$E$36*WRs!AG129+Input!$E$37*WRs!AH129+Input!$E$38*WRs!AI129+Input!$E$39*WRs!I129+Input!$E$40*WRs!K129</f>
        <v>14.5</v>
      </c>
    </row>
    <row r="130" customFormat="false" ht="12.75" hidden="false" customHeight="false" outlineLevel="0" collapsed="false">
      <c r="A130" s="141" t="s">
        <v>469</v>
      </c>
      <c r="B130" s="112" t="s">
        <v>154</v>
      </c>
      <c r="C130" s="98" t="n">
        <v>0</v>
      </c>
      <c r="D130" s="96" t="n">
        <v>0</v>
      </c>
      <c r="E130" s="96" t="n">
        <v>0</v>
      </c>
      <c r="F130" s="97" t="n">
        <v>0</v>
      </c>
      <c r="G130" s="98" t="n">
        <v>10</v>
      </c>
      <c r="H130" s="96" t="n">
        <f aca="false">13.7*G130</f>
        <v>137</v>
      </c>
      <c r="I130" s="96" t="n">
        <v>0</v>
      </c>
      <c r="J130" s="97" t="n">
        <v>0</v>
      </c>
      <c r="K130" s="96" t="n">
        <v>0</v>
      </c>
      <c r="L130" s="107" t="n">
        <v>0.727272727272727</v>
      </c>
      <c r="M130" s="108" t="n">
        <v>0.0979020979020979</v>
      </c>
      <c r="N130" s="108" t="n">
        <v>0.0629370629370629</v>
      </c>
      <c r="O130" s="108" t="n">
        <v>0.020979020979021</v>
      </c>
      <c r="P130" s="108" t="n">
        <v>0.027972027972028</v>
      </c>
      <c r="Q130" s="109" t="n">
        <v>0.0629370629370629</v>
      </c>
      <c r="R130" s="107" t="n">
        <v>0.369747899159664</v>
      </c>
      <c r="S130" s="108" t="n">
        <v>0.252100840336134</v>
      </c>
      <c r="T130" s="108" t="n">
        <v>0.210084033613445</v>
      </c>
      <c r="U130" s="108" t="n">
        <v>0.0588235294117647</v>
      </c>
      <c r="V130" s="108" t="n">
        <v>0.0756302521008403</v>
      </c>
      <c r="W130" s="109" t="n">
        <v>0.0420168067226891</v>
      </c>
      <c r="X130" s="110" t="n">
        <f aca="false">$F130*L130</f>
        <v>0</v>
      </c>
      <c r="Y130" s="111" t="n">
        <f aca="false">$F130*M130</f>
        <v>0</v>
      </c>
      <c r="Z130" s="111" t="n">
        <f aca="false">$F130*N130</f>
        <v>0</v>
      </c>
      <c r="AA130" s="111" t="n">
        <f aca="false">$F130*O130</f>
        <v>0</v>
      </c>
      <c r="AB130" s="111" t="n">
        <f aca="false">$F130*P130</f>
        <v>0</v>
      </c>
      <c r="AC130" s="112" t="n">
        <f aca="false">$F130*Q130</f>
        <v>0</v>
      </c>
      <c r="AD130" s="110" t="n">
        <f aca="false">$J130*R130</f>
        <v>0</v>
      </c>
      <c r="AE130" s="111" t="n">
        <f aca="false">$J130*S130</f>
        <v>0</v>
      </c>
      <c r="AF130" s="111" t="n">
        <f aca="false">$J130*T130</f>
        <v>0</v>
      </c>
      <c r="AG130" s="111" t="n">
        <f aca="false">$J130*U130</f>
        <v>0</v>
      </c>
      <c r="AH130" s="111" t="n">
        <f aca="false">$J130*V130</f>
        <v>0</v>
      </c>
      <c r="AI130" s="112" t="n">
        <f aca="false">$J130*W130</f>
        <v>0</v>
      </c>
      <c r="AJ130" s="116" t="n">
        <f aca="false">Input!$E$22*WRs!C130+Input!$E$23*WRs!D130+Input!$E$24*WRs!X130+Input!$E$25*WRs!Y130+Input!$E$26*WRs!Z130+Input!$E$27*WRs!AA130+Input!$E$28*WRs!AB130+Input!$E$29*WRs!AC130+Input!$E$30*WRs!E130+Input!$E$31*WRs!G130+Input!$E$32*WRs!H130+Input!$E$33*WRs!AD130+Input!$E$34*WRs!AE130+Input!$E$35*WRs!AF130+Input!$E$36*WRs!AG130+Input!$E$37*WRs!AH130+Input!$E$38*WRs!AI130+Input!$E$39*WRs!I130+Input!$E$40*WRs!K130</f>
        <v>13.7</v>
      </c>
    </row>
    <row r="131" customFormat="false" ht="12.75" hidden="false" customHeight="false" outlineLevel="0" collapsed="false">
      <c r="A131" s="141" t="s">
        <v>470</v>
      </c>
      <c r="B131" s="112" t="s">
        <v>196</v>
      </c>
      <c r="C131" s="98" t="n">
        <v>0</v>
      </c>
      <c r="D131" s="96" t="n">
        <v>0</v>
      </c>
      <c r="E131" s="96" t="n">
        <v>0</v>
      </c>
      <c r="F131" s="97" t="n">
        <v>0</v>
      </c>
      <c r="G131" s="98" t="n">
        <v>10</v>
      </c>
      <c r="H131" s="96" t="n">
        <f aca="false">12.6*G131</f>
        <v>126</v>
      </c>
      <c r="I131" s="96" t="n">
        <v>0</v>
      </c>
      <c r="J131" s="97" t="n">
        <v>0</v>
      </c>
      <c r="K131" s="96" t="n">
        <v>0</v>
      </c>
      <c r="L131" s="107" t="n">
        <v>0.727272727272727</v>
      </c>
      <c r="M131" s="108" t="n">
        <v>0.0979020979020979</v>
      </c>
      <c r="N131" s="108" t="n">
        <v>0.0629370629370629</v>
      </c>
      <c r="O131" s="108" t="n">
        <v>0.020979020979021</v>
      </c>
      <c r="P131" s="108" t="n">
        <v>0.027972027972028</v>
      </c>
      <c r="Q131" s="109" t="n">
        <v>0.0629370629370629</v>
      </c>
      <c r="R131" s="107" t="n">
        <v>0.369747899159664</v>
      </c>
      <c r="S131" s="108" t="n">
        <v>0.252100840336134</v>
      </c>
      <c r="T131" s="108" t="n">
        <v>0.210084033613445</v>
      </c>
      <c r="U131" s="108" t="n">
        <v>0.0588235294117647</v>
      </c>
      <c r="V131" s="108" t="n">
        <v>0.0756302521008403</v>
      </c>
      <c r="W131" s="109" t="n">
        <v>0.0420168067226891</v>
      </c>
      <c r="X131" s="110" t="n">
        <f aca="false">$F131*L131</f>
        <v>0</v>
      </c>
      <c r="Y131" s="111" t="n">
        <f aca="false">$F131*M131</f>
        <v>0</v>
      </c>
      <c r="Z131" s="111" t="n">
        <f aca="false">$F131*N131</f>
        <v>0</v>
      </c>
      <c r="AA131" s="111" t="n">
        <f aca="false">$F131*O131</f>
        <v>0</v>
      </c>
      <c r="AB131" s="111" t="n">
        <f aca="false">$F131*P131</f>
        <v>0</v>
      </c>
      <c r="AC131" s="112" t="n">
        <f aca="false">$F131*Q131</f>
        <v>0</v>
      </c>
      <c r="AD131" s="110" t="n">
        <f aca="false">$J131*R131</f>
        <v>0</v>
      </c>
      <c r="AE131" s="111" t="n">
        <f aca="false">$J131*S131</f>
        <v>0</v>
      </c>
      <c r="AF131" s="111" t="n">
        <f aca="false">$J131*T131</f>
        <v>0</v>
      </c>
      <c r="AG131" s="111" t="n">
        <f aca="false">$J131*U131</f>
        <v>0</v>
      </c>
      <c r="AH131" s="111" t="n">
        <f aca="false">$J131*V131</f>
        <v>0</v>
      </c>
      <c r="AI131" s="112" t="n">
        <f aca="false">$J131*W131</f>
        <v>0</v>
      </c>
      <c r="AJ131" s="116" t="n">
        <f aca="false">Input!$E$22*WRs!C131+Input!$E$23*WRs!D131+Input!$E$24*WRs!X131+Input!$E$25*WRs!Y131+Input!$E$26*WRs!Z131+Input!$E$27*WRs!AA131+Input!$E$28*WRs!AB131+Input!$E$29*WRs!AC131+Input!$E$30*WRs!E131+Input!$E$31*WRs!G131+Input!$E$32*WRs!H131+Input!$E$33*WRs!AD131+Input!$E$34*WRs!AE131+Input!$E$35*WRs!AF131+Input!$E$36*WRs!AG131+Input!$E$37*WRs!AH131+Input!$E$38*WRs!AI131+Input!$E$39*WRs!I131+Input!$E$40*WRs!K131</f>
        <v>12.6</v>
      </c>
    </row>
    <row r="132" customFormat="false" ht="12.75" hidden="false" customHeight="false" outlineLevel="0" collapsed="false">
      <c r="A132" s="141" t="s">
        <v>471</v>
      </c>
      <c r="B132" s="112" t="s">
        <v>180</v>
      </c>
      <c r="C132" s="98" t="n">
        <v>0</v>
      </c>
      <c r="D132" s="96" t="n">
        <v>0</v>
      </c>
      <c r="E132" s="96" t="n">
        <v>0</v>
      </c>
      <c r="F132" s="97" t="n">
        <v>0</v>
      </c>
      <c r="G132" s="98" t="n">
        <v>10</v>
      </c>
      <c r="H132" s="96" t="n">
        <f aca="false">12*G132</f>
        <v>120</v>
      </c>
      <c r="I132" s="96" t="n">
        <v>0</v>
      </c>
      <c r="J132" s="97" t="n">
        <v>0</v>
      </c>
      <c r="K132" s="96" t="n">
        <v>0</v>
      </c>
      <c r="L132" s="107" t="n">
        <v>0.727272727272727</v>
      </c>
      <c r="M132" s="108" t="n">
        <v>0.0979020979020979</v>
      </c>
      <c r="N132" s="108" t="n">
        <v>0.0629370629370629</v>
      </c>
      <c r="O132" s="108" t="n">
        <v>0.020979020979021</v>
      </c>
      <c r="P132" s="108" t="n">
        <v>0.027972027972028</v>
      </c>
      <c r="Q132" s="109" t="n">
        <v>0.0629370629370629</v>
      </c>
      <c r="R132" s="107" t="n">
        <v>0.369747899159664</v>
      </c>
      <c r="S132" s="108" t="n">
        <v>0.252100840336134</v>
      </c>
      <c r="T132" s="108" t="n">
        <v>0.210084033613445</v>
      </c>
      <c r="U132" s="108" t="n">
        <v>0.0588235294117647</v>
      </c>
      <c r="V132" s="108" t="n">
        <v>0.0756302521008403</v>
      </c>
      <c r="W132" s="109" t="n">
        <v>0.0420168067226891</v>
      </c>
      <c r="X132" s="110" t="n">
        <f aca="false">$F132*L132</f>
        <v>0</v>
      </c>
      <c r="Y132" s="111" t="n">
        <f aca="false">$F132*M132</f>
        <v>0</v>
      </c>
      <c r="Z132" s="111" t="n">
        <f aca="false">$F132*N132</f>
        <v>0</v>
      </c>
      <c r="AA132" s="111" t="n">
        <f aca="false">$F132*O132</f>
        <v>0</v>
      </c>
      <c r="AB132" s="111" t="n">
        <f aca="false">$F132*P132</f>
        <v>0</v>
      </c>
      <c r="AC132" s="112" t="n">
        <f aca="false">$F132*Q132</f>
        <v>0</v>
      </c>
      <c r="AD132" s="110" t="n">
        <f aca="false">$J132*R132</f>
        <v>0</v>
      </c>
      <c r="AE132" s="111" t="n">
        <f aca="false">$J132*S132</f>
        <v>0</v>
      </c>
      <c r="AF132" s="111" t="n">
        <f aca="false">$J132*T132</f>
        <v>0</v>
      </c>
      <c r="AG132" s="111" t="n">
        <f aca="false">$J132*U132</f>
        <v>0</v>
      </c>
      <c r="AH132" s="111" t="n">
        <f aca="false">$J132*V132</f>
        <v>0</v>
      </c>
      <c r="AI132" s="112" t="n">
        <f aca="false">$J132*W132</f>
        <v>0</v>
      </c>
      <c r="AJ132" s="116" t="n">
        <f aca="false">Input!$E$22*WRs!C132+Input!$E$23*WRs!D132+Input!$E$24*WRs!X132+Input!$E$25*WRs!Y132+Input!$E$26*WRs!Z132+Input!$E$27*WRs!AA132+Input!$E$28*WRs!AB132+Input!$E$29*WRs!AC132+Input!$E$30*WRs!E132+Input!$E$31*WRs!G132+Input!$E$32*WRs!H132+Input!$E$33*WRs!AD132+Input!$E$34*WRs!AE132+Input!$E$35*WRs!AF132+Input!$E$36*WRs!AG132+Input!$E$37*WRs!AH132+Input!$E$38*WRs!AI132+Input!$E$39*WRs!I132+Input!$E$40*WRs!K132</f>
        <v>12</v>
      </c>
    </row>
    <row r="133" customFormat="false" ht="12.75" hidden="false" customHeight="false" outlineLevel="0" collapsed="false">
      <c r="A133" s="141" t="s">
        <v>472</v>
      </c>
      <c r="B133" s="112" t="s">
        <v>168</v>
      </c>
      <c r="C133" s="98" t="n">
        <v>0</v>
      </c>
      <c r="D133" s="96" t="n">
        <v>0</v>
      </c>
      <c r="E133" s="96" t="n">
        <v>0</v>
      </c>
      <c r="F133" s="97" t="n">
        <v>0</v>
      </c>
      <c r="G133" s="98" t="n">
        <v>10</v>
      </c>
      <c r="H133" s="96" t="n">
        <f aca="false">12*G133</f>
        <v>120</v>
      </c>
      <c r="I133" s="96" t="n">
        <v>0</v>
      </c>
      <c r="J133" s="97" t="n">
        <v>0</v>
      </c>
      <c r="K133" s="96" t="n">
        <v>0</v>
      </c>
      <c r="L133" s="107" t="n">
        <v>0.727272727272727</v>
      </c>
      <c r="M133" s="108" t="n">
        <v>0.0979020979020979</v>
      </c>
      <c r="N133" s="108" t="n">
        <v>0.0629370629370629</v>
      </c>
      <c r="O133" s="108" t="n">
        <v>0.020979020979021</v>
      </c>
      <c r="P133" s="108" t="n">
        <v>0.027972027972028</v>
      </c>
      <c r="Q133" s="109" t="n">
        <v>0.0629370629370629</v>
      </c>
      <c r="R133" s="107" t="n">
        <v>0.369747899159664</v>
      </c>
      <c r="S133" s="108" t="n">
        <v>0.252100840336134</v>
      </c>
      <c r="T133" s="108" t="n">
        <v>0.210084033613445</v>
      </c>
      <c r="U133" s="108" t="n">
        <v>0.0588235294117647</v>
      </c>
      <c r="V133" s="108" t="n">
        <v>0.0756302521008403</v>
      </c>
      <c r="W133" s="109" t="n">
        <v>0.0420168067226891</v>
      </c>
      <c r="X133" s="110" t="n">
        <f aca="false">$F133*L133</f>
        <v>0</v>
      </c>
      <c r="Y133" s="111" t="n">
        <f aca="false">$F133*M133</f>
        <v>0</v>
      </c>
      <c r="Z133" s="111" t="n">
        <f aca="false">$F133*N133</f>
        <v>0</v>
      </c>
      <c r="AA133" s="111" t="n">
        <f aca="false">$F133*O133</f>
        <v>0</v>
      </c>
      <c r="AB133" s="111" t="n">
        <f aca="false">$F133*P133</f>
        <v>0</v>
      </c>
      <c r="AC133" s="112" t="n">
        <f aca="false">$F133*Q133</f>
        <v>0</v>
      </c>
      <c r="AD133" s="110" t="n">
        <f aca="false">$J133*R133</f>
        <v>0</v>
      </c>
      <c r="AE133" s="111" t="n">
        <f aca="false">$J133*S133</f>
        <v>0</v>
      </c>
      <c r="AF133" s="111" t="n">
        <f aca="false">$J133*T133</f>
        <v>0</v>
      </c>
      <c r="AG133" s="111" t="n">
        <f aca="false">$J133*U133</f>
        <v>0</v>
      </c>
      <c r="AH133" s="111" t="n">
        <f aca="false">$J133*V133</f>
        <v>0</v>
      </c>
      <c r="AI133" s="112" t="n">
        <f aca="false">$J133*W133</f>
        <v>0</v>
      </c>
      <c r="AJ133" s="116" t="n">
        <f aca="false">Input!$E$22*WRs!C133+Input!$E$23*WRs!D133+Input!$E$24*WRs!X133+Input!$E$25*WRs!Y133+Input!$E$26*WRs!Z133+Input!$E$27*WRs!AA133+Input!$E$28*WRs!AB133+Input!$E$29*WRs!AC133+Input!$E$30*WRs!E133+Input!$E$31*WRs!G133+Input!$E$32*WRs!H133+Input!$E$33*WRs!AD133+Input!$E$34*WRs!AE133+Input!$E$35*WRs!AF133+Input!$E$36*WRs!AG133+Input!$E$37*WRs!AH133+Input!$E$38*WRs!AI133+Input!$E$39*WRs!I133+Input!$E$40*WRs!K133</f>
        <v>12</v>
      </c>
    </row>
    <row r="134" customFormat="false" ht="12.75" hidden="false" customHeight="false" outlineLevel="0" collapsed="false">
      <c r="A134" s="141" t="s">
        <v>473</v>
      </c>
      <c r="B134" s="112" t="s">
        <v>162</v>
      </c>
      <c r="C134" s="98" t="n">
        <v>0</v>
      </c>
      <c r="D134" s="96" t="n">
        <v>0</v>
      </c>
      <c r="E134" s="96" t="n">
        <v>0</v>
      </c>
      <c r="F134" s="97" t="n">
        <v>0</v>
      </c>
      <c r="G134" s="98" t="n">
        <v>10</v>
      </c>
      <c r="H134" s="96" t="n">
        <f aca="false">12*G134</f>
        <v>120</v>
      </c>
      <c r="I134" s="96" t="n">
        <v>0</v>
      </c>
      <c r="J134" s="97" t="n">
        <v>0</v>
      </c>
      <c r="K134" s="96" t="n">
        <v>0</v>
      </c>
      <c r="L134" s="107" t="n">
        <v>0.727272727272727</v>
      </c>
      <c r="M134" s="108" t="n">
        <v>0.0979020979020979</v>
      </c>
      <c r="N134" s="108" t="n">
        <v>0.0629370629370629</v>
      </c>
      <c r="O134" s="108" t="n">
        <v>0.020979020979021</v>
      </c>
      <c r="P134" s="108" t="n">
        <v>0.027972027972028</v>
      </c>
      <c r="Q134" s="109" t="n">
        <v>0.0629370629370629</v>
      </c>
      <c r="R134" s="107" t="n">
        <v>0.369747899159664</v>
      </c>
      <c r="S134" s="108" t="n">
        <v>0.252100840336134</v>
      </c>
      <c r="T134" s="108" t="n">
        <v>0.210084033613445</v>
      </c>
      <c r="U134" s="108" t="n">
        <v>0.0588235294117647</v>
      </c>
      <c r="V134" s="108" t="n">
        <v>0.0756302521008403</v>
      </c>
      <c r="W134" s="109" t="n">
        <v>0.0420168067226891</v>
      </c>
      <c r="X134" s="110" t="n">
        <f aca="false">$F134*L134</f>
        <v>0</v>
      </c>
      <c r="Y134" s="111" t="n">
        <f aca="false">$F134*M134</f>
        <v>0</v>
      </c>
      <c r="Z134" s="111" t="n">
        <f aca="false">$F134*N134</f>
        <v>0</v>
      </c>
      <c r="AA134" s="111" t="n">
        <f aca="false">$F134*O134</f>
        <v>0</v>
      </c>
      <c r="AB134" s="111" t="n">
        <f aca="false">$F134*P134</f>
        <v>0</v>
      </c>
      <c r="AC134" s="112" t="n">
        <f aca="false">$F134*Q134</f>
        <v>0</v>
      </c>
      <c r="AD134" s="110" t="n">
        <f aca="false">$J134*R134</f>
        <v>0</v>
      </c>
      <c r="AE134" s="111" t="n">
        <f aca="false">$J134*S134</f>
        <v>0</v>
      </c>
      <c r="AF134" s="111" t="n">
        <f aca="false">$J134*T134</f>
        <v>0</v>
      </c>
      <c r="AG134" s="111" t="n">
        <f aca="false">$J134*U134</f>
        <v>0</v>
      </c>
      <c r="AH134" s="111" t="n">
        <f aca="false">$J134*V134</f>
        <v>0</v>
      </c>
      <c r="AI134" s="112" t="n">
        <f aca="false">$J134*W134</f>
        <v>0</v>
      </c>
      <c r="AJ134" s="116" t="n">
        <f aca="false">Input!$E$22*WRs!C134+Input!$E$23*WRs!D134+Input!$E$24*WRs!X134+Input!$E$25*WRs!Y134+Input!$E$26*WRs!Z134+Input!$E$27*WRs!AA134+Input!$E$28*WRs!AB134+Input!$E$29*WRs!AC134+Input!$E$30*WRs!E134+Input!$E$31*WRs!G134+Input!$E$32*WRs!H134+Input!$E$33*WRs!AD134+Input!$E$34*WRs!AE134+Input!$E$35*WRs!AF134+Input!$E$36*WRs!AG134+Input!$E$37*WRs!AH134+Input!$E$38*WRs!AI134+Input!$E$39*WRs!I134+Input!$E$40*WRs!K134</f>
        <v>12</v>
      </c>
    </row>
    <row r="135" customFormat="false" ht="12.75" hidden="false" customHeight="false" outlineLevel="0" collapsed="false">
      <c r="A135" s="141" t="s">
        <v>474</v>
      </c>
      <c r="B135" s="112" t="s">
        <v>140</v>
      </c>
      <c r="C135" s="98" t="n">
        <v>0</v>
      </c>
      <c r="D135" s="96" t="n">
        <v>0</v>
      </c>
      <c r="E135" s="96" t="n">
        <v>0</v>
      </c>
      <c r="F135" s="97" t="n">
        <v>0</v>
      </c>
      <c r="G135" s="98" t="n">
        <v>10</v>
      </c>
      <c r="H135" s="96" t="n">
        <f aca="false">12*G135</f>
        <v>120</v>
      </c>
      <c r="I135" s="96" t="n">
        <v>0</v>
      </c>
      <c r="J135" s="97" t="n">
        <v>0</v>
      </c>
      <c r="K135" s="96" t="n">
        <v>0</v>
      </c>
      <c r="L135" s="107" t="n">
        <v>0.727272727272727</v>
      </c>
      <c r="M135" s="108" t="n">
        <v>0.0979020979020979</v>
      </c>
      <c r="N135" s="108" t="n">
        <v>0.0629370629370629</v>
      </c>
      <c r="O135" s="108" t="n">
        <v>0.020979020979021</v>
      </c>
      <c r="P135" s="108" t="n">
        <v>0.027972027972028</v>
      </c>
      <c r="Q135" s="109" t="n">
        <v>0.0629370629370629</v>
      </c>
      <c r="R135" s="107" t="n">
        <v>0.369747899159664</v>
      </c>
      <c r="S135" s="108" t="n">
        <v>0.252100840336134</v>
      </c>
      <c r="T135" s="108" t="n">
        <v>0.210084033613445</v>
      </c>
      <c r="U135" s="108" t="n">
        <v>0.0588235294117647</v>
      </c>
      <c r="V135" s="108" t="n">
        <v>0.0756302521008403</v>
      </c>
      <c r="W135" s="109" t="n">
        <v>0.0420168067226891</v>
      </c>
      <c r="X135" s="110" t="n">
        <f aca="false">$F135*L135</f>
        <v>0</v>
      </c>
      <c r="Y135" s="111" t="n">
        <f aca="false">$F135*M135</f>
        <v>0</v>
      </c>
      <c r="Z135" s="111" t="n">
        <f aca="false">$F135*N135</f>
        <v>0</v>
      </c>
      <c r="AA135" s="111" t="n">
        <f aca="false">$F135*O135</f>
        <v>0</v>
      </c>
      <c r="AB135" s="111" t="n">
        <f aca="false">$F135*P135</f>
        <v>0</v>
      </c>
      <c r="AC135" s="112" t="n">
        <f aca="false">$F135*Q135</f>
        <v>0</v>
      </c>
      <c r="AD135" s="110" t="n">
        <f aca="false">$J135*R135</f>
        <v>0</v>
      </c>
      <c r="AE135" s="111" t="n">
        <f aca="false">$J135*S135</f>
        <v>0</v>
      </c>
      <c r="AF135" s="111" t="n">
        <f aca="false">$J135*T135</f>
        <v>0</v>
      </c>
      <c r="AG135" s="111" t="n">
        <f aca="false">$J135*U135</f>
        <v>0</v>
      </c>
      <c r="AH135" s="111" t="n">
        <f aca="false">$J135*V135</f>
        <v>0</v>
      </c>
      <c r="AI135" s="112" t="n">
        <f aca="false">$J135*W135</f>
        <v>0</v>
      </c>
      <c r="AJ135" s="116" t="n">
        <f aca="false">Input!$E$22*WRs!C135+Input!$E$23*WRs!D135+Input!$E$24*WRs!X135+Input!$E$25*WRs!Y135+Input!$E$26*WRs!Z135+Input!$E$27*WRs!AA135+Input!$E$28*WRs!AB135+Input!$E$29*WRs!AC135+Input!$E$30*WRs!E135+Input!$E$31*WRs!G135+Input!$E$32*WRs!H135+Input!$E$33*WRs!AD135+Input!$E$34*WRs!AE135+Input!$E$35*WRs!AF135+Input!$E$36*WRs!AG135+Input!$E$37*WRs!AH135+Input!$E$38*WRs!AI135+Input!$E$39*WRs!I135+Input!$E$40*WRs!K135</f>
        <v>12</v>
      </c>
    </row>
    <row r="136" customFormat="false" ht="12.75" hidden="false" customHeight="false" outlineLevel="0" collapsed="false">
      <c r="A136" s="141" t="s">
        <v>475</v>
      </c>
      <c r="B136" s="112" t="s">
        <v>160</v>
      </c>
      <c r="C136" s="98" t="n">
        <v>0</v>
      </c>
      <c r="D136" s="96" t="n">
        <v>0</v>
      </c>
      <c r="E136" s="96" t="n">
        <v>0</v>
      </c>
      <c r="F136" s="97" t="n">
        <v>0</v>
      </c>
      <c r="G136" s="98" t="n">
        <v>10</v>
      </c>
      <c r="H136" s="96" t="n">
        <f aca="false">11*G136</f>
        <v>110</v>
      </c>
      <c r="I136" s="96" t="n">
        <v>0</v>
      </c>
      <c r="J136" s="97" t="n">
        <v>0</v>
      </c>
      <c r="K136" s="96" t="n">
        <v>0</v>
      </c>
      <c r="L136" s="107" t="n">
        <v>0.727272727272727</v>
      </c>
      <c r="M136" s="108" t="n">
        <v>0.0979020979020979</v>
      </c>
      <c r="N136" s="108" t="n">
        <v>0.0629370629370629</v>
      </c>
      <c r="O136" s="108" t="n">
        <v>0.020979020979021</v>
      </c>
      <c r="P136" s="108" t="n">
        <v>0.027972027972028</v>
      </c>
      <c r="Q136" s="109" t="n">
        <v>0.0629370629370629</v>
      </c>
      <c r="R136" s="107" t="n">
        <v>0.369747899159664</v>
      </c>
      <c r="S136" s="108" t="n">
        <v>0.252100840336134</v>
      </c>
      <c r="T136" s="108" t="n">
        <v>0.210084033613445</v>
      </c>
      <c r="U136" s="108" t="n">
        <v>0.0588235294117647</v>
      </c>
      <c r="V136" s="108" t="n">
        <v>0.0756302521008403</v>
      </c>
      <c r="W136" s="109" t="n">
        <v>0.0420168067226891</v>
      </c>
      <c r="X136" s="110" t="n">
        <f aca="false">$F136*L136</f>
        <v>0</v>
      </c>
      <c r="Y136" s="111" t="n">
        <f aca="false">$F136*M136</f>
        <v>0</v>
      </c>
      <c r="Z136" s="111" t="n">
        <f aca="false">$F136*N136</f>
        <v>0</v>
      </c>
      <c r="AA136" s="111" t="n">
        <f aca="false">$F136*O136</f>
        <v>0</v>
      </c>
      <c r="AB136" s="111" t="n">
        <f aca="false">$F136*P136</f>
        <v>0</v>
      </c>
      <c r="AC136" s="112" t="n">
        <f aca="false">$F136*Q136</f>
        <v>0</v>
      </c>
      <c r="AD136" s="110" t="n">
        <f aca="false">$J136*R136</f>
        <v>0</v>
      </c>
      <c r="AE136" s="111" t="n">
        <f aca="false">$J136*S136</f>
        <v>0</v>
      </c>
      <c r="AF136" s="111" t="n">
        <f aca="false">$J136*T136</f>
        <v>0</v>
      </c>
      <c r="AG136" s="111" t="n">
        <f aca="false">$J136*U136</f>
        <v>0</v>
      </c>
      <c r="AH136" s="111" t="n">
        <f aca="false">$J136*V136</f>
        <v>0</v>
      </c>
      <c r="AI136" s="112" t="n">
        <f aca="false">$J136*W136</f>
        <v>0</v>
      </c>
      <c r="AJ136" s="116" t="n">
        <f aca="false">Input!$E$22*WRs!C136+Input!$E$23*WRs!D136+Input!$E$24*WRs!X136+Input!$E$25*WRs!Y136+Input!$E$26*WRs!Z136+Input!$E$27*WRs!AA136+Input!$E$28*WRs!AB136+Input!$E$29*WRs!AC136+Input!$E$30*WRs!E136+Input!$E$31*WRs!G136+Input!$E$32*WRs!H136+Input!$E$33*WRs!AD136+Input!$E$34*WRs!AE136+Input!$E$35*WRs!AF136+Input!$E$36*WRs!AG136+Input!$E$37*WRs!AH136+Input!$E$38*WRs!AI136+Input!$E$39*WRs!I136+Input!$E$40*WRs!K136</f>
        <v>11</v>
      </c>
    </row>
    <row r="137" customFormat="false" ht="12.75" hidden="false" customHeight="false" outlineLevel="0" collapsed="false">
      <c r="A137" s="141" t="s">
        <v>476</v>
      </c>
      <c r="B137" s="112" t="s">
        <v>182</v>
      </c>
      <c r="C137" s="98" t="n">
        <v>0</v>
      </c>
      <c r="D137" s="96" t="n">
        <v>0</v>
      </c>
      <c r="E137" s="96" t="n">
        <v>0</v>
      </c>
      <c r="F137" s="97" t="n">
        <v>0</v>
      </c>
      <c r="G137" s="98" t="n">
        <v>10</v>
      </c>
      <c r="H137" s="96" t="n">
        <f aca="false">11*G137</f>
        <v>110</v>
      </c>
      <c r="I137" s="96" t="n">
        <v>0</v>
      </c>
      <c r="J137" s="97" t="n">
        <v>0</v>
      </c>
      <c r="K137" s="96" t="n">
        <v>0</v>
      </c>
      <c r="L137" s="107" t="n">
        <v>0.727272727272727</v>
      </c>
      <c r="M137" s="108" t="n">
        <v>0.0979020979020979</v>
      </c>
      <c r="N137" s="108" t="n">
        <v>0.0629370629370629</v>
      </c>
      <c r="O137" s="108" t="n">
        <v>0.020979020979021</v>
      </c>
      <c r="P137" s="108" t="n">
        <v>0.027972027972028</v>
      </c>
      <c r="Q137" s="109" t="n">
        <v>0.0629370629370629</v>
      </c>
      <c r="R137" s="107" t="n">
        <v>0.369747899159664</v>
      </c>
      <c r="S137" s="108" t="n">
        <v>0.252100840336134</v>
      </c>
      <c r="T137" s="108" t="n">
        <v>0.210084033613445</v>
      </c>
      <c r="U137" s="108" t="n">
        <v>0.0588235294117647</v>
      </c>
      <c r="V137" s="108" t="n">
        <v>0.0756302521008403</v>
      </c>
      <c r="W137" s="109" t="n">
        <v>0.0420168067226891</v>
      </c>
      <c r="X137" s="110" t="n">
        <f aca="false">$F137*L137</f>
        <v>0</v>
      </c>
      <c r="Y137" s="111" t="n">
        <f aca="false">$F137*M137</f>
        <v>0</v>
      </c>
      <c r="Z137" s="111" t="n">
        <f aca="false">$F137*N137</f>
        <v>0</v>
      </c>
      <c r="AA137" s="111" t="n">
        <f aca="false">$F137*O137</f>
        <v>0</v>
      </c>
      <c r="AB137" s="111" t="n">
        <f aca="false">$F137*P137</f>
        <v>0</v>
      </c>
      <c r="AC137" s="112" t="n">
        <f aca="false">$F137*Q137</f>
        <v>0</v>
      </c>
      <c r="AD137" s="110" t="n">
        <f aca="false">$J137*R137</f>
        <v>0</v>
      </c>
      <c r="AE137" s="111" t="n">
        <f aca="false">$J137*S137</f>
        <v>0</v>
      </c>
      <c r="AF137" s="111" t="n">
        <f aca="false">$J137*T137</f>
        <v>0</v>
      </c>
      <c r="AG137" s="111" t="n">
        <f aca="false">$J137*U137</f>
        <v>0</v>
      </c>
      <c r="AH137" s="111" t="n">
        <f aca="false">$J137*V137</f>
        <v>0</v>
      </c>
      <c r="AI137" s="112" t="n">
        <f aca="false">$J137*W137</f>
        <v>0</v>
      </c>
      <c r="AJ137" s="116" t="n">
        <f aca="false">Input!$E$22*WRs!C137+Input!$E$23*WRs!D137+Input!$E$24*WRs!X137+Input!$E$25*WRs!Y137+Input!$E$26*WRs!Z137+Input!$E$27*WRs!AA137+Input!$E$28*WRs!AB137+Input!$E$29*WRs!AC137+Input!$E$30*WRs!E137+Input!$E$31*WRs!G137+Input!$E$32*WRs!H137+Input!$E$33*WRs!AD137+Input!$E$34*WRs!AE137+Input!$E$35*WRs!AF137+Input!$E$36*WRs!AG137+Input!$E$37*WRs!AH137+Input!$E$38*WRs!AI137+Input!$E$39*WRs!I137+Input!$E$40*WRs!K137</f>
        <v>11</v>
      </c>
    </row>
    <row r="138" customFormat="false" ht="12.75" hidden="false" customHeight="false" outlineLevel="0" collapsed="false">
      <c r="A138" s="142" t="s">
        <v>477</v>
      </c>
      <c r="B138" s="83" t="s">
        <v>166</v>
      </c>
      <c r="C138" s="127" t="n">
        <v>0</v>
      </c>
      <c r="D138" s="125" t="n">
        <v>0</v>
      </c>
      <c r="E138" s="125" t="n">
        <v>0</v>
      </c>
      <c r="F138" s="126" t="n">
        <v>0</v>
      </c>
      <c r="G138" s="127" t="n">
        <v>5</v>
      </c>
      <c r="H138" s="125" t="n">
        <f aca="false">9.4*G138</f>
        <v>47</v>
      </c>
      <c r="I138" s="125" t="n">
        <v>0</v>
      </c>
      <c r="J138" s="126" t="n">
        <v>0</v>
      </c>
      <c r="K138" s="125" t="n">
        <v>0</v>
      </c>
      <c r="L138" s="128" t="n">
        <v>0.727272727272727</v>
      </c>
      <c r="M138" s="129" t="n">
        <v>0.0979020979020979</v>
      </c>
      <c r="N138" s="129" t="n">
        <v>0.0629370629370629</v>
      </c>
      <c r="O138" s="129" t="n">
        <v>0.020979020979021</v>
      </c>
      <c r="P138" s="129" t="n">
        <v>0.027972027972028</v>
      </c>
      <c r="Q138" s="130" t="n">
        <v>0.0629370629370629</v>
      </c>
      <c r="R138" s="128" t="n">
        <v>0.369747899159664</v>
      </c>
      <c r="S138" s="129" t="n">
        <v>0.252100840336134</v>
      </c>
      <c r="T138" s="129" t="n">
        <v>0.210084033613445</v>
      </c>
      <c r="U138" s="129" t="n">
        <v>0.0588235294117647</v>
      </c>
      <c r="V138" s="129" t="n">
        <v>0.0756302521008403</v>
      </c>
      <c r="W138" s="130" t="n">
        <v>0.0420168067226891</v>
      </c>
      <c r="X138" s="80" t="n">
        <f aca="false">$F138*L138</f>
        <v>0</v>
      </c>
      <c r="Y138" s="81" t="n">
        <f aca="false">$F138*M138</f>
        <v>0</v>
      </c>
      <c r="Z138" s="81" t="n">
        <f aca="false">$F138*N138</f>
        <v>0</v>
      </c>
      <c r="AA138" s="81" t="n">
        <f aca="false">$F138*O138</f>
        <v>0</v>
      </c>
      <c r="AB138" s="81" t="n">
        <f aca="false">$F138*P138</f>
        <v>0</v>
      </c>
      <c r="AC138" s="83" t="n">
        <f aca="false">$F138*Q138</f>
        <v>0</v>
      </c>
      <c r="AD138" s="80" t="n">
        <f aca="false">$J138*R138</f>
        <v>0</v>
      </c>
      <c r="AE138" s="81" t="n">
        <f aca="false">$J138*S138</f>
        <v>0</v>
      </c>
      <c r="AF138" s="81" t="n">
        <f aca="false">$J138*T138</f>
        <v>0</v>
      </c>
      <c r="AG138" s="81" t="n">
        <f aca="false">$J138*U138</f>
        <v>0</v>
      </c>
      <c r="AH138" s="81" t="n">
        <f aca="false">$J138*V138</f>
        <v>0</v>
      </c>
      <c r="AI138" s="83" t="n">
        <f aca="false">$J138*W138</f>
        <v>0</v>
      </c>
      <c r="AJ138" s="91" t="n">
        <f aca="false">Input!$E$22*WRs!C138+Input!$E$23*WRs!D138+Input!$E$24*WRs!X138+Input!$E$25*WRs!Y138+Input!$E$26*WRs!Z138+Input!$E$27*WRs!AA138+Input!$E$28*WRs!AB138+Input!$E$29*WRs!AC138+Input!$E$30*WRs!E138+Input!$E$31*WRs!G138+Input!$E$32*WRs!H138+Input!$E$33*WRs!AD138+Input!$E$34*WRs!AE138+Input!$E$35*WRs!AF138+Input!$E$36*WRs!AG138+Input!$E$37*WRs!AH138+Input!$E$38*WRs!AI138+Input!$E$39*WRs!I138+Input!$E$40*WRs!K138</f>
        <v>4.7</v>
      </c>
    </row>
    <row r="139" customFormat="false" ht="12.75" hidden="false" customHeight="false" outlineLevel="0" collapsed="false">
      <c r="C139" s="143"/>
      <c r="F139" s="143"/>
      <c r="G139" s="143"/>
      <c r="J139" s="143"/>
      <c r="K139" s="143"/>
      <c r="L139" s="148"/>
      <c r="M139" s="148"/>
      <c r="N139" s="148"/>
      <c r="O139" s="148"/>
      <c r="P139" s="148"/>
      <c r="Q139" s="148"/>
    </row>
    <row r="140" customFormat="false" ht="12.75" hidden="false" customHeight="false" outlineLevel="0" collapsed="false">
      <c r="C140" s="143"/>
      <c r="F140" s="143"/>
      <c r="G140" s="143"/>
      <c r="J140" s="143"/>
      <c r="K140" s="143"/>
      <c r="L140" s="148"/>
      <c r="M140" s="148"/>
      <c r="N140" s="148"/>
      <c r="O140" s="148"/>
      <c r="P140" s="148"/>
      <c r="Q140" s="148"/>
    </row>
    <row r="141" customFormat="false" ht="12.75" hidden="false" customHeight="false" outlineLevel="0" collapsed="false">
      <c r="C141" s="143"/>
      <c r="F141" s="143"/>
      <c r="G141" s="143"/>
      <c r="J141" s="143"/>
      <c r="K141" s="143"/>
      <c r="L141" s="148"/>
      <c r="M141" s="148"/>
      <c r="N141" s="148"/>
      <c r="O141" s="148"/>
      <c r="P141" s="148"/>
      <c r="Q141" s="148"/>
    </row>
    <row r="142" customFormat="false" ht="12.75" hidden="false" customHeight="false" outlineLevel="0" collapsed="false">
      <c r="C142" s="143"/>
      <c r="F142" s="143"/>
      <c r="G142" s="143"/>
      <c r="J142" s="143"/>
      <c r="K142" s="143"/>
      <c r="L142" s="148"/>
      <c r="M142" s="148"/>
      <c r="N142" s="148"/>
      <c r="O142" s="148"/>
      <c r="P142" s="148"/>
      <c r="Q142" s="148"/>
    </row>
    <row r="143" customFormat="false" ht="12.75" hidden="false" customHeight="false" outlineLevel="0" collapsed="false">
      <c r="C143" s="143"/>
      <c r="F143" s="143"/>
      <c r="G143" s="143"/>
      <c r="J143" s="143"/>
      <c r="K143" s="143"/>
      <c r="L143" s="148"/>
      <c r="M143" s="148"/>
      <c r="N143" s="148"/>
      <c r="O143" s="148"/>
      <c r="P143" s="148"/>
      <c r="Q143" s="148"/>
    </row>
    <row r="144" customFormat="false" ht="12.75" hidden="false" customHeight="false" outlineLevel="0" collapsed="false">
      <c r="C144" s="143"/>
      <c r="F144" s="143"/>
      <c r="G144" s="143"/>
      <c r="J144" s="143"/>
      <c r="K144" s="143"/>
      <c r="L144" s="148"/>
      <c r="M144" s="148"/>
      <c r="N144" s="148"/>
      <c r="O144" s="148"/>
      <c r="P144" s="148"/>
      <c r="Q144" s="148"/>
    </row>
    <row r="145" customFormat="false" ht="12.75" hidden="false" customHeight="false" outlineLevel="0" collapsed="false">
      <c r="C145" s="143"/>
      <c r="F145" s="143"/>
      <c r="G145" s="143"/>
      <c r="J145" s="143"/>
      <c r="K145" s="143"/>
      <c r="L145" s="148"/>
      <c r="M145" s="148"/>
      <c r="N145" s="148"/>
      <c r="O145" s="148"/>
      <c r="P145" s="148"/>
      <c r="Q145" s="148"/>
    </row>
    <row r="146" customFormat="false" ht="12.75" hidden="false" customHeight="false" outlineLevel="0" collapsed="false">
      <c r="C146" s="143"/>
      <c r="F146" s="143"/>
      <c r="G146" s="143"/>
      <c r="J146" s="143"/>
      <c r="K146" s="143"/>
      <c r="L146" s="148"/>
      <c r="M146" s="148"/>
      <c r="N146" s="148"/>
      <c r="O146" s="148"/>
      <c r="P146" s="148"/>
      <c r="Q146" s="148"/>
    </row>
    <row r="147" customFormat="false" ht="12.75" hidden="false" customHeight="false" outlineLevel="0" collapsed="false">
      <c r="C147" s="143"/>
      <c r="F147" s="143"/>
      <c r="G147" s="143"/>
      <c r="J147" s="143"/>
      <c r="K147" s="143"/>
      <c r="L147" s="148"/>
      <c r="M147" s="148"/>
      <c r="N147" s="148"/>
      <c r="O147" s="148"/>
      <c r="P147" s="148"/>
      <c r="Q147" s="148"/>
    </row>
    <row r="148" customFormat="false" ht="12.75" hidden="false" customHeight="false" outlineLevel="0" collapsed="false">
      <c r="C148" s="143"/>
      <c r="F148" s="143"/>
      <c r="G148" s="143"/>
      <c r="J148" s="143"/>
      <c r="K148" s="143"/>
      <c r="L148" s="148"/>
      <c r="M148" s="148"/>
      <c r="N148" s="148"/>
      <c r="O148" s="148"/>
      <c r="P148" s="148"/>
      <c r="Q148" s="148"/>
    </row>
    <row r="149" customFormat="false" ht="12.75" hidden="false" customHeight="false" outlineLevel="0" collapsed="false">
      <c r="C149" s="143"/>
      <c r="F149" s="143"/>
      <c r="G149" s="143"/>
      <c r="J149" s="143"/>
      <c r="K149" s="143"/>
      <c r="L149" s="148"/>
      <c r="M149" s="148"/>
      <c r="N149" s="148"/>
      <c r="O149" s="148"/>
      <c r="P149" s="148"/>
      <c r="Q149" s="148"/>
    </row>
    <row r="150" customFormat="false" ht="12.75" hidden="false" customHeight="false" outlineLevel="0" collapsed="false">
      <c r="C150" s="143"/>
      <c r="F150" s="143"/>
      <c r="G150" s="143"/>
      <c r="J150" s="143"/>
      <c r="K150" s="143"/>
      <c r="L150" s="148"/>
      <c r="M150" s="148"/>
      <c r="N150" s="148"/>
      <c r="O150" s="148"/>
      <c r="P150" s="148"/>
      <c r="Q150" s="148"/>
    </row>
    <row r="151" customFormat="false" ht="12.75" hidden="false" customHeight="false" outlineLevel="0" collapsed="false">
      <c r="C151" s="143"/>
      <c r="F151" s="143"/>
      <c r="G151" s="143"/>
      <c r="J151" s="143"/>
      <c r="K151" s="143"/>
      <c r="L151" s="148"/>
      <c r="M151" s="148"/>
      <c r="N151" s="148"/>
      <c r="O151" s="148"/>
      <c r="P151" s="148"/>
      <c r="Q151" s="148"/>
    </row>
    <row r="152" customFormat="false" ht="12.75" hidden="false" customHeight="false" outlineLevel="0" collapsed="false">
      <c r="C152" s="143"/>
      <c r="F152" s="143"/>
      <c r="G152" s="143"/>
      <c r="J152" s="143"/>
      <c r="K152" s="143"/>
      <c r="L152" s="148"/>
      <c r="M152" s="148"/>
      <c r="N152" s="148"/>
      <c r="O152" s="148"/>
      <c r="P152" s="148"/>
      <c r="Q152" s="148"/>
    </row>
    <row r="153" customFormat="false" ht="12.75" hidden="false" customHeight="false" outlineLevel="0" collapsed="false">
      <c r="C153" s="143"/>
      <c r="F153" s="143"/>
      <c r="G153" s="143"/>
      <c r="J153" s="143"/>
      <c r="K153" s="143"/>
      <c r="L153" s="148"/>
      <c r="M153" s="148"/>
      <c r="N153" s="148"/>
      <c r="O153" s="148"/>
      <c r="P153" s="148"/>
      <c r="Q153" s="148"/>
    </row>
    <row r="154" customFormat="false" ht="12.75" hidden="false" customHeight="false" outlineLevel="0" collapsed="false">
      <c r="C154" s="143"/>
      <c r="F154" s="143"/>
      <c r="G154" s="143"/>
      <c r="J154" s="143"/>
      <c r="K154" s="143"/>
      <c r="L154" s="148"/>
      <c r="M154" s="148"/>
      <c r="N154" s="148"/>
      <c r="O154" s="148"/>
      <c r="P154" s="148"/>
      <c r="Q154" s="148"/>
    </row>
    <row r="155" customFormat="false" ht="12.75" hidden="false" customHeight="false" outlineLevel="0" collapsed="false">
      <c r="C155" s="143"/>
      <c r="F155" s="143"/>
      <c r="G155" s="143"/>
      <c r="J155" s="143"/>
      <c r="K155" s="143"/>
      <c r="L155" s="148"/>
      <c r="M155" s="148"/>
      <c r="N155" s="148"/>
      <c r="O155" s="148"/>
      <c r="P155" s="148"/>
      <c r="Q155" s="148"/>
    </row>
    <row r="156" customFormat="false" ht="12.75" hidden="false" customHeight="false" outlineLevel="0" collapsed="false">
      <c r="C156" s="143"/>
      <c r="F156" s="143"/>
      <c r="G156" s="143"/>
      <c r="J156" s="143"/>
      <c r="K156" s="143"/>
      <c r="L156" s="148"/>
      <c r="M156" s="148"/>
      <c r="N156" s="148"/>
      <c r="O156" s="148"/>
      <c r="P156" s="148"/>
      <c r="Q156" s="148"/>
    </row>
    <row r="157" customFormat="false" ht="12.75" hidden="false" customHeight="false" outlineLevel="0" collapsed="false">
      <c r="C157" s="143"/>
      <c r="F157" s="143"/>
      <c r="G157" s="143"/>
      <c r="J157" s="143"/>
      <c r="K157" s="143"/>
      <c r="L157" s="148"/>
      <c r="M157" s="148"/>
      <c r="N157" s="148"/>
      <c r="O157" s="148"/>
      <c r="P157" s="148"/>
      <c r="Q157" s="148"/>
    </row>
    <row r="158" customFormat="false" ht="12.75" hidden="false" customHeight="false" outlineLevel="0" collapsed="false">
      <c r="C158" s="143"/>
      <c r="F158" s="143"/>
      <c r="G158" s="143"/>
      <c r="J158" s="143"/>
      <c r="K158" s="143"/>
      <c r="L158" s="148"/>
      <c r="M158" s="148"/>
      <c r="N158" s="148"/>
      <c r="O158" s="148"/>
      <c r="P158" s="148"/>
      <c r="Q158" s="148"/>
    </row>
    <row r="159" customFormat="false" ht="12.75" hidden="false" customHeight="false" outlineLevel="0" collapsed="false">
      <c r="C159" s="143"/>
      <c r="F159" s="143"/>
      <c r="G159" s="143"/>
      <c r="J159" s="143"/>
      <c r="K159" s="143"/>
      <c r="L159" s="148"/>
      <c r="M159" s="148"/>
      <c r="N159" s="148"/>
      <c r="O159" s="148"/>
      <c r="P159" s="148"/>
      <c r="Q159" s="148"/>
    </row>
    <row r="160" customFormat="false" ht="12.75" hidden="false" customHeight="false" outlineLevel="0" collapsed="false">
      <c r="C160" s="143"/>
      <c r="F160" s="143"/>
      <c r="G160" s="143"/>
      <c r="J160" s="143"/>
      <c r="K160" s="143"/>
      <c r="L160" s="148"/>
      <c r="M160" s="148"/>
      <c r="N160" s="148"/>
      <c r="O160" s="148"/>
      <c r="P160" s="148"/>
      <c r="Q160" s="148"/>
    </row>
    <row r="161" customFormat="false" ht="12.75" hidden="false" customHeight="false" outlineLevel="0" collapsed="false">
      <c r="C161" s="143"/>
      <c r="F161" s="143"/>
      <c r="G161" s="143"/>
      <c r="J161" s="143"/>
      <c r="K161" s="143"/>
      <c r="L161" s="148"/>
      <c r="M161" s="148"/>
      <c r="N161" s="148"/>
      <c r="O161" s="148"/>
      <c r="P161" s="148"/>
      <c r="Q161" s="148"/>
    </row>
    <row r="162" customFormat="false" ht="12.75" hidden="false" customHeight="false" outlineLevel="0" collapsed="false">
      <c r="C162" s="143"/>
      <c r="F162" s="143"/>
      <c r="G162" s="143"/>
      <c r="J162" s="143"/>
      <c r="K162" s="143"/>
      <c r="L162" s="148"/>
      <c r="M162" s="148"/>
      <c r="N162" s="148"/>
      <c r="O162" s="148"/>
      <c r="P162" s="148"/>
      <c r="Q162" s="148"/>
    </row>
    <row r="163" customFormat="false" ht="12.75" hidden="false" customHeight="false" outlineLevel="0" collapsed="false">
      <c r="C163" s="143"/>
      <c r="F163" s="143"/>
      <c r="G163" s="143"/>
      <c r="J163" s="143"/>
      <c r="K163" s="143"/>
      <c r="L163" s="148"/>
      <c r="M163" s="148"/>
      <c r="N163" s="148"/>
      <c r="O163" s="148"/>
      <c r="P163" s="148"/>
      <c r="Q163" s="148"/>
    </row>
    <row r="164" customFormat="false" ht="12.75" hidden="false" customHeight="false" outlineLevel="0" collapsed="false">
      <c r="C164" s="143"/>
      <c r="F164" s="143"/>
      <c r="G164" s="143"/>
      <c r="J164" s="143"/>
      <c r="K164" s="143"/>
      <c r="L164" s="148"/>
      <c r="M164" s="148"/>
      <c r="N164" s="148"/>
      <c r="O164" s="148"/>
      <c r="P164" s="148"/>
      <c r="Q164" s="148"/>
    </row>
    <row r="165" customFormat="false" ht="12.75" hidden="false" customHeight="false" outlineLevel="0" collapsed="false">
      <c r="C165" s="143"/>
      <c r="F165" s="143"/>
      <c r="G165" s="143"/>
      <c r="J165" s="143"/>
      <c r="K165" s="143"/>
      <c r="L165" s="148"/>
      <c r="M165" s="148"/>
      <c r="N165" s="148"/>
      <c r="O165" s="148"/>
      <c r="P165" s="148"/>
      <c r="Q165" s="148"/>
    </row>
    <row r="166" customFormat="false" ht="12.75" hidden="false" customHeight="false" outlineLevel="0" collapsed="false">
      <c r="C166" s="143"/>
      <c r="F166" s="143"/>
      <c r="G166" s="143"/>
      <c r="J166" s="143"/>
      <c r="K166" s="143"/>
      <c r="L166" s="148"/>
      <c r="M166" s="148"/>
      <c r="N166" s="148"/>
      <c r="O166" s="148"/>
      <c r="P166" s="148"/>
      <c r="Q166" s="148"/>
    </row>
    <row r="167" customFormat="false" ht="12.75" hidden="false" customHeight="false" outlineLevel="0" collapsed="false">
      <c r="C167" s="143"/>
      <c r="F167" s="143"/>
      <c r="G167" s="143"/>
      <c r="J167" s="143"/>
      <c r="K167" s="143"/>
      <c r="L167" s="148"/>
      <c r="M167" s="148"/>
      <c r="N167" s="148"/>
      <c r="O167" s="148"/>
      <c r="P167" s="148"/>
      <c r="Q167" s="148"/>
    </row>
    <row r="168" customFormat="false" ht="12.75" hidden="false" customHeight="false" outlineLevel="0" collapsed="false">
      <c r="C168" s="143"/>
      <c r="F168" s="143"/>
      <c r="G168" s="143"/>
      <c r="J168" s="143"/>
      <c r="K168" s="143"/>
      <c r="L168" s="148"/>
      <c r="M168" s="148"/>
      <c r="N168" s="148"/>
      <c r="O168" s="148"/>
      <c r="P168" s="148"/>
      <c r="Q168" s="148"/>
    </row>
    <row r="169" customFormat="false" ht="12.75" hidden="false" customHeight="false" outlineLevel="0" collapsed="false">
      <c r="C169" s="143"/>
      <c r="F169" s="143"/>
      <c r="G169" s="143"/>
      <c r="J169" s="143"/>
      <c r="K169" s="143"/>
      <c r="L169" s="148"/>
      <c r="M169" s="148"/>
      <c r="N169" s="148"/>
      <c r="O169" s="148"/>
      <c r="P169" s="148"/>
      <c r="Q169" s="148"/>
    </row>
    <row r="170" customFormat="false" ht="12.75" hidden="false" customHeight="false" outlineLevel="0" collapsed="false">
      <c r="C170" s="143"/>
      <c r="F170" s="143"/>
      <c r="G170" s="143"/>
      <c r="J170" s="143"/>
      <c r="K170" s="143"/>
      <c r="L170" s="148"/>
      <c r="M170" s="148"/>
      <c r="N170" s="148"/>
      <c r="O170" s="148"/>
      <c r="P170" s="148"/>
      <c r="Q170" s="148"/>
    </row>
    <row r="171" customFormat="false" ht="12.75" hidden="false" customHeight="false" outlineLevel="0" collapsed="false">
      <c r="C171" s="143"/>
      <c r="F171" s="143"/>
      <c r="G171" s="143"/>
      <c r="J171" s="143"/>
      <c r="K171" s="143"/>
      <c r="L171" s="148"/>
      <c r="M171" s="148"/>
      <c r="N171" s="148"/>
      <c r="O171" s="148"/>
      <c r="P171" s="148"/>
      <c r="Q171" s="148"/>
    </row>
    <row r="172" customFormat="false" ht="12.75" hidden="false" customHeight="false" outlineLevel="0" collapsed="false">
      <c r="C172" s="143"/>
      <c r="F172" s="143"/>
      <c r="G172" s="143"/>
      <c r="J172" s="143"/>
      <c r="K172" s="143"/>
      <c r="L172" s="148"/>
      <c r="M172" s="148"/>
      <c r="N172" s="148"/>
      <c r="O172" s="148"/>
      <c r="P172" s="148"/>
      <c r="Q172" s="148"/>
    </row>
    <row r="173" customFormat="false" ht="12.75" hidden="false" customHeight="false" outlineLevel="0" collapsed="false">
      <c r="C173" s="143"/>
      <c r="F173" s="143"/>
      <c r="G173" s="143"/>
      <c r="J173" s="143"/>
      <c r="K173" s="143"/>
      <c r="L173" s="148"/>
      <c r="M173" s="148"/>
      <c r="N173" s="148"/>
      <c r="O173" s="148"/>
      <c r="P173" s="148"/>
      <c r="Q173" s="148"/>
    </row>
    <row r="174" customFormat="false" ht="12.75" hidden="false" customHeight="false" outlineLevel="0" collapsed="false">
      <c r="C174" s="143"/>
      <c r="F174" s="143"/>
      <c r="G174" s="143"/>
      <c r="J174" s="143"/>
      <c r="K174" s="143"/>
      <c r="L174" s="148"/>
      <c r="M174" s="148"/>
      <c r="N174" s="148"/>
      <c r="O174" s="148"/>
      <c r="P174" s="148"/>
      <c r="Q174" s="148"/>
    </row>
    <row r="175" customFormat="false" ht="12.75" hidden="false" customHeight="false" outlineLevel="0" collapsed="false">
      <c r="C175" s="143"/>
      <c r="F175" s="143"/>
      <c r="G175" s="143"/>
      <c r="J175" s="143"/>
      <c r="K175" s="143"/>
      <c r="L175" s="148"/>
      <c r="M175" s="148"/>
      <c r="N175" s="148"/>
      <c r="O175" s="148"/>
      <c r="P175" s="148"/>
      <c r="Q175" s="148"/>
    </row>
    <row r="176" customFormat="false" ht="12.75" hidden="false" customHeight="false" outlineLevel="0" collapsed="false">
      <c r="C176" s="143"/>
      <c r="F176" s="143"/>
      <c r="G176" s="143"/>
      <c r="J176" s="143"/>
      <c r="K176" s="143"/>
      <c r="L176" s="148"/>
      <c r="M176" s="148"/>
      <c r="N176" s="148"/>
      <c r="O176" s="148"/>
      <c r="P176" s="148"/>
      <c r="Q176" s="148"/>
    </row>
    <row r="177" customFormat="false" ht="12.75" hidden="false" customHeight="false" outlineLevel="0" collapsed="false">
      <c r="C177" s="143"/>
      <c r="F177" s="143"/>
      <c r="G177" s="143"/>
      <c r="J177" s="143"/>
      <c r="K177" s="143"/>
      <c r="L177" s="148"/>
      <c r="M177" s="148"/>
      <c r="N177" s="148"/>
      <c r="O177" s="148"/>
      <c r="P177" s="148"/>
      <c r="Q177" s="148"/>
    </row>
    <row r="178" customFormat="false" ht="12.75" hidden="false" customHeight="false" outlineLevel="0" collapsed="false">
      <c r="C178" s="143"/>
      <c r="F178" s="143"/>
      <c r="G178" s="143"/>
      <c r="J178" s="143"/>
      <c r="K178" s="143"/>
      <c r="L178" s="148"/>
      <c r="M178" s="148"/>
      <c r="N178" s="148"/>
      <c r="O178" s="148"/>
      <c r="P178" s="148"/>
      <c r="Q178" s="148"/>
    </row>
    <row r="179" customFormat="false" ht="12.75" hidden="false" customHeight="false" outlineLevel="0" collapsed="false">
      <c r="C179" s="143"/>
      <c r="F179" s="143"/>
      <c r="G179" s="143"/>
      <c r="J179" s="143"/>
      <c r="K179" s="143"/>
      <c r="L179" s="148"/>
      <c r="M179" s="148"/>
      <c r="N179" s="148"/>
      <c r="O179" s="148"/>
      <c r="P179" s="148"/>
      <c r="Q179" s="148"/>
    </row>
    <row r="180" customFormat="false" ht="12.75" hidden="false" customHeight="false" outlineLevel="0" collapsed="false">
      <c r="C180" s="143"/>
      <c r="F180" s="143"/>
      <c r="G180" s="143"/>
      <c r="J180" s="143"/>
      <c r="K180" s="143"/>
      <c r="L180" s="148"/>
      <c r="M180" s="148"/>
      <c r="N180" s="148"/>
      <c r="O180" s="148"/>
      <c r="P180" s="148"/>
      <c r="Q180" s="148"/>
    </row>
    <row r="181" customFormat="false" ht="12.75" hidden="false" customHeight="false" outlineLevel="0" collapsed="false">
      <c r="C181" s="143"/>
      <c r="F181" s="143"/>
      <c r="G181" s="143"/>
      <c r="J181" s="143"/>
      <c r="K181" s="143"/>
      <c r="L181" s="148"/>
      <c r="M181" s="148"/>
      <c r="N181" s="148"/>
      <c r="O181" s="148"/>
      <c r="P181" s="148"/>
      <c r="Q181" s="148"/>
    </row>
    <row r="182" customFormat="false" ht="12.75" hidden="false" customHeight="false" outlineLevel="0" collapsed="false">
      <c r="C182" s="143"/>
      <c r="F182" s="143"/>
      <c r="G182" s="143"/>
      <c r="J182" s="143"/>
      <c r="K182" s="143"/>
      <c r="L182" s="148"/>
      <c r="M182" s="148"/>
      <c r="N182" s="148"/>
      <c r="O182" s="148"/>
      <c r="P182" s="148"/>
      <c r="Q182" s="148"/>
    </row>
    <row r="183" customFormat="false" ht="12.75" hidden="false" customHeight="false" outlineLevel="0" collapsed="false">
      <c r="C183" s="143"/>
      <c r="F183" s="143"/>
      <c r="G183" s="143"/>
      <c r="J183" s="143"/>
      <c r="K183" s="143"/>
      <c r="L183" s="148"/>
      <c r="M183" s="148"/>
      <c r="N183" s="148"/>
      <c r="O183" s="148"/>
      <c r="P183" s="148"/>
      <c r="Q183" s="148"/>
    </row>
    <row r="184" customFormat="false" ht="12.75" hidden="false" customHeight="false" outlineLevel="0" collapsed="false">
      <c r="C184" s="143"/>
      <c r="F184" s="143"/>
      <c r="G184" s="143"/>
      <c r="J184" s="143"/>
      <c r="K184" s="143"/>
      <c r="L184" s="148"/>
      <c r="M184" s="148"/>
      <c r="N184" s="148"/>
      <c r="O184" s="148"/>
      <c r="P184" s="148"/>
      <c r="Q184" s="148"/>
    </row>
    <row r="185" customFormat="false" ht="12.75" hidden="false" customHeight="false" outlineLevel="0" collapsed="false">
      <c r="C185" s="143"/>
      <c r="F185" s="143"/>
      <c r="G185" s="143"/>
      <c r="J185" s="143"/>
      <c r="K185" s="143"/>
      <c r="L185" s="148"/>
      <c r="M185" s="148"/>
      <c r="N185" s="148"/>
      <c r="O185" s="148"/>
      <c r="P185" s="148"/>
      <c r="Q185" s="148"/>
    </row>
    <row r="186" customFormat="false" ht="12.75" hidden="false" customHeight="false" outlineLevel="0" collapsed="false">
      <c r="C186" s="143"/>
      <c r="F186" s="143"/>
      <c r="G186" s="143"/>
      <c r="J186" s="143"/>
      <c r="K186" s="143"/>
      <c r="L186" s="148"/>
      <c r="M186" s="148"/>
      <c r="N186" s="148"/>
      <c r="O186" s="148"/>
      <c r="P186" s="148"/>
      <c r="Q186" s="148"/>
    </row>
    <row r="187" customFormat="false" ht="12.75" hidden="false" customHeight="false" outlineLevel="0" collapsed="false">
      <c r="C187" s="143"/>
      <c r="F187" s="143"/>
      <c r="G187" s="143"/>
      <c r="J187" s="143"/>
      <c r="K187" s="143"/>
      <c r="L187" s="148"/>
      <c r="M187" s="148"/>
      <c r="N187" s="148"/>
      <c r="O187" s="148"/>
      <c r="P187" s="148"/>
      <c r="Q187" s="148"/>
    </row>
    <row r="188" customFormat="false" ht="12.75" hidden="false" customHeight="false" outlineLevel="0" collapsed="false">
      <c r="C188" s="143"/>
      <c r="F188" s="143"/>
      <c r="G188" s="143"/>
      <c r="J188" s="143"/>
      <c r="K188" s="143"/>
      <c r="L188" s="148"/>
      <c r="M188" s="148"/>
      <c r="N188" s="148"/>
      <c r="O188" s="148"/>
      <c r="P188" s="148"/>
      <c r="Q188" s="148"/>
    </row>
    <row r="189" customFormat="false" ht="12.75" hidden="false" customHeight="false" outlineLevel="0" collapsed="false">
      <c r="C189" s="143"/>
      <c r="F189" s="143"/>
      <c r="G189" s="143"/>
      <c r="J189" s="143"/>
      <c r="K189" s="143"/>
      <c r="L189" s="148"/>
      <c r="M189" s="148"/>
      <c r="N189" s="148"/>
      <c r="O189" s="148"/>
      <c r="P189" s="148"/>
      <c r="Q189" s="148"/>
    </row>
    <row r="190" customFormat="false" ht="12.75" hidden="false" customHeight="false" outlineLevel="0" collapsed="false">
      <c r="C190" s="143"/>
      <c r="F190" s="143"/>
      <c r="G190" s="143"/>
      <c r="J190" s="143"/>
      <c r="K190" s="143"/>
      <c r="L190" s="148"/>
      <c r="M190" s="148"/>
      <c r="N190" s="148"/>
      <c r="O190" s="148"/>
      <c r="P190" s="148"/>
      <c r="Q190" s="148"/>
    </row>
    <row r="191" customFormat="false" ht="12.75" hidden="false" customHeight="false" outlineLevel="0" collapsed="false">
      <c r="C191" s="143"/>
      <c r="F191" s="143"/>
      <c r="G191" s="143"/>
      <c r="J191" s="143"/>
      <c r="K191" s="143"/>
      <c r="L191" s="148"/>
      <c r="M191" s="148"/>
      <c r="N191" s="148"/>
      <c r="O191" s="148"/>
      <c r="P191" s="148"/>
      <c r="Q191" s="148"/>
    </row>
    <row r="192" customFormat="false" ht="12.75" hidden="false" customHeight="false" outlineLevel="0" collapsed="false">
      <c r="C192" s="143"/>
      <c r="F192" s="143"/>
      <c r="G192" s="143"/>
      <c r="J192" s="143"/>
      <c r="K192" s="143"/>
      <c r="L192" s="148"/>
      <c r="M192" s="148"/>
      <c r="N192" s="148"/>
      <c r="O192" s="148"/>
      <c r="P192" s="148"/>
      <c r="Q192" s="148"/>
    </row>
    <row r="193" customFormat="false" ht="12.75" hidden="false" customHeight="false" outlineLevel="0" collapsed="false">
      <c r="C193" s="143"/>
      <c r="F193" s="143"/>
      <c r="G193" s="143"/>
      <c r="J193" s="143"/>
      <c r="K193" s="143"/>
      <c r="L193" s="148"/>
      <c r="M193" s="148"/>
      <c r="N193" s="148"/>
      <c r="O193" s="148"/>
      <c r="P193" s="148"/>
      <c r="Q193" s="148"/>
    </row>
    <row r="194" customFormat="false" ht="12.75" hidden="false" customHeight="false" outlineLevel="0" collapsed="false">
      <c r="C194" s="143"/>
      <c r="F194" s="143"/>
      <c r="G194" s="143"/>
      <c r="J194" s="143"/>
      <c r="K194" s="143"/>
      <c r="L194" s="148"/>
      <c r="M194" s="148"/>
      <c r="N194" s="148"/>
      <c r="O194" s="148"/>
      <c r="P194" s="148"/>
      <c r="Q194" s="148"/>
    </row>
    <row r="195" customFormat="false" ht="12.75" hidden="false" customHeight="false" outlineLevel="0" collapsed="false">
      <c r="C195" s="143"/>
      <c r="F195" s="143"/>
      <c r="G195" s="143"/>
      <c r="J195" s="143"/>
      <c r="K195" s="143"/>
      <c r="L195" s="148"/>
      <c r="M195" s="148"/>
      <c r="N195" s="148"/>
      <c r="O195" s="148"/>
      <c r="P195" s="148"/>
      <c r="Q195" s="148"/>
    </row>
    <row r="196" customFormat="false" ht="12.75" hidden="false" customHeight="false" outlineLevel="0" collapsed="false">
      <c r="C196" s="143"/>
      <c r="F196" s="143"/>
      <c r="G196" s="143"/>
      <c r="J196" s="143"/>
      <c r="K196" s="143"/>
      <c r="L196" s="148"/>
      <c r="M196" s="148"/>
      <c r="N196" s="148"/>
      <c r="O196" s="148"/>
      <c r="P196" s="148"/>
      <c r="Q196" s="148"/>
    </row>
    <row r="197" customFormat="false" ht="12.75" hidden="false" customHeight="false" outlineLevel="0" collapsed="false">
      <c r="C197" s="143"/>
      <c r="F197" s="143"/>
      <c r="G197" s="143"/>
      <c r="J197" s="143"/>
      <c r="K197" s="143"/>
      <c r="L197" s="148"/>
      <c r="M197" s="148"/>
      <c r="N197" s="148"/>
      <c r="O197" s="148"/>
      <c r="P197" s="148"/>
      <c r="Q197" s="148"/>
    </row>
    <row r="198" customFormat="false" ht="12.75" hidden="false" customHeight="false" outlineLevel="0" collapsed="false">
      <c r="C198" s="143"/>
      <c r="F198" s="143"/>
      <c r="G198" s="143"/>
      <c r="J198" s="143"/>
      <c r="K198" s="143"/>
      <c r="L198" s="148"/>
      <c r="M198" s="148"/>
      <c r="N198" s="148"/>
      <c r="O198" s="148"/>
      <c r="P198" s="148"/>
      <c r="Q198" s="148"/>
    </row>
    <row r="199" customFormat="false" ht="12.75" hidden="false" customHeight="false" outlineLevel="0" collapsed="false">
      <c r="C199" s="143"/>
      <c r="F199" s="143"/>
      <c r="G199" s="143"/>
      <c r="J199" s="143"/>
      <c r="K199" s="143"/>
      <c r="L199" s="148"/>
      <c r="M199" s="148"/>
      <c r="N199" s="148"/>
      <c r="O199" s="148"/>
      <c r="P199" s="148"/>
      <c r="Q199" s="148"/>
    </row>
    <row r="200" customFormat="false" ht="12.75" hidden="false" customHeight="false" outlineLevel="0" collapsed="false">
      <c r="C200" s="143"/>
      <c r="F200" s="143"/>
      <c r="G200" s="143"/>
      <c r="J200" s="143"/>
      <c r="K200" s="143"/>
      <c r="L200" s="148"/>
      <c r="M200" s="148"/>
      <c r="N200" s="148"/>
      <c r="O200" s="148"/>
      <c r="P200" s="148"/>
      <c r="Q200" s="148"/>
    </row>
    <row r="201" customFormat="false" ht="12.75" hidden="false" customHeight="false" outlineLevel="0" collapsed="false">
      <c r="C201" s="143"/>
      <c r="F201" s="143"/>
      <c r="G201" s="143"/>
      <c r="J201" s="143"/>
      <c r="K201" s="143"/>
      <c r="L201" s="148"/>
      <c r="M201" s="148"/>
      <c r="N201" s="148"/>
      <c r="O201" s="148"/>
      <c r="P201" s="148"/>
      <c r="Q201" s="148"/>
    </row>
    <row r="202" customFormat="false" ht="12.75" hidden="false" customHeight="false" outlineLevel="0" collapsed="false">
      <c r="C202" s="143"/>
      <c r="F202" s="143"/>
      <c r="G202" s="143"/>
      <c r="J202" s="143"/>
      <c r="K202" s="143"/>
      <c r="L202" s="148"/>
      <c r="M202" s="148"/>
      <c r="N202" s="148"/>
      <c r="O202" s="148"/>
      <c r="P202" s="148"/>
      <c r="Q202" s="148"/>
    </row>
    <row r="203" customFormat="false" ht="12.75" hidden="false" customHeight="false" outlineLevel="0" collapsed="false">
      <c r="C203" s="143"/>
      <c r="F203" s="143"/>
      <c r="G203" s="143"/>
      <c r="J203" s="143"/>
      <c r="K203" s="143"/>
      <c r="L203" s="148"/>
      <c r="M203" s="148"/>
      <c r="N203" s="148"/>
      <c r="O203" s="148"/>
      <c r="P203" s="148"/>
      <c r="Q203" s="148"/>
    </row>
    <row r="204" customFormat="false" ht="12.75" hidden="false" customHeight="false" outlineLevel="0" collapsed="false">
      <c r="C204" s="143"/>
      <c r="F204" s="143"/>
      <c r="G204" s="143"/>
      <c r="J204" s="143"/>
      <c r="K204" s="143"/>
      <c r="L204" s="148"/>
      <c r="M204" s="148"/>
      <c r="N204" s="148"/>
      <c r="O204" s="148"/>
      <c r="P204" s="148"/>
      <c r="Q204" s="148"/>
    </row>
    <row r="205" customFormat="false" ht="12.75" hidden="false" customHeight="false" outlineLevel="0" collapsed="false">
      <c r="C205" s="143"/>
      <c r="F205" s="143"/>
      <c r="G205" s="143"/>
      <c r="J205" s="143"/>
      <c r="K205" s="143"/>
      <c r="L205" s="148"/>
      <c r="M205" s="148"/>
      <c r="N205" s="148"/>
      <c r="O205" s="148"/>
      <c r="P205" s="148"/>
      <c r="Q205" s="148"/>
    </row>
    <row r="206" customFormat="false" ht="12.75" hidden="false" customHeight="false" outlineLevel="0" collapsed="false">
      <c r="C206" s="143"/>
      <c r="F206" s="143"/>
      <c r="G206" s="143"/>
      <c r="J206" s="143"/>
      <c r="K206" s="143"/>
      <c r="L206" s="148"/>
      <c r="M206" s="148"/>
      <c r="N206" s="148"/>
      <c r="O206" s="148"/>
      <c r="P206" s="148"/>
      <c r="Q206" s="148"/>
    </row>
    <row r="207" customFormat="false" ht="12.75" hidden="false" customHeight="false" outlineLevel="0" collapsed="false">
      <c r="C207" s="143"/>
      <c r="F207" s="143"/>
      <c r="G207" s="143"/>
      <c r="J207" s="143"/>
      <c r="K207" s="143"/>
      <c r="L207" s="148"/>
      <c r="M207" s="148"/>
      <c r="N207" s="148"/>
      <c r="O207" s="148"/>
      <c r="P207" s="148"/>
      <c r="Q207" s="148"/>
    </row>
    <row r="208" customFormat="false" ht="12.75" hidden="false" customHeight="false" outlineLevel="0" collapsed="false">
      <c r="C208" s="143"/>
      <c r="F208" s="143"/>
      <c r="G208" s="143"/>
      <c r="J208" s="143"/>
      <c r="K208" s="143"/>
      <c r="L208" s="148"/>
      <c r="M208" s="148"/>
      <c r="N208" s="148"/>
      <c r="O208" s="148"/>
      <c r="P208" s="148"/>
      <c r="Q208" s="148"/>
    </row>
    <row r="209" customFormat="false" ht="12.75" hidden="false" customHeight="false" outlineLevel="0" collapsed="false">
      <c r="C209" s="143"/>
      <c r="F209" s="143"/>
      <c r="G209" s="143"/>
      <c r="J209" s="143"/>
      <c r="K209" s="143"/>
      <c r="L209" s="148"/>
      <c r="M209" s="148"/>
      <c r="N209" s="148"/>
      <c r="O209" s="148"/>
      <c r="P209" s="148"/>
      <c r="Q209" s="148"/>
    </row>
    <row r="210" customFormat="false" ht="12.75" hidden="false" customHeight="false" outlineLevel="0" collapsed="false">
      <c r="C210" s="143"/>
      <c r="F210" s="143"/>
      <c r="G210" s="143"/>
      <c r="J210" s="143"/>
      <c r="K210" s="143"/>
      <c r="L210" s="148"/>
      <c r="M210" s="148"/>
      <c r="N210" s="148"/>
      <c r="O210" s="148"/>
      <c r="P210" s="148"/>
      <c r="Q210" s="148"/>
    </row>
    <row r="211" customFormat="false" ht="12.75" hidden="false" customHeight="false" outlineLevel="0" collapsed="false">
      <c r="C211" s="143"/>
      <c r="F211" s="143"/>
      <c r="G211" s="143"/>
      <c r="J211" s="143"/>
      <c r="K211" s="143"/>
      <c r="L211" s="148"/>
      <c r="M211" s="148"/>
      <c r="N211" s="148"/>
      <c r="O211" s="148"/>
      <c r="P211" s="148"/>
      <c r="Q211" s="148"/>
    </row>
    <row r="212" customFormat="false" ht="12.75" hidden="false" customHeight="false" outlineLevel="0" collapsed="false">
      <c r="C212" s="143"/>
      <c r="F212" s="143"/>
      <c r="G212" s="143"/>
      <c r="J212" s="143"/>
      <c r="K212" s="143"/>
      <c r="L212" s="148"/>
      <c r="M212" s="148"/>
      <c r="N212" s="148"/>
      <c r="O212" s="148"/>
      <c r="P212" s="148"/>
      <c r="Q212" s="148"/>
    </row>
    <row r="213" customFormat="false" ht="12.75" hidden="false" customHeight="false" outlineLevel="0" collapsed="false">
      <c r="C213" s="143"/>
      <c r="F213" s="143"/>
      <c r="G213" s="143"/>
      <c r="J213" s="143"/>
      <c r="K213" s="143"/>
      <c r="L213" s="148"/>
      <c r="M213" s="148"/>
      <c r="N213" s="148"/>
      <c r="O213" s="148"/>
      <c r="P213" s="148"/>
      <c r="Q213" s="148"/>
    </row>
    <row r="214" customFormat="false" ht="12.75" hidden="false" customHeight="false" outlineLevel="0" collapsed="false">
      <c r="C214" s="143"/>
      <c r="F214" s="143"/>
      <c r="G214" s="143"/>
      <c r="J214" s="143"/>
      <c r="K214" s="143"/>
      <c r="L214" s="148"/>
      <c r="M214" s="148"/>
      <c r="N214" s="148"/>
      <c r="O214" s="148"/>
      <c r="P214" s="148"/>
      <c r="Q214" s="148"/>
    </row>
    <row r="215" customFormat="false" ht="12.75" hidden="false" customHeight="false" outlineLevel="0" collapsed="false">
      <c r="C215" s="143"/>
      <c r="F215" s="143"/>
      <c r="G215" s="143"/>
      <c r="J215" s="143"/>
      <c r="K215" s="143"/>
      <c r="L215" s="148"/>
      <c r="M215" s="148"/>
      <c r="N215" s="148"/>
      <c r="O215" s="148"/>
      <c r="P215" s="148"/>
      <c r="Q215" s="148"/>
    </row>
    <row r="216" customFormat="false" ht="12.75" hidden="false" customHeight="false" outlineLevel="0" collapsed="false">
      <c r="C216" s="143"/>
      <c r="F216" s="143"/>
      <c r="G216" s="143"/>
      <c r="J216" s="143"/>
      <c r="K216" s="143"/>
      <c r="L216" s="148"/>
      <c r="M216" s="148"/>
      <c r="N216" s="148"/>
      <c r="O216" s="148"/>
      <c r="P216" s="148"/>
      <c r="Q216" s="148"/>
    </row>
    <row r="217" customFormat="false" ht="12.75" hidden="false" customHeight="false" outlineLevel="0" collapsed="false">
      <c r="C217" s="143"/>
      <c r="F217" s="143"/>
      <c r="G217" s="143"/>
      <c r="J217" s="143"/>
      <c r="K217" s="143"/>
      <c r="L217" s="148"/>
      <c r="M217" s="148"/>
      <c r="N217" s="148"/>
      <c r="O217" s="148"/>
      <c r="P217" s="148"/>
      <c r="Q217" s="148"/>
    </row>
    <row r="218" customFormat="false" ht="12.75" hidden="false" customHeight="false" outlineLevel="0" collapsed="false">
      <c r="C218" s="143"/>
      <c r="F218" s="143"/>
      <c r="G218" s="143"/>
      <c r="J218" s="143"/>
      <c r="K218" s="143"/>
      <c r="L218" s="148"/>
      <c r="M218" s="148"/>
      <c r="N218" s="148"/>
      <c r="O218" s="148"/>
      <c r="P218" s="148"/>
      <c r="Q218" s="148"/>
    </row>
    <row r="219" customFormat="false" ht="12.75" hidden="false" customHeight="false" outlineLevel="0" collapsed="false">
      <c r="C219" s="143"/>
      <c r="F219" s="143"/>
      <c r="G219" s="143"/>
      <c r="J219" s="143"/>
      <c r="K219" s="143"/>
      <c r="L219" s="148"/>
      <c r="M219" s="148"/>
      <c r="N219" s="148"/>
      <c r="O219" s="148"/>
      <c r="P219" s="148"/>
      <c r="Q219" s="148"/>
    </row>
    <row r="220" customFormat="false" ht="12.75" hidden="false" customHeight="false" outlineLevel="0" collapsed="false">
      <c r="C220" s="143"/>
      <c r="F220" s="143"/>
      <c r="G220" s="143"/>
      <c r="J220" s="143"/>
      <c r="K220" s="143"/>
      <c r="L220" s="148"/>
      <c r="M220" s="148"/>
      <c r="N220" s="148"/>
      <c r="O220" s="148"/>
      <c r="P220" s="148"/>
      <c r="Q220" s="148"/>
    </row>
    <row r="221" customFormat="false" ht="12.75" hidden="false" customHeight="false" outlineLevel="0" collapsed="false">
      <c r="C221" s="143"/>
      <c r="F221" s="143"/>
      <c r="G221" s="143"/>
      <c r="J221" s="143"/>
      <c r="K221" s="143"/>
      <c r="L221" s="148"/>
      <c r="M221" s="148"/>
      <c r="N221" s="148"/>
      <c r="O221" s="148"/>
      <c r="P221" s="148"/>
      <c r="Q221" s="148"/>
    </row>
    <row r="222" customFormat="false" ht="12.75" hidden="false" customHeight="false" outlineLevel="0" collapsed="false">
      <c r="L222" s="148"/>
      <c r="M222" s="148"/>
      <c r="N222" s="148"/>
      <c r="O222" s="148"/>
      <c r="P222" s="148"/>
      <c r="Q222" s="148"/>
    </row>
    <row r="223" customFormat="false" ht="12.75" hidden="false" customHeight="false" outlineLevel="0" collapsed="false">
      <c r="L223" s="148"/>
      <c r="M223" s="148"/>
      <c r="N223" s="148"/>
      <c r="O223" s="148"/>
      <c r="P223" s="148"/>
      <c r="Q223" s="148"/>
    </row>
    <row r="224" customFormat="false" ht="12.75" hidden="false" customHeight="false" outlineLevel="0" collapsed="false">
      <c r="L224" s="148"/>
      <c r="M224" s="148"/>
      <c r="N224" s="148"/>
      <c r="O224" s="148"/>
      <c r="P224" s="148"/>
      <c r="Q224" s="148"/>
    </row>
    <row r="225" customFormat="false" ht="12.75" hidden="false" customHeight="false" outlineLevel="0" collapsed="false">
      <c r="L225" s="148"/>
      <c r="M225" s="148"/>
      <c r="N225" s="148"/>
      <c r="O225" s="148"/>
      <c r="P225" s="148"/>
      <c r="Q225" s="148"/>
    </row>
    <row r="226" customFormat="false" ht="12.75" hidden="false" customHeight="false" outlineLevel="0" collapsed="false">
      <c r="L226" s="148"/>
      <c r="M226" s="148"/>
      <c r="N226" s="148"/>
      <c r="O226" s="148"/>
      <c r="P226" s="148"/>
      <c r="Q226" s="148"/>
    </row>
    <row r="227" customFormat="false" ht="12.75" hidden="false" customHeight="false" outlineLevel="0" collapsed="false">
      <c r="L227" s="148"/>
      <c r="M227" s="148"/>
      <c r="N227" s="148"/>
      <c r="O227" s="148"/>
      <c r="P227" s="148"/>
      <c r="Q227" s="148"/>
    </row>
    <row r="228" customFormat="false" ht="12.75" hidden="false" customHeight="false" outlineLevel="0" collapsed="false">
      <c r="L228" s="148"/>
      <c r="M228" s="148"/>
      <c r="N228" s="148"/>
      <c r="O228" s="148"/>
      <c r="P228" s="148"/>
      <c r="Q228" s="148"/>
    </row>
    <row r="229" customFormat="false" ht="12.75" hidden="false" customHeight="false" outlineLevel="0" collapsed="false">
      <c r="L229" s="148"/>
      <c r="M229" s="148"/>
      <c r="N229" s="148"/>
      <c r="O229" s="148"/>
      <c r="P229" s="148"/>
      <c r="Q229" s="148"/>
    </row>
    <row r="230" customFormat="false" ht="12.75" hidden="false" customHeight="false" outlineLevel="0" collapsed="false">
      <c r="L230" s="148"/>
      <c r="M230" s="148"/>
      <c r="N230" s="148"/>
      <c r="O230" s="148"/>
      <c r="P230" s="148"/>
      <c r="Q230" s="148"/>
    </row>
    <row r="231" customFormat="false" ht="12.75" hidden="false" customHeight="false" outlineLevel="0" collapsed="false">
      <c r="L231" s="148"/>
      <c r="M231" s="148"/>
      <c r="N231" s="148"/>
      <c r="O231" s="148"/>
      <c r="P231" s="148"/>
      <c r="Q231" s="148"/>
    </row>
    <row r="232" customFormat="false" ht="12.75" hidden="false" customHeight="false" outlineLevel="0" collapsed="false">
      <c r="L232" s="148"/>
      <c r="M232" s="148"/>
      <c r="N232" s="148"/>
      <c r="O232" s="148"/>
      <c r="P232" s="148"/>
      <c r="Q232" s="148"/>
    </row>
    <row r="233" customFormat="false" ht="12.75" hidden="false" customHeight="false" outlineLevel="0" collapsed="false">
      <c r="L233" s="148"/>
      <c r="M233" s="148"/>
      <c r="N233" s="148"/>
      <c r="O233" s="148"/>
      <c r="P233" s="148"/>
      <c r="Q233" s="148"/>
    </row>
    <row r="234" customFormat="false" ht="12.75" hidden="false" customHeight="false" outlineLevel="0" collapsed="false">
      <c r="L234" s="148"/>
      <c r="M234" s="148"/>
      <c r="N234" s="148"/>
      <c r="O234" s="148"/>
      <c r="P234" s="148"/>
      <c r="Q234" s="148"/>
    </row>
    <row r="235" customFormat="false" ht="12.75" hidden="false" customHeight="false" outlineLevel="0" collapsed="false">
      <c r="L235" s="148"/>
      <c r="M235" s="148"/>
      <c r="N235" s="148"/>
      <c r="O235" s="148"/>
      <c r="P235" s="148"/>
      <c r="Q235" s="148"/>
    </row>
    <row r="236" customFormat="false" ht="12.75" hidden="false" customHeight="false" outlineLevel="0" collapsed="false">
      <c r="L236" s="148"/>
      <c r="M236" s="148"/>
      <c r="N236" s="148"/>
      <c r="O236" s="148"/>
      <c r="P236" s="148"/>
      <c r="Q236" s="148"/>
    </row>
    <row r="237" customFormat="false" ht="12.75" hidden="false" customHeight="false" outlineLevel="0" collapsed="false">
      <c r="L237" s="148"/>
      <c r="M237" s="148"/>
      <c r="N237" s="148"/>
      <c r="O237" s="148"/>
      <c r="P237" s="148"/>
      <c r="Q237" s="148"/>
    </row>
    <row r="238" customFormat="false" ht="12.75" hidden="false" customHeight="false" outlineLevel="0" collapsed="false">
      <c r="L238" s="148"/>
      <c r="M238" s="148"/>
      <c r="N238" s="148"/>
      <c r="O238" s="148"/>
      <c r="P238" s="148"/>
      <c r="Q238" s="148"/>
    </row>
    <row r="239" customFormat="false" ht="12.75" hidden="false" customHeight="false" outlineLevel="0" collapsed="false">
      <c r="L239" s="148"/>
      <c r="M239" s="148"/>
      <c r="N239" s="148"/>
      <c r="O239" s="148"/>
      <c r="P239" s="148"/>
      <c r="Q239" s="148"/>
    </row>
    <row r="240" customFormat="false" ht="12.75" hidden="false" customHeight="false" outlineLevel="0" collapsed="false">
      <c r="L240" s="148"/>
      <c r="M240" s="148"/>
      <c r="N240" s="148"/>
      <c r="O240" s="148"/>
      <c r="P240" s="148"/>
      <c r="Q240" s="148"/>
    </row>
    <row r="241" customFormat="false" ht="12.75" hidden="false" customHeight="false" outlineLevel="0" collapsed="false">
      <c r="L241" s="148"/>
      <c r="M241" s="148"/>
      <c r="N241" s="148"/>
      <c r="O241" s="148"/>
      <c r="P241" s="148"/>
      <c r="Q241" s="148"/>
    </row>
    <row r="242" customFormat="false" ht="12.75" hidden="false" customHeight="false" outlineLevel="0" collapsed="false">
      <c r="L242" s="148"/>
      <c r="M242" s="148"/>
      <c r="N242" s="148"/>
      <c r="O242" s="148"/>
      <c r="P242" s="148"/>
      <c r="Q242" s="148"/>
    </row>
    <row r="243" customFormat="false" ht="12.75" hidden="false" customHeight="false" outlineLevel="0" collapsed="false">
      <c r="L243" s="148"/>
      <c r="M243" s="148"/>
      <c r="N243" s="148"/>
      <c r="O243" s="148"/>
      <c r="P243" s="148"/>
      <c r="Q243" s="148"/>
    </row>
    <row r="244" customFormat="false" ht="12.75" hidden="false" customHeight="false" outlineLevel="0" collapsed="false">
      <c r="L244" s="148"/>
      <c r="M244" s="148"/>
      <c r="N244" s="148"/>
      <c r="O244" s="148"/>
      <c r="P244" s="148"/>
      <c r="Q244" s="148"/>
    </row>
    <row r="245" customFormat="false" ht="12.75" hidden="false" customHeight="false" outlineLevel="0" collapsed="false">
      <c r="L245" s="148"/>
      <c r="M245" s="148"/>
      <c r="N245" s="148"/>
      <c r="O245" s="148"/>
      <c r="P245" s="148"/>
      <c r="Q245" s="148"/>
    </row>
    <row r="246" customFormat="false" ht="12.75" hidden="false" customHeight="false" outlineLevel="0" collapsed="false">
      <c r="L246" s="148"/>
      <c r="M246" s="148"/>
      <c r="N246" s="148"/>
      <c r="O246" s="148"/>
      <c r="P246" s="148"/>
      <c r="Q246" s="148"/>
    </row>
    <row r="247" customFormat="false" ht="12.75" hidden="false" customHeight="false" outlineLevel="0" collapsed="false">
      <c r="L247" s="148"/>
      <c r="M247" s="148"/>
      <c r="N247" s="148"/>
      <c r="O247" s="148"/>
      <c r="P247" s="148"/>
      <c r="Q247" s="148"/>
    </row>
    <row r="248" customFormat="false" ht="12.75" hidden="false" customHeight="false" outlineLevel="0" collapsed="false">
      <c r="L248" s="148"/>
      <c r="M248" s="148"/>
      <c r="N248" s="148"/>
      <c r="O248" s="148"/>
      <c r="P248" s="148"/>
      <c r="Q248" s="148"/>
    </row>
    <row r="249" customFormat="false" ht="12.75" hidden="false" customHeight="false" outlineLevel="0" collapsed="false">
      <c r="L249" s="148"/>
      <c r="M249" s="148"/>
      <c r="N249" s="148"/>
      <c r="O249" s="148"/>
      <c r="P249" s="148"/>
      <c r="Q249" s="148"/>
    </row>
    <row r="250" customFormat="false" ht="12.75" hidden="false" customHeight="false" outlineLevel="0" collapsed="false">
      <c r="L250" s="148"/>
      <c r="M250" s="148"/>
      <c r="N250" s="148"/>
      <c r="O250" s="148"/>
      <c r="P250" s="148"/>
      <c r="Q250" s="148"/>
    </row>
    <row r="251" customFormat="false" ht="12.75" hidden="false" customHeight="false" outlineLevel="0" collapsed="false">
      <c r="L251" s="148"/>
      <c r="M251" s="148"/>
      <c r="N251" s="148"/>
      <c r="O251" s="148"/>
      <c r="P251" s="148"/>
      <c r="Q251" s="148"/>
    </row>
    <row r="252" customFormat="false" ht="12.75" hidden="false" customHeight="false" outlineLevel="0" collapsed="false">
      <c r="L252" s="148"/>
      <c r="M252" s="148"/>
      <c r="N252" s="148"/>
      <c r="O252" s="148"/>
      <c r="P252" s="148"/>
      <c r="Q252" s="148"/>
    </row>
    <row r="253" customFormat="false" ht="12.75" hidden="false" customHeight="false" outlineLevel="0" collapsed="false">
      <c r="L253" s="148"/>
      <c r="M253" s="148"/>
      <c r="N253" s="148"/>
      <c r="O253" s="148"/>
      <c r="P253" s="148"/>
      <c r="Q253" s="148"/>
    </row>
    <row r="254" customFormat="false" ht="12.75" hidden="false" customHeight="false" outlineLevel="0" collapsed="false">
      <c r="L254" s="148"/>
      <c r="M254" s="148"/>
      <c r="N254" s="148"/>
      <c r="O254" s="148"/>
      <c r="P254" s="148"/>
      <c r="Q254" s="148"/>
    </row>
    <row r="255" customFormat="false" ht="12.75" hidden="false" customHeight="false" outlineLevel="0" collapsed="false">
      <c r="L255" s="148"/>
      <c r="M255" s="148"/>
      <c r="N255" s="148"/>
      <c r="O255" s="148"/>
      <c r="P255" s="148"/>
      <c r="Q255" s="148"/>
    </row>
    <row r="256" customFormat="false" ht="12.75" hidden="false" customHeight="false" outlineLevel="0" collapsed="false">
      <c r="L256" s="148"/>
      <c r="M256" s="148"/>
      <c r="N256" s="148"/>
      <c r="O256" s="148"/>
      <c r="P256" s="148"/>
      <c r="Q256" s="148"/>
    </row>
    <row r="257" customFormat="false" ht="12.75" hidden="false" customHeight="false" outlineLevel="0" collapsed="false">
      <c r="L257" s="148"/>
      <c r="M257" s="148"/>
      <c r="N257" s="148"/>
      <c r="O257" s="148"/>
      <c r="P257" s="148"/>
      <c r="Q257" s="148"/>
    </row>
    <row r="258" customFormat="false" ht="12.75" hidden="false" customHeight="false" outlineLevel="0" collapsed="false">
      <c r="L258" s="148"/>
      <c r="M258" s="148"/>
      <c r="N258" s="148"/>
      <c r="O258" s="148"/>
      <c r="P258" s="148"/>
      <c r="Q258" s="148"/>
    </row>
    <row r="259" customFormat="false" ht="12.75" hidden="false" customHeight="false" outlineLevel="0" collapsed="false">
      <c r="L259" s="148"/>
      <c r="M259" s="148"/>
      <c r="N259" s="148"/>
      <c r="O259" s="148"/>
      <c r="P259" s="148"/>
      <c r="Q259" s="148"/>
    </row>
    <row r="260" customFormat="false" ht="12.75" hidden="false" customHeight="false" outlineLevel="0" collapsed="false">
      <c r="L260" s="148"/>
      <c r="M260" s="148"/>
      <c r="N260" s="148"/>
      <c r="O260" s="148"/>
      <c r="P260" s="148"/>
      <c r="Q260" s="148"/>
    </row>
    <row r="261" customFormat="false" ht="12.75" hidden="false" customHeight="false" outlineLevel="0" collapsed="false">
      <c r="L261" s="148"/>
      <c r="M261" s="148"/>
      <c r="N261" s="148"/>
      <c r="O261" s="148"/>
      <c r="P261" s="148"/>
      <c r="Q261" s="148"/>
    </row>
    <row r="262" customFormat="false" ht="12.75" hidden="false" customHeight="false" outlineLevel="0" collapsed="false">
      <c r="L262" s="148"/>
      <c r="M262" s="148"/>
      <c r="N262" s="148"/>
      <c r="O262" s="148"/>
      <c r="P262" s="148"/>
      <c r="Q262" s="148"/>
    </row>
    <row r="263" customFormat="false" ht="12.75" hidden="false" customHeight="false" outlineLevel="0" collapsed="false">
      <c r="L263" s="148"/>
      <c r="M263" s="148"/>
      <c r="N263" s="148"/>
      <c r="O263" s="148"/>
      <c r="P263" s="148"/>
      <c r="Q263" s="148"/>
    </row>
    <row r="264" customFormat="false" ht="12.75" hidden="false" customHeight="false" outlineLevel="0" collapsed="false">
      <c r="L264" s="148"/>
      <c r="M264" s="148"/>
      <c r="N264" s="148"/>
      <c r="O264" s="148"/>
      <c r="P264" s="148"/>
      <c r="Q264" s="148"/>
    </row>
    <row r="265" customFormat="false" ht="12.75" hidden="false" customHeight="false" outlineLevel="0" collapsed="false">
      <c r="L265" s="148"/>
      <c r="M265" s="148"/>
      <c r="N265" s="148"/>
      <c r="O265" s="148"/>
      <c r="P265" s="148"/>
      <c r="Q265" s="148"/>
    </row>
    <row r="266" customFormat="false" ht="12.75" hidden="false" customHeight="false" outlineLevel="0" collapsed="false">
      <c r="L266" s="148"/>
      <c r="M266" s="148"/>
      <c r="N266" s="148"/>
      <c r="O266" s="148"/>
      <c r="P266" s="148"/>
      <c r="Q266" s="148"/>
    </row>
    <row r="267" customFormat="false" ht="12.75" hidden="false" customHeight="false" outlineLevel="0" collapsed="false">
      <c r="L267" s="148"/>
      <c r="M267" s="148"/>
      <c r="N267" s="148"/>
      <c r="O267" s="148"/>
      <c r="P267" s="148"/>
      <c r="Q267" s="148"/>
    </row>
    <row r="268" customFormat="false" ht="12.75" hidden="false" customHeight="false" outlineLevel="0" collapsed="false">
      <c r="L268" s="148"/>
      <c r="M268" s="148"/>
      <c r="N268" s="148"/>
      <c r="O268" s="148"/>
      <c r="P268" s="148"/>
      <c r="Q268" s="148"/>
    </row>
    <row r="269" customFormat="false" ht="12.75" hidden="false" customHeight="false" outlineLevel="0" collapsed="false">
      <c r="L269" s="148"/>
      <c r="M269" s="148"/>
      <c r="N269" s="148"/>
      <c r="O269" s="148"/>
      <c r="P269" s="148"/>
      <c r="Q269" s="148"/>
    </row>
    <row r="270" customFormat="false" ht="12.75" hidden="false" customHeight="false" outlineLevel="0" collapsed="false">
      <c r="L270" s="148"/>
      <c r="M270" s="148"/>
      <c r="N270" s="148"/>
      <c r="O270" s="148"/>
      <c r="P270" s="148"/>
      <c r="Q270" s="148"/>
    </row>
    <row r="271" customFormat="false" ht="12.75" hidden="false" customHeight="false" outlineLevel="0" collapsed="false">
      <c r="L271" s="148"/>
      <c r="M271" s="148"/>
      <c r="N271" s="148"/>
      <c r="O271" s="148"/>
      <c r="P271" s="148"/>
      <c r="Q271" s="148"/>
    </row>
    <row r="272" customFormat="false" ht="12.75" hidden="false" customHeight="false" outlineLevel="0" collapsed="false">
      <c r="L272" s="148"/>
      <c r="M272" s="148"/>
      <c r="N272" s="148"/>
      <c r="O272" s="148"/>
      <c r="P272" s="148"/>
      <c r="Q272" s="148"/>
    </row>
    <row r="273" customFormat="false" ht="12.75" hidden="false" customHeight="false" outlineLevel="0" collapsed="false">
      <c r="L273" s="148"/>
      <c r="M273" s="148"/>
      <c r="N273" s="148"/>
      <c r="O273" s="148"/>
      <c r="P273" s="148"/>
      <c r="Q273" s="148"/>
    </row>
    <row r="274" customFormat="false" ht="12.75" hidden="false" customHeight="false" outlineLevel="0" collapsed="false">
      <c r="L274" s="148"/>
      <c r="M274" s="148"/>
      <c r="N274" s="148"/>
      <c r="O274" s="148"/>
      <c r="P274" s="148"/>
      <c r="Q274" s="148"/>
    </row>
    <row r="275" customFormat="false" ht="12.75" hidden="false" customHeight="false" outlineLevel="0" collapsed="false">
      <c r="L275" s="148"/>
      <c r="M275" s="148"/>
      <c r="N275" s="148"/>
      <c r="O275" s="148"/>
      <c r="P275" s="148"/>
      <c r="Q275" s="148"/>
    </row>
    <row r="276" customFormat="false" ht="12.75" hidden="false" customHeight="false" outlineLevel="0" collapsed="false">
      <c r="L276" s="148"/>
      <c r="M276" s="148"/>
      <c r="N276" s="148"/>
      <c r="O276" s="148"/>
      <c r="P276" s="148"/>
      <c r="Q276" s="148"/>
    </row>
    <row r="277" customFormat="false" ht="12.75" hidden="false" customHeight="false" outlineLevel="0" collapsed="false">
      <c r="L277" s="148"/>
      <c r="M277" s="148"/>
      <c r="N277" s="148"/>
      <c r="O277" s="148"/>
      <c r="P277" s="148"/>
      <c r="Q277" s="148"/>
    </row>
    <row r="278" customFormat="false" ht="12.75" hidden="false" customHeight="false" outlineLevel="0" collapsed="false">
      <c r="L278" s="148"/>
      <c r="M278" s="148"/>
      <c r="N278" s="148"/>
      <c r="O278" s="148"/>
      <c r="P278" s="148"/>
      <c r="Q278" s="148"/>
    </row>
    <row r="279" customFormat="false" ht="12.75" hidden="false" customHeight="false" outlineLevel="0" collapsed="false">
      <c r="L279" s="148"/>
      <c r="M279" s="148"/>
      <c r="N279" s="148"/>
      <c r="O279" s="148"/>
      <c r="P279" s="148"/>
      <c r="Q279" s="148"/>
    </row>
    <row r="280" customFormat="false" ht="12.75" hidden="false" customHeight="false" outlineLevel="0" collapsed="false">
      <c r="L280" s="148"/>
      <c r="M280" s="148"/>
      <c r="N280" s="148"/>
      <c r="O280" s="148"/>
      <c r="P280" s="148"/>
      <c r="Q280" s="148"/>
    </row>
    <row r="281" customFormat="false" ht="12.75" hidden="false" customHeight="false" outlineLevel="0" collapsed="false">
      <c r="L281" s="148"/>
      <c r="M281" s="148"/>
      <c r="N281" s="148"/>
      <c r="O281" s="148"/>
      <c r="P281" s="148"/>
      <c r="Q281" s="148"/>
    </row>
    <row r="282" customFormat="false" ht="12.75" hidden="false" customHeight="false" outlineLevel="0" collapsed="false">
      <c r="L282" s="148"/>
      <c r="M282" s="148"/>
      <c r="N282" s="148"/>
      <c r="O282" s="148"/>
      <c r="P282" s="148"/>
      <c r="Q282" s="148"/>
    </row>
    <row r="283" customFormat="false" ht="12.75" hidden="false" customHeight="false" outlineLevel="0" collapsed="false">
      <c r="L283" s="148"/>
      <c r="M283" s="148"/>
      <c r="N283" s="148"/>
      <c r="O283" s="148"/>
      <c r="P283" s="148"/>
      <c r="Q283" s="148"/>
    </row>
    <row r="284" customFormat="false" ht="12.75" hidden="false" customHeight="false" outlineLevel="0" collapsed="false">
      <c r="L284" s="148"/>
      <c r="M284" s="148"/>
      <c r="N284" s="148"/>
      <c r="O284" s="148"/>
      <c r="P284" s="148"/>
      <c r="Q284" s="148"/>
    </row>
    <row r="285" customFormat="false" ht="12.75" hidden="false" customHeight="false" outlineLevel="0" collapsed="false">
      <c r="L285" s="148"/>
      <c r="M285" s="148"/>
      <c r="N285" s="148"/>
      <c r="O285" s="148"/>
      <c r="P285" s="148"/>
      <c r="Q285" s="148"/>
    </row>
    <row r="286" customFormat="false" ht="12.75" hidden="false" customHeight="false" outlineLevel="0" collapsed="false">
      <c r="L286" s="148"/>
      <c r="M286" s="148"/>
      <c r="N286" s="148"/>
      <c r="O286" s="148"/>
      <c r="P286" s="148"/>
      <c r="Q286" s="148"/>
    </row>
    <row r="287" customFormat="false" ht="12.75" hidden="false" customHeight="false" outlineLevel="0" collapsed="false">
      <c r="L287" s="148"/>
      <c r="M287" s="148"/>
      <c r="N287" s="148"/>
      <c r="O287" s="148"/>
      <c r="P287" s="148"/>
      <c r="Q287" s="148"/>
    </row>
    <row r="288" customFormat="false" ht="12.75" hidden="false" customHeight="false" outlineLevel="0" collapsed="false">
      <c r="L288" s="148"/>
      <c r="M288" s="148"/>
      <c r="N288" s="148"/>
      <c r="O288" s="148"/>
      <c r="P288" s="148"/>
      <c r="Q288" s="148"/>
    </row>
    <row r="289" customFormat="false" ht="12.75" hidden="false" customHeight="false" outlineLevel="0" collapsed="false">
      <c r="L289" s="148"/>
      <c r="M289" s="148"/>
      <c r="N289" s="148"/>
      <c r="O289" s="148"/>
      <c r="P289" s="148"/>
      <c r="Q289" s="148"/>
    </row>
    <row r="290" customFormat="false" ht="12.75" hidden="false" customHeight="false" outlineLevel="0" collapsed="false">
      <c r="L290" s="148"/>
      <c r="M290" s="148"/>
      <c r="N290" s="148"/>
      <c r="O290" s="148"/>
      <c r="P290" s="148"/>
      <c r="Q290" s="148"/>
    </row>
    <row r="291" customFormat="false" ht="12.75" hidden="false" customHeight="false" outlineLevel="0" collapsed="false">
      <c r="L291" s="148"/>
      <c r="M291" s="148"/>
      <c r="N291" s="148"/>
      <c r="O291" s="148"/>
      <c r="P291" s="148"/>
      <c r="Q291" s="148"/>
    </row>
    <row r="292" customFormat="false" ht="12.75" hidden="false" customHeight="false" outlineLevel="0" collapsed="false">
      <c r="L292" s="148"/>
      <c r="M292" s="148"/>
      <c r="N292" s="148"/>
      <c r="O292" s="148"/>
      <c r="P292" s="148"/>
      <c r="Q292" s="148"/>
    </row>
    <row r="293" customFormat="false" ht="12.75" hidden="false" customHeight="false" outlineLevel="0" collapsed="false">
      <c r="L293" s="148"/>
      <c r="M293" s="148"/>
      <c r="N293" s="148"/>
      <c r="O293" s="148"/>
      <c r="P293" s="148"/>
      <c r="Q293" s="148"/>
    </row>
    <row r="294" customFormat="false" ht="12.75" hidden="false" customHeight="false" outlineLevel="0" collapsed="false">
      <c r="L294" s="148"/>
      <c r="M294" s="148"/>
      <c r="N294" s="148"/>
      <c r="O294" s="148"/>
      <c r="P294" s="148"/>
      <c r="Q294" s="148"/>
    </row>
    <row r="295" customFormat="false" ht="12.75" hidden="false" customHeight="false" outlineLevel="0" collapsed="false">
      <c r="L295" s="148"/>
      <c r="M295" s="148"/>
      <c r="N295" s="148"/>
      <c r="O295" s="148"/>
      <c r="P295" s="148"/>
      <c r="Q295" s="148"/>
    </row>
    <row r="296" customFormat="false" ht="12.75" hidden="false" customHeight="false" outlineLevel="0" collapsed="false">
      <c r="L296" s="148"/>
      <c r="M296" s="148"/>
      <c r="N296" s="148"/>
      <c r="O296" s="148"/>
      <c r="P296" s="148"/>
      <c r="Q296" s="148"/>
    </row>
    <row r="297" customFormat="false" ht="12.75" hidden="false" customHeight="false" outlineLevel="0" collapsed="false">
      <c r="L297" s="148"/>
      <c r="M297" s="148"/>
      <c r="N297" s="148"/>
      <c r="O297" s="148"/>
      <c r="P297" s="148"/>
      <c r="Q297" s="148"/>
    </row>
    <row r="298" customFormat="false" ht="12.75" hidden="false" customHeight="false" outlineLevel="0" collapsed="false">
      <c r="L298" s="148"/>
      <c r="M298" s="148"/>
      <c r="N298" s="148"/>
      <c r="O298" s="148"/>
      <c r="P298" s="148"/>
      <c r="Q298" s="148"/>
    </row>
    <row r="299" customFormat="false" ht="12.75" hidden="false" customHeight="false" outlineLevel="0" collapsed="false">
      <c r="L299" s="148"/>
      <c r="M299" s="148"/>
      <c r="N299" s="148"/>
      <c r="O299" s="148"/>
      <c r="P299" s="148"/>
      <c r="Q299" s="148"/>
    </row>
    <row r="300" customFormat="false" ht="12.75" hidden="false" customHeight="false" outlineLevel="0" collapsed="false">
      <c r="L300" s="148"/>
      <c r="M300" s="148"/>
      <c r="N300" s="148"/>
      <c r="O300" s="148"/>
      <c r="P300" s="148"/>
      <c r="Q300" s="148"/>
    </row>
    <row r="301" customFormat="false" ht="12.75" hidden="false" customHeight="false" outlineLevel="0" collapsed="false">
      <c r="L301" s="148"/>
      <c r="M301" s="148"/>
      <c r="N301" s="148"/>
      <c r="O301" s="148"/>
      <c r="P301" s="148"/>
      <c r="Q301" s="148"/>
    </row>
    <row r="302" customFormat="false" ht="12.75" hidden="false" customHeight="false" outlineLevel="0" collapsed="false">
      <c r="L302" s="148"/>
      <c r="M302" s="148"/>
      <c r="N302" s="148"/>
      <c r="O302" s="148"/>
      <c r="P302" s="148"/>
      <c r="Q302" s="148"/>
    </row>
    <row r="303" customFormat="false" ht="12.75" hidden="false" customHeight="false" outlineLevel="0" collapsed="false">
      <c r="L303" s="148"/>
      <c r="M303" s="148"/>
      <c r="N303" s="148"/>
      <c r="O303" s="148"/>
      <c r="P303" s="148"/>
      <c r="Q303" s="148"/>
    </row>
    <row r="304" customFormat="false" ht="12.75" hidden="false" customHeight="false" outlineLevel="0" collapsed="false">
      <c r="L304" s="148"/>
      <c r="M304" s="148"/>
      <c r="N304" s="148"/>
      <c r="O304" s="148"/>
      <c r="P304" s="148"/>
      <c r="Q304" s="148"/>
    </row>
    <row r="305" customFormat="false" ht="12.75" hidden="false" customHeight="false" outlineLevel="0" collapsed="false">
      <c r="L305" s="148"/>
      <c r="M305" s="148"/>
      <c r="N305" s="148"/>
      <c r="O305" s="148"/>
      <c r="P305" s="148"/>
      <c r="Q305" s="148"/>
    </row>
    <row r="306" customFormat="false" ht="12.75" hidden="false" customHeight="false" outlineLevel="0" collapsed="false">
      <c r="L306" s="148"/>
      <c r="M306" s="148"/>
      <c r="N306" s="148"/>
      <c r="O306" s="148"/>
      <c r="P306" s="148"/>
      <c r="Q306" s="148"/>
    </row>
    <row r="307" customFormat="false" ht="12.75" hidden="false" customHeight="false" outlineLevel="0" collapsed="false">
      <c r="L307" s="148"/>
      <c r="M307" s="148"/>
      <c r="N307" s="148"/>
      <c r="O307" s="148"/>
      <c r="P307" s="148"/>
      <c r="Q307" s="148"/>
    </row>
    <row r="308" customFormat="false" ht="12.75" hidden="false" customHeight="false" outlineLevel="0" collapsed="false">
      <c r="L308" s="148"/>
      <c r="M308" s="148"/>
      <c r="N308" s="148"/>
      <c r="O308" s="148"/>
      <c r="P308" s="148"/>
      <c r="Q308" s="148"/>
    </row>
    <row r="309" customFormat="false" ht="12.75" hidden="false" customHeight="false" outlineLevel="0" collapsed="false">
      <c r="L309" s="148"/>
      <c r="M309" s="148"/>
      <c r="N309" s="148"/>
      <c r="O309" s="148"/>
      <c r="P309" s="148"/>
      <c r="Q309" s="148"/>
    </row>
    <row r="310" customFormat="false" ht="12.75" hidden="false" customHeight="false" outlineLevel="0" collapsed="false">
      <c r="L310" s="148"/>
      <c r="M310" s="148"/>
      <c r="N310" s="148"/>
      <c r="O310" s="148"/>
      <c r="P310" s="148"/>
      <c r="Q310" s="148"/>
    </row>
    <row r="311" customFormat="false" ht="12.75" hidden="false" customHeight="false" outlineLevel="0" collapsed="false">
      <c r="L311" s="148"/>
      <c r="M311" s="148"/>
      <c r="N311" s="148"/>
      <c r="O311" s="148"/>
      <c r="P311" s="148"/>
      <c r="Q311" s="148"/>
    </row>
    <row r="312" customFormat="false" ht="12.75" hidden="false" customHeight="false" outlineLevel="0" collapsed="false">
      <c r="L312" s="148"/>
      <c r="M312" s="148"/>
      <c r="N312" s="148"/>
      <c r="O312" s="148"/>
      <c r="P312" s="148"/>
      <c r="Q312" s="148"/>
    </row>
    <row r="313" customFormat="false" ht="12.75" hidden="false" customHeight="false" outlineLevel="0" collapsed="false">
      <c r="L313" s="148"/>
      <c r="M313" s="148"/>
      <c r="N313" s="148"/>
      <c r="O313" s="148"/>
      <c r="P313" s="148"/>
      <c r="Q313" s="148"/>
    </row>
    <row r="314" customFormat="false" ht="12.75" hidden="false" customHeight="false" outlineLevel="0" collapsed="false">
      <c r="L314" s="148"/>
      <c r="M314" s="148"/>
      <c r="N314" s="148"/>
      <c r="O314" s="148"/>
      <c r="P314" s="148"/>
      <c r="Q314" s="148"/>
    </row>
    <row r="315" customFormat="false" ht="12.75" hidden="false" customHeight="false" outlineLevel="0" collapsed="false">
      <c r="L315" s="148"/>
      <c r="M315" s="148"/>
      <c r="N315" s="148"/>
      <c r="O315" s="148"/>
      <c r="P315" s="148"/>
      <c r="Q315" s="148"/>
    </row>
    <row r="316" customFormat="false" ht="12.75" hidden="false" customHeight="false" outlineLevel="0" collapsed="false">
      <c r="L316" s="148"/>
      <c r="M316" s="148"/>
      <c r="N316" s="148"/>
      <c r="O316" s="148"/>
      <c r="P316" s="148"/>
      <c r="Q316" s="148"/>
    </row>
    <row r="317" customFormat="false" ht="12.75" hidden="false" customHeight="false" outlineLevel="0" collapsed="false">
      <c r="L317" s="148"/>
      <c r="M317" s="148"/>
      <c r="N317" s="148"/>
      <c r="O317" s="148"/>
      <c r="P317" s="148"/>
      <c r="Q317" s="148"/>
    </row>
    <row r="318" customFormat="false" ht="12.75" hidden="false" customHeight="false" outlineLevel="0" collapsed="false">
      <c r="L318" s="148"/>
      <c r="M318" s="148"/>
      <c r="N318" s="148"/>
      <c r="O318" s="148"/>
      <c r="P318" s="148"/>
      <c r="Q318" s="148"/>
    </row>
    <row r="319" customFormat="false" ht="12.75" hidden="false" customHeight="false" outlineLevel="0" collapsed="false">
      <c r="L319" s="148"/>
      <c r="M319" s="148"/>
      <c r="N319" s="148"/>
      <c r="O319" s="148"/>
      <c r="P319" s="148"/>
      <c r="Q319" s="148"/>
    </row>
    <row r="320" customFormat="false" ht="12.75" hidden="false" customHeight="false" outlineLevel="0" collapsed="false">
      <c r="L320" s="148"/>
      <c r="M320" s="148"/>
      <c r="N320" s="148"/>
      <c r="O320" s="148"/>
      <c r="P320" s="148"/>
      <c r="Q320" s="148"/>
    </row>
    <row r="321" customFormat="false" ht="12.75" hidden="false" customHeight="false" outlineLevel="0" collapsed="false">
      <c r="L321" s="148"/>
      <c r="M321" s="148"/>
      <c r="N321" s="148"/>
      <c r="O321" s="148"/>
      <c r="P321" s="148"/>
      <c r="Q321" s="148"/>
    </row>
    <row r="322" customFormat="false" ht="12.75" hidden="false" customHeight="false" outlineLevel="0" collapsed="false">
      <c r="L322" s="148"/>
      <c r="M322" s="148"/>
      <c r="N322" s="148"/>
      <c r="O322" s="148"/>
      <c r="P322" s="148"/>
      <c r="Q322" s="148"/>
    </row>
    <row r="323" customFormat="false" ht="12.75" hidden="false" customHeight="false" outlineLevel="0" collapsed="false">
      <c r="L323" s="148"/>
      <c r="M323" s="148"/>
      <c r="N323" s="148"/>
      <c r="O323" s="148"/>
      <c r="P323" s="148"/>
      <c r="Q323" s="148"/>
    </row>
    <row r="324" customFormat="false" ht="12.75" hidden="false" customHeight="false" outlineLevel="0" collapsed="false">
      <c r="L324" s="148"/>
      <c r="M324" s="148"/>
      <c r="N324" s="148"/>
      <c r="O324" s="148"/>
      <c r="P324" s="148"/>
      <c r="Q324" s="148"/>
    </row>
    <row r="325" customFormat="false" ht="12.75" hidden="false" customHeight="false" outlineLevel="0" collapsed="false">
      <c r="L325" s="148"/>
      <c r="M325" s="148"/>
      <c r="N325" s="148"/>
      <c r="O325" s="148"/>
      <c r="P325" s="148"/>
      <c r="Q325" s="148"/>
    </row>
    <row r="326" customFormat="false" ht="12.75" hidden="false" customHeight="false" outlineLevel="0" collapsed="false">
      <c r="L326" s="148"/>
      <c r="M326" s="148"/>
      <c r="N326" s="148"/>
      <c r="O326" s="148"/>
      <c r="P326" s="148"/>
      <c r="Q326" s="148"/>
    </row>
    <row r="327" customFormat="false" ht="12.75" hidden="false" customHeight="false" outlineLevel="0" collapsed="false">
      <c r="L327" s="148"/>
      <c r="M327" s="148"/>
      <c r="N327" s="148"/>
      <c r="O327" s="148"/>
      <c r="P327" s="148"/>
      <c r="Q327" s="148"/>
    </row>
    <row r="328" customFormat="false" ht="12.75" hidden="false" customHeight="false" outlineLevel="0" collapsed="false">
      <c r="L328" s="148"/>
      <c r="M328" s="148"/>
      <c r="N328" s="148"/>
      <c r="O328" s="148"/>
      <c r="P328" s="148"/>
      <c r="Q328" s="148"/>
    </row>
    <row r="329" customFormat="false" ht="12.75" hidden="false" customHeight="false" outlineLevel="0" collapsed="false">
      <c r="L329" s="148"/>
      <c r="M329" s="148"/>
      <c r="N329" s="148"/>
      <c r="O329" s="148"/>
      <c r="P329" s="148"/>
      <c r="Q329" s="148"/>
    </row>
    <row r="330" customFormat="false" ht="12.75" hidden="false" customHeight="false" outlineLevel="0" collapsed="false">
      <c r="L330" s="148"/>
      <c r="M330" s="148"/>
      <c r="N330" s="148"/>
      <c r="O330" s="148"/>
      <c r="P330" s="148"/>
      <c r="Q330" s="148"/>
    </row>
    <row r="331" customFormat="false" ht="12.75" hidden="false" customHeight="false" outlineLevel="0" collapsed="false">
      <c r="L331" s="148"/>
      <c r="M331" s="148"/>
      <c r="N331" s="148"/>
      <c r="O331" s="148"/>
      <c r="P331" s="148"/>
      <c r="Q331" s="148"/>
    </row>
    <row r="332" customFormat="false" ht="12.75" hidden="false" customHeight="false" outlineLevel="0" collapsed="false">
      <c r="L332" s="148"/>
      <c r="M332" s="148"/>
      <c r="N332" s="148"/>
      <c r="O332" s="148"/>
      <c r="P332" s="148"/>
      <c r="Q332" s="148"/>
    </row>
    <row r="333" customFormat="false" ht="12.75" hidden="false" customHeight="false" outlineLevel="0" collapsed="false">
      <c r="L333" s="148"/>
      <c r="M333" s="148"/>
      <c r="N333" s="148"/>
      <c r="O333" s="148"/>
      <c r="P333" s="148"/>
      <c r="Q333" s="148"/>
    </row>
    <row r="334" customFormat="false" ht="12.75" hidden="false" customHeight="false" outlineLevel="0" collapsed="false">
      <c r="L334" s="148"/>
      <c r="M334" s="148"/>
      <c r="N334" s="148"/>
      <c r="O334" s="148"/>
      <c r="P334" s="148"/>
      <c r="Q334" s="148"/>
    </row>
    <row r="335" customFormat="false" ht="12.75" hidden="false" customHeight="false" outlineLevel="0" collapsed="false">
      <c r="L335" s="148"/>
      <c r="M335" s="148"/>
      <c r="N335" s="148"/>
      <c r="O335" s="148"/>
      <c r="P335" s="148"/>
      <c r="Q335" s="148"/>
    </row>
    <row r="336" customFormat="false" ht="12.75" hidden="false" customHeight="false" outlineLevel="0" collapsed="false">
      <c r="L336" s="148"/>
      <c r="M336" s="148"/>
      <c r="N336" s="148"/>
      <c r="O336" s="148"/>
      <c r="P336" s="148"/>
      <c r="Q336" s="148"/>
    </row>
    <row r="337" customFormat="false" ht="12.75" hidden="false" customHeight="false" outlineLevel="0" collapsed="false">
      <c r="L337" s="148"/>
      <c r="M337" s="148"/>
      <c r="N337" s="148"/>
      <c r="O337" s="148"/>
      <c r="P337" s="148"/>
      <c r="Q337" s="148"/>
    </row>
    <row r="338" customFormat="false" ht="12.75" hidden="false" customHeight="false" outlineLevel="0" collapsed="false">
      <c r="L338" s="148"/>
      <c r="M338" s="148"/>
      <c r="N338" s="148"/>
      <c r="O338" s="148"/>
      <c r="P338" s="148"/>
      <c r="Q338" s="148"/>
    </row>
    <row r="339" customFormat="false" ht="12.75" hidden="false" customHeight="false" outlineLevel="0" collapsed="false">
      <c r="L339" s="148"/>
      <c r="M339" s="148"/>
      <c r="N339" s="148"/>
      <c r="O339" s="148"/>
      <c r="P339" s="148"/>
      <c r="Q339" s="148"/>
    </row>
    <row r="340" customFormat="false" ht="12.75" hidden="false" customHeight="false" outlineLevel="0" collapsed="false">
      <c r="L340" s="148"/>
      <c r="M340" s="148"/>
      <c r="N340" s="148"/>
      <c r="O340" s="148"/>
      <c r="P340" s="148"/>
      <c r="Q340" s="148"/>
    </row>
    <row r="341" customFormat="false" ht="12.75" hidden="false" customHeight="false" outlineLevel="0" collapsed="false">
      <c r="L341" s="148"/>
      <c r="M341" s="148"/>
      <c r="N341" s="148"/>
      <c r="O341" s="148"/>
      <c r="P341" s="148"/>
      <c r="Q341" s="148"/>
    </row>
    <row r="342" customFormat="false" ht="12.75" hidden="false" customHeight="false" outlineLevel="0" collapsed="false">
      <c r="L342" s="148"/>
      <c r="M342" s="148"/>
      <c r="N342" s="148"/>
      <c r="O342" s="148"/>
      <c r="P342" s="148"/>
      <c r="Q342" s="148"/>
    </row>
    <row r="343" customFormat="false" ht="12.75" hidden="false" customHeight="false" outlineLevel="0" collapsed="false">
      <c r="L343" s="148"/>
      <c r="M343" s="148"/>
      <c r="N343" s="148"/>
      <c r="O343" s="148"/>
      <c r="P343" s="148"/>
      <c r="Q343" s="148"/>
    </row>
    <row r="344" customFormat="false" ht="12.75" hidden="false" customHeight="false" outlineLevel="0" collapsed="false">
      <c r="L344" s="148"/>
      <c r="M344" s="148"/>
      <c r="N344" s="148"/>
      <c r="O344" s="148"/>
      <c r="P344" s="148"/>
      <c r="Q344" s="148"/>
    </row>
    <row r="345" customFormat="false" ht="12.75" hidden="false" customHeight="false" outlineLevel="0" collapsed="false">
      <c r="L345" s="148"/>
      <c r="M345" s="148"/>
      <c r="N345" s="148"/>
      <c r="O345" s="148"/>
      <c r="P345" s="148"/>
      <c r="Q345" s="148"/>
    </row>
    <row r="346" customFormat="false" ht="12.75" hidden="false" customHeight="false" outlineLevel="0" collapsed="false">
      <c r="L346" s="148"/>
      <c r="M346" s="148"/>
      <c r="N346" s="148"/>
      <c r="O346" s="148"/>
      <c r="P346" s="148"/>
      <c r="Q346" s="148"/>
    </row>
    <row r="347" customFormat="false" ht="12.75" hidden="false" customHeight="false" outlineLevel="0" collapsed="false">
      <c r="L347" s="148"/>
      <c r="M347" s="148"/>
      <c r="N347" s="148"/>
      <c r="O347" s="148"/>
      <c r="P347" s="148"/>
      <c r="Q347" s="148"/>
    </row>
    <row r="348" customFormat="false" ht="12.75" hidden="false" customHeight="false" outlineLevel="0" collapsed="false">
      <c r="L348" s="148"/>
      <c r="M348" s="148"/>
      <c r="N348" s="148"/>
      <c r="O348" s="148"/>
      <c r="P348" s="148"/>
      <c r="Q348" s="148"/>
    </row>
    <row r="349" customFormat="false" ht="12.75" hidden="false" customHeight="false" outlineLevel="0" collapsed="false">
      <c r="L349" s="148"/>
      <c r="M349" s="148"/>
      <c r="N349" s="148"/>
      <c r="O349" s="148"/>
      <c r="P349" s="148"/>
      <c r="Q349" s="148"/>
    </row>
    <row r="350" customFormat="false" ht="12.75" hidden="false" customHeight="false" outlineLevel="0" collapsed="false">
      <c r="L350" s="148"/>
      <c r="M350" s="148"/>
      <c r="N350" s="148"/>
      <c r="O350" s="148"/>
      <c r="P350" s="148"/>
      <c r="Q350" s="148"/>
    </row>
    <row r="351" customFormat="false" ht="12.75" hidden="false" customHeight="false" outlineLevel="0" collapsed="false">
      <c r="L351" s="148"/>
      <c r="M351" s="148"/>
      <c r="N351" s="148"/>
      <c r="O351" s="148"/>
      <c r="P351" s="148"/>
      <c r="Q351" s="148"/>
    </row>
    <row r="352" customFormat="false" ht="12.75" hidden="false" customHeight="false" outlineLevel="0" collapsed="false">
      <c r="L352" s="148"/>
      <c r="M352" s="148"/>
      <c r="N352" s="148"/>
      <c r="O352" s="148"/>
      <c r="P352" s="148"/>
      <c r="Q352" s="148"/>
    </row>
    <row r="353" customFormat="false" ht="12.75" hidden="false" customHeight="false" outlineLevel="0" collapsed="false">
      <c r="L353" s="148"/>
      <c r="M353" s="148"/>
      <c r="N353" s="148"/>
      <c r="O353" s="148"/>
      <c r="P353" s="148"/>
      <c r="Q353" s="148"/>
    </row>
    <row r="354" customFormat="false" ht="12.75" hidden="false" customHeight="false" outlineLevel="0" collapsed="false">
      <c r="L354" s="148"/>
      <c r="M354" s="148"/>
      <c r="N354" s="148"/>
      <c r="O354" s="148"/>
      <c r="P354" s="148"/>
      <c r="Q354" s="148"/>
    </row>
    <row r="355" customFormat="false" ht="12.75" hidden="false" customHeight="false" outlineLevel="0" collapsed="false">
      <c r="L355" s="148"/>
      <c r="M355" s="148"/>
      <c r="N355" s="148"/>
      <c r="O355" s="148"/>
      <c r="P355" s="148"/>
      <c r="Q355" s="148"/>
    </row>
    <row r="356" customFormat="false" ht="12.75" hidden="false" customHeight="false" outlineLevel="0" collapsed="false">
      <c r="L356" s="148"/>
      <c r="M356" s="148"/>
      <c r="N356" s="148"/>
      <c r="O356" s="148"/>
      <c r="P356" s="148"/>
      <c r="Q356" s="148"/>
    </row>
    <row r="357" customFormat="false" ht="12.75" hidden="false" customHeight="false" outlineLevel="0" collapsed="false">
      <c r="L357" s="148"/>
      <c r="M357" s="148"/>
      <c r="N357" s="148"/>
      <c r="O357" s="148"/>
      <c r="P357" s="148"/>
      <c r="Q357" s="148"/>
    </row>
    <row r="358" customFormat="false" ht="12.75" hidden="false" customHeight="false" outlineLevel="0" collapsed="false">
      <c r="L358" s="148"/>
      <c r="M358" s="148"/>
      <c r="N358" s="148"/>
      <c r="O358" s="148"/>
      <c r="P358" s="148"/>
      <c r="Q358" s="148"/>
    </row>
    <row r="359" customFormat="false" ht="12.75" hidden="false" customHeight="false" outlineLevel="0" collapsed="false">
      <c r="L359" s="148"/>
      <c r="M359" s="148"/>
      <c r="N359" s="148"/>
      <c r="O359" s="148"/>
      <c r="P359" s="148"/>
      <c r="Q359" s="148"/>
    </row>
    <row r="360" customFormat="false" ht="12.75" hidden="false" customHeight="false" outlineLevel="0" collapsed="false">
      <c r="L360" s="148"/>
      <c r="M360" s="148"/>
      <c r="N360" s="148"/>
      <c r="O360" s="148"/>
      <c r="P360" s="148"/>
      <c r="Q360" s="148"/>
    </row>
    <row r="361" customFormat="false" ht="12.75" hidden="false" customHeight="false" outlineLevel="0" collapsed="false">
      <c r="L361" s="148"/>
      <c r="M361" s="148"/>
      <c r="N361" s="148"/>
      <c r="O361" s="148"/>
      <c r="P361" s="148"/>
      <c r="Q361" s="148"/>
    </row>
    <row r="362" customFormat="false" ht="12.75" hidden="false" customHeight="false" outlineLevel="0" collapsed="false">
      <c r="L362" s="148"/>
      <c r="M362" s="148"/>
      <c r="N362" s="148"/>
      <c r="O362" s="148"/>
      <c r="P362" s="148"/>
      <c r="Q362" s="148"/>
    </row>
    <row r="363" customFormat="false" ht="12.75" hidden="false" customHeight="false" outlineLevel="0" collapsed="false">
      <c r="L363" s="148"/>
      <c r="M363" s="148"/>
      <c r="N363" s="148"/>
      <c r="O363" s="148"/>
      <c r="P363" s="148"/>
      <c r="Q363" s="148"/>
    </row>
    <row r="364" customFormat="false" ht="12.75" hidden="false" customHeight="false" outlineLevel="0" collapsed="false">
      <c r="L364" s="148"/>
      <c r="M364" s="148"/>
      <c r="N364" s="148"/>
      <c r="O364" s="148"/>
      <c r="P364" s="148"/>
      <c r="Q364" s="148"/>
    </row>
    <row r="365" customFormat="false" ht="12.75" hidden="false" customHeight="false" outlineLevel="0" collapsed="false">
      <c r="L365" s="148"/>
      <c r="M365" s="148"/>
      <c r="N365" s="148"/>
      <c r="O365" s="148"/>
      <c r="P365" s="148"/>
      <c r="Q365" s="148"/>
    </row>
    <row r="366" customFormat="false" ht="12.75" hidden="false" customHeight="false" outlineLevel="0" collapsed="false">
      <c r="L366" s="148"/>
      <c r="M366" s="148"/>
      <c r="N366" s="148"/>
      <c r="O366" s="148"/>
      <c r="P366" s="148"/>
      <c r="Q366" s="148"/>
    </row>
    <row r="367" customFormat="false" ht="12.75" hidden="false" customHeight="false" outlineLevel="0" collapsed="false">
      <c r="L367" s="148"/>
      <c r="M367" s="148"/>
      <c r="N367" s="148"/>
      <c r="O367" s="148"/>
      <c r="P367" s="148"/>
      <c r="Q367" s="148"/>
    </row>
    <row r="368" customFormat="false" ht="12.75" hidden="false" customHeight="false" outlineLevel="0" collapsed="false">
      <c r="L368" s="148"/>
      <c r="M368" s="148"/>
      <c r="N368" s="148"/>
      <c r="O368" s="148"/>
      <c r="P368" s="148"/>
      <c r="Q368" s="148"/>
    </row>
    <row r="369" customFormat="false" ht="12.75" hidden="false" customHeight="false" outlineLevel="0" collapsed="false">
      <c r="L369" s="148"/>
      <c r="M369" s="148"/>
      <c r="N369" s="148"/>
      <c r="O369" s="148"/>
      <c r="P369" s="148"/>
      <c r="Q369" s="148"/>
    </row>
    <row r="370" customFormat="false" ht="12.75" hidden="false" customHeight="false" outlineLevel="0" collapsed="false">
      <c r="L370" s="148"/>
      <c r="M370" s="148"/>
      <c r="N370" s="148"/>
      <c r="O370" s="148"/>
      <c r="P370" s="148"/>
      <c r="Q370" s="148"/>
    </row>
    <row r="371" customFormat="false" ht="12.75" hidden="false" customHeight="false" outlineLevel="0" collapsed="false">
      <c r="L371" s="148"/>
      <c r="M371" s="148"/>
      <c r="N371" s="148"/>
      <c r="O371" s="148"/>
      <c r="P371" s="148"/>
      <c r="Q371" s="148"/>
    </row>
    <row r="372" customFormat="false" ht="12.75" hidden="false" customHeight="false" outlineLevel="0" collapsed="false">
      <c r="L372" s="148"/>
      <c r="M372" s="148"/>
      <c r="N372" s="148"/>
      <c r="O372" s="148"/>
      <c r="P372" s="148"/>
      <c r="Q372" s="148"/>
    </row>
    <row r="373" customFormat="false" ht="12.75" hidden="false" customHeight="false" outlineLevel="0" collapsed="false">
      <c r="L373" s="148"/>
      <c r="M373" s="148"/>
      <c r="N373" s="148"/>
      <c r="O373" s="148"/>
      <c r="P373" s="148"/>
      <c r="Q373" s="148"/>
    </row>
    <row r="374" customFormat="false" ht="12.75" hidden="false" customHeight="false" outlineLevel="0" collapsed="false">
      <c r="L374" s="148"/>
      <c r="M374" s="148"/>
      <c r="N374" s="148"/>
      <c r="O374" s="148"/>
      <c r="P374" s="148"/>
      <c r="Q374" s="148"/>
    </row>
    <row r="375" customFormat="false" ht="12.75" hidden="false" customHeight="false" outlineLevel="0" collapsed="false">
      <c r="L375" s="148"/>
      <c r="M375" s="148"/>
      <c r="N375" s="148"/>
      <c r="O375" s="148"/>
      <c r="P375" s="148"/>
      <c r="Q375" s="148"/>
    </row>
    <row r="376" customFormat="false" ht="12.75" hidden="false" customHeight="false" outlineLevel="0" collapsed="false">
      <c r="L376" s="148"/>
      <c r="M376" s="148"/>
      <c r="N376" s="148"/>
      <c r="O376" s="148"/>
      <c r="P376" s="148"/>
      <c r="Q376" s="148"/>
    </row>
    <row r="377" customFormat="false" ht="12.75" hidden="false" customHeight="false" outlineLevel="0" collapsed="false">
      <c r="L377" s="148"/>
      <c r="M377" s="148"/>
      <c r="N377" s="148"/>
      <c r="O377" s="148"/>
      <c r="P377" s="148"/>
      <c r="Q377" s="148"/>
    </row>
    <row r="378" customFormat="false" ht="12.75" hidden="false" customHeight="false" outlineLevel="0" collapsed="false">
      <c r="L378" s="148"/>
      <c r="M378" s="148"/>
      <c r="N378" s="148"/>
      <c r="O378" s="148"/>
      <c r="P378" s="148"/>
      <c r="Q378" s="148"/>
    </row>
    <row r="379" customFormat="false" ht="12.75" hidden="false" customHeight="false" outlineLevel="0" collapsed="false">
      <c r="L379" s="148"/>
      <c r="M379" s="148"/>
      <c r="N379" s="148"/>
      <c r="O379" s="148"/>
      <c r="P379" s="148"/>
      <c r="Q379" s="148"/>
    </row>
    <row r="380" customFormat="false" ht="12.75" hidden="false" customHeight="false" outlineLevel="0" collapsed="false">
      <c r="L380" s="148"/>
      <c r="M380" s="148"/>
      <c r="N380" s="148"/>
      <c r="O380" s="148"/>
      <c r="P380" s="148"/>
      <c r="Q380" s="148"/>
    </row>
    <row r="381" customFormat="false" ht="12.75" hidden="false" customHeight="false" outlineLevel="0" collapsed="false">
      <c r="L381" s="148"/>
      <c r="M381" s="148"/>
      <c r="N381" s="148"/>
      <c r="O381" s="148"/>
      <c r="P381" s="148"/>
      <c r="Q381" s="148"/>
    </row>
    <row r="382" customFormat="false" ht="12.75" hidden="false" customHeight="false" outlineLevel="0" collapsed="false">
      <c r="L382" s="148"/>
      <c r="M382" s="148"/>
      <c r="N382" s="148"/>
      <c r="O382" s="148"/>
      <c r="P382" s="148"/>
      <c r="Q382" s="148"/>
    </row>
    <row r="383" customFormat="false" ht="12.75" hidden="false" customHeight="false" outlineLevel="0" collapsed="false">
      <c r="L383" s="148"/>
      <c r="M383" s="148"/>
      <c r="N383" s="148"/>
      <c r="O383" s="148"/>
      <c r="P383" s="148"/>
      <c r="Q383" s="148"/>
    </row>
    <row r="384" customFormat="false" ht="12.75" hidden="false" customHeight="false" outlineLevel="0" collapsed="false">
      <c r="L384" s="148"/>
      <c r="M384" s="148"/>
      <c r="N384" s="148"/>
      <c r="O384" s="148"/>
      <c r="P384" s="148"/>
      <c r="Q384" s="148"/>
    </row>
    <row r="385" customFormat="false" ht="12.75" hidden="false" customHeight="false" outlineLevel="0" collapsed="false">
      <c r="L385" s="148"/>
      <c r="M385" s="148"/>
      <c r="N385" s="148"/>
      <c r="O385" s="148"/>
      <c r="P385" s="148"/>
      <c r="Q385" s="148"/>
    </row>
    <row r="386" customFormat="false" ht="12.75" hidden="false" customHeight="false" outlineLevel="0" collapsed="false">
      <c r="L386" s="148"/>
      <c r="M386" s="148"/>
      <c r="N386" s="148"/>
      <c r="O386" s="148"/>
      <c r="P386" s="148"/>
      <c r="Q386" s="148"/>
    </row>
    <row r="387" customFormat="false" ht="12.75" hidden="false" customHeight="false" outlineLevel="0" collapsed="false">
      <c r="L387" s="148"/>
      <c r="M387" s="148"/>
      <c r="N387" s="148"/>
      <c r="O387" s="148"/>
      <c r="P387" s="148"/>
      <c r="Q387" s="148"/>
    </row>
    <row r="388" customFormat="false" ht="12.75" hidden="false" customHeight="false" outlineLevel="0" collapsed="false">
      <c r="L388" s="148"/>
      <c r="M388" s="148"/>
      <c r="N388" s="148"/>
      <c r="O388" s="148"/>
      <c r="P388" s="148"/>
      <c r="Q388" s="148"/>
    </row>
    <row r="389" customFormat="false" ht="12.75" hidden="false" customHeight="false" outlineLevel="0" collapsed="false">
      <c r="L389" s="148"/>
      <c r="M389" s="148"/>
      <c r="N389" s="148"/>
      <c r="O389" s="148"/>
      <c r="P389" s="148"/>
      <c r="Q389" s="148"/>
    </row>
    <row r="390" customFormat="false" ht="12.75" hidden="false" customHeight="false" outlineLevel="0" collapsed="false">
      <c r="L390" s="148"/>
      <c r="M390" s="148"/>
      <c r="N390" s="148"/>
      <c r="O390" s="148"/>
      <c r="P390" s="148"/>
      <c r="Q390" s="148"/>
    </row>
    <row r="391" customFormat="false" ht="12.75" hidden="false" customHeight="false" outlineLevel="0" collapsed="false">
      <c r="L391" s="148"/>
      <c r="M391" s="148"/>
      <c r="N391" s="148"/>
      <c r="O391" s="148"/>
      <c r="P391" s="148"/>
      <c r="Q391" s="148"/>
    </row>
    <row r="392" customFormat="false" ht="12.75" hidden="false" customHeight="false" outlineLevel="0" collapsed="false">
      <c r="L392" s="148"/>
      <c r="M392" s="148"/>
      <c r="N392" s="148"/>
      <c r="O392" s="148"/>
      <c r="P392" s="148"/>
      <c r="Q392" s="148"/>
    </row>
    <row r="393" customFormat="false" ht="12.75" hidden="false" customHeight="false" outlineLevel="0" collapsed="false">
      <c r="L393" s="148"/>
      <c r="M393" s="148"/>
      <c r="N393" s="148"/>
      <c r="O393" s="148"/>
      <c r="P393" s="148"/>
      <c r="Q393" s="148"/>
    </row>
    <row r="394" customFormat="false" ht="12.75" hidden="false" customHeight="false" outlineLevel="0" collapsed="false">
      <c r="L394" s="148"/>
      <c r="M394" s="148"/>
      <c r="N394" s="148"/>
      <c r="O394" s="148"/>
      <c r="P394" s="148"/>
      <c r="Q394" s="148"/>
    </row>
    <row r="395" customFormat="false" ht="12.75" hidden="false" customHeight="false" outlineLevel="0" collapsed="false">
      <c r="L395" s="148"/>
      <c r="M395" s="148"/>
      <c r="N395" s="148"/>
      <c r="O395" s="148"/>
      <c r="P395" s="148"/>
      <c r="Q395" s="148"/>
    </row>
    <row r="396" customFormat="false" ht="12.75" hidden="false" customHeight="false" outlineLevel="0" collapsed="false">
      <c r="L396" s="148"/>
      <c r="M396" s="148"/>
      <c r="N396" s="148"/>
      <c r="O396" s="148"/>
      <c r="P396" s="148"/>
      <c r="Q396" s="148"/>
    </row>
    <row r="397" customFormat="false" ht="12.75" hidden="false" customHeight="false" outlineLevel="0" collapsed="false">
      <c r="L397" s="148"/>
      <c r="M397" s="148"/>
      <c r="N397" s="148"/>
      <c r="O397" s="148"/>
      <c r="P397" s="148"/>
      <c r="Q397" s="148"/>
    </row>
    <row r="398" customFormat="false" ht="12.75" hidden="false" customHeight="false" outlineLevel="0" collapsed="false">
      <c r="L398" s="148"/>
      <c r="M398" s="148"/>
      <c r="N398" s="148"/>
      <c r="O398" s="148"/>
      <c r="P398" s="148"/>
      <c r="Q398" s="148"/>
    </row>
    <row r="399" customFormat="false" ht="12.75" hidden="false" customHeight="false" outlineLevel="0" collapsed="false">
      <c r="L399" s="148"/>
      <c r="M399" s="148"/>
      <c r="N399" s="148"/>
      <c r="O399" s="148"/>
      <c r="P399" s="148"/>
      <c r="Q399" s="148"/>
    </row>
    <row r="400" customFormat="false" ht="12.75" hidden="false" customHeight="false" outlineLevel="0" collapsed="false">
      <c r="L400" s="148"/>
      <c r="M400" s="148"/>
      <c r="N400" s="148"/>
      <c r="O400" s="148"/>
      <c r="P400" s="148"/>
      <c r="Q400" s="148"/>
    </row>
    <row r="401" customFormat="false" ht="12.75" hidden="false" customHeight="false" outlineLevel="0" collapsed="false">
      <c r="L401" s="148"/>
      <c r="M401" s="148"/>
      <c r="N401" s="148"/>
      <c r="O401" s="148"/>
      <c r="P401" s="148"/>
      <c r="Q401" s="148"/>
    </row>
    <row r="402" customFormat="false" ht="12.75" hidden="false" customHeight="false" outlineLevel="0" collapsed="false">
      <c r="L402" s="148"/>
      <c r="M402" s="148"/>
      <c r="N402" s="148"/>
      <c r="O402" s="148"/>
      <c r="P402" s="148"/>
      <c r="Q402" s="148"/>
    </row>
    <row r="403" customFormat="false" ht="12.75" hidden="false" customHeight="false" outlineLevel="0" collapsed="false">
      <c r="L403" s="148"/>
      <c r="M403" s="148"/>
      <c r="N403" s="148"/>
      <c r="O403" s="148"/>
      <c r="P403" s="148"/>
      <c r="Q403" s="148"/>
    </row>
    <row r="404" customFormat="false" ht="12.75" hidden="false" customHeight="false" outlineLevel="0" collapsed="false">
      <c r="L404" s="148"/>
      <c r="M404" s="148"/>
      <c r="N404" s="148"/>
      <c r="O404" s="148"/>
      <c r="P404" s="148"/>
      <c r="Q404" s="148"/>
    </row>
    <row r="405" customFormat="false" ht="12.75" hidden="false" customHeight="false" outlineLevel="0" collapsed="false">
      <c r="L405" s="148"/>
      <c r="M405" s="148"/>
      <c r="N405" s="148"/>
      <c r="O405" s="148"/>
      <c r="P405" s="148"/>
      <c r="Q405" s="148"/>
    </row>
    <row r="406" customFormat="false" ht="12.75" hidden="false" customHeight="false" outlineLevel="0" collapsed="false">
      <c r="L406" s="148"/>
      <c r="M406" s="148"/>
      <c r="N406" s="148"/>
      <c r="O406" s="148"/>
      <c r="P406" s="148"/>
      <c r="Q406" s="148"/>
    </row>
    <row r="407" customFormat="false" ht="12.75" hidden="false" customHeight="false" outlineLevel="0" collapsed="false">
      <c r="L407" s="148"/>
      <c r="M407" s="148"/>
      <c r="N407" s="148"/>
      <c r="O407" s="148"/>
      <c r="P407" s="148"/>
      <c r="Q407" s="148"/>
    </row>
    <row r="408" customFormat="false" ht="12.75" hidden="false" customHeight="false" outlineLevel="0" collapsed="false">
      <c r="L408" s="148"/>
      <c r="M408" s="148"/>
      <c r="N408" s="148"/>
      <c r="O408" s="148"/>
      <c r="P408" s="148"/>
      <c r="Q408" s="148"/>
    </row>
    <row r="409" customFormat="false" ht="12.75" hidden="false" customHeight="false" outlineLevel="0" collapsed="false">
      <c r="L409" s="148"/>
      <c r="M409" s="148"/>
      <c r="N409" s="148"/>
      <c r="O409" s="148"/>
      <c r="P409" s="148"/>
      <c r="Q409" s="148"/>
    </row>
    <row r="410" customFormat="false" ht="12.75" hidden="false" customHeight="false" outlineLevel="0" collapsed="false">
      <c r="L410" s="148"/>
      <c r="M410" s="148"/>
      <c r="N410" s="148"/>
      <c r="O410" s="148"/>
      <c r="P410" s="148"/>
      <c r="Q410" s="148"/>
    </row>
    <row r="411" customFormat="false" ht="12.75" hidden="false" customHeight="false" outlineLevel="0" collapsed="false">
      <c r="L411" s="148"/>
      <c r="M411" s="148"/>
      <c r="N411" s="148"/>
      <c r="O411" s="148"/>
      <c r="P411" s="148"/>
      <c r="Q411" s="148"/>
    </row>
    <row r="412" customFormat="false" ht="12.75" hidden="false" customHeight="false" outlineLevel="0" collapsed="false">
      <c r="L412" s="148"/>
      <c r="M412" s="148"/>
      <c r="N412" s="148"/>
      <c r="O412" s="148"/>
      <c r="P412" s="148"/>
      <c r="Q412" s="148"/>
    </row>
    <row r="413" customFormat="false" ht="12.75" hidden="false" customHeight="false" outlineLevel="0" collapsed="false">
      <c r="L413" s="148"/>
      <c r="M413" s="148"/>
      <c r="N413" s="148"/>
      <c r="O413" s="148"/>
      <c r="P413" s="148"/>
      <c r="Q413" s="148"/>
    </row>
    <row r="414" customFormat="false" ht="12.75" hidden="false" customHeight="false" outlineLevel="0" collapsed="false">
      <c r="L414" s="148"/>
      <c r="M414" s="148"/>
      <c r="N414" s="148"/>
      <c r="O414" s="148"/>
      <c r="P414" s="148"/>
      <c r="Q414" s="148"/>
    </row>
    <row r="415" customFormat="false" ht="12.75" hidden="false" customHeight="false" outlineLevel="0" collapsed="false">
      <c r="L415" s="148"/>
      <c r="M415" s="148"/>
      <c r="N415" s="148"/>
      <c r="O415" s="148"/>
      <c r="P415" s="148"/>
      <c r="Q415" s="148"/>
    </row>
    <row r="416" customFormat="false" ht="12.75" hidden="false" customHeight="false" outlineLevel="0" collapsed="false">
      <c r="L416" s="148"/>
      <c r="M416" s="148"/>
      <c r="N416" s="148"/>
      <c r="O416" s="148"/>
      <c r="P416" s="148"/>
      <c r="Q416" s="148"/>
    </row>
    <row r="417" customFormat="false" ht="12.75" hidden="false" customHeight="false" outlineLevel="0" collapsed="false">
      <c r="L417" s="148"/>
      <c r="M417" s="148"/>
      <c r="N417" s="148"/>
      <c r="O417" s="148"/>
      <c r="P417" s="148"/>
      <c r="Q417" s="148"/>
    </row>
    <row r="418" customFormat="false" ht="12.75" hidden="false" customHeight="false" outlineLevel="0" collapsed="false">
      <c r="L418" s="148"/>
      <c r="M418" s="148"/>
      <c r="N418" s="148"/>
      <c r="O418" s="148"/>
      <c r="P418" s="148"/>
      <c r="Q418" s="148"/>
    </row>
    <row r="419" customFormat="false" ht="12.75" hidden="false" customHeight="false" outlineLevel="0" collapsed="false">
      <c r="L419" s="148"/>
      <c r="M419" s="148"/>
      <c r="N419" s="148"/>
      <c r="O419" s="148"/>
      <c r="P419" s="148"/>
      <c r="Q419" s="148"/>
    </row>
    <row r="420" customFormat="false" ht="12.75" hidden="false" customHeight="false" outlineLevel="0" collapsed="false">
      <c r="L420" s="148"/>
      <c r="M420" s="148"/>
      <c r="N420" s="148"/>
      <c r="O420" s="148"/>
      <c r="P420" s="148"/>
      <c r="Q420" s="148"/>
    </row>
    <row r="421" customFormat="false" ht="12.75" hidden="false" customHeight="false" outlineLevel="0" collapsed="false">
      <c r="L421" s="148"/>
      <c r="M421" s="148"/>
      <c r="N421" s="148"/>
      <c r="O421" s="148"/>
      <c r="P421" s="148"/>
      <c r="Q421" s="148"/>
    </row>
    <row r="422" customFormat="false" ht="12.75" hidden="false" customHeight="false" outlineLevel="0" collapsed="false">
      <c r="L422" s="148"/>
      <c r="M422" s="148"/>
      <c r="N422" s="148"/>
      <c r="O422" s="148"/>
      <c r="P422" s="148"/>
      <c r="Q422" s="148"/>
    </row>
    <row r="423" customFormat="false" ht="12.75" hidden="false" customHeight="false" outlineLevel="0" collapsed="false">
      <c r="L423" s="148"/>
      <c r="M423" s="148"/>
      <c r="N423" s="148"/>
      <c r="O423" s="148"/>
      <c r="P423" s="148"/>
      <c r="Q423" s="148"/>
    </row>
    <row r="424" customFormat="false" ht="12.75" hidden="false" customHeight="false" outlineLevel="0" collapsed="false">
      <c r="L424" s="148"/>
      <c r="M424" s="148"/>
      <c r="N424" s="148"/>
      <c r="O424" s="148"/>
      <c r="P424" s="148"/>
      <c r="Q424" s="148"/>
    </row>
    <row r="425" customFormat="false" ht="12.75" hidden="false" customHeight="false" outlineLevel="0" collapsed="false">
      <c r="L425" s="148"/>
      <c r="M425" s="148"/>
      <c r="N425" s="148"/>
      <c r="O425" s="148"/>
      <c r="P425" s="148"/>
      <c r="Q425" s="148"/>
    </row>
    <row r="426" customFormat="false" ht="12.75" hidden="false" customHeight="false" outlineLevel="0" collapsed="false">
      <c r="L426" s="148"/>
      <c r="M426" s="148"/>
      <c r="N426" s="148"/>
      <c r="O426" s="148"/>
      <c r="P426" s="148"/>
      <c r="Q426" s="148"/>
    </row>
    <row r="427" customFormat="false" ht="12.75" hidden="false" customHeight="false" outlineLevel="0" collapsed="false">
      <c r="L427" s="148"/>
      <c r="M427" s="148"/>
      <c r="N427" s="148"/>
      <c r="O427" s="148"/>
      <c r="P427" s="148"/>
      <c r="Q427" s="148"/>
    </row>
    <row r="428" customFormat="false" ht="12.75" hidden="false" customHeight="false" outlineLevel="0" collapsed="false">
      <c r="L428" s="148"/>
      <c r="M428" s="148"/>
      <c r="N428" s="148"/>
      <c r="O428" s="148"/>
      <c r="P428" s="148"/>
      <c r="Q428" s="148"/>
    </row>
    <row r="429" customFormat="false" ht="12.75" hidden="false" customHeight="false" outlineLevel="0" collapsed="false">
      <c r="L429" s="148"/>
      <c r="M429" s="148"/>
      <c r="N429" s="148"/>
      <c r="O429" s="148"/>
      <c r="P429" s="148"/>
      <c r="Q429" s="148"/>
    </row>
    <row r="430" customFormat="false" ht="12.75" hidden="false" customHeight="false" outlineLevel="0" collapsed="false">
      <c r="L430" s="148"/>
      <c r="M430" s="148"/>
      <c r="N430" s="148"/>
      <c r="O430" s="148"/>
      <c r="P430" s="148"/>
      <c r="Q430" s="148"/>
    </row>
    <row r="431" customFormat="false" ht="12.75" hidden="false" customHeight="false" outlineLevel="0" collapsed="false">
      <c r="L431" s="148"/>
      <c r="M431" s="148"/>
      <c r="N431" s="148"/>
      <c r="O431" s="148"/>
      <c r="P431" s="148"/>
      <c r="Q431" s="148"/>
    </row>
    <row r="432" customFormat="false" ht="12.75" hidden="false" customHeight="false" outlineLevel="0" collapsed="false">
      <c r="L432" s="148"/>
      <c r="M432" s="148"/>
      <c r="N432" s="148"/>
      <c r="O432" s="148"/>
      <c r="P432" s="148"/>
      <c r="Q432" s="148"/>
    </row>
    <row r="433" customFormat="false" ht="12.75" hidden="false" customHeight="false" outlineLevel="0" collapsed="false">
      <c r="L433" s="148"/>
      <c r="M433" s="148"/>
      <c r="N433" s="148"/>
      <c r="O433" s="148"/>
      <c r="P433" s="148"/>
      <c r="Q433" s="148"/>
    </row>
    <row r="434" customFormat="false" ht="12.75" hidden="false" customHeight="false" outlineLevel="0" collapsed="false">
      <c r="L434" s="148"/>
      <c r="M434" s="148"/>
      <c r="N434" s="148"/>
      <c r="O434" s="148"/>
      <c r="P434" s="148"/>
      <c r="Q434" s="148"/>
    </row>
    <row r="435" customFormat="false" ht="12.75" hidden="false" customHeight="false" outlineLevel="0" collapsed="false">
      <c r="L435" s="148"/>
      <c r="M435" s="148"/>
      <c r="N435" s="148"/>
      <c r="O435" s="148"/>
      <c r="P435" s="148"/>
      <c r="Q435" s="148"/>
    </row>
    <row r="436" customFormat="false" ht="12.75" hidden="false" customHeight="false" outlineLevel="0" collapsed="false">
      <c r="L436" s="148"/>
      <c r="M436" s="148"/>
      <c r="N436" s="148"/>
      <c r="O436" s="148"/>
      <c r="P436" s="148"/>
      <c r="Q436" s="148"/>
    </row>
    <row r="437" customFormat="false" ht="12.75" hidden="false" customHeight="false" outlineLevel="0" collapsed="false">
      <c r="L437" s="148"/>
      <c r="M437" s="148"/>
      <c r="N437" s="148"/>
      <c r="O437" s="148"/>
      <c r="P437" s="148"/>
      <c r="Q437" s="148"/>
    </row>
    <row r="438" customFormat="false" ht="12.75" hidden="false" customHeight="false" outlineLevel="0" collapsed="false">
      <c r="L438" s="148"/>
      <c r="M438" s="148"/>
      <c r="N438" s="148"/>
      <c r="O438" s="148"/>
      <c r="P438" s="148"/>
      <c r="Q438" s="148"/>
    </row>
    <row r="439" customFormat="false" ht="12.75" hidden="false" customHeight="false" outlineLevel="0" collapsed="false">
      <c r="L439" s="148"/>
      <c r="M439" s="148"/>
      <c r="N439" s="148"/>
      <c r="O439" s="148"/>
      <c r="P439" s="148"/>
      <c r="Q439" s="148"/>
    </row>
    <row r="440" customFormat="false" ht="12.75" hidden="false" customHeight="false" outlineLevel="0" collapsed="false">
      <c r="L440" s="148"/>
      <c r="M440" s="148"/>
      <c r="N440" s="148"/>
      <c r="O440" s="148"/>
      <c r="P440" s="148"/>
      <c r="Q440" s="148"/>
    </row>
    <row r="441" customFormat="false" ht="12.75" hidden="false" customHeight="false" outlineLevel="0" collapsed="false">
      <c r="L441" s="148"/>
      <c r="M441" s="148"/>
      <c r="N441" s="148"/>
      <c r="O441" s="148"/>
      <c r="P441" s="148"/>
      <c r="Q441" s="148"/>
    </row>
    <row r="442" customFormat="false" ht="12.75" hidden="false" customHeight="false" outlineLevel="0" collapsed="false">
      <c r="L442" s="148"/>
      <c r="M442" s="148"/>
      <c r="N442" s="148"/>
      <c r="O442" s="148"/>
      <c r="P442" s="148"/>
      <c r="Q442" s="148"/>
    </row>
    <row r="443" customFormat="false" ht="12.75" hidden="false" customHeight="false" outlineLevel="0" collapsed="false">
      <c r="L443" s="148"/>
      <c r="M443" s="148"/>
      <c r="N443" s="148"/>
      <c r="O443" s="148"/>
      <c r="P443" s="148"/>
      <c r="Q443" s="148"/>
    </row>
    <row r="444" customFormat="false" ht="12.75" hidden="false" customHeight="false" outlineLevel="0" collapsed="false">
      <c r="L444" s="148"/>
      <c r="M444" s="148"/>
      <c r="N444" s="148"/>
      <c r="O444" s="148"/>
      <c r="P444" s="148"/>
      <c r="Q444" s="148"/>
    </row>
    <row r="445" customFormat="false" ht="12.75" hidden="false" customHeight="false" outlineLevel="0" collapsed="false">
      <c r="L445" s="148"/>
      <c r="M445" s="148"/>
      <c r="N445" s="148"/>
      <c r="O445" s="148"/>
      <c r="P445" s="148"/>
      <c r="Q445" s="148"/>
    </row>
    <row r="446" customFormat="false" ht="12.75" hidden="false" customHeight="false" outlineLevel="0" collapsed="false">
      <c r="L446" s="148"/>
      <c r="M446" s="148"/>
      <c r="N446" s="148"/>
      <c r="O446" s="148"/>
      <c r="P446" s="148"/>
      <c r="Q446" s="148"/>
    </row>
    <row r="447" customFormat="false" ht="12.75" hidden="false" customHeight="false" outlineLevel="0" collapsed="false">
      <c r="L447" s="148"/>
      <c r="M447" s="148"/>
      <c r="N447" s="148"/>
      <c r="O447" s="148"/>
      <c r="P447" s="148"/>
      <c r="Q447" s="148"/>
    </row>
    <row r="448" customFormat="false" ht="12.75" hidden="false" customHeight="false" outlineLevel="0" collapsed="false">
      <c r="L448" s="148"/>
      <c r="M448" s="148"/>
      <c r="N448" s="148"/>
      <c r="O448" s="148"/>
      <c r="P448" s="148"/>
      <c r="Q448" s="148"/>
    </row>
    <row r="449" customFormat="false" ht="12.75" hidden="false" customHeight="false" outlineLevel="0" collapsed="false">
      <c r="L449" s="148"/>
      <c r="M449" s="148"/>
      <c r="N449" s="148"/>
      <c r="O449" s="148"/>
      <c r="P449" s="148"/>
      <c r="Q449" s="148"/>
    </row>
    <row r="450" customFormat="false" ht="12.75" hidden="false" customHeight="false" outlineLevel="0" collapsed="false">
      <c r="L450" s="148"/>
      <c r="M450" s="148"/>
      <c r="N450" s="148"/>
      <c r="O450" s="148"/>
      <c r="P450" s="148"/>
      <c r="Q450" s="148"/>
    </row>
    <row r="451" customFormat="false" ht="12.75" hidden="false" customHeight="false" outlineLevel="0" collapsed="false">
      <c r="L451" s="148"/>
      <c r="M451" s="148"/>
      <c r="N451" s="148"/>
      <c r="O451" s="148"/>
      <c r="P451" s="148"/>
      <c r="Q451" s="148"/>
    </row>
    <row r="452" customFormat="false" ht="12.75" hidden="false" customHeight="false" outlineLevel="0" collapsed="false">
      <c r="L452" s="148"/>
      <c r="M452" s="148"/>
      <c r="N452" s="148"/>
      <c r="O452" s="148"/>
      <c r="P452" s="148"/>
      <c r="Q452" s="148"/>
    </row>
    <row r="453" customFormat="false" ht="12.75" hidden="false" customHeight="false" outlineLevel="0" collapsed="false">
      <c r="L453" s="148"/>
      <c r="M453" s="148"/>
      <c r="N453" s="148"/>
      <c r="O453" s="148"/>
      <c r="P453" s="148"/>
      <c r="Q453" s="148"/>
    </row>
    <row r="454" customFormat="false" ht="12.75" hidden="false" customHeight="false" outlineLevel="0" collapsed="false">
      <c r="L454" s="148"/>
      <c r="M454" s="148"/>
      <c r="N454" s="148"/>
      <c r="O454" s="148"/>
      <c r="P454" s="148"/>
      <c r="Q454" s="148"/>
    </row>
    <row r="455" customFormat="false" ht="12.75" hidden="false" customHeight="false" outlineLevel="0" collapsed="false">
      <c r="L455" s="148"/>
      <c r="M455" s="148"/>
      <c r="N455" s="148"/>
      <c r="O455" s="148"/>
      <c r="P455" s="148"/>
      <c r="Q455" s="148"/>
    </row>
    <row r="456" customFormat="false" ht="12.75" hidden="false" customHeight="false" outlineLevel="0" collapsed="false">
      <c r="L456" s="148"/>
      <c r="M456" s="148"/>
      <c r="N456" s="148"/>
      <c r="O456" s="148"/>
      <c r="P456" s="148"/>
      <c r="Q456" s="148"/>
    </row>
    <row r="457" customFormat="false" ht="12.75" hidden="false" customHeight="false" outlineLevel="0" collapsed="false">
      <c r="L457" s="148"/>
      <c r="M457" s="148"/>
      <c r="N457" s="148"/>
      <c r="O457" s="148"/>
      <c r="P457" s="148"/>
      <c r="Q457" s="148"/>
    </row>
    <row r="458" customFormat="false" ht="12.75" hidden="false" customHeight="false" outlineLevel="0" collapsed="false">
      <c r="L458" s="148"/>
      <c r="M458" s="148"/>
      <c r="N458" s="148"/>
      <c r="O458" s="148"/>
      <c r="P458" s="148"/>
      <c r="Q458" s="148"/>
    </row>
    <row r="459" customFormat="false" ht="12.75" hidden="false" customHeight="false" outlineLevel="0" collapsed="false">
      <c r="L459" s="148"/>
      <c r="M459" s="148"/>
      <c r="N459" s="148"/>
      <c r="O459" s="148"/>
      <c r="P459" s="148"/>
      <c r="Q459" s="148"/>
    </row>
    <row r="460" customFormat="false" ht="12.75" hidden="false" customHeight="false" outlineLevel="0" collapsed="false">
      <c r="L460" s="148"/>
      <c r="M460" s="148"/>
      <c r="N460" s="148"/>
      <c r="O460" s="148"/>
      <c r="P460" s="148"/>
      <c r="Q460" s="148"/>
    </row>
    <row r="461" customFormat="false" ht="12.75" hidden="false" customHeight="false" outlineLevel="0" collapsed="false">
      <c r="L461" s="148"/>
      <c r="M461" s="148"/>
      <c r="N461" s="148"/>
      <c r="O461" s="148"/>
      <c r="P461" s="148"/>
      <c r="Q461" s="148"/>
    </row>
    <row r="462" customFormat="false" ht="12.75" hidden="false" customHeight="false" outlineLevel="0" collapsed="false">
      <c r="L462" s="148"/>
      <c r="M462" s="148"/>
      <c r="N462" s="148"/>
      <c r="O462" s="148"/>
      <c r="P462" s="148"/>
      <c r="Q462" s="148"/>
    </row>
    <row r="463" customFormat="false" ht="12.75" hidden="false" customHeight="false" outlineLevel="0" collapsed="false">
      <c r="L463" s="148"/>
      <c r="M463" s="148"/>
      <c r="N463" s="148"/>
      <c r="O463" s="148"/>
      <c r="P463" s="148"/>
      <c r="Q463" s="148"/>
    </row>
    <row r="464" customFormat="false" ht="12.75" hidden="false" customHeight="false" outlineLevel="0" collapsed="false">
      <c r="L464" s="148"/>
      <c r="M464" s="148"/>
      <c r="N464" s="148"/>
      <c r="O464" s="148"/>
      <c r="P464" s="148"/>
      <c r="Q464" s="148"/>
    </row>
    <row r="465" customFormat="false" ht="12.75" hidden="false" customHeight="false" outlineLevel="0" collapsed="false">
      <c r="L465" s="148"/>
      <c r="M465" s="148"/>
      <c r="N465" s="148"/>
      <c r="O465" s="148"/>
      <c r="P465" s="148"/>
      <c r="Q465" s="148"/>
    </row>
    <row r="466" customFormat="false" ht="12.75" hidden="false" customHeight="false" outlineLevel="0" collapsed="false">
      <c r="L466" s="148"/>
      <c r="M466" s="148"/>
      <c r="N466" s="148"/>
      <c r="O466" s="148"/>
      <c r="P466" s="148"/>
      <c r="Q466" s="148"/>
    </row>
    <row r="467" customFormat="false" ht="12.75" hidden="false" customHeight="false" outlineLevel="0" collapsed="false">
      <c r="L467" s="148"/>
      <c r="M467" s="148"/>
      <c r="N467" s="148"/>
      <c r="O467" s="148"/>
      <c r="P467" s="148"/>
      <c r="Q467" s="148"/>
    </row>
    <row r="468" customFormat="false" ht="12.75" hidden="false" customHeight="false" outlineLevel="0" collapsed="false">
      <c r="L468" s="148"/>
      <c r="M468" s="148"/>
      <c r="N468" s="148"/>
      <c r="O468" s="148"/>
      <c r="P468" s="148"/>
      <c r="Q468" s="148"/>
    </row>
    <row r="469" customFormat="false" ht="12.75" hidden="false" customHeight="false" outlineLevel="0" collapsed="false">
      <c r="L469" s="148"/>
      <c r="M469" s="148"/>
      <c r="N469" s="148"/>
      <c r="O469" s="148"/>
      <c r="P469" s="148"/>
      <c r="Q469" s="148"/>
    </row>
    <row r="470" customFormat="false" ht="12.75" hidden="false" customHeight="false" outlineLevel="0" collapsed="false">
      <c r="L470" s="148"/>
      <c r="M470" s="148"/>
      <c r="N470" s="148"/>
      <c r="O470" s="148"/>
      <c r="P470" s="148"/>
      <c r="Q470" s="148"/>
    </row>
    <row r="471" customFormat="false" ht="12.75" hidden="false" customHeight="false" outlineLevel="0" collapsed="false">
      <c r="L471" s="148"/>
      <c r="M471" s="148"/>
      <c r="N471" s="148"/>
      <c r="O471" s="148"/>
      <c r="P471" s="148"/>
      <c r="Q471" s="148"/>
    </row>
    <row r="472" customFormat="false" ht="12.75" hidden="false" customHeight="false" outlineLevel="0" collapsed="false">
      <c r="L472" s="148"/>
      <c r="M472" s="148"/>
      <c r="N472" s="148"/>
      <c r="O472" s="148"/>
      <c r="P472" s="148"/>
      <c r="Q472" s="148"/>
    </row>
    <row r="473" customFormat="false" ht="12.75" hidden="false" customHeight="false" outlineLevel="0" collapsed="false">
      <c r="L473" s="148"/>
      <c r="M473" s="148"/>
      <c r="N473" s="148"/>
      <c r="O473" s="148"/>
      <c r="P473" s="148"/>
      <c r="Q473" s="148"/>
    </row>
    <row r="474" customFormat="false" ht="12.75" hidden="false" customHeight="false" outlineLevel="0" collapsed="false">
      <c r="L474" s="148"/>
      <c r="M474" s="148"/>
      <c r="N474" s="148"/>
      <c r="O474" s="148"/>
      <c r="P474" s="148"/>
      <c r="Q474" s="148"/>
    </row>
    <row r="475" customFormat="false" ht="12.75" hidden="false" customHeight="false" outlineLevel="0" collapsed="false">
      <c r="L475" s="148"/>
      <c r="M475" s="148"/>
      <c r="N475" s="148"/>
      <c r="O475" s="148"/>
      <c r="P475" s="148"/>
      <c r="Q475" s="148"/>
    </row>
    <row r="476" customFormat="false" ht="12.75" hidden="false" customHeight="false" outlineLevel="0" collapsed="false">
      <c r="L476" s="148"/>
      <c r="M476" s="148"/>
      <c r="N476" s="148"/>
      <c r="O476" s="148"/>
      <c r="P476" s="148"/>
      <c r="Q476" s="148"/>
    </row>
    <row r="477" customFormat="false" ht="12.75" hidden="false" customHeight="false" outlineLevel="0" collapsed="false">
      <c r="L477" s="148"/>
      <c r="M477" s="148"/>
      <c r="N477" s="148"/>
      <c r="O477" s="148"/>
      <c r="P477" s="148"/>
      <c r="Q477" s="148"/>
    </row>
    <row r="478" customFormat="false" ht="12.75" hidden="false" customHeight="false" outlineLevel="0" collapsed="false">
      <c r="L478" s="148"/>
      <c r="M478" s="148"/>
      <c r="N478" s="148"/>
      <c r="O478" s="148"/>
      <c r="P478" s="148"/>
      <c r="Q478" s="148"/>
    </row>
    <row r="479" customFormat="false" ht="12.75" hidden="false" customHeight="false" outlineLevel="0" collapsed="false">
      <c r="L479" s="148"/>
      <c r="M479" s="148"/>
      <c r="N479" s="148"/>
      <c r="O479" s="148"/>
      <c r="P479" s="148"/>
      <c r="Q479" s="148"/>
    </row>
    <row r="480" customFormat="false" ht="12.75" hidden="false" customHeight="false" outlineLevel="0" collapsed="false">
      <c r="L480" s="148"/>
      <c r="M480" s="148"/>
      <c r="N480" s="148"/>
      <c r="O480" s="148"/>
      <c r="P480" s="148"/>
      <c r="Q480" s="148"/>
    </row>
    <row r="481" customFormat="false" ht="12.75" hidden="false" customHeight="false" outlineLevel="0" collapsed="false">
      <c r="L481" s="148"/>
      <c r="M481" s="148"/>
      <c r="N481" s="148"/>
      <c r="O481" s="148"/>
      <c r="P481" s="148"/>
      <c r="Q481" s="148"/>
    </row>
    <row r="482" customFormat="false" ht="12.75" hidden="false" customHeight="false" outlineLevel="0" collapsed="false">
      <c r="L482" s="148"/>
      <c r="M482" s="148"/>
      <c r="N482" s="148"/>
      <c r="O482" s="148"/>
      <c r="P482" s="148"/>
      <c r="Q482" s="148"/>
    </row>
    <row r="483" customFormat="false" ht="12.75" hidden="false" customHeight="false" outlineLevel="0" collapsed="false">
      <c r="L483" s="148"/>
      <c r="M483" s="148"/>
      <c r="N483" s="148"/>
      <c r="O483" s="148"/>
      <c r="P483" s="148"/>
      <c r="Q483" s="148"/>
    </row>
    <row r="484" customFormat="false" ht="12.75" hidden="false" customHeight="false" outlineLevel="0" collapsed="false">
      <c r="L484" s="148"/>
      <c r="M484" s="148"/>
      <c r="N484" s="148"/>
      <c r="O484" s="148"/>
      <c r="P484" s="148"/>
      <c r="Q484" s="148"/>
    </row>
    <row r="485" customFormat="false" ht="12.75" hidden="false" customHeight="false" outlineLevel="0" collapsed="false">
      <c r="L485" s="148"/>
      <c r="M485" s="148"/>
      <c r="N485" s="148"/>
      <c r="O485" s="148"/>
      <c r="P485" s="148"/>
      <c r="Q485" s="148"/>
    </row>
    <row r="486" customFormat="false" ht="12.75" hidden="false" customHeight="false" outlineLevel="0" collapsed="false">
      <c r="L486" s="148"/>
      <c r="M486" s="148"/>
      <c r="N486" s="148"/>
      <c r="O486" s="148"/>
      <c r="P486" s="148"/>
      <c r="Q486" s="148"/>
    </row>
    <row r="487" customFormat="false" ht="12.75" hidden="false" customHeight="false" outlineLevel="0" collapsed="false">
      <c r="L487" s="148"/>
      <c r="M487" s="148"/>
      <c r="N487" s="148"/>
      <c r="O487" s="148"/>
      <c r="P487" s="148"/>
      <c r="Q487" s="148"/>
    </row>
    <row r="488" customFormat="false" ht="12.75" hidden="false" customHeight="false" outlineLevel="0" collapsed="false">
      <c r="L488" s="148"/>
      <c r="M488" s="148"/>
      <c r="N488" s="148"/>
      <c r="O488" s="148"/>
      <c r="P488" s="148"/>
      <c r="Q488" s="148"/>
    </row>
    <row r="489" customFormat="false" ht="12.75" hidden="false" customHeight="false" outlineLevel="0" collapsed="false">
      <c r="L489" s="148"/>
      <c r="M489" s="148"/>
      <c r="N489" s="148"/>
      <c r="O489" s="148"/>
      <c r="P489" s="148"/>
      <c r="Q489" s="148"/>
    </row>
    <row r="490" customFormat="false" ht="12.75" hidden="false" customHeight="false" outlineLevel="0" collapsed="false">
      <c r="L490" s="148"/>
      <c r="M490" s="148"/>
      <c r="N490" s="148"/>
      <c r="O490" s="148"/>
      <c r="P490" s="148"/>
      <c r="Q490" s="148"/>
    </row>
    <row r="491" customFormat="false" ht="12.75" hidden="false" customHeight="false" outlineLevel="0" collapsed="false">
      <c r="L491" s="148"/>
      <c r="M491" s="148"/>
      <c r="N491" s="148"/>
      <c r="O491" s="148"/>
      <c r="P491" s="148"/>
      <c r="Q491" s="148"/>
    </row>
    <row r="492" customFormat="false" ht="12.75" hidden="false" customHeight="false" outlineLevel="0" collapsed="false">
      <c r="L492" s="148"/>
      <c r="M492" s="148"/>
      <c r="N492" s="148"/>
      <c r="O492" s="148"/>
      <c r="P492" s="148"/>
      <c r="Q492" s="148"/>
    </row>
    <row r="493" customFormat="false" ht="12.75" hidden="false" customHeight="false" outlineLevel="0" collapsed="false">
      <c r="L493" s="148"/>
      <c r="M493" s="148"/>
      <c r="N493" s="148"/>
      <c r="O493" s="148"/>
      <c r="P493" s="148"/>
      <c r="Q493" s="148"/>
    </row>
    <row r="494" customFormat="false" ht="12.75" hidden="false" customHeight="false" outlineLevel="0" collapsed="false">
      <c r="L494" s="148"/>
      <c r="M494" s="148"/>
      <c r="N494" s="148"/>
      <c r="O494" s="148"/>
      <c r="P494" s="148"/>
      <c r="Q494" s="148"/>
    </row>
    <row r="495" customFormat="false" ht="12.75" hidden="false" customHeight="false" outlineLevel="0" collapsed="false">
      <c r="L495" s="148"/>
      <c r="M495" s="148"/>
      <c r="N495" s="148"/>
      <c r="O495" s="148"/>
      <c r="P495" s="148"/>
      <c r="Q495" s="148"/>
    </row>
    <row r="496" customFormat="false" ht="12.75" hidden="false" customHeight="false" outlineLevel="0" collapsed="false">
      <c r="L496" s="148"/>
      <c r="M496" s="148"/>
      <c r="N496" s="148"/>
      <c r="O496" s="148"/>
      <c r="P496" s="148"/>
      <c r="Q496" s="148"/>
    </row>
    <row r="497" customFormat="false" ht="12.75" hidden="false" customHeight="false" outlineLevel="0" collapsed="false">
      <c r="L497" s="148"/>
      <c r="M497" s="148"/>
      <c r="N497" s="148"/>
      <c r="O497" s="148"/>
      <c r="P497" s="148"/>
      <c r="Q497" s="148"/>
    </row>
    <row r="498" customFormat="false" ht="12.75" hidden="false" customHeight="false" outlineLevel="0" collapsed="false">
      <c r="L498" s="148"/>
      <c r="M498" s="148"/>
      <c r="N498" s="148"/>
      <c r="O498" s="148"/>
      <c r="P498" s="148"/>
      <c r="Q498" s="148"/>
    </row>
    <row r="499" customFormat="false" ht="12.75" hidden="false" customHeight="false" outlineLevel="0" collapsed="false">
      <c r="L499" s="148"/>
      <c r="M499" s="148"/>
      <c r="N499" s="148"/>
      <c r="O499" s="148"/>
      <c r="P499" s="148"/>
      <c r="Q499" s="148"/>
    </row>
    <row r="500" customFormat="false" ht="12.75" hidden="false" customHeight="false" outlineLevel="0" collapsed="false">
      <c r="L500" s="148"/>
      <c r="M500" s="148"/>
      <c r="N500" s="148"/>
      <c r="O500" s="148"/>
      <c r="P500" s="148"/>
      <c r="Q500" s="148"/>
    </row>
    <row r="501" customFormat="false" ht="12.75" hidden="false" customHeight="false" outlineLevel="0" collapsed="false">
      <c r="L501" s="148"/>
      <c r="M501" s="148"/>
      <c r="N501" s="148"/>
      <c r="O501" s="148"/>
      <c r="P501" s="148"/>
      <c r="Q501" s="148"/>
    </row>
    <row r="502" customFormat="false" ht="12.75" hidden="false" customHeight="false" outlineLevel="0" collapsed="false">
      <c r="L502" s="148"/>
      <c r="M502" s="148"/>
      <c r="N502" s="148"/>
      <c r="O502" s="148"/>
      <c r="P502" s="148"/>
      <c r="Q502" s="148"/>
    </row>
    <row r="503" customFormat="false" ht="12.75" hidden="false" customHeight="false" outlineLevel="0" collapsed="false">
      <c r="L503" s="148"/>
      <c r="M503" s="148"/>
      <c r="N503" s="148"/>
      <c r="O503" s="148"/>
      <c r="P503" s="148"/>
      <c r="Q503" s="148"/>
    </row>
    <row r="504" customFormat="false" ht="12.75" hidden="false" customHeight="false" outlineLevel="0" collapsed="false">
      <c r="L504" s="148"/>
      <c r="M504" s="148"/>
      <c r="N504" s="148"/>
      <c r="O504" s="148"/>
      <c r="P504" s="148"/>
      <c r="Q504" s="148"/>
    </row>
    <row r="505" customFormat="false" ht="12.75" hidden="false" customHeight="false" outlineLevel="0" collapsed="false">
      <c r="L505" s="148"/>
      <c r="M505" s="148"/>
      <c r="N505" s="148"/>
      <c r="O505" s="148"/>
      <c r="P505" s="148"/>
      <c r="Q505" s="148"/>
    </row>
    <row r="506" customFormat="false" ht="12.75" hidden="false" customHeight="false" outlineLevel="0" collapsed="false">
      <c r="L506" s="148"/>
      <c r="M506" s="148"/>
      <c r="N506" s="148"/>
      <c r="O506" s="148"/>
      <c r="P506" s="148"/>
      <c r="Q506" s="148"/>
    </row>
    <row r="507" customFormat="false" ht="12.75" hidden="false" customHeight="false" outlineLevel="0" collapsed="false">
      <c r="L507" s="148"/>
      <c r="M507" s="148"/>
      <c r="N507" s="148"/>
      <c r="O507" s="148"/>
      <c r="P507" s="148"/>
      <c r="Q507" s="148"/>
    </row>
    <row r="508" customFormat="false" ht="12.75" hidden="false" customHeight="false" outlineLevel="0" collapsed="false">
      <c r="L508" s="148"/>
      <c r="M508" s="148"/>
      <c r="N508" s="148"/>
      <c r="O508" s="148"/>
      <c r="P508" s="148"/>
      <c r="Q508" s="148"/>
    </row>
    <row r="509" customFormat="false" ht="12.75" hidden="false" customHeight="false" outlineLevel="0" collapsed="false">
      <c r="L509" s="148"/>
      <c r="M509" s="148"/>
      <c r="N509" s="148"/>
      <c r="O509" s="148"/>
      <c r="P509" s="148"/>
      <c r="Q509" s="148"/>
    </row>
    <row r="510" customFormat="false" ht="12.75" hidden="false" customHeight="false" outlineLevel="0" collapsed="false">
      <c r="L510" s="148"/>
      <c r="M510" s="148"/>
      <c r="N510" s="148"/>
      <c r="O510" s="148"/>
      <c r="P510" s="148"/>
      <c r="Q510" s="148"/>
    </row>
    <row r="511" customFormat="false" ht="12.75" hidden="false" customHeight="false" outlineLevel="0" collapsed="false">
      <c r="L511" s="148"/>
      <c r="M511" s="148"/>
      <c r="N511" s="148"/>
      <c r="O511" s="148"/>
      <c r="P511" s="148"/>
      <c r="Q511" s="148"/>
    </row>
    <row r="512" customFormat="false" ht="12.75" hidden="false" customHeight="false" outlineLevel="0" collapsed="false">
      <c r="L512" s="148"/>
      <c r="M512" s="148"/>
      <c r="N512" s="148"/>
      <c r="O512" s="148"/>
      <c r="P512" s="148"/>
      <c r="Q512" s="148"/>
    </row>
    <row r="513" customFormat="false" ht="12.75" hidden="false" customHeight="false" outlineLevel="0" collapsed="false">
      <c r="L513" s="148"/>
      <c r="M513" s="148"/>
      <c r="N513" s="148"/>
      <c r="O513" s="148"/>
      <c r="P513" s="148"/>
      <c r="Q513" s="148"/>
    </row>
    <row r="514" customFormat="false" ht="12.75" hidden="false" customHeight="false" outlineLevel="0" collapsed="false">
      <c r="L514" s="148"/>
      <c r="M514" s="148"/>
      <c r="N514" s="148"/>
      <c r="O514" s="148"/>
      <c r="P514" s="148"/>
      <c r="Q514" s="148"/>
    </row>
    <row r="515" customFormat="false" ht="12.75" hidden="false" customHeight="false" outlineLevel="0" collapsed="false">
      <c r="L515" s="148"/>
      <c r="M515" s="148"/>
      <c r="N515" s="148"/>
      <c r="O515" s="148"/>
      <c r="P515" s="148"/>
      <c r="Q515" s="148"/>
    </row>
    <row r="516" customFormat="false" ht="12.75" hidden="false" customHeight="false" outlineLevel="0" collapsed="false">
      <c r="L516" s="148"/>
      <c r="M516" s="148"/>
      <c r="N516" s="148"/>
      <c r="O516" s="148"/>
      <c r="P516" s="148"/>
      <c r="Q516" s="148"/>
    </row>
    <row r="517" customFormat="false" ht="12.75" hidden="false" customHeight="false" outlineLevel="0" collapsed="false">
      <c r="L517" s="148"/>
      <c r="M517" s="148"/>
      <c r="N517" s="148"/>
      <c r="O517" s="148"/>
      <c r="P517" s="148"/>
      <c r="Q517" s="148"/>
    </row>
    <row r="518" customFormat="false" ht="12.75" hidden="false" customHeight="false" outlineLevel="0" collapsed="false">
      <c r="L518" s="148"/>
      <c r="M518" s="148"/>
      <c r="N518" s="148"/>
      <c r="O518" s="148"/>
      <c r="P518" s="148"/>
      <c r="Q518" s="148"/>
    </row>
    <row r="519" customFormat="false" ht="12.75" hidden="false" customHeight="false" outlineLevel="0" collapsed="false">
      <c r="L519" s="148"/>
      <c r="M519" s="148"/>
      <c r="N519" s="148"/>
      <c r="O519" s="148"/>
      <c r="P519" s="148"/>
      <c r="Q519" s="148"/>
    </row>
    <row r="520" customFormat="false" ht="12.75" hidden="false" customHeight="false" outlineLevel="0" collapsed="false">
      <c r="L520" s="148"/>
      <c r="M520" s="148"/>
      <c r="N520" s="148"/>
      <c r="O520" s="148"/>
      <c r="P520" s="148"/>
      <c r="Q520" s="148"/>
    </row>
    <row r="521" customFormat="false" ht="12.75" hidden="false" customHeight="false" outlineLevel="0" collapsed="false">
      <c r="L521" s="148"/>
      <c r="M521" s="148"/>
      <c r="N521" s="148"/>
      <c r="O521" s="148"/>
      <c r="P521" s="148"/>
      <c r="Q521" s="148"/>
    </row>
    <row r="522" customFormat="false" ht="12.75" hidden="false" customHeight="false" outlineLevel="0" collapsed="false">
      <c r="L522" s="148"/>
      <c r="M522" s="148"/>
      <c r="N522" s="148"/>
      <c r="O522" s="148"/>
      <c r="P522" s="148"/>
      <c r="Q522" s="148"/>
    </row>
    <row r="523" customFormat="false" ht="12.75" hidden="false" customHeight="false" outlineLevel="0" collapsed="false">
      <c r="L523" s="148"/>
      <c r="M523" s="148"/>
      <c r="N523" s="148"/>
      <c r="O523" s="148"/>
      <c r="P523" s="148"/>
      <c r="Q523" s="148"/>
    </row>
    <row r="524" customFormat="false" ht="12.75" hidden="false" customHeight="false" outlineLevel="0" collapsed="false">
      <c r="L524" s="148"/>
      <c r="M524" s="148"/>
      <c r="N524" s="148"/>
      <c r="O524" s="148"/>
      <c r="P524" s="148"/>
      <c r="Q524" s="148"/>
    </row>
    <row r="525" customFormat="false" ht="12.75" hidden="false" customHeight="false" outlineLevel="0" collapsed="false">
      <c r="L525" s="148"/>
      <c r="M525" s="148"/>
      <c r="N525" s="148"/>
      <c r="O525" s="148"/>
      <c r="P525" s="148"/>
      <c r="Q525" s="148"/>
    </row>
    <row r="526" customFormat="false" ht="12.75" hidden="false" customHeight="false" outlineLevel="0" collapsed="false">
      <c r="L526" s="148"/>
      <c r="M526" s="148"/>
      <c r="N526" s="148"/>
      <c r="O526" s="148"/>
      <c r="P526" s="148"/>
      <c r="Q526" s="148"/>
    </row>
    <row r="527" customFormat="false" ht="12.75" hidden="false" customHeight="false" outlineLevel="0" collapsed="false">
      <c r="L527" s="148"/>
      <c r="M527" s="148"/>
      <c r="N527" s="148"/>
      <c r="O527" s="148"/>
      <c r="P527" s="148"/>
      <c r="Q527" s="148"/>
    </row>
    <row r="528" customFormat="false" ht="12.75" hidden="false" customHeight="false" outlineLevel="0" collapsed="false">
      <c r="L528" s="148"/>
      <c r="M528" s="148"/>
      <c r="N528" s="148"/>
      <c r="O528" s="148"/>
      <c r="P528" s="148"/>
      <c r="Q528" s="148"/>
    </row>
    <row r="529" customFormat="false" ht="12.75" hidden="false" customHeight="false" outlineLevel="0" collapsed="false">
      <c r="L529" s="148"/>
      <c r="M529" s="148"/>
      <c r="N529" s="148"/>
      <c r="O529" s="148"/>
      <c r="P529" s="148"/>
      <c r="Q529" s="148"/>
    </row>
    <row r="530" customFormat="false" ht="12.75" hidden="false" customHeight="false" outlineLevel="0" collapsed="false">
      <c r="L530" s="148"/>
      <c r="M530" s="148"/>
      <c r="N530" s="148"/>
      <c r="O530" s="148"/>
      <c r="P530" s="148"/>
      <c r="Q530" s="148"/>
    </row>
    <row r="531" customFormat="false" ht="12.75" hidden="false" customHeight="false" outlineLevel="0" collapsed="false">
      <c r="L531" s="148"/>
      <c r="M531" s="148"/>
      <c r="N531" s="148"/>
      <c r="O531" s="148"/>
      <c r="P531" s="148"/>
      <c r="Q531" s="148"/>
    </row>
    <row r="532" customFormat="false" ht="12.75" hidden="false" customHeight="false" outlineLevel="0" collapsed="false">
      <c r="L532" s="148"/>
      <c r="M532" s="148"/>
      <c r="N532" s="148"/>
      <c r="O532" s="148"/>
      <c r="P532" s="148"/>
      <c r="Q532" s="148"/>
    </row>
    <row r="533" customFormat="false" ht="12.75" hidden="false" customHeight="false" outlineLevel="0" collapsed="false">
      <c r="L533" s="148"/>
      <c r="M533" s="148"/>
      <c r="N533" s="148"/>
      <c r="O533" s="148"/>
      <c r="P533" s="148"/>
      <c r="Q533" s="148"/>
    </row>
    <row r="534" customFormat="false" ht="12.75" hidden="false" customHeight="false" outlineLevel="0" collapsed="false">
      <c r="L534" s="148"/>
      <c r="M534" s="148"/>
      <c r="N534" s="148"/>
      <c r="O534" s="148"/>
      <c r="P534" s="148"/>
      <c r="Q534" s="148"/>
    </row>
    <row r="535" customFormat="false" ht="12.75" hidden="false" customHeight="false" outlineLevel="0" collapsed="false">
      <c r="L535" s="148"/>
      <c r="M535" s="148"/>
      <c r="N535" s="148"/>
      <c r="O535" s="148"/>
      <c r="P535" s="148"/>
      <c r="Q535" s="148"/>
    </row>
    <row r="536" customFormat="false" ht="12.75" hidden="false" customHeight="false" outlineLevel="0" collapsed="false">
      <c r="L536" s="148"/>
      <c r="M536" s="148"/>
      <c r="N536" s="148"/>
      <c r="O536" s="148"/>
      <c r="P536" s="148"/>
      <c r="Q536" s="148"/>
    </row>
    <row r="537" customFormat="false" ht="12.75" hidden="false" customHeight="false" outlineLevel="0" collapsed="false">
      <c r="L537" s="148"/>
      <c r="M537" s="148"/>
      <c r="N537" s="148"/>
      <c r="O537" s="148"/>
      <c r="P537" s="148"/>
      <c r="Q537" s="148"/>
    </row>
    <row r="538" customFormat="false" ht="12.75" hidden="false" customHeight="false" outlineLevel="0" collapsed="false">
      <c r="L538" s="148"/>
      <c r="M538" s="148"/>
      <c r="N538" s="148"/>
      <c r="O538" s="148"/>
      <c r="P538" s="148"/>
      <c r="Q538" s="148"/>
    </row>
    <row r="539" customFormat="false" ht="12.75" hidden="false" customHeight="false" outlineLevel="0" collapsed="false">
      <c r="L539" s="148"/>
      <c r="M539" s="148"/>
      <c r="N539" s="148"/>
      <c r="O539" s="148"/>
      <c r="P539" s="148"/>
      <c r="Q539" s="148"/>
    </row>
    <row r="540" customFormat="false" ht="12.75" hidden="false" customHeight="false" outlineLevel="0" collapsed="false">
      <c r="L540" s="148"/>
      <c r="M540" s="148"/>
      <c r="N540" s="148"/>
      <c r="O540" s="148"/>
      <c r="P540" s="148"/>
      <c r="Q540" s="148"/>
    </row>
    <row r="541" customFormat="false" ht="12.75" hidden="false" customHeight="false" outlineLevel="0" collapsed="false">
      <c r="L541" s="148"/>
      <c r="M541" s="148"/>
      <c r="N541" s="148"/>
      <c r="O541" s="148"/>
      <c r="P541" s="148"/>
      <c r="Q541" s="148"/>
    </row>
    <row r="542" customFormat="false" ht="12.75" hidden="false" customHeight="false" outlineLevel="0" collapsed="false">
      <c r="L542" s="148"/>
      <c r="M542" s="148"/>
      <c r="N542" s="148"/>
      <c r="O542" s="148"/>
      <c r="P542" s="148"/>
      <c r="Q542" s="148"/>
    </row>
    <row r="543" customFormat="false" ht="12.75" hidden="false" customHeight="false" outlineLevel="0" collapsed="false">
      <c r="L543" s="148"/>
      <c r="M543" s="148"/>
      <c r="N543" s="148"/>
      <c r="O543" s="148"/>
      <c r="P543" s="148"/>
      <c r="Q543" s="148"/>
    </row>
    <row r="544" customFormat="false" ht="12.75" hidden="false" customHeight="false" outlineLevel="0" collapsed="false">
      <c r="L544" s="148"/>
      <c r="M544" s="148"/>
      <c r="N544" s="148"/>
      <c r="O544" s="148"/>
      <c r="P544" s="148"/>
      <c r="Q544" s="148"/>
    </row>
    <row r="545" customFormat="false" ht="12.75" hidden="false" customHeight="false" outlineLevel="0" collapsed="false">
      <c r="L545" s="148"/>
      <c r="M545" s="148"/>
      <c r="N545" s="148"/>
      <c r="O545" s="148"/>
      <c r="P545" s="148"/>
      <c r="Q545" s="148"/>
    </row>
    <row r="546" customFormat="false" ht="12.75" hidden="false" customHeight="false" outlineLevel="0" collapsed="false">
      <c r="L546" s="148"/>
      <c r="M546" s="148"/>
      <c r="N546" s="148"/>
      <c r="O546" s="148"/>
      <c r="P546" s="148"/>
      <c r="Q546" s="148"/>
    </row>
    <row r="547" customFormat="false" ht="12.75" hidden="false" customHeight="false" outlineLevel="0" collapsed="false">
      <c r="L547" s="148"/>
      <c r="M547" s="148"/>
      <c r="N547" s="148"/>
      <c r="O547" s="148"/>
      <c r="P547" s="148"/>
      <c r="Q547" s="148"/>
    </row>
    <row r="548" customFormat="false" ht="12.75" hidden="false" customHeight="false" outlineLevel="0" collapsed="false">
      <c r="L548" s="148"/>
      <c r="M548" s="148"/>
      <c r="N548" s="148"/>
      <c r="O548" s="148"/>
      <c r="P548" s="148"/>
      <c r="Q548" s="148"/>
    </row>
    <row r="549" customFormat="false" ht="12.75" hidden="false" customHeight="false" outlineLevel="0" collapsed="false">
      <c r="L549" s="148"/>
      <c r="M549" s="148"/>
      <c r="N549" s="148"/>
      <c r="O549" s="148"/>
      <c r="P549" s="148"/>
      <c r="Q549" s="148"/>
    </row>
    <row r="550" customFormat="false" ht="12.75" hidden="false" customHeight="false" outlineLevel="0" collapsed="false">
      <c r="L550" s="148"/>
      <c r="M550" s="148"/>
      <c r="N550" s="148"/>
      <c r="O550" s="148"/>
      <c r="P550" s="148"/>
      <c r="Q550" s="148"/>
    </row>
    <row r="551" customFormat="false" ht="12.75" hidden="false" customHeight="false" outlineLevel="0" collapsed="false">
      <c r="L551" s="148"/>
      <c r="M551" s="148"/>
      <c r="N551" s="148"/>
      <c r="O551" s="148"/>
      <c r="P551" s="148"/>
      <c r="Q551" s="148"/>
    </row>
    <row r="552" customFormat="false" ht="12.75" hidden="false" customHeight="false" outlineLevel="0" collapsed="false">
      <c r="L552" s="148"/>
      <c r="M552" s="148"/>
      <c r="N552" s="148"/>
      <c r="O552" s="148"/>
      <c r="P552" s="148"/>
      <c r="Q552" s="148"/>
    </row>
    <row r="553" customFormat="false" ht="12.75" hidden="false" customHeight="false" outlineLevel="0" collapsed="false">
      <c r="L553" s="148"/>
      <c r="M553" s="148"/>
      <c r="N553" s="148"/>
      <c r="O553" s="148"/>
      <c r="P553" s="148"/>
      <c r="Q553" s="148"/>
    </row>
    <row r="554" customFormat="false" ht="12.75" hidden="false" customHeight="false" outlineLevel="0" collapsed="false">
      <c r="L554" s="148"/>
      <c r="M554" s="148"/>
      <c r="N554" s="148"/>
      <c r="O554" s="148"/>
      <c r="P554" s="148"/>
      <c r="Q554" s="148"/>
    </row>
    <row r="555" customFormat="false" ht="12.75" hidden="false" customHeight="false" outlineLevel="0" collapsed="false">
      <c r="L555" s="148"/>
      <c r="M555" s="148"/>
      <c r="N555" s="148"/>
      <c r="O555" s="148"/>
      <c r="P555" s="148"/>
      <c r="Q555" s="148"/>
    </row>
    <row r="556" customFormat="false" ht="12.75" hidden="false" customHeight="false" outlineLevel="0" collapsed="false">
      <c r="L556" s="148"/>
      <c r="M556" s="148"/>
      <c r="N556" s="148"/>
      <c r="O556" s="148"/>
      <c r="P556" s="148"/>
      <c r="Q556" s="148"/>
    </row>
    <row r="557" customFormat="false" ht="12.75" hidden="false" customHeight="false" outlineLevel="0" collapsed="false">
      <c r="L557" s="148"/>
      <c r="M557" s="148"/>
      <c r="N557" s="148"/>
      <c r="O557" s="148"/>
      <c r="P557" s="148"/>
      <c r="Q557" s="148"/>
    </row>
    <row r="558" customFormat="false" ht="12.75" hidden="false" customHeight="false" outlineLevel="0" collapsed="false">
      <c r="L558" s="148"/>
      <c r="M558" s="148"/>
      <c r="N558" s="148"/>
      <c r="O558" s="148"/>
      <c r="P558" s="148"/>
      <c r="Q558" s="148"/>
    </row>
    <row r="559" customFormat="false" ht="12.75" hidden="false" customHeight="false" outlineLevel="0" collapsed="false">
      <c r="L559" s="148"/>
      <c r="M559" s="148"/>
      <c r="N559" s="148"/>
      <c r="O559" s="148"/>
      <c r="P559" s="148"/>
      <c r="Q559" s="148"/>
    </row>
    <row r="560" customFormat="false" ht="12.75" hidden="false" customHeight="false" outlineLevel="0" collapsed="false">
      <c r="L560" s="148"/>
      <c r="M560" s="148"/>
      <c r="N560" s="148"/>
      <c r="O560" s="148"/>
      <c r="P560" s="148"/>
      <c r="Q560" s="148"/>
    </row>
    <row r="561" customFormat="false" ht="12.75" hidden="false" customHeight="false" outlineLevel="0" collapsed="false">
      <c r="L561" s="148"/>
      <c r="M561" s="148"/>
      <c r="N561" s="148"/>
      <c r="O561" s="148"/>
      <c r="P561" s="148"/>
      <c r="Q561" s="148"/>
    </row>
    <row r="562" customFormat="false" ht="12.75" hidden="false" customHeight="false" outlineLevel="0" collapsed="false">
      <c r="L562" s="148"/>
      <c r="M562" s="148"/>
      <c r="N562" s="148"/>
      <c r="O562" s="148"/>
      <c r="P562" s="148"/>
      <c r="Q562" s="148"/>
    </row>
    <row r="563" customFormat="false" ht="12.75" hidden="false" customHeight="false" outlineLevel="0" collapsed="false">
      <c r="L563" s="148"/>
      <c r="M563" s="148"/>
      <c r="N563" s="148"/>
      <c r="O563" s="148"/>
      <c r="P563" s="148"/>
      <c r="Q563" s="148"/>
    </row>
    <row r="564" customFormat="false" ht="12.75" hidden="false" customHeight="false" outlineLevel="0" collapsed="false">
      <c r="L564" s="148"/>
      <c r="M564" s="148"/>
      <c r="N564" s="148"/>
      <c r="O564" s="148"/>
      <c r="P564" s="148"/>
      <c r="Q564" s="148"/>
    </row>
    <row r="565" customFormat="false" ht="12.75" hidden="false" customHeight="false" outlineLevel="0" collapsed="false">
      <c r="L565" s="148"/>
      <c r="M565" s="148"/>
      <c r="N565" s="148"/>
      <c r="O565" s="148"/>
      <c r="P565" s="148"/>
      <c r="Q565" s="148"/>
    </row>
    <row r="566" customFormat="false" ht="12.75" hidden="false" customHeight="false" outlineLevel="0" collapsed="false">
      <c r="L566" s="148"/>
      <c r="M566" s="148"/>
      <c r="N566" s="148"/>
      <c r="O566" s="148"/>
      <c r="P566" s="148"/>
      <c r="Q566" s="148"/>
    </row>
    <row r="567" customFormat="false" ht="12.75" hidden="false" customHeight="false" outlineLevel="0" collapsed="false">
      <c r="L567" s="148"/>
      <c r="M567" s="148"/>
      <c r="N567" s="148"/>
      <c r="O567" s="148"/>
      <c r="P567" s="148"/>
      <c r="Q567" s="148"/>
    </row>
    <row r="568" customFormat="false" ht="12.75" hidden="false" customHeight="false" outlineLevel="0" collapsed="false">
      <c r="L568" s="148"/>
      <c r="M568" s="148"/>
      <c r="N568" s="148"/>
      <c r="O568" s="148"/>
      <c r="P568" s="148"/>
      <c r="Q568" s="148"/>
    </row>
    <row r="569" customFormat="false" ht="12.75" hidden="false" customHeight="false" outlineLevel="0" collapsed="false">
      <c r="L569" s="148"/>
      <c r="M569" s="148"/>
      <c r="N569" s="148"/>
      <c r="O569" s="148"/>
      <c r="P569" s="148"/>
      <c r="Q569" s="148"/>
    </row>
    <row r="570" customFormat="false" ht="12.75" hidden="false" customHeight="false" outlineLevel="0" collapsed="false">
      <c r="L570" s="148"/>
      <c r="M570" s="148"/>
      <c r="N570" s="148"/>
      <c r="O570" s="148"/>
      <c r="P570" s="148"/>
      <c r="Q570" s="148"/>
    </row>
    <row r="571" customFormat="false" ht="12.75" hidden="false" customHeight="false" outlineLevel="0" collapsed="false">
      <c r="L571" s="148"/>
      <c r="M571" s="148"/>
      <c r="N571" s="148"/>
      <c r="O571" s="148"/>
      <c r="P571" s="148"/>
      <c r="Q571" s="148"/>
    </row>
    <row r="572" customFormat="false" ht="12.75" hidden="false" customHeight="false" outlineLevel="0" collapsed="false">
      <c r="L572" s="148"/>
      <c r="M572" s="148"/>
      <c r="N572" s="148"/>
      <c r="O572" s="148"/>
      <c r="P572" s="148"/>
      <c r="Q572" s="148"/>
    </row>
    <row r="573" customFormat="false" ht="12.75" hidden="false" customHeight="false" outlineLevel="0" collapsed="false">
      <c r="L573" s="148"/>
      <c r="M573" s="148"/>
      <c r="N573" s="148"/>
      <c r="O573" s="148"/>
      <c r="P573" s="148"/>
      <c r="Q573" s="148"/>
    </row>
    <row r="574" customFormat="false" ht="12.75" hidden="false" customHeight="false" outlineLevel="0" collapsed="false">
      <c r="L574" s="148"/>
      <c r="M574" s="148"/>
      <c r="N574" s="148"/>
      <c r="O574" s="148"/>
      <c r="P574" s="148"/>
      <c r="Q574" s="148"/>
    </row>
    <row r="575" customFormat="false" ht="12.75" hidden="false" customHeight="false" outlineLevel="0" collapsed="false">
      <c r="L575" s="148"/>
      <c r="M575" s="148"/>
      <c r="N575" s="148"/>
      <c r="O575" s="148"/>
      <c r="P575" s="148"/>
      <c r="Q575" s="148"/>
    </row>
    <row r="576" customFormat="false" ht="12.75" hidden="false" customHeight="false" outlineLevel="0" collapsed="false">
      <c r="L576" s="148"/>
      <c r="M576" s="148"/>
      <c r="N576" s="148"/>
      <c r="O576" s="148"/>
      <c r="P576" s="148"/>
      <c r="Q576" s="148"/>
    </row>
    <row r="577" customFormat="false" ht="12.75" hidden="false" customHeight="false" outlineLevel="0" collapsed="false">
      <c r="L577" s="148"/>
      <c r="M577" s="148"/>
      <c r="N577" s="148"/>
      <c r="O577" s="148"/>
      <c r="P577" s="148"/>
      <c r="Q577" s="148"/>
    </row>
    <row r="578" customFormat="false" ht="12.75" hidden="false" customHeight="false" outlineLevel="0" collapsed="false">
      <c r="L578" s="148"/>
      <c r="M578" s="148"/>
      <c r="N578" s="148"/>
      <c r="O578" s="148"/>
      <c r="P578" s="148"/>
      <c r="Q578" s="148"/>
    </row>
    <row r="579" customFormat="false" ht="12.75" hidden="false" customHeight="false" outlineLevel="0" collapsed="false">
      <c r="L579" s="148"/>
      <c r="M579" s="148"/>
      <c r="N579" s="148"/>
      <c r="O579" s="148"/>
      <c r="P579" s="148"/>
      <c r="Q579" s="148"/>
    </row>
    <row r="580" customFormat="false" ht="12.75" hidden="false" customHeight="false" outlineLevel="0" collapsed="false">
      <c r="L580" s="148"/>
      <c r="M580" s="148"/>
      <c r="N580" s="148"/>
      <c r="O580" s="148"/>
      <c r="P580" s="148"/>
      <c r="Q580" s="148"/>
    </row>
    <row r="581" customFormat="false" ht="12.75" hidden="false" customHeight="false" outlineLevel="0" collapsed="false">
      <c r="L581" s="148"/>
      <c r="M581" s="148"/>
      <c r="N581" s="148"/>
      <c r="O581" s="148"/>
      <c r="P581" s="148"/>
      <c r="Q581" s="148"/>
    </row>
    <row r="582" customFormat="false" ht="12.75" hidden="false" customHeight="false" outlineLevel="0" collapsed="false">
      <c r="L582" s="148"/>
      <c r="M582" s="148"/>
      <c r="N582" s="148"/>
      <c r="O582" s="148"/>
      <c r="P582" s="148"/>
      <c r="Q582" s="148"/>
    </row>
    <row r="583" customFormat="false" ht="12.75" hidden="false" customHeight="false" outlineLevel="0" collapsed="false">
      <c r="L583" s="148"/>
      <c r="M583" s="148"/>
      <c r="N583" s="148"/>
      <c r="O583" s="148"/>
      <c r="P583" s="148"/>
      <c r="Q583" s="148"/>
    </row>
    <row r="584" customFormat="false" ht="12.75" hidden="false" customHeight="false" outlineLevel="0" collapsed="false">
      <c r="L584" s="148"/>
      <c r="M584" s="148"/>
      <c r="N584" s="148"/>
      <c r="O584" s="148"/>
      <c r="P584" s="148"/>
      <c r="Q584" s="148"/>
    </row>
    <row r="585" customFormat="false" ht="12.75" hidden="false" customHeight="false" outlineLevel="0" collapsed="false">
      <c r="L585" s="148"/>
      <c r="M585" s="148"/>
      <c r="N585" s="148"/>
      <c r="O585" s="148"/>
      <c r="P585" s="148"/>
      <c r="Q585" s="148"/>
    </row>
    <row r="586" customFormat="false" ht="12.75" hidden="false" customHeight="false" outlineLevel="0" collapsed="false">
      <c r="L586" s="148"/>
      <c r="M586" s="148"/>
      <c r="N586" s="148"/>
      <c r="O586" s="148"/>
      <c r="P586" s="148"/>
      <c r="Q586" s="148"/>
    </row>
    <row r="587" customFormat="false" ht="12.75" hidden="false" customHeight="false" outlineLevel="0" collapsed="false">
      <c r="L587" s="148"/>
      <c r="M587" s="148"/>
      <c r="N587" s="148"/>
      <c r="O587" s="148"/>
      <c r="P587" s="148"/>
      <c r="Q587" s="148"/>
    </row>
    <row r="588" customFormat="false" ht="12.75" hidden="false" customHeight="false" outlineLevel="0" collapsed="false">
      <c r="L588" s="148"/>
      <c r="M588" s="148"/>
      <c r="N588" s="148"/>
      <c r="O588" s="148"/>
      <c r="P588" s="148"/>
      <c r="Q588" s="148"/>
    </row>
    <row r="589" customFormat="false" ht="12.75" hidden="false" customHeight="false" outlineLevel="0" collapsed="false">
      <c r="L589" s="148"/>
      <c r="M589" s="148"/>
      <c r="N589" s="148"/>
      <c r="O589" s="148"/>
      <c r="P589" s="148"/>
      <c r="Q589" s="148"/>
    </row>
    <row r="590" customFormat="false" ht="12.75" hidden="false" customHeight="false" outlineLevel="0" collapsed="false">
      <c r="L590" s="148"/>
      <c r="M590" s="148"/>
      <c r="N590" s="148"/>
      <c r="O590" s="148"/>
      <c r="P590" s="148"/>
      <c r="Q590" s="148"/>
    </row>
    <row r="591" customFormat="false" ht="12.75" hidden="false" customHeight="false" outlineLevel="0" collapsed="false">
      <c r="L591" s="148"/>
      <c r="M591" s="148"/>
      <c r="N591" s="148"/>
      <c r="O591" s="148"/>
      <c r="P591" s="148"/>
      <c r="Q591" s="148"/>
    </row>
    <row r="592" customFormat="false" ht="12.75" hidden="false" customHeight="false" outlineLevel="0" collapsed="false">
      <c r="L592" s="148"/>
      <c r="M592" s="148"/>
      <c r="N592" s="148"/>
      <c r="O592" s="148"/>
      <c r="P592" s="148"/>
      <c r="Q592" s="148"/>
    </row>
    <row r="593" customFormat="false" ht="12.75" hidden="false" customHeight="false" outlineLevel="0" collapsed="false">
      <c r="L593" s="148"/>
      <c r="M593" s="148"/>
      <c r="N593" s="148"/>
      <c r="O593" s="148"/>
      <c r="P593" s="148"/>
      <c r="Q593" s="148"/>
    </row>
    <row r="594" customFormat="false" ht="12.75" hidden="false" customHeight="false" outlineLevel="0" collapsed="false">
      <c r="L594" s="148"/>
      <c r="M594" s="148"/>
      <c r="N594" s="148"/>
      <c r="O594" s="148"/>
      <c r="P594" s="148"/>
      <c r="Q594" s="148"/>
    </row>
    <row r="595" customFormat="false" ht="12.75" hidden="false" customHeight="false" outlineLevel="0" collapsed="false">
      <c r="L595" s="148"/>
      <c r="M595" s="148"/>
      <c r="N595" s="148"/>
      <c r="O595" s="148"/>
      <c r="P595" s="148"/>
      <c r="Q595" s="148"/>
    </row>
    <row r="596" customFormat="false" ht="12.75" hidden="false" customHeight="false" outlineLevel="0" collapsed="false">
      <c r="L596" s="148"/>
      <c r="M596" s="148"/>
      <c r="N596" s="148"/>
      <c r="O596" s="148"/>
      <c r="P596" s="148"/>
      <c r="Q596" s="148"/>
    </row>
    <row r="597" customFormat="false" ht="12.75" hidden="false" customHeight="false" outlineLevel="0" collapsed="false">
      <c r="L597" s="148"/>
      <c r="M597" s="148"/>
      <c r="N597" s="148"/>
      <c r="O597" s="148"/>
      <c r="P597" s="148"/>
      <c r="Q597" s="148"/>
    </row>
    <row r="598" customFormat="false" ht="12.75" hidden="false" customHeight="false" outlineLevel="0" collapsed="false">
      <c r="L598" s="148"/>
      <c r="M598" s="148"/>
      <c r="N598" s="148"/>
      <c r="O598" s="148"/>
      <c r="P598" s="148"/>
      <c r="Q598" s="148"/>
    </row>
    <row r="599" customFormat="false" ht="12.75" hidden="false" customHeight="false" outlineLevel="0" collapsed="false">
      <c r="L599" s="148"/>
      <c r="M599" s="148"/>
      <c r="N599" s="148"/>
      <c r="O599" s="148"/>
      <c r="P599" s="148"/>
      <c r="Q599" s="148"/>
    </row>
    <row r="600" customFormat="false" ht="12.75" hidden="false" customHeight="false" outlineLevel="0" collapsed="false">
      <c r="L600" s="148"/>
      <c r="M600" s="148"/>
      <c r="N600" s="148"/>
      <c r="O600" s="148"/>
      <c r="P600" s="148"/>
      <c r="Q600" s="148"/>
    </row>
    <row r="601" customFormat="false" ht="12.75" hidden="false" customHeight="false" outlineLevel="0" collapsed="false">
      <c r="L601" s="148"/>
      <c r="M601" s="148"/>
      <c r="N601" s="148"/>
      <c r="O601" s="148"/>
      <c r="P601" s="148"/>
      <c r="Q601" s="148"/>
    </row>
    <row r="602" customFormat="false" ht="12.75" hidden="false" customHeight="false" outlineLevel="0" collapsed="false">
      <c r="L602" s="148"/>
      <c r="M602" s="148"/>
      <c r="N602" s="148"/>
      <c r="O602" s="148"/>
      <c r="P602" s="148"/>
      <c r="Q602" s="148"/>
    </row>
    <row r="603" customFormat="false" ht="12.75" hidden="false" customHeight="false" outlineLevel="0" collapsed="false">
      <c r="L603" s="148"/>
      <c r="M603" s="148"/>
      <c r="N603" s="148"/>
      <c r="O603" s="148"/>
      <c r="P603" s="148"/>
      <c r="Q603" s="148"/>
    </row>
    <row r="604" customFormat="false" ht="12.75" hidden="false" customHeight="false" outlineLevel="0" collapsed="false">
      <c r="L604" s="148"/>
      <c r="M604" s="148"/>
      <c r="N604" s="148"/>
      <c r="O604" s="148"/>
      <c r="P604" s="148"/>
      <c r="Q604" s="148"/>
    </row>
    <row r="605" customFormat="false" ht="12.75" hidden="false" customHeight="false" outlineLevel="0" collapsed="false">
      <c r="L605" s="148"/>
      <c r="M605" s="148"/>
      <c r="N605" s="148"/>
      <c r="O605" s="148"/>
      <c r="P605" s="148"/>
      <c r="Q605" s="148"/>
    </row>
    <row r="606" customFormat="false" ht="12.75" hidden="false" customHeight="false" outlineLevel="0" collapsed="false">
      <c r="L606" s="148"/>
      <c r="M606" s="148"/>
      <c r="N606" s="148"/>
      <c r="O606" s="148"/>
      <c r="P606" s="148"/>
      <c r="Q606" s="148"/>
    </row>
    <row r="607" customFormat="false" ht="12.75" hidden="false" customHeight="false" outlineLevel="0" collapsed="false">
      <c r="L607" s="148"/>
      <c r="M607" s="148"/>
      <c r="N607" s="148"/>
      <c r="O607" s="148"/>
      <c r="P607" s="148"/>
      <c r="Q607" s="148"/>
    </row>
    <row r="608" customFormat="false" ht="12.75" hidden="false" customHeight="false" outlineLevel="0" collapsed="false">
      <c r="L608" s="148"/>
      <c r="M608" s="148"/>
      <c r="N608" s="148"/>
      <c r="O608" s="148"/>
      <c r="P608" s="148"/>
      <c r="Q608" s="148"/>
    </row>
    <row r="609" customFormat="false" ht="12.75" hidden="false" customHeight="false" outlineLevel="0" collapsed="false">
      <c r="L609" s="148"/>
      <c r="M609" s="148"/>
      <c r="N609" s="148"/>
      <c r="O609" s="148"/>
      <c r="P609" s="148"/>
      <c r="Q609" s="148"/>
    </row>
    <row r="610" customFormat="false" ht="12.75" hidden="false" customHeight="false" outlineLevel="0" collapsed="false">
      <c r="L610" s="148"/>
      <c r="M610" s="148"/>
      <c r="N610" s="148"/>
      <c r="O610" s="148"/>
      <c r="P610" s="148"/>
      <c r="Q610" s="148"/>
    </row>
    <row r="611" customFormat="false" ht="12.75" hidden="false" customHeight="false" outlineLevel="0" collapsed="false">
      <c r="L611" s="148"/>
      <c r="M611" s="148"/>
      <c r="N611" s="148"/>
      <c r="O611" s="148"/>
      <c r="P611" s="148"/>
      <c r="Q611" s="148"/>
    </row>
    <row r="612" customFormat="false" ht="12.75" hidden="false" customHeight="false" outlineLevel="0" collapsed="false">
      <c r="L612" s="148"/>
      <c r="M612" s="148"/>
      <c r="N612" s="148"/>
      <c r="O612" s="148"/>
      <c r="P612" s="148"/>
      <c r="Q612" s="148"/>
    </row>
    <row r="613" customFormat="false" ht="12.75" hidden="false" customHeight="false" outlineLevel="0" collapsed="false">
      <c r="L613" s="148"/>
      <c r="M613" s="148"/>
      <c r="N613" s="148"/>
      <c r="O613" s="148"/>
      <c r="P613" s="148"/>
      <c r="Q613" s="148"/>
    </row>
    <row r="614" customFormat="false" ht="12.75" hidden="false" customHeight="false" outlineLevel="0" collapsed="false">
      <c r="L614" s="148"/>
      <c r="M614" s="148"/>
      <c r="N614" s="148"/>
      <c r="O614" s="148"/>
      <c r="P614" s="148"/>
      <c r="Q614" s="148"/>
    </row>
    <row r="615" customFormat="false" ht="12.75" hidden="false" customHeight="false" outlineLevel="0" collapsed="false">
      <c r="L615" s="148"/>
      <c r="M615" s="148"/>
      <c r="N615" s="148"/>
      <c r="O615" s="148"/>
      <c r="P615" s="148"/>
      <c r="Q615" s="148"/>
    </row>
    <row r="616" customFormat="false" ht="12.75" hidden="false" customHeight="false" outlineLevel="0" collapsed="false">
      <c r="L616" s="148"/>
      <c r="M616" s="148"/>
      <c r="N616" s="148"/>
      <c r="O616" s="148"/>
      <c r="P616" s="148"/>
      <c r="Q616" s="148"/>
    </row>
    <row r="617" customFormat="false" ht="12.75" hidden="false" customHeight="false" outlineLevel="0" collapsed="false">
      <c r="L617" s="148"/>
      <c r="M617" s="148"/>
      <c r="N617" s="148"/>
      <c r="O617" s="148"/>
      <c r="P617" s="148"/>
      <c r="Q617" s="148"/>
    </row>
    <row r="618" customFormat="false" ht="12.75" hidden="false" customHeight="false" outlineLevel="0" collapsed="false">
      <c r="L618" s="148"/>
      <c r="M618" s="148"/>
      <c r="N618" s="148"/>
      <c r="O618" s="148"/>
      <c r="P618" s="148"/>
      <c r="Q618" s="148"/>
    </row>
    <row r="619" customFormat="false" ht="12.75" hidden="false" customHeight="false" outlineLevel="0" collapsed="false">
      <c r="L619" s="148"/>
      <c r="M619" s="148"/>
      <c r="N619" s="148"/>
      <c r="O619" s="148"/>
      <c r="P619" s="148"/>
      <c r="Q619" s="148"/>
    </row>
    <row r="620" customFormat="false" ht="12.75" hidden="false" customHeight="false" outlineLevel="0" collapsed="false">
      <c r="L620" s="148"/>
      <c r="M620" s="148"/>
      <c r="N620" s="148"/>
      <c r="O620" s="148"/>
      <c r="P620" s="148"/>
      <c r="Q620" s="148"/>
    </row>
    <row r="621" customFormat="false" ht="12.75" hidden="false" customHeight="false" outlineLevel="0" collapsed="false">
      <c r="L621" s="148"/>
      <c r="M621" s="148"/>
      <c r="N621" s="148"/>
      <c r="O621" s="148"/>
      <c r="P621" s="148"/>
      <c r="Q621" s="148"/>
    </row>
    <row r="622" customFormat="false" ht="12.75" hidden="false" customHeight="false" outlineLevel="0" collapsed="false">
      <c r="L622" s="148"/>
      <c r="M622" s="148"/>
      <c r="N622" s="148"/>
      <c r="O622" s="148"/>
      <c r="P622" s="148"/>
      <c r="Q622" s="148"/>
    </row>
    <row r="623" customFormat="false" ht="12.75" hidden="false" customHeight="false" outlineLevel="0" collapsed="false">
      <c r="L623" s="148"/>
      <c r="M623" s="148"/>
      <c r="N623" s="148"/>
      <c r="O623" s="148"/>
      <c r="P623" s="148"/>
      <c r="Q623" s="148"/>
    </row>
    <row r="624" customFormat="false" ht="12.75" hidden="false" customHeight="false" outlineLevel="0" collapsed="false">
      <c r="L624" s="148"/>
      <c r="M624" s="148"/>
      <c r="N624" s="148"/>
      <c r="O624" s="148"/>
      <c r="P624" s="148"/>
      <c r="Q624" s="148"/>
    </row>
    <row r="625" customFormat="false" ht="12.75" hidden="false" customHeight="false" outlineLevel="0" collapsed="false">
      <c r="L625" s="148"/>
      <c r="M625" s="148"/>
      <c r="N625" s="148"/>
      <c r="O625" s="148"/>
      <c r="P625" s="148"/>
      <c r="Q625" s="148"/>
    </row>
    <row r="626" customFormat="false" ht="12.75" hidden="false" customHeight="false" outlineLevel="0" collapsed="false">
      <c r="L626" s="148"/>
      <c r="M626" s="148"/>
      <c r="N626" s="148"/>
      <c r="O626" s="148"/>
      <c r="P626" s="148"/>
      <c r="Q626" s="148"/>
    </row>
    <row r="627" customFormat="false" ht="12.75" hidden="false" customHeight="false" outlineLevel="0" collapsed="false">
      <c r="L627" s="148"/>
      <c r="M627" s="148"/>
      <c r="N627" s="148"/>
      <c r="O627" s="148"/>
      <c r="P627" s="148"/>
      <c r="Q627" s="148"/>
    </row>
    <row r="628" customFormat="false" ht="12.75" hidden="false" customHeight="false" outlineLevel="0" collapsed="false">
      <c r="L628" s="148"/>
      <c r="M628" s="148"/>
      <c r="N628" s="148"/>
      <c r="O628" s="148"/>
      <c r="P628" s="148"/>
      <c r="Q628" s="148"/>
    </row>
    <row r="629" customFormat="false" ht="12.75" hidden="false" customHeight="false" outlineLevel="0" collapsed="false">
      <c r="L629" s="148"/>
      <c r="M629" s="148"/>
      <c r="N629" s="148"/>
      <c r="O629" s="148"/>
      <c r="P629" s="148"/>
      <c r="Q629" s="148"/>
    </row>
    <row r="630" customFormat="false" ht="12.75" hidden="false" customHeight="false" outlineLevel="0" collapsed="false">
      <c r="L630" s="148"/>
      <c r="M630" s="148"/>
      <c r="N630" s="148"/>
      <c r="O630" s="148"/>
      <c r="P630" s="148"/>
      <c r="Q630" s="148"/>
    </row>
    <row r="631" customFormat="false" ht="12.75" hidden="false" customHeight="false" outlineLevel="0" collapsed="false">
      <c r="L631" s="148"/>
      <c r="M631" s="148"/>
      <c r="N631" s="148"/>
      <c r="O631" s="148"/>
      <c r="P631" s="148"/>
      <c r="Q631" s="148"/>
    </row>
    <row r="632" customFormat="false" ht="12.75" hidden="false" customHeight="false" outlineLevel="0" collapsed="false">
      <c r="L632" s="148"/>
      <c r="M632" s="148"/>
      <c r="N632" s="148"/>
      <c r="O632" s="148"/>
      <c r="P632" s="148"/>
      <c r="Q632" s="148"/>
    </row>
    <row r="633" customFormat="false" ht="12.75" hidden="false" customHeight="false" outlineLevel="0" collapsed="false">
      <c r="L633" s="148"/>
      <c r="M633" s="148"/>
      <c r="N633" s="148"/>
      <c r="O633" s="148"/>
      <c r="P633" s="148"/>
      <c r="Q633" s="148"/>
    </row>
    <row r="634" customFormat="false" ht="12.75" hidden="false" customHeight="false" outlineLevel="0" collapsed="false">
      <c r="L634" s="148"/>
      <c r="M634" s="148"/>
      <c r="N634" s="148"/>
      <c r="O634" s="148"/>
      <c r="P634" s="148"/>
      <c r="Q634" s="148"/>
    </row>
    <row r="635" customFormat="false" ht="12.75" hidden="false" customHeight="false" outlineLevel="0" collapsed="false">
      <c r="L635" s="148"/>
      <c r="M635" s="148"/>
      <c r="N635" s="148"/>
      <c r="O635" s="148"/>
      <c r="P635" s="148"/>
      <c r="Q635" s="148"/>
    </row>
    <row r="636" customFormat="false" ht="12.75" hidden="false" customHeight="false" outlineLevel="0" collapsed="false">
      <c r="L636" s="148"/>
      <c r="M636" s="148"/>
      <c r="N636" s="148"/>
      <c r="O636" s="148"/>
      <c r="P636" s="148"/>
      <c r="Q636" s="148"/>
    </row>
    <row r="637" customFormat="false" ht="12.75" hidden="false" customHeight="false" outlineLevel="0" collapsed="false">
      <c r="L637" s="148"/>
      <c r="M637" s="148"/>
      <c r="N637" s="148"/>
      <c r="O637" s="148"/>
      <c r="P637" s="148"/>
      <c r="Q637" s="148"/>
    </row>
    <row r="638" customFormat="false" ht="12.75" hidden="false" customHeight="false" outlineLevel="0" collapsed="false">
      <c r="L638" s="148"/>
      <c r="M638" s="148"/>
      <c r="N638" s="148"/>
      <c r="O638" s="148"/>
      <c r="P638" s="148"/>
      <c r="Q638" s="148"/>
    </row>
    <row r="639" customFormat="false" ht="12.75" hidden="false" customHeight="false" outlineLevel="0" collapsed="false">
      <c r="L639" s="148"/>
      <c r="M639" s="148"/>
      <c r="N639" s="148"/>
      <c r="O639" s="148"/>
      <c r="P639" s="148"/>
      <c r="Q639" s="148"/>
    </row>
    <row r="640" customFormat="false" ht="12.75" hidden="false" customHeight="false" outlineLevel="0" collapsed="false">
      <c r="L640" s="148"/>
      <c r="M640" s="148"/>
      <c r="N640" s="148"/>
      <c r="O640" s="148"/>
      <c r="P640" s="148"/>
      <c r="Q640" s="148"/>
    </row>
    <row r="641" customFormat="false" ht="12.75" hidden="false" customHeight="false" outlineLevel="0" collapsed="false">
      <c r="L641" s="148"/>
      <c r="M641" s="148"/>
      <c r="N641" s="148"/>
      <c r="O641" s="148"/>
      <c r="P641" s="148"/>
      <c r="Q641" s="148"/>
    </row>
    <row r="642" customFormat="false" ht="12.75" hidden="false" customHeight="false" outlineLevel="0" collapsed="false">
      <c r="L642" s="148"/>
      <c r="M642" s="148"/>
      <c r="N642" s="148"/>
      <c r="O642" s="148"/>
      <c r="P642" s="148"/>
      <c r="Q642" s="148"/>
    </row>
    <row r="643" customFormat="false" ht="12.75" hidden="false" customHeight="false" outlineLevel="0" collapsed="false">
      <c r="L643" s="148"/>
      <c r="M643" s="148"/>
      <c r="N643" s="148"/>
      <c r="O643" s="148"/>
      <c r="P643" s="148"/>
      <c r="Q643" s="148"/>
    </row>
    <row r="644" customFormat="false" ht="12.75" hidden="false" customHeight="false" outlineLevel="0" collapsed="false">
      <c r="L644" s="148"/>
      <c r="M644" s="148"/>
      <c r="N644" s="148"/>
      <c r="O644" s="148"/>
      <c r="P644" s="148"/>
      <c r="Q644" s="148"/>
    </row>
    <row r="645" customFormat="false" ht="12.75" hidden="false" customHeight="false" outlineLevel="0" collapsed="false">
      <c r="L645" s="148"/>
      <c r="M645" s="148"/>
      <c r="N645" s="148"/>
      <c r="O645" s="148"/>
      <c r="P645" s="148"/>
      <c r="Q645" s="148"/>
    </row>
    <row r="646" customFormat="false" ht="12.75" hidden="false" customHeight="false" outlineLevel="0" collapsed="false">
      <c r="L646" s="148"/>
      <c r="M646" s="148"/>
      <c r="N646" s="148"/>
      <c r="O646" s="148"/>
      <c r="P646" s="148"/>
      <c r="Q646" s="148"/>
    </row>
    <row r="647" customFormat="false" ht="12.75" hidden="false" customHeight="false" outlineLevel="0" collapsed="false">
      <c r="L647" s="148"/>
      <c r="M647" s="148"/>
      <c r="N647" s="148"/>
      <c r="O647" s="148"/>
      <c r="P647" s="148"/>
      <c r="Q647" s="148"/>
    </row>
    <row r="648" customFormat="false" ht="12.75" hidden="false" customHeight="false" outlineLevel="0" collapsed="false">
      <c r="L648" s="148"/>
      <c r="M648" s="148"/>
      <c r="N648" s="148"/>
      <c r="O648" s="148"/>
      <c r="P648" s="148"/>
      <c r="Q648" s="148"/>
    </row>
    <row r="649" customFormat="false" ht="12.75" hidden="false" customHeight="false" outlineLevel="0" collapsed="false">
      <c r="L649" s="148"/>
      <c r="M649" s="148"/>
      <c r="N649" s="148"/>
      <c r="O649" s="148"/>
      <c r="P649" s="148"/>
      <c r="Q649" s="148"/>
    </row>
    <row r="650" customFormat="false" ht="12.75" hidden="false" customHeight="false" outlineLevel="0" collapsed="false">
      <c r="L650" s="148"/>
      <c r="M650" s="148"/>
      <c r="N650" s="148"/>
      <c r="O650" s="148"/>
      <c r="P650" s="148"/>
      <c r="Q650" s="148"/>
    </row>
    <row r="651" customFormat="false" ht="12.75" hidden="false" customHeight="false" outlineLevel="0" collapsed="false">
      <c r="L651" s="148"/>
      <c r="M651" s="148"/>
      <c r="N651" s="148"/>
      <c r="O651" s="148"/>
      <c r="P651" s="148"/>
      <c r="Q651" s="148"/>
    </row>
    <row r="652" customFormat="false" ht="12.75" hidden="false" customHeight="false" outlineLevel="0" collapsed="false">
      <c r="L652" s="148"/>
      <c r="M652" s="148"/>
      <c r="N652" s="148"/>
      <c r="O652" s="148"/>
      <c r="P652" s="148"/>
      <c r="Q652" s="148"/>
    </row>
    <row r="653" customFormat="false" ht="12.75" hidden="false" customHeight="false" outlineLevel="0" collapsed="false">
      <c r="L653" s="148"/>
      <c r="M653" s="148"/>
      <c r="N653" s="148"/>
      <c r="O653" s="148"/>
      <c r="P653" s="148"/>
      <c r="Q653" s="148"/>
    </row>
    <row r="654" customFormat="false" ht="12.75" hidden="false" customHeight="false" outlineLevel="0" collapsed="false">
      <c r="L654" s="148"/>
      <c r="M654" s="148"/>
      <c r="N654" s="148"/>
      <c r="O654" s="148"/>
      <c r="P654" s="148"/>
      <c r="Q654" s="148"/>
    </row>
    <row r="655" customFormat="false" ht="12.75" hidden="false" customHeight="false" outlineLevel="0" collapsed="false">
      <c r="L655" s="148"/>
      <c r="M655" s="148"/>
      <c r="N655" s="148"/>
      <c r="O655" s="148"/>
      <c r="P655" s="148"/>
      <c r="Q655" s="148"/>
    </row>
    <row r="656" customFormat="false" ht="12.75" hidden="false" customHeight="false" outlineLevel="0" collapsed="false">
      <c r="L656" s="148"/>
      <c r="M656" s="148"/>
      <c r="N656" s="148"/>
      <c r="O656" s="148"/>
      <c r="P656" s="148"/>
      <c r="Q656" s="148"/>
    </row>
    <row r="657" customFormat="false" ht="12.75" hidden="false" customHeight="false" outlineLevel="0" collapsed="false">
      <c r="L657" s="148"/>
      <c r="M657" s="148"/>
      <c r="N657" s="148"/>
      <c r="O657" s="148"/>
      <c r="P657" s="148"/>
      <c r="Q657" s="148"/>
    </row>
    <row r="658" customFormat="false" ht="12.75" hidden="false" customHeight="false" outlineLevel="0" collapsed="false">
      <c r="L658" s="148"/>
      <c r="M658" s="148"/>
      <c r="N658" s="148"/>
      <c r="O658" s="148"/>
      <c r="P658" s="148"/>
      <c r="Q658" s="148"/>
    </row>
    <row r="659" customFormat="false" ht="12.75" hidden="false" customHeight="false" outlineLevel="0" collapsed="false">
      <c r="L659" s="148"/>
      <c r="M659" s="148"/>
      <c r="N659" s="148"/>
      <c r="O659" s="148"/>
      <c r="P659" s="148"/>
      <c r="Q659" s="148"/>
    </row>
    <row r="660" customFormat="false" ht="12.75" hidden="false" customHeight="false" outlineLevel="0" collapsed="false">
      <c r="L660" s="148"/>
      <c r="M660" s="148"/>
      <c r="N660" s="148"/>
      <c r="O660" s="148"/>
      <c r="P660" s="148"/>
      <c r="Q660" s="148"/>
    </row>
    <row r="661" customFormat="false" ht="12.75" hidden="false" customHeight="false" outlineLevel="0" collapsed="false">
      <c r="L661" s="148"/>
      <c r="M661" s="148"/>
      <c r="N661" s="148"/>
      <c r="O661" s="148"/>
      <c r="P661" s="148"/>
      <c r="Q661" s="148"/>
    </row>
    <row r="662" customFormat="false" ht="12.75" hidden="false" customHeight="false" outlineLevel="0" collapsed="false">
      <c r="L662" s="148"/>
      <c r="M662" s="148"/>
      <c r="N662" s="148"/>
      <c r="O662" s="148"/>
      <c r="P662" s="148"/>
      <c r="Q662" s="148"/>
    </row>
    <row r="663" customFormat="false" ht="12.75" hidden="false" customHeight="false" outlineLevel="0" collapsed="false">
      <c r="L663" s="148"/>
      <c r="M663" s="148"/>
      <c r="N663" s="148"/>
      <c r="O663" s="148"/>
      <c r="P663" s="148"/>
      <c r="Q663" s="148"/>
    </row>
    <row r="664" customFormat="false" ht="12.75" hidden="false" customHeight="false" outlineLevel="0" collapsed="false">
      <c r="L664" s="148"/>
      <c r="M664" s="148"/>
      <c r="N664" s="148"/>
      <c r="O664" s="148"/>
      <c r="P664" s="148"/>
      <c r="Q664" s="148"/>
    </row>
    <row r="665" customFormat="false" ht="12.75" hidden="false" customHeight="false" outlineLevel="0" collapsed="false">
      <c r="L665" s="148"/>
      <c r="M665" s="148"/>
      <c r="N665" s="148"/>
      <c r="O665" s="148"/>
      <c r="P665" s="148"/>
      <c r="Q665" s="148"/>
    </row>
    <row r="666" customFormat="false" ht="12.75" hidden="false" customHeight="false" outlineLevel="0" collapsed="false">
      <c r="L666" s="148"/>
      <c r="M666" s="148"/>
      <c r="N666" s="148"/>
      <c r="O666" s="148"/>
      <c r="P666" s="148"/>
      <c r="Q666" s="148"/>
    </row>
    <row r="667" customFormat="false" ht="12.75" hidden="false" customHeight="false" outlineLevel="0" collapsed="false">
      <c r="L667" s="148"/>
      <c r="M667" s="148"/>
      <c r="N667" s="148"/>
      <c r="O667" s="148"/>
      <c r="P667" s="148"/>
      <c r="Q667" s="148"/>
    </row>
    <row r="668" customFormat="false" ht="12.75" hidden="false" customHeight="false" outlineLevel="0" collapsed="false">
      <c r="L668" s="148"/>
      <c r="M668" s="148"/>
      <c r="N668" s="148"/>
      <c r="O668" s="148"/>
      <c r="P668" s="148"/>
      <c r="Q668" s="148"/>
    </row>
    <row r="669" customFormat="false" ht="12.75" hidden="false" customHeight="false" outlineLevel="0" collapsed="false">
      <c r="L669" s="148"/>
      <c r="M669" s="148"/>
      <c r="N669" s="148"/>
      <c r="O669" s="148"/>
      <c r="P669" s="148"/>
      <c r="Q669" s="148"/>
    </row>
    <row r="670" customFormat="false" ht="12.75" hidden="false" customHeight="false" outlineLevel="0" collapsed="false">
      <c r="L670" s="148"/>
      <c r="M670" s="148"/>
      <c r="N670" s="148"/>
      <c r="O670" s="148"/>
      <c r="P670" s="148"/>
      <c r="Q670" s="148"/>
    </row>
    <row r="671" customFormat="false" ht="12.75" hidden="false" customHeight="false" outlineLevel="0" collapsed="false">
      <c r="L671" s="148"/>
      <c r="M671" s="148"/>
      <c r="N671" s="148"/>
      <c r="O671" s="148"/>
      <c r="P671" s="148"/>
      <c r="Q671" s="148"/>
    </row>
    <row r="672" customFormat="false" ht="12.75" hidden="false" customHeight="false" outlineLevel="0" collapsed="false">
      <c r="L672" s="148"/>
      <c r="M672" s="148"/>
      <c r="N672" s="148"/>
      <c r="O672" s="148"/>
      <c r="P672" s="148"/>
      <c r="Q672" s="148"/>
    </row>
    <row r="673" customFormat="false" ht="12.75" hidden="false" customHeight="false" outlineLevel="0" collapsed="false">
      <c r="L673" s="148"/>
      <c r="M673" s="148"/>
      <c r="N673" s="148"/>
      <c r="O673" s="148"/>
      <c r="P673" s="148"/>
      <c r="Q673" s="148"/>
    </row>
    <row r="674" customFormat="false" ht="12.75" hidden="false" customHeight="false" outlineLevel="0" collapsed="false">
      <c r="L674" s="148"/>
      <c r="M674" s="148"/>
      <c r="N674" s="148"/>
      <c r="O674" s="148"/>
      <c r="P674" s="148"/>
      <c r="Q674" s="148"/>
    </row>
    <row r="675" customFormat="false" ht="12.75" hidden="false" customHeight="false" outlineLevel="0" collapsed="false">
      <c r="L675" s="148"/>
      <c r="M675" s="148"/>
      <c r="N675" s="148"/>
      <c r="O675" s="148"/>
      <c r="P675" s="148"/>
      <c r="Q675" s="148"/>
    </row>
    <row r="676" customFormat="false" ht="12.75" hidden="false" customHeight="false" outlineLevel="0" collapsed="false">
      <c r="L676" s="148"/>
      <c r="M676" s="148"/>
      <c r="N676" s="148"/>
      <c r="O676" s="148"/>
      <c r="P676" s="148"/>
      <c r="Q676" s="148"/>
    </row>
    <row r="677" customFormat="false" ht="12.75" hidden="false" customHeight="false" outlineLevel="0" collapsed="false">
      <c r="L677" s="148"/>
      <c r="M677" s="148"/>
      <c r="N677" s="148"/>
      <c r="O677" s="148"/>
      <c r="P677" s="148"/>
      <c r="Q677" s="148"/>
    </row>
    <row r="678" customFormat="false" ht="12.75" hidden="false" customHeight="false" outlineLevel="0" collapsed="false">
      <c r="L678" s="148"/>
      <c r="M678" s="148"/>
      <c r="N678" s="148"/>
      <c r="O678" s="148"/>
      <c r="P678" s="148"/>
      <c r="Q678" s="148"/>
    </row>
    <row r="679" customFormat="false" ht="12.75" hidden="false" customHeight="false" outlineLevel="0" collapsed="false">
      <c r="L679" s="148"/>
      <c r="M679" s="148"/>
      <c r="N679" s="148"/>
      <c r="O679" s="148"/>
      <c r="P679" s="148"/>
      <c r="Q679" s="148"/>
    </row>
    <row r="680" customFormat="false" ht="12.75" hidden="false" customHeight="false" outlineLevel="0" collapsed="false">
      <c r="L680" s="148"/>
      <c r="M680" s="148"/>
      <c r="N680" s="148"/>
      <c r="O680" s="148"/>
      <c r="P680" s="148"/>
      <c r="Q680" s="148"/>
    </row>
    <row r="681" customFormat="false" ht="12.75" hidden="false" customHeight="false" outlineLevel="0" collapsed="false">
      <c r="L681" s="148"/>
      <c r="M681" s="148"/>
      <c r="N681" s="148"/>
      <c r="O681" s="148"/>
      <c r="P681" s="148"/>
      <c r="Q681" s="148"/>
    </row>
    <row r="682" customFormat="false" ht="12.75" hidden="false" customHeight="false" outlineLevel="0" collapsed="false">
      <c r="L682" s="148"/>
      <c r="M682" s="148"/>
      <c r="N682" s="148"/>
      <c r="O682" s="148"/>
      <c r="P682" s="148"/>
      <c r="Q682" s="148"/>
    </row>
    <row r="683" customFormat="false" ht="12.75" hidden="false" customHeight="false" outlineLevel="0" collapsed="false">
      <c r="L683" s="148"/>
      <c r="M683" s="148"/>
      <c r="N683" s="148"/>
      <c r="O683" s="148"/>
      <c r="P683" s="148"/>
      <c r="Q683" s="148"/>
    </row>
    <row r="684" customFormat="false" ht="12.75" hidden="false" customHeight="false" outlineLevel="0" collapsed="false">
      <c r="L684" s="148"/>
      <c r="M684" s="148"/>
      <c r="N684" s="148"/>
      <c r="O684" s="148"/>
      <c r="P684" s="148"/>
      <c r="Q684" s="148"/>
    </row>
    <row r="685" customFormat="false" ht="12.75" hidden="false" customHeight="false" outlineLevel="0" collapsed="false">
      <c r="L685" s="148"/>
      <c r="M685" s="148"/>
      <c r="N685" s="148"/>
      <c r="O685" s="148"/>
      <c r="P685" s="148"/>
      <c r="Q685" s="148"/>
    </row>
    <row r="686" customFormat="false" ht="12.75" hidden="false" customHeight="false" outlineLevel="0" collapsed="false">
      <c r="L686" s="148"/>
      <c r="M686" s="148"/>
      <c r="N686" s="148"/>
      <c r="O686" s="148"/>
      <c r="P686" s="148"/>
      <c r="Q686" s="148"/>
    </row>
    <row r="687" customFormat="false" ht="12.75" hidden="false" customHeight="false" outlineLevel="0" collapsed="false">
      <c r="L687" s="148"/>
      <c r="M687" s="148"/>
      <c r="N687" s="148"/>
      <c r="O687" s="148"/>
      <c r="P687" s="148"/>
      <c r="Q687" s="148"/>
    </row>
    <row r="688" customFormat="false" ht="12.75" hidden="false" customHeight="false" outlineLevel="0" collapsed="false">
      <c r="L688" s="148"/>
      <c r="M688" s="148"/>
      <c r="N688" s="148"/>
      <c r="O688" s="148"/>
      <c r="P688" s="148"/>
      <c r="Q688" s="148"/>
    </row>
    <row r="689" customFormat="false" ht="12.75" hidden="false" customHeight="false" outlineLevel="0" collapsed="false">
      <c r="L689" s="148"/>
      <c r="M689" s="148"/>
      <c r="N689" s="148"/>
      <c r="O689" s="148"/>
      <c r="P689" s="148"/>
      <c r="Q689" s="148"/>
    </row>
    <row r="690" customFormat="false" ht="12.75" hidden="false" customHeight="false" outlineLevel="0" collapsed="false">
      <c r="L690" s="148"/>
      <c r="M690" s="148"/>
      <c r="N690" s="148"/>
      <c r="O690" s="148"/>
      <c r="P690" s="148"/>
      <c r="Q690" s="148"/>
    </row>
    <row r="691" customFormat="false" ht="12.75" hidden="false" customHeight="false" outlineLevel="0" collapsed="false">
      <c r="L691" s="148"/>
      <c r="M691" s="148"/>
      <c r="N691" s="148"/>
      <c r="O691" s="148"/>
      <c r="P691" s="148"/>
      <c r="Q691" s="148"/>
    </row>
    <row r="692" customFormat="false" ht="12.75" hidden="false" customHeight="false" outlineLevel="0" collapsed="false">
      <c r="L692" s="148"/>
      <c r="M692" s="148"/>
      <c r="N692" s="148"/>
      <c r="O692" s="148"/>
      <c r="P692" s="148"/>
      <c r="Q692" s="148"/>
    </row>
    <row r="693" customFormat="false" ht="12.75" hidden="false" customHeight="false" outlineLevel="0" collapsed="false">
      <c r="L693" s="148"/>
      <c r="M693" s="148"/>
      <c r="N693" s="148"/>
      <c r="O693" s="148"/>
      <c r="P693" s="148"/>
      <c r="Q693" s="148"/>
    </row>
    <row r="694" customFormat="false" ht="12.75" hidden="false" customHeight="false" outlineLevel="0" collapsed="false">
      <c r="L694" s="148"/>
      <c r="M694" s="148"/>
      <c r="N694" s="148"/>
      <c r="O694" s="148"/>
      <c r="P694" s="148"/>
      <c r="Q694" s="148"/>
    </row>
    <row r="695" customFormat="false" ht="12.75" hidden="false" customHeight="false" outlineLevel="0" collapsed="false">
      <c r="L695" s="148"/>
      <c r="M695" s="148"/>
      <c r="N695" s="148"/>
      <c r="O695" s="148"/>
      <c r="P695" s="148"/>
      <c r="Q695" s="148"/>
    </row>
    <row r="696" customFormat="false" ht="12.75" hidden="false" customHeight="false" outlineLevel="0" collapsed="false">
      <c r="L696" s="148"/>
      <c r="M696" s="148"/>
      <c r="N696" s="148"/>
      <c r="O696" s="148"/>
      <c r="P696" s="148"/>
      <c r="Q696" s="148"/>
    </row>
    <row r="697" customFormat="false" ht="12.75" hidden="false" customHeight="false" outlineLevel="0" collapsed="false">
      <c r="L697" s="148"/>
      <c r="M697" s="148"/>
      <c r="N697" s="148"/>
      <c r="O697" s="148"/>
      <c r="P697" s="148"/>
      <c r="Q697" s="148"/>
    </row>
    <row r="698" customFormat="false" ht="12.75" hidden="false" customHeight="false" outlineLevel="0" collapsed="false">
      <c r="L698" s="148"/>
      <c r="M698" s="148"/>
      <c r="N698" s="148"/>
      <c r="O698" s="148"/>
      <c r="P698" s="148"/>
      <c r="Q698" s="148"/>
    </row>
    <row r="699" customFormat="false" ht="12.75" hidden="false" customHeight="false" outlineLevel="0" collapsed="false">
      <c r="L699" s="148"/>
      <c r="M699" s="148"/>
      <c r="N699" s="148"/>
      <c r="O699" s="148"/>
      <c r="P699" s="148"/>
      <c r="Q699" s="148"/>
    </row>
    <row r="700" customFormat="false" ht="12.75" hidden="false" customHeight="false" outlineLevel="0" collapsed="false">
      <c r="L700" s="148"/>
      <c r="M700" s="148"/>
      <c r="N700" s="148"/>
      <c r="O700" s="148"/>
      <c r="P700" s="148"/>
      <c r="Q700" s="148"/>
    </row>
    <row r="701" customFormat="false" ht="12.75" hidden="false" customHeight="false" outlineLevel="0" collapsed="false">
      <c r="L701" s="148"/>
      <c r="M701" s="148"/>
      <c r="N701" s="148"/>
      <c r="O701" s="148"/>
      <c r="P701" s="148"/>
      <c r="Q701" s="148"/>
    </row>
    <row r="702" customFormat="false" ht="12.75" hidden="false" customHeight="false" outlineLevel="0" collapsed="false">
      <c r="L702" s="148"/>
      <c r="M702" s="148"/>
      <c r="N702" s="148"/>
      <c r="O702" s="148"/>
      <c r="P702" s="148"/>
      <c r="Q702" s="148"/>
    </row>
    <row r="703" customFormat="false" ht="12.75" hidden="false" customHeight="false" outlineLevel="0" collapsed="false">
      <c r="L703" s="148"/>
      <c r="M703" s="148"/>
      <c r="N703" s="148"/>
      <c r="O703" s="148"/>
      <c r="P703" s="148"/>
      <c r="Q703" s="148"/>
    </row>
    <row r="704" customFormat="false" ht="12.75" hidden="false" customHeight="false" outlineLevel="0" collapsed="false">
      <c r="L704" s="148"/>
      <c r="M704" s="148"/>
      <c r="N704" s="148"/>
      <c r="O704" s="148"/>
      <c r="P704" s="148"/>
      <c r="Q704" s="148"/>
    </row>
    <row r="705" customFormat="false" ht="12.75" hidden="false" customHeight="false" outlineLevel="0" collapsed="false">
      <c r="L705" s="148"/>
      <c r="M705" s="148"/>
      <c r="N705" s="148"/>
      <c r="O705" s="148"/>
      <c r="P705" s="148"/>
      <c r="Q705" s="148"/>
    </row>
    <row r="706" customFormat="false" ht="12.75" hidden="false" customHeight="false" outlineLevel="0" collapsed="false">
      <c r="L706" s="148"/>
      <c r="M706" s="148"/>
      <c r="N706" s="148"/>
      <c r="O706" s="148"/>
      <c r="P706" s="148"/>
      <c r="Q706" s="148"/>
    </row>
    <row r="707" customFormat="false" ht="12.75" hidden="false" customHeight="false" outlineLevel="0" collapsed="false">
      <c r="L707" s="148"/>
      <c r="M707" s="148"/>
      <c r="N707" s="148"/>
      <c r="O707" s="148"/>
      <c r="P707" s="148"/>
      <c r="Q707" s="148"/>
    </row>
    <row r="708" customFormat="false" ht="12.75" hidden="false" customHeight="false" outlineLevel="0" collapsed="false">
      <c r="L708" s="148"/>
      <c r="M708" s="148"/>
      <c r="N708" s="148"/>
      <c r="O708" s="148"/>
      <c r="P708" s="148"/>
      <c r="Q708" s="148"/>
    </row>
    <row r="709" customFormat="false" ht="12.75" hidden="false" customHeight="false" outlineLevel="0" collapsed="false">
      <c r="L709" s="148"/>
      <c r="M709" s="148"/>
      <c r="N709" s="148"/>
      <c r="O709" s="148"/>
      <c r="P709" s="148"/>
      <c r="Q709" s="148"/>
    </row>
    <row r="710" customFormat="false" ht="12.75" hidden="false" customHeight="false" outlineLevel="0" collapsed="false">
      <c r="L710" s="148"/>
      <c r="M710" s="148"/>
      <c r="N710" s="148"/>
      <c r="O710" s="148"/>
      <c r="P710" s="148"/>
      <c r="Q710" s="148"/>
    </row>
    <row r="711" customFormat="false" ht="12.75" hidden="false" customHeight="false" outlineLevel="0" collapsed="false">
      <c r="L711" s="148"/>
      <c r="M711" s="148"/>
      <c r="N711" s="148"/>
      <c r="O711" s="148"/>
      <c r="P711" s="148"/>
      <c r="Q711" s="148"/>
    </row>
    <row r="712" customFormat="false" ht="12.75" hidden="false" customHeight="false" outlineLevel="0" collapsed="false">
      <c r="L712" s="148"/>
      <c r="M712" s="148"/>
      <c r="N712" s="148"/>
      <c r="O712" s="148"/>
      <c r="P712" s="148"/>
      <c r="Q712" s="148"/>
    </row>
    <row r="713" customFormat="false" ht="12.75" hidden="false" customHeight="false" outlineLevel="0" collapsed="false">
      <c r="L713" s="148"/>
      <c r="M713" s="148"/>
      <c r="N713" s="148"/>
      <c r="O713" s="148"/>
      <c r="P713" s="148"/>
      <c r="Q713" s="148"/>
    </row>
    <row r="714" customFormat="false" ht="12.75" hidden="false" customHeight="false" outlineLevel="0" collapsed="false">
      <c r="L714" s="148"/>
      <c r="M714" s="148"/>
      <c r="N714" s="148"/>
      <c r="O714" s="148"/>
      <c r="P714" s="148"/>
      <c r="Q714" s="148"/>
    </row>
    <row r="715" customFormat="false" ht="12.75" hidden="false" customHeight="false" outlineLevel="0" collapsed="false">
      <c r="L715" s="148"/>
      <c r="M715" s="148"/>
      <c r="N715" s="148"/>
      <c r="O715" s="148"/>
      <c r="P715" s="148"/>
      <c r="Q715" s="148"/>
    </row>
    <row r="716" customFormat="false" ht="12.75" hidden="false" customHeight="false" outlineLevel="0" collapsed="false">
      <c r="L716" s="148"/>
      <c r="M716" s="148"/>
      <c r="N716" s="148"/>
      <c r="O716" s="148"/>
      <c r="P716" s="148"/>
      <c r="Q716" s="148"/>
    </row>
    <row r="717" customFormat="false" ht="12.75" hidden="false" customHeight="false" outlineLevel="0" collapsed="false">
      <c r="L717" s="148"/>
      <c r="M717" s="148"/>
      <c r="N717" s="148"/>
      <c r="O717" s="148"/>
      <c r="P717" s="148"/>
      <c r="Q717" s="148"/>
    </row>
    <row r="718" customFormat="false" ht="12.75" hidden="false" customHeight="false" outlineLevel="0" collapsed="false">
      <c r="L718" s="148"/>
      <c r="M718" s="148"/>
      <c r="N718" s="148"/>
      <c r="O718" s="148"/>
      <c r="P718" s="148"/>
      <c r="Q718" s="148"/>
    </row>
    <row r="719" customFormat="false" ht="12.75" hidden="false" customHeight="false" outlineLevel="0" collapsed="false">
      <c r="L719" s="148"/>
      <c r="M719" s="148"/>
      <c r="N719" s="148"/>
      <c r="O719" s="148"/>
      <c r="P719" s="148"/>
      <c r="Q719" s="148"/>
    </row>
    <row r="720" customFormat="false" ht="12.75" hidden="false" customHeight="false" outlineLevel="0" collapsed="false">
      <c r="L720" s="148"/>
      <c r="M720" s="148"/>
      <c r="N720" s="148"/>
      <c r="O720" s="148"/>
      <c r="P720" s="148"/>
      <c r="Q720" s="148"/>
    </row>
    <row r="721" customFormat="false" ht="12.75" hidden="false" customHeight="false" outlineLevel="0" collapsed="false">
      <c r="L721" s="148"/>
      <c r="M721" s="148"/>
      <c r="N721" s="148"/>
      <c r="O721" s="148"/>
      <c r="P721" s="148"/>
      <c r="Q721" s="148"/>
    </row>
    <row r="722" customFormat="false" ht="12.75" hidden="false" customHeight="false" outlineLevel="0" collapsed="false">
      <c r="L722" s="148"/>
      <c r="M722" s="148"/>
      <c r="N722" s="148"/>
      <c r="O722" s="148"/>
      <c r="P722" s="148"/>
      <c r="Q722" s="148"/>
    </row>
    <row r="723" customFormat="false" ht="12.75" hidden="false" customHeight="false" outlineLevel="0" collapsed="false">
      <c r="L723" s="148"/>
      <c r="M723" s="148"/>
      <c r="N723" s="148"/>
      <c r="O723" s="148"/>
      <c r="P723" s="148"/>
      <c r="Q723" s="148"/>
    </row>
    <row r="724" customFormat="false" ht="12.75" hidden="false" customHeight="false" outlineLevel="0" collapsed="false">
      <c r="L724" s="148"/>
      <c r="M724" s="148"/>
      <c r="N724" s="148"/>
      <c r="O724" s="148"/>
      <c r="P724" s="148"/>
      <c r="Q724" s="148"/>
    </row>
    <row r="725" customFormat="false" ht="12.75" hidden="false" customHeight="false" outlineLevel="0" collapsed="false">
      <c r="L725" s="148"/>
      <c r="M725" s="148"/>
      <c r="N725" s="148"/>
      <c r="O725" s="148"/>
      <c r="P725" s="148"/>
      <c r="Q725" s="148"/>
    </row>
    <row r="726" customFormat="false" ht="12.75" hidden="false" customHeight="false" outlineLevel="0" collapsed="false">
      <c r="L726" s="148"/>
      <c r="M726" s="148"/>
      <c r="N726" s="148"/>
      <c r="O726" s="148"/>
      <c r="P726" s="148"/>
      <c r="Q726" s="148"/>
    </row>
    <row r="727" customFormat="false" ht="12.75" hidden="false" customHeight="false" outlineLevel="0" collapsed="false">
      <c r="L727" s="148"/>
      <c r="M727" s="148"/>
      <c r="N727" s="148"/>
      <c r="O727" s="148"/>
      <c r="P727" s="148"/>
      <c r="Q727" s="148"/>
    </row>
    <row r="728" customFormat="false" ht="12.75" hidden="false" customHeight="false" outlineLevel="0" collapsed="false">
      <c r="L728" s="148"/>
      <c r="M728" s="148"/>
      <c r="N728" s="148"/>
      <c r="O728" s="148"/>
      <c r="P728" s="148"/>
      <c r="Q728" s="148"/>
    </row>
    <row r="729" customFormat="false" ht="12.75" hidden="false" customHeight="false" outlineLevel="0" collapsed="false">
      <c r="L729" s="148"/>
      <c r="M729" s="148"/>
      <c r="N729" s="148"/>
      <c r="O729" s="148"/>
      <c r="P729" s="148"/>
      <c r="Q729" s="148"/>
    </row>
    <row r="730" customFormat="false" ht="12.75" hidden="false" customHeight="false" outlineLevel="0" collapsed="false">
      <c r="L730" s="148"/>
      <c r="M730" s="148"/>
      <c r="N730" s="148"/>
      <c r="O730" s="148"/>
      <c r="P730" s="148"/>
      <c r="Q730" s="148"/>
    </row>
    <row r="731" customFormat="false" ht="12.75" hidden="false" customHeight="false" outlineLevel="0" collapsed="false">
      <c r="L731" s="148"/>
      <c r="M731" s="148"/>
      <c r="N731" s="148"/>
      <c r="O731" s="148"/>
      <c r="P731" s="148"/>
      <c r="Q731" s="148"/>
    </row>
    <row r="732" customFormat="false" ht="12.75" hidden="false" customHeight="false" outlineLevel="0" collapsed="false">
      <c r="L732" s="148"/>
      <c r="M732" s="148"/>
      <c r="N732" s="148"/>
      <c r="O732" s="148"/>
      <c r="P732" s="148"/>
      <c r="Q732" s="148"/>
    </row>
    <row r="733" customFormat="false" ht="12.75" hidden="false" customHeight="false" outlineLevel="0" collapsed="false">
      <c r="L733" s="148"/>
      <c r="M733" s="148"/>
      <c r="N733" s="148"/>
      <c r="O733" s="148"/>
      <c r="P733" s="148"/>
      <c r="Q733" s="148"/>
    </row>
    <row r="734" customFormat="false" ht="12.75" hidden="false" customHeight="false" outlineLevel="0" collapsed="false">
      <c r="L734" s="148"/>
      <c r="M734" s="148"/>
      <c r="N734" s="148"/>
      <c r="O734" s="148"/>
      <c r="P734" s="148"/>
      <c r="Q734" s="148"/>
    </row>
    <row r="735" customFormat="false" ht="12.75" hidden="false" customHeight="false" outlineLevel="0" collapsed="false">
      <c r="L735" s="148"/>
      <c r="M735" s="148"/>
      <c r="N735" s="148"/>
      <c r="O735" s="148"/>
      <c r="P735" s="148"/>
      <c r="Q735" s="148"/>
    </row>
    <row r="736" customFormat="false" ht="12.75" hidden="false" customHeight="false" outlineLevel="0" collapsed="false">
      <c r="L736" s="148"/>
      <c r="M736" s="148"/>
      <c r="N736" s="148"/>
      <c r="O736" s="148"/>
      <c r="P736" s="148"/>
      <c r="Q736" s="148"/>
    </row>
    <row r="737" customFormat="false" ht="12.75" hidden="false" customHeight="false" outlineLevel="0" collapsed="false">
      <c r="L737" s="148"/>
      <c r="M737" s="148"/>
      <c r="N737" s="148"/>
      <c r="O737" s="148"/>
      <c r="P737" s="148"/>
      <c r="Q737" s="148"/>
    </row>
    <row r="738" customFormat="false" ht="12.75" hidden="false" customHeight="false" outlineLevel="0" collapsed="false">
      <c r="L738" s="148"/>
      <c r="M738" s="148"/>
      <c r="N738" s="148"/>
      <c r="O738" s="148"/>
      <c r="P738" s="148"/>
      <c r="Q738" s="148"/>
    </row>
    <row r="739" customFormat="false" ht="12.75" hidden="false" customHeight="false" outlineLevel="0" collapsed="false">
      <c r="L739" s="148"/>
      <c r="M739" s="148"/>
      <c r="N739" s="148"/>
      <c r="O739" s="148"/>
      <c r="P739" s="148"/>
      <c r="Q739" s="148"/>
    </row>
    <row r="740" customFormat="false" ht="12.75" hidden="false" customHeight="false" outlineLevel="0" collapsed="false">
      <c r="L740" s="148"/>
      <c r="M740" s="148"/>
      <c r="N740" s="148"/>
      <c r="O740" s="148"/>
      <c r="P740" s="148"/>
      <c r="Q740" s="148"/>
    </row>
    <row r="741" customFormat="false" ht="12.75" hidden="false" customHeight="false" outlineLevel="0" collapsed="false">
      <c r="L741" s="148"/>
      <c r="M741" s="148"/>
      <c r="N741" s="148"/>
      <c r="O741" s="148"/>
      <c r="P741" s="148"/>
      <c r="Q741" s="148"/>
    </row>
    <row r="742" customFormat="false" ht="12.75" hidden="false" customHeight="false" outlineLevel="0" collapsed="false">
      <c r="L742" s="148"/>
      <c r="M742" s="148"/>
      <c r="N742" s="148"/>
      <c r="O742" s="148"/>
      <c r="P742" s="148"/>
      <c r="Q742" s="148"/>
    </row>
    <row r="743" customFormat="false" ht="12.75" hidden="false" customHeight="false" outlineLevel="0" collapsed="false">
      <c r="L743" s="148"/>
      <c r="M743" s="148"/>
      <c r="N743" s="148"/>
      <c r="O743" s="148"/>
      <c r="P743" s="148"/>
      <c r="Q743" s="148"/>
    </row>
    <row r="744" customFormat="false" ht="12.75" hidden="false" customHeight="false" outlineLevel="0" collapsed="false">
      <c r="L744" s="148"/>
      <c r="M744" s="148"/>
      <c r="N744" s="148"/>
      <c r="O744" s="148"/>
      <c r="P744" s="148"/>
      <c r="Q744" s="148"/>
    </row>
    <row r="745" customFormat="false" ht="12.75" hidden="false" customHeight="false" outlineLevel="0" collapsed="false">
      <c r="L745" s="148"/>
      <c r="M745" s="148"/>
      <c r="N745" s="148"/>
      <c r="O745" s="148"/>
      <c r="P745" s="148"/>
      <c r="Q745" s="148"/>
    </row>
    <row r="746" customFormat="false" ht="12.75" hidden="false" customHeight="false" outlineLevel="0" collapsed="false">
      <c r="L746" s="148"/>
      <c r="M746" s="148"/>
      <c r="N746" s="148"/>
      <c r="O746" s="148"/>
      <c r="P746" s="148"/>
      <c r="Q746" s="148"/>
    </row>
    <row r="747" customFormat="false" ht="12.75" hidden="false" customHeight="false" outlineLevel="0" collapsed="false">
      <c r="L747" s="148"/>
      <c r="M747" s="148"/>
      <c r="N747" s="148"/>
      <c r="O747" s="148"/>
      <c r="P747" s="148"/>
      <c r="Q747" s="148"/>
    </row>
    <row r="748" customFormat="false" ht="12.75" hidden="false" customHeight="false" outlineLevel="0" collapsed="false">
      <c r="L748" s="148"/>
      <c r="M748" s="148"/>
      <c r="N748" s="148"/>
      <c r="O748" s="148"/>
      <c r="P748" s="148"/>
      <c r="Q748" s="148"/>
    </row>
    <row r="749" customFormat="false" ht="12.75" hidden="false" customHeight="false" outlineLevel="0" collapsed="false">
      <c r="L749" s="148"/>
      <c r="M749" s="148"/>
      <c r="N749" s="148"/>
      <c r="O749" s="148"/>
      <c r="P749" s="148"/>
      <c r="Q749" s="148"/>
    </row>
    <row r="750" customFormat="false" ht="12.75" hidden="false" customHeight="false" outlineLevel="0" collapsed="false">
      <c r="L750" s="148"/>
      <c r="M750" s="148"/>
      <c r="N750" s="148"/>
      <c r="O750" s="148"/>
      <c r="P750" s="148"/>
      <c r="Q750" s="148"/>
    </row>
    <row r="751" customFormat="false" ht="12.75" hidden="false" customHeight="false" outlineLevel="0" collapsed="false">
      <c r="L751" s="148"/>
      <c r="M751" s="148"/>
      <c r="N751" s="148"/>
      <c r="O751" s="148"/>
      <c r="P751" s="148"/>
      <c r="Q751" s="148"/>
    </row>
    <row r="752" customFormat="false" ht="12.75" hidden="false" customHeight="false" outlineLevel="0" collapsed="false">
      <c r="L752" s="148"/>
      <c r="M752" s="148"/>
      <c r="N752" s="148"/>
      <c r="O752" s="148"/>
      <c r="P752" s="148"/>
      <c r="Q752" s="148"/>
    </row>
    <row r="753" customFormat="false" ht="12.75" hidden="false" customHeight="false" outlineLevel="0" collapsed="false">
      <c r="L753" s="148"/>
      <c r="M753" s="148"/>
      <c r="N753" s="148"/>
      <c r="O753" s="148"/>
      <c r="P753" s="148"/>
      <c r="Q753" s="148"/>
    </row>
    <row r="754" customFormat="false" ht="12.75" hidden="false" customHeight="false" outlineLevel="0" collapsed="false">
      <c r="L754" s="148"/>
      <c r="M754" s="148"/>
      <c r="N754" s="148"/>
      <c r="O754" s="148"/>
      <c r="P754" s="148"/>
      <c r="Q754" s="148"/>
    </row>
    <row r="755" customFormat="false" ht="12.75" hidden="false" customHeight="false" outlineLevel="0" collapsed="false">
      <c r="L755" s="148"/>
      <c r="M755" s="148"/>
      <c r="N755" s="148"/>
      <c r="O755" s="148"/>
      <c r="P755" s="148"/>
      <c r="Q755" s="148"/>
    </row>
    <row r="756" customFormat="false" ht="12.75" hidden="false" customHeight="false" outlineLevel="0" collapsed="false">
      <c r="L756" s="148"/>
      <c r="M756" s="148"/>
      <c r="N756" s="148"/>
      <c r="O756" s="148"/>
      <c r="P756" s="148"/>
      <c r="Q756" s="148"/>
    </row>
    <row r="757" customFormat="false" ht="12.75" hidden="false" customHeight="false" outlineLevel="0" collapsed="false">
      <c r="L757" s="148"/>
      <c r="M757" s="148"/>
      <c r="N757" s="148"/>
      <c r="O757" s="148"/>
      <c r="P757" s="148"/>
      <c r="Q757" s="148"/>
    </row>
    <row r="758" customFormat="false" ht="12.75" hidden="false" customHeight="false" outlineLevel="0" collapsed="false">
      <c r="L758" s="148"/>
      <c r="M758" s="148"/>
      <c r="N758" s="148"/>
      <c r="O758" s="148"/>
      <c r="P758" s="148"/>
      <c r="Q758" s="148"/>
    </row>
    <row r="759" customFormat="false" ht="12.75" hidden="false" customHeight="false" outlineLevel="0" collapsed="false">
      <c r="L759" s="148"/>
      <c r="M759" s="148"/>
      <c r="N759" s="148"/>
      <c r="O759" s="148"/>
      <c r="P759" s="148"/>
      <c r="Q759" s="148"/>
    </row>
    <row r="760" customFormat="false" ht="12.75" hidden="false" customHeight="false" outlineLevel="0" collapsed="false">
      <c r="L760" s="148"/>
      <c r="M760" s="148"/>
      <c r="N760" s="148"/>
      <c r="O760" s="148"/>
      <c r="P760" s="148"/>
      <c r="Q760" s="148"/>
    </row>
    <row r="761" customFormat="false" ht="12.75" hidden="false" customHeight="false" outlineLevel="0" collapsed="false">
      <c r="L761" s="148"/>
      <c r="M761" s="148"/>
      <c r="N761" s="148"/>
      <c r="O761" s="148"/>
      <c r="P761" s="148"/>
      <c r="Q761" s="148"/>
    </row>
    <row r="762" customFormat="false" ht="12.75" hidden="false" customHeight="false" outlineLevel="0" collapsed="false">
      <c r="L762" s="148"/>
      <c r="M762" s="148"/>
      <c r="N762" s="148"/>
      <c r="O762" s="148"/>
      <c r="P762" s="148"/>
      <c r="Q762" s="148"/>
    </row>
    <row r="763" customFormat="false" ht="12.75" hidden="false" customHeight="false" outlineLevel="0" collapsed="false">
      <c r="L763" s="148"/>
      <c r="M763" s="148"/>
      <c r="N763" s="148"/>
      <c r="O763" s="148"/>
      <c r="P763" s="148"/>
      <c r="Q763" s="148"/>
    </row>
    <row r="764" customFormat="false" ht="12.75" hidden="false" customHeight="false" outlineLevel="0" collapsed="false">
      <c r="L764" s="148"/>
      <c r="M764" s="148"/>
      <c r="N764" s="148"/>
      <c r="O764" s="148"/>
      <c r="P764" s="148"/>
      <c r="Q764" s="148"/>
    </row>
    <row r="765" customFormat="false" ht="12.75" hidden="false" customHeight="false" outlineLevel="0" collapsed="false">
      <c r="L765" s="148"/>
      <c r="M765" s="148"/>
      <c r="N765" s="148"/>
      <c r="O765" s="148"/>
      <c r="P765" s="148"/>
      <c r="Q765" s="148"/>
    </row>
    <row r="766" customFormat="false" ht="12.75" hidden="false" customHeight="false" outlineLevel="0" collapsed="false">
      <c r="L766" s="148"/>
      <c r="M766" s="148"/>
      <c r="N766" s="148"/>
      <c r="O766" s="148"/>
      <c r="P766" s="148"/>
      <c r="Q766" s="148"/>
    </row>
    <row r="767" customFormat="false" ht="12.75" hidden="false" customHeight="false" outlineLevel="0" collapsed="false">
      <c r="L767" s="148"/>
      <c r="M767" s="148"/>
      <c r="N767" s="148"/>
      <c r="O767" s="148"/>
      <c r="P767" s="148"/>
      <c r="Q767" s="148"/>
    </row>
    <row r="768" customFormat="false" ht="12.75" hidden="false" customHeight="false" outlineLevel="0" collapsed="false">
      <c r="L768" s="148"/>
      <c r="M768" s="148"/>
      <c r="N768" s="148"/>
      <c r="O768" s="148"/>
      <c r="P768" s="148"/>
      <c r="Q768" s="148"/>
    </row>
    <row r="769" customFormat="false" ht="12.75" hidden="false" customHeight="false" outlineLevel="0" collapsed="false">
      <c r="L769" s="148"/>
      <c r="M769" s="148"/>
      <c r="N769" s="148"/>
      <c r="O769" s="148"/>
      <c r="P769" s="148"/>
      <c r="Q769" s="148"/>
    </row>
    <row r="770" customFormat="false" ht="12.75" hidden="false" customHeight="false" outlineLevel="0" collapsed="false">
      <c r="L770" s="148"/>
      <c r="M770" s="148"/>
      <c r="N770" s="148"/>
      <c r="O770" s="148"/>
      <c r="P770" s="148"/>
      <c r="Q770" s="148"/>
    </row>
    <row r="771" customFormat="false" ht="12.75" hidden="false" customHeight="false" outlineLevel="0" collapsed="false">
      <c r="L771" s="148"/>
      <c r="M771" s="148"/>
      <c r="N771" s="148"/>
      <c r="O771" s="148"/>
      <c r="P771" s="148"/>
      <c r="Q771" s="148"/>
    </row>
    <row r="772" customFormat="false" ht="12.75" hidden="false" customHeight="false" outlineLevel="0" collapsed="false">
      <c r="L772" s="148"/>
      <c r="M772" s="148"/>
      <c r="N772" s="148"/>
      <c r="O772" s="148"/>
      <c r="P772" s="148"/>
      <c r="Q772" s="148"/>
    </row>
    <row r="773" customFormat="false" ht="12.75" hidden="false" customHeight="false" outlineLevel="0" collapsed="false">
      <c r="L773" s="148"/>
      <c r="M773" s="148"/>
      <c r="N773" s="148"/>
      <c r="O773" s="148"/>
      <c r="P773" s="148"/>
      <c r="Q773" s="148"/>
    </row>
    <row r="774" customFormat="false" ht="12.75" hidden="false" customHeight="false" outlineLevel="0" collapsed="false">
      <c r="L774" s="148"/>
      <c r="M774" s="148"/>
      <c r="N774" s="148"/>
      <c r="O774" s="148"/>
      <c r="P774" s="148"/>
      <c r="Q774" s="148"/>
    </row>
    <row r="775" customFormat="false" ht="12.75" hidden="false" customHeight="false" outlineLevel="0" collapsed="false">
      <c r="L775" s="148"/>
      <c r="M775" s="148"/>
      <c r="N775" s="148"/>
      <c r="O775" s="148"/>
      <c r="P775" s="148"/>
      <c r="Q775" s="148"/>
    </row>
    <row r="776" customFormat="false" ht="12.75" hidden="false" customHeight="false" outlineLevel="0" collapsed="false">
      <c r="L776" s="148"/>
      <c r="M776" s="148"/>
      <c r="N776" s="148"/>
      <c r="O776" s="148"/>
      <c r="P776" s="148"/>
      <c r="Q776" s="148"/>
    </row>
    <row r="777" customFormat="false" ht="12.75" hidden="false" customHeight="false" outlineLevel="0" collapsed="false">
      <c r="L777" s="148"/>
      <c r="M777" s="148"/>
      <c r="N777" s="148"/>
      <c r="O777" s="148"/>
      <c r="P777" s="148"/>
      <c r="Q777" s="148"/>
    </row>
    <row r="778" customFormat="false" ht="12.75" hidden="false" customHeight="false" outlineLevel="0" collapsed="false">
      <c r="L778" s="148"/>
      <c r="M778" s="148"/>
      <c r="N778" s="148"/>
      <c r="O778" s="148"/>
      <c r="P778" s="148"/>
      <c r="Q778" s="148"/>
    </row>
    <row r="779" customFormat="false" ht="12.75" hidden="false" customHeight="false" outlineLevel="0" collapsed="false">
      <c r="L779" s="148"/>
      <c r="M779" s="148"/>
      <c r="N779" s="148"/>
      <c r="O779" s="148"/>
      <c r="P779" s="148"/>
      <c r="Q779" s="148"/>
    </row>
    <row r="780" customFormat="false" ht="12.75" hidden="false" customHeight="false" outlineLevel="0" collapsed="false">
      <c r="L780" s="148"/>
      <c r="M780" s="148"/>
      <c r="N780" s="148"/>
      <c r="O780" s="148"/>
      <c r="P780" s="148"/>
      <c r="Q780" s="148"/>
    </row>
    <row r="781" customFormat="false" ht="12.75" hidden="false" customHeight="false" outlineLevel="0" collapsed="false">
      <c r="L781" s="148"/>
      <c r="M781" s="148"/>
      <c r="N781" s="148"/>
      <c r="O781" s="148"/>
      <c r="P781" s="148"/>
      <c r="Q781" s="148"/>
    </row>
    <row r="782" customFormat="false" ht="12.75" hidden="false" customHeight="false" outlineLevel="0" collapsed="false">
      <c r="L782" s="148"/>
      <c r="M782" s="148"/>
      <c r="N782" s="148"/>
      <c r="O782" s="148"/>
      <c r="P782" s="148"/>
      <c r="Q782" s="148"/>
    </row>
    <row r="783" customFormat="false" ht="12.75" hidden="false" customHeight="false" outlineLevel="0" collapsed="false">
      <c r="L783" s="148"/>
      <c r="M783" s="148"/>
      <c r="N783" s="148"/>
      <c r="O783" s="148"/>
      <c r="P783" s="148"/>
      <c r="Q783" s="148"/>
    </row>
    <row r="784" customFormat="false" ht="12.75" hidden="false" customHeight="false" outlineLevel="0" collapsed="false">
      <c r="L784" s="148"/>
      <c r="M784" s="148"/>
      <c r="N784" s="148"/>
      <c r="O784" s="148"/>
      <c r="P784" s="148"/>
      <c r="Q784" s="148"/>
    </row>
    <row r="785" customFormat="false" ht="12.75" hidden="false" customHeight="false" outlineLevel="0" collapsed="false">
      <c r="L785" s="148"/>
      <c r="M785" s="148"/>
      <c r="N785" s="148"/>
      <c r="O785" s="148"/>
      <c r="P785" s="148"/>
      <c r="Q785" s="148"/>
    </row>
    <row r="786" customFormat="false" ht="12.75" hidden="false" customHeight="false" outlineLevel="0" collapsed="false">
      <c r="L786" s="148"/>
      <c r="M786" s="148"/>
      <c r="N786" s="148"/>
      <c r="O786" s="148"/>
      <c r="P786" s="148"/>
      <c r="Q786" s="148"/>
    </row>
    <row r="787" customFormat="false" ht="12.75" hidden="false" customHeight="false" outlineLevel="0" collapsed="false">
      <c r="L787" s="148"/>
      <c r="M787" s="148"/>
      <c r="N787" s="148"/>
      <c r="O787" s="148"/>
      <c r="P787" s="148"/>
      <c r="Q787" s="148"/>
    </row>
    <row r="788" customFormat="false" ht="12.75" hidden="false" customHeight="false" outlineLevel="0" collapsed="false">
      <c r="L788" s="148"/>
      <c r="M788" s="148"/>
      <c r="N788" s="148"/>
      <c r="O788" s="148"/>
      <c r="P788" s="148"/>
      <c r="Q788" s="148"/>
    </row>
    <row r="789" customFormat="false" ht="12.75" hidden="false" customHeight="false" outlineLevel="0" collapsed="false">
      <c r="L789" s="148"/>
      <c r="M789" s="148"/>
      <c r="N789" s="148"/>
      <c r="O789" s="148"/>
      <c r="P789" s="148"/>
      <c r="Q789" s="148"/>
    </row>
    <row r="790" customFormat="false" ht="12.75" hidden="false" customHeight="false" outlineLevel="0" collapsed="false">
      <c r="L790" s="148"/>
      <c r="M790" s="148"/>
      <c r="N790" s="148"/>
      <c r="O790" s="148"/>
      <c r="P790" s="148"/>
      <c r="Q790" s="148"/>
    </row>
    <row r="791" customFormat="false" ht="12.75" hidden="false" customHeight="false" outlineLevel="0" collapsed="false">
      <c r="L791" s="148"/>
      <c r="M791" s="148"/>
      <c r="N791" s="148"/>
      <c r="O791" s="148"/>
      <c r="P791" s="148"/>
      <c r="Q791" s="148"/>
    </row>
    <row r="792" customFormat="false" ht="12.75" hidden="false" customHeight="false" outlineLevel="0" collapsed="false">
      <c r="L792" s="148"/>
      <c r="M792" s="148"/>
      <c r="N792" s="148"/>
      <c r="O792" s="148"/>
      <c r="P792" s="148"/>
      <c r="Q792" s="148"/>
    </row>
    <row r="793" customFormat="false" ht="12.75" hidden="false" customHeight="false" outlineLevel="0" collapsed="false">
      <c r="L793" s="148"/>
      <c r="M793" s="148"/>
      <c r="N793" s="148"/>
      <c r="O793" s="148"/>
      <c r="P793" s="148"/>
      <c r="Q793" s="148"/>
    </row>
    <row r="794" customFormat="false" ht="12.75" hidden="false" customHeight="false" outlineLevel="0" collapsed="false">
      <c r="L794" s="148"/>
      <c r="M794" s="148"/>
      <c r="N794" s="148"/>
      <c r="O794" s="148"/>
      <c r="P794" s="148"/>
      <c r="Q794" s="148"/>
    </row>
    <row r="795" customFormat="false" ht="12.75" hidden="false" customHeight="false" outlineLevel="0" collapsed="false">
      <c r="L795" s="148"/>
      <c r="M795" s="148"/>
      <c r="N795" s="148"/>
      <c r="O795" s="148"/>
      <c r="P795" s="148"/>
      <c r="Q795" s="148"/>
    </row>
    <row r="796" customFormat="false" ht="12.75" hidden="false" customHeight="false" outlineLevel="0" collapsed="false">
      <c r="L796" s="148"/>
      <c r="M796" s="148"/>
      <c r="N796" s="148"/>
      <c r="O796" s="148"/>
      <c r="P796" s="148"/>
      <c r="Q796" s="148"/>
    </row>
    <row r="797" customFormat="false" ht="12.75" hidden="false" customHeight="false" outlineLevel="0" collapsed="false">
      <c r="L797" s="148"/>
      <c r="M797" s="148"/>
      <c r="N797" s="148"/>
      <c r="O797" s="148"/>
      <c r="P797" s="148"/>
      <c r="Q797" s="148"/>
    </row>
    <row r="798" customFormat="false" ht="12.75" hidden="false" customHeight="false" outlineLevel="0" collapsed="false">
      <c r="L798" s="148"/>
      <c r="M798" s="148"/>
      <c r="N798" s="148"/>
      <c r="O798" s="148"/>
      <c r="P798" s="148"/>
      <c r="Q798" s="148"/>
    </row>
    <row r="799" customFormat="false" ht="12.75" hidden="false" customHeight="false" outlineLevel="0" collapsed="false">
      <c r="L799" s="148"/>
      <c r="M799" s="148"/>
      <c r="N799" s="148"/>
      <c r="O799" s="148"/>
      <c r="P799" s="148"/>
      <c r="Q799" s="148"/>
    </row>
    <row r="800" customFormat="false" ht="12.75" hidden="false" customHeight="false" outlineLevel="0" collapsed="false">
      <c r="L800" s="148"/>
      <c r="M800" s="148"/>
      <c r="N800" s="148"/>
      <c r="O800" s="148"/>
      <c r="P800" s="148"/>
      <c r="Q800" s="148"/>
    </row>
    <row r="801" customFormat="false" ht="12.75" hidden="false" customHeight="false" outlineLevel="0" collapsed="false">
      <c r="L801" s="148"/>
      <c r="M801" s="148"/>
      <c r="N801" s="148"/>
      <c r="O801" s="148"/>
      <c r="P801" s="148"/>
      <c r="Q801" s="148"/>
    </row>
    <row r="802" customFormat="false" ht="12.75" hidden="false" customHeight="false" outlineLevel="0" collapsed="false">
      <c r="L802" s="148"/>
      <c r="M802" s="148"/>
      <c r="N802" s="148"/>
      <c r="O802" s="148"/>
      <c r="P802" s="148"/>
      <c r="Q802" s="148"/>
    </row>
    <row r="803" customFormat="false" ht="12.75" hidden="false" customHeight="false" outlineLevel="0" collapsed="false">
      <c r="L803" s="148"/>
      <c r="M803" s="148"/>
      <c r="N803" s="148"/>
      <c r="O803" s="148"/>
      <c r="P803" s="148"/>
      <c r="Q803" s="148"/>
    </row>
    <row r="804" customFormat="false" ht="12.75" hidden="false" customHeight="false" outlineLevel="0" collapsed="false">
      <c r="L804" s="148"/>
      <c r="M804" s="148"/>
      <c r="N804" s="148"/>
      <c r="O804" s="148"/>
      <c r="P804" s="148"/>
      <c r="Q804" s="148"/>
    </row>
    <row r="805" customFormat="false" ht="12.75" hidden="false" customHeight="false" outlineLevel="0" collapsed="false">
      <c r="L805" s="148"/>
      <c r="M805" s="148"/>
      <c r="N805" s="148"/>
      <c r="O805" s="148"/>
      <c r="P805" s="148"/>
      <c r="Q805" s="148"/>
    </row>
    <row r="806" customFormat="false" ht="12.75" hidden="false" customHeight="false" outlineLevel="0" collapsed="false">
      <c r="L806" s="148"/>
      <c r="M806" s="148"/>
      <c r="N806" s="148"/>
      <c r="O806" s="148"/>
      <c r="P806" s="148"/>
      <c r="Q806" s="148"/>
    </row>
    <row r="807" customFormat="false" ht="12.75" hidden="false" customHeight="false" outlineLevel="0" collapsed="false">
      <c r="L807" s="148"/>
      <c r="M807" s="148"/>
      <c r="N807" s="148"/>
      <c r="O807" s="148"/>
      <c r="P807" s="148"/>
      <c r="Q807" s="148"/>
    </row>
    <row r="808" customFormat="false" ht="12.75" hidden="false" customHeight="false" outlineLevel="0" collapsed="false">
      <c r="L808" s="148"/>
      <c r="M808" s="148"/>
      <c r="N808" s="148"/>
      <c r="O808" s="148"/>
      <c r="P808" s="148"/>
      <c r="Q808" s="148"/>
    </row>
    <row r="809" customFormat="false" ht="12.75" hidden="false" customHeight="false" outlineLevel="0" collapsed="false">
      <c r="L809" s="148"/>
      <c r="M809" s="148"/>
      <c r="N809" s="148"/>
      <c r="O809" s="148"/>
      <c r="P809" s="148"/>
      <c r="Q809" s="148"/>
    </row>
    <row r="810" customFormat="false" ht="12.75" hidden="false" customHeight="false" outlineLevel="0" collapsed="false">
      <c r="L810" s="148"/>
      <c r="M810" s="148"/>
      <c r="N810" s="148"/>
      <c r="O810" s="148"/>
      <c r="P810" s="148"/>
      <c r="Q810" s="148"/>
    </row>
    <row r="811" customFormat="false" ht="12.75" hidden="false" customHeight="false" outlineLevel="0" collapsed="false">
      <c r="L811" s="148"/>
      <c r="M811" s="148"/>
      <c r="N811" s="148"/>
      <c r="O811" s="148"/>
      <c r="P811" s="148"/>
      <c r="Q811" s="148"/>
    </row>
    <row r="812" customFormat="false" ht="12.75" hidden="false" customHeight="false" outlineLevel="0" collapsed="false">
      <c r="L812" s="148"/>
      <c r="M812" s="148"/>
      <c r="N812" s="148"/>
      <c r="O812" s="148"/>
      <c r="P812" s="148"/>
      <c r="Q812" s="148"/>
    </row>
    <row r="813" customFormat="false" ht="12.75" hidden="false" customHeight="false" outlineLevel="0" collapsed="false">
      <c r="L813" s="148"/>
      <c r="M813" s="148"/>
      <c r="N813" s="148"/>
      <c r="O813" s="148"/>
      <c r="P813" s="148"/>
      <c r="Q813" s="148"/>
    </row>
    <row r="814" customFormat="false" ht="12.75" hidden="false" customHeight="false" outlineLevel="0" collapsed="false">
      <c r="L814" s="148"/>
      <c r="M814" s="148"/>
      <c r="N814" s="148"/>
      <c r="O814" s="148"/>
      <c r="P814" s="148"/>
      <c r="Q814" s="148"/>
    </row>
    <row r="815" customFormat="false" ht="12.75" hidden="false" customHeight="false" outlineLevel="0" collapsed="false">
      <c r="L815" s="148"/>
      <c r="M815" s="148"/>
      <c r="N815" s="148"/>
      <c r="O815" s="148"/>
      <c r="P815" s="148"/>
      <c r="Q815" s="148"/>
    </row>
    <row r="816" customFormat="false" ht="12.75" hidden="false" customHeight="false" outlineLevel="0" collapsed="false">
      <c r="L816" s="148"/>
      <c r="M816" s="148"/>
      <c r="N816" s="148"/>
      <c r="O816" s="148"/>
      <c r="P816" s="148"/>
      <c r="Q816" s="148"/>
    </row>
    <row r="817" customFormat="false" ht="12.75" hidden="false" customHeight="false" outlineLevel="0" collapsed="false">
      <c r="L817" s="148"/>
      <c r="M817" s="148"/>
      <c r="N817" s="148"/>
      <c r="O817" s="148"/>
      <c r="P817" s="148"/>
      <c r="Q817" s="148"/>
    </row>
    <row r="818" customFormat="false" ht="12.75" hidden="false" customHeight="false" outlineLevel="0" collapsed="false">
      <c r="L818" s="148"/>
      <c r="M818" s="148"/>
      <c r="N818" s="148"/>
      <c r="O818" s="148"/>
      <c r="P818" s="148"/>
      <c r="Q818" s="148"/>
    </row>
    <row r="819" customFormat="false" ht="12.75" hidden="false" customHeight="false" outlineLevel="0" collapsed="false">
      <c r="L819" s="148"/>
      <c r="M819" s="148"/>
      <c r="N819" s="148"/>
      <c r="O819" s="148"/>
      <c r="P819" s="148"/>
      <c r="Q819" s="148"/>
    </row>
    <row r="820" customFormat="false" ht="12.75" hidden="false" customHeight="false" outlineLevel="0" collapsed="false">
      <c r="L820" s="148"/>
      <c r="M820" s="148"/>
      <c r="N820" s="148"/>
      <c r="O820" s="148"/>
      <c r="P820" s="148"/>
      <c r="Q820" s="148"/>
    </row>
    <row r="821" customFormat="false" ht="12.75" hidden="false" customHeight="false" outlineLevel="0" collapsed="false">
      <c r="L821" s="148"/>
      <c r="M821" s="148"/>
      <c r="N821" s="148"/>
      <c r="O821" s="148"/>
      <c r="P821" s="148"/>
      <c r="Q821" s="148"/>
    </row>
    <row r="822" customFormat="false" ht="12.75" hidden="false" customHeight="false" outlineLevel="0" collapsed="false">
      <c r="L822" s="148"/>
      <c r="M822" s="148"/>
      <c r="N822" s="148"/>
      <c r="O822" s="148"/>
      <c r="P822" s="148"/>
      <c r="Q822" s="148"/>
    </row>
    <row r="823" customFormat="false" ht="12.75" hidden="false" customHeight="false" outlineLevel="0" collapsed="false">
      <c r="L823" s="148"/>
      <c r="M823" s="148"/>
      <c r="N823" s="148"/>
      <c r="O823" s="148"/>
      <c r="P823" s="148"/>
      <c r="Q823" s="148"/>
    </row>
    <row r="824" customFormat="false" ht="12.75" hidden="false" customHeight="false" outlineLevel="0" collapsed="false">
      <c r="L824" s="148"/>
      <c r="M824" s="148"/>
      <c r="N824" s="148"/>
      <c r="O824" s="148"/>
      <c r="P824" s="148"/>
      <c r="Q824" s="148"/>
    </row>
    <row r="825" customFormat="false" ht="12.75" hidden="false" customHeight="false" outlineLevel="0" collapsed="false">
      <c r="L825" s="148"/>
      <c r="M825" s="148"/>
      <c r="N825" s="148"/>
      <c r="O825" s="148"/>
      <c r="P825" s="148"/>
      <c r="Q825" s="148"/>
    </row>
    <row r="826" customFormat="false" ht="12.75" hidden="false" customHeight="false" outlineLevel="0" collapsed="false">
      <c r="L826" s="148"/>
      <c r="M826" s="148"/>
      <c r="N826" s="148"/>
      <c r="O826" s="148"/>
      <c r="P826" s="148"/>
      <c r="Q826" s="148"/>
    </row>
    <row r="827" customFormat="false" ht="12.75" hidden="false" customHeight="false" outlineLevel="0" collapsed="false">
      <c r="L827" s="148"/>
      <c r="M827" s="148"/>
      <c r="N827" s="148"/>
      <c r="O827" s="148"/>
      <c r="P827" s="148"/>
      <c r="Q827" s="148"/>
    </row>
    <row r="828" customFormat="false" ht="12.75" hidden="false" customHeight="false" outlineLevel="0" collapsed="false">
      <c r="L828" s="148"/>
      <c r="M828" s="148"/>
      <c r="N828" s="148"/>
      <c r="O828" s="148"/>
      <c r="P828" s="148"/>
      <c r="Q828" s="148"/>
    </row>
    <row r="829" customFormat="false" ht="12.75" hidden="false" customHeight="false" outlineLevel="0" collapsed="false">
      <c r="L829" s="148"/>
      <c r="M829" s="148"/>
      <c r="N829" s="148"/>
      <c r="O829" s="148"/>
      <c r="P829" s="148"/>
      <c r="Q829" s="148"/>
    </row>
    <row r="830" customFormat="false" ht="12.75" hidden="false" customHeight="false" outlineLevel="0" collapsed="false">
      <c r="L830" s="148"/>
      <c r="M830" s="148"/>
      <c r="N830" s="148"/>
      <c r="O830" s="148"/>
      <c r="P830" s="148"/>
      <c r="Q830" s="148"/>
    </row>
    <row r="831" customFormat="false" ht="12.75" hidden="false" customHeight="false" outlineLevel="0" collapsed="false">
      <c r="L831" s="148"/>
      <c r="M831" s="148"/>
      <c r="N831" s="148"/>
      <c r="O831" s="148"/>
      <c r="P831" s="148"/>
      <c r="Q831" s="148"/>
    </row>
    <row r="832" customFormat="false" ht="12.75" hidden="false" customHeight="false" outlineLevel="0" collapsed="false">
      <c r="L832" s="148"/>
      <c r="M832" s="148"/>
      <c r="N832" s="148"/>
      <c r="O832" s="148"/>
      <c r="P832" s="148"/>
      <c r="Q832" s="148"/>
    </row>
    <row r="833" customFormat="false" ht="12.75" hidden="false" customHeight="false" outlineLevel="0" collapsed="false">
      <c r="L833" s="148"/>
      <c r="M833" s="148"/>
      <c r="N833" s="148"/>
      <c r="O833" s="148"/>
      <c r="P833" s="148"/>
      <c r="Q833" s="148"/>
    </row>
    <row r="834" customFormat="false" ht="12.75" hidden="false" customHeight="false" outlineLevel="0" collapsed="false">
      <c r="L834" s="148"/>
      <c r="M834" s="148"/>
      <c r="N834" s="148"/>
      <c r="O834" s="148"/>
      <c r="P834" s="148"/>
      <c r="Q834" s="148"/>
    </row>
    <row r="835" customFormat="false" ht="12.75" hidden="false" customHeight="false" outlineLevel="0" collapsed="false">
      <c r="L835" s="148"/>
      <c r="M835" s="148"/>
      <c r="N835" s="148"/>
      <c r="O835" s="148"/>
      <c r="P835" s="148"/>
      <c r="Q835" s="148"/>
    </row>
    <row r="836" customFormat="false" ht="12.75" hidden="false" customHeight="false" outlineLevel="0" collapsed="false">
      <c r="L836" s="148"/>
      <c r="M836" s="148"/>
      <c r="N836" s="148"/>
      <c r="O836" s="148"/>
      <c r="P836" s="148"/>
      <c r="Q836" s="148"/>
    </row>
    <row r="837" customFormat="false" ht="12.75" hidden="false" customHeight="false" outlineLevel="0" collapsed="false">
      <c r="L837" s="148"/>
      <c r="M837" s="148"/>
      <c r="N837" s="148"/>
      <c r="O837" s="148"/>
      <c r="P837" s="148"/>
      <c r="Q837" s="148"/>
    </row>
    <row r="838" customFormat="false" ht="12.75" hidden="false" customHeight="false" outlineLevel="0" collapsed="false">
      <c r="L838" s="148"/>
      <c r="M838" s="148"/>
      <c r="N838" s="148"/>
      <c r="O838" s="148"/>
      <c r="P838" s="148"/>
      <c r="Q838" s="148"/>
    </row>
    <row r="839" customFormat="false" ht="12.75" hidden="false" customHeight="false" outlineLevel="0" collapsed="false">
      <c r="L839" s="148"/>
      <c r="M839" s="148"/>
      <c r="N839" s="148"/>
      <c r="O839" s="148"/>
      <c r="P839" s="148"/>
      <c r="Q839" s="148"/>
    </row>
    <row r="840" customFormat="false" ht="12.75" hidden="false" customHeight="false" outlineLevel="0" collapsed="false">
      <c r="L840" s="148"/>
      <c r="M840" s="148"/>
      <c r="N840" s="148"/>
      <c r="O840" s="148"/>
      <c r="P840" s="148"/>
      <c r="Q840" s="148"/>
    </row>
    <row r="841" customFormat="false" ht="12.75" hidden="false" customHeight="false" outlineLevel="0" collapsed="false">
      <c r="L841" s="148"/>
      <c r="M841" s="148"/>
      <c r="N841" s="148"/>
      <c r="O841" s="148"/>
      <c r="P841" s="148"/>
      <c r="Q841" s="148"/>
    </row>
    <row r="842" customFormat="false" ht="12.75" hidden="false" customHeight="false" outlineLevel="0" collapsed="false">
      <c r="L842" s="148"/>
      <c r="M842" s="148"/>
      <c r="N842" s="148"/>
      <c r="O842" s="148"/>
      <c r="P842" s="148"/>
      <c r="Q842" s="148"/>
    </row>
    <row r="843" customFormat="false" ht="12.75" hidden="false" customHeight="false" outlineLevel="0" collapsed="false">
      <c r="L843" s="148"/>
      <c r="M843" s="148"/>
      <c r="N843" s="148"/>
      <c r="O843" s="148"/>
      <c r="P843" s="148"/>
      <c r="Q843" s="148"/>
    </row>
    <row r="844" customFormat="false" ht="12.75" hidden="false" customHeight="false" outlineLevel="0" collapsed="false">
      <c r="L844" s="148"/>
      <c r="M844" s="148"/>
      <c r="N844" s="148"/>
      <c r="O844" s="148"/>
      <c r="P844" s="148"/>
      <c r="Q844" s="148"/>
    </row>
    <row r="845" customFormat="false" ht="12.75" hidden="false" customHeight="false" outlineLevel="0" collapsed="false">
      <c r="L845" s="148"/>
      <c r="M845" s="148"/>
      <c r="N845" s="148"/>
      <c r="O845" s="148"/>
      <c r="P845" s="148"/>
      <c r="Q845" s="148"/>
    </row>
    <row r="846" customFormat="false" ht="12.75" hidden="false" customHeight="false" outlineLevel="0" collapsed="false">
      <c r="L846" s="148"/>
      <c r="M846" s="148"/>
      <c r="N846" s="148"/>
      <c r="O846" s="148"/>
      <c r="P846" s="148"/>
      <c r="Q846" s="148"/>
    </row>
    <row r="847" customFormat="false" ht="12.75" hidden="false" customHeight="false" outlineLevel="0" collapsed="false">
      <c r="L847" s="148"/>
      <c r="M847" s="148"/>
      <c r="N847" s="148"/>
      <c r="O847" s="148"/>
      <c r="P847" s="148"/>
      <c r="Q847" s="148"/>
    </row>
    <row r="848" customFormat="false" ht="12.75" hidden="false" customHeight="false" outlineLevel="0" collapsed="false">
      <c r="L848" s="148"/>
      <c r="M848" s="148"/>
      <c r="N848" s="148"/>
      <c r="O848" s="148"/>
      <c r="P848" s="148"/>
      <c r="Q848" s="148"/>
    </row>
    <row r="849" customFormat="false" ht="12.75" hidden="false" customHeight="false" outlineLevel="0" collapsed="false">
      <c r="L849" s="148"/>
      <c r="M849" s="148"/>
      <c r="N849" s="148"/>
      <c r="O849" s="148"/>
      <c r="P849" s="148"/>
      <c r="Q849" s="148"/>
    </row>
    <row r="850" customFormat="false" ht="12.75" hidden="false" customHeight="false" outlineLevel="0" collapsed="false">
      <c r="L850" s="148"/>
      <c r="M850" s="148"/>
      <c r="N850" s="148"/>
      <c r="O850" s="148"/>
      <c r="P850" s="148"/>
      <c r="Q850" s="148"/>
    </row>
    <row r="851" customFormat="false" ht="12.75" hidden="false" customHeight="false" outlineLevel="0" collapsed="false">
      <c r="L851" s="148"/>
      <c r="M851" s="148"/>
      <c r="N851" s="148"/>
      <c r="O851" s="148"/>
      <c r="P851" s="148"/>
      <c r="Q851" s="148"/>
    </row>
    <row r="852" customFormat="false" ht="12.75" hidden="false" customHeight="false" outlineLevel="0" collapsed="false">
      <c r="L852" s="148"/>
      <c r="M852" s="148"/>
      <c r="N852" s="148"/>
      <c r="O852" s="148"/>
      <c r="P852" s="148"/>
      <c r="Q852" s="148"/>
    </row>
    <row r="853" customFormat="false" ht="12.75" hidden="false" customHeight="false" outlineLevel="0" collapsed="false">
      <c r="L853" s="148"/>
      <c r="M853" s="148"/>
      <c r="N853" s="148"/>
      <c r="O853" s="148"/>
      <c r="P853" s="148"/>
      <c r="Q853" s="148"/>
    </row>
    <row r="854" customFormat="false" ht="12.75" hidden="false" customHeight="false" outlineLevel="0" collapsed="false">
      <c r="L854" s="148"/>
      <c r="M854" s="148"/>
      <c r="N854" s="148"/>
      <c r="O854" s="148"/>
      <c r="P854" s="148"/>
      <c r="Q854" s="148"/>
    </row>
    <row r="855" customFormat="false" ht="12.75" hidden="false" customHeight="false" outlineLevel="0" collapsed="false">
      <c r="L855" s="148"/>
      <c r="M855" s="148"/>
      <c r="N855" s="148"/>
      <c r="O855" s="148"/>
      <c r="P855" s="148"/>
      <c r="Q855" s="148"/>
    </row>
    <row r="856" customFormat="false" ht="12.75" hidden="false" customHeight="false" outlineLevel="0" collapsed="false">
      <c r="L856" s="148"/>
      <c r="M856" s="148"/>
      <c r="N856" s="148"/>
      <c r="O856" s="148"/>
      <c r="P856" s="148"/>
      <c r="Q856" s="148"/>
    </row>
    <row r="857" customFormat="false" ht="12.75" hidden="false" customHeight="false" outlineLevel="0" collapsed="false">
      <c r="L857" s="148"/>
      <c r="M857" s="148"/>
      <c r="N857" s="148"/>
      <c r="O857" s="148"/>
      <c r="P857" s="148"/>
      <c r="Q857" s="148"/>
    </row>
    <row r="858" customFormat="false" ht="12.75" hidden="false" customHeight="false" outlineLevel="0" collapsed="false">
      <c r="L858" s="148"/>
      <c r="M858" s="148"/>
      <c r="N858" s="148"/>
      <c r="O858" s="148"/>
      <c r="P858" s="148"/>
      <c r="Q858" s="148"/>
    </row>
    <row r="859" customFormat="false" ht="12.75" hidden="false" customHeight="false" outlineLevel="0" collapsed="false">
      <c r="L859" s="148"/>
      <c r="M859" s="148"/>
      <c r="N859" s="148"/>
      <c r="O859" s="148"/>
      <c r="P859" s="148"/>
      <c r="Q859" s="148"/>
    </row>
    <row r="860" customFormat="false" ht="12.75" hidden="false" customHeight="false" outlineLevel="0" collapsed="false">
      <c r="L860" s="148"/>
      <c r="M860" s="148"/>
      <c r="N860" s="148"/>
      <c r="O860" s="148"/>
      <c r="P860" s="148"/>
      <c r="Q860" s="148"/>
    </row>
    <row r="861" customFormat="false" ht="12.75" hidden="false" customHeight="false" outlineLevel="0" collapsed="false">
      <c r="L861" s="148"/>
      <c r="M861" s="148"/>
      <c r="N861" s="148"/>
      <c r="O861" s="148"/>
      <c r="P861" s="148"/>
      <c r="Q861" s="148"/>
    </row>
    <row r="862" customFormat="false" ht="12.75" hidden="false" customHeight="false" outlineLevel="0" collapsed="false">
      <c r="L862" s="148"/>
      <c r="M862" s="148"/>
      <c r="N862" s="148"/>
      <c r="O862" s="148"/>
      <c r="P862" s="148"/>
      <c r="Q862" s="148"/>
    </row>
    <row r="863" customFormat="false" ht="12.75" hidden="false" customHeight="false" outlineLevel="0" collapsed="false">
      <c r="L863" s="148"/>
      <c r="M863" s="148"/>
      <c r="N863" s="148"/>
      <c r="O863" s="148"/>
      <c r="P863" s="148"/>
      <c r="Q863" s="148"/>
    </row>
    <row r="864" customFormat="false" ht="12.75" hidden="false" customHeight="false" outlineLevel="0" collapsed="false">
      <c r="L864" s="148"/>
      <c r="M864" s="148"/>
      <c r="N864" s="148"/>
      <c r="O864" s="148"/>
      <c r="P864" s="148"/>
      <c r="Q864" s="148"/>
    </row>
    <row r="865" customFormat="false" ht="12.75" hidden="false" customHeight="false" outlineLevel="0" collapsed="false">
      <c r="L865" s="148"/>
      <c r="M865" s="148"/>
      <c r="N865" s="148"/>
      <c r="O865" s="148"/>
      <c r="P865" s="148"/>
      <c r="Q865" s="148"/>
    </row>
    <row r="866" customFormat="false" ht="12.75" hidden="false" customHeight="false" outlineLevel="0" collapsed="false">
      <c r="L866" s="148"/>
      <c r="M866" s="148"/>
      <c r="N866" s="148"/>
      <c r="O866" s="148"/>
      <c r="P866" s="148"/>
      <c r="Q866" s="148"/>
    </row>
    <row r="867" customFormat="false" ht="12.75" hidden="false" customHeight="false" outlineLevel="0" collapsed="false">
      <c r="L867" s="148"/>
      <c r="M867" s="148"/>
      <c r="N867" s="148"/>
      <c r="O867" s="148"/>
      <c r="P867" s="148"/>
      <c r="Q867" s="148"/>
    </row>
    <row r="868" customFormat="false" ht="12.75" hidden="false" customHeight="false" outlineLevel="0" collapsed="false">
      <c r="L868" s="148"/>
      <c r="M868" s="148"/>
      <c r="N868" s="148"/>
      <c r="O868" s="148"/>
      <c r="P868" s="148"/>
      <c r="Q868" s="148"/>
    </row>
    <row r="869" customFormat="false" ht="12.75" hidden="false" customHeight="false" outlineLevel="0" collapsed="false">
      <c r="L869" s="148"/>
      <c r="M869" s="148"/>
      <c r="N869" s="148"/>
      <c r="O869" s="148"/>
      <c r="P869" s="148"/>
      <c r="Q869" s="148"/>
    </row>
    <row r="870" customFormat="false" ht="12.75" hidden="false" customHeight="false" outlineLevel="0" collapsed="false">
      <c r="L870" s="148"/>
      <c r="M870" s="148"/>
      <c r="N870" s="148"/>
      <c r="O870" s="148"/>
      <c r="P870" s="148"/>
      <c r="Q870" s="148"/>
    </row>
    <row r="871" customFormat="false" ht="12.75" hidden="false" customHeight="false" outlineLevel="0" collapsed="false">
      <c r="L871" s="148"/>
      <c r="M871" s="148"/>
      <c r="N871" s="148"/>
      <c r="O871" s="148"/>
      <c r="P871" s="148"/>
      <c r="Q871" s="148"/>
    </row>
    <row r="872" customFormat="false" ht="12.75" hidden="false" customHeight="false" outlineLevel="0" collapsed="false">
      <c r="L872" s="148"/>
      <c r="M872" s="148"/>
      <c r="N872" s="148"/>
      <c r="O872" s="148"/>
      <c r="P872" s="148"/>
      <c r="Q872" s="148"/>
    </row>
    <row r="873" customFormat="false" ht="12.75" hidden="false" customHeight="false" outlineLevel="0" collapsed="false">
      <c r="L873" s="148"/>
      <c r="M873" s="148"/>
      <c r="N873" s="148"/>
      <c r="O873" s="148"/>
      <c r="P873" s="148"/>
      <c r="Q873" s="148"/>
    </row>
    <row r="874" customFormat="false" ht="12.75" hidden="false" customHeight="false" outlineLevel="0" collapsed="false">
      <c r="L874" s="148"/>
      <c r="M874" s="148"/>
      <c r="N874" s="148"/>
      <c r="O874" s="148"/>
      <c r="P874" s="148"/>
      <c r="Q874" s="148"/>
    </row>
    <row r="875" customFormat="false" ht="12.75" hidden="false" customHeight="false" outlineLevel="0" collapsed="false">
      <c r="L875" s="148"/>
      <c r="M875" s="148"/>
      <c r="N875" s="148"/>
      <c r="O875" s="148"/>
      <c r="P875" s="148"/>
      <c r="Q875" s="148"/>
    </row>
    <row r="876" customFormat="false" ht="12.75" hidden="false" customHeight="false" outlineLevel="0" collapsed="false">
      <c r="L876" s="148"/>
      <c r="M876" s="148"/>
      <c r="N876" s="148"/>
      <c r="O876" s="148"/>
      <c r="P876" s="148"/>
      <c r="Q876" s="148"/>
    </row>
    <row r="877" customFormat="false" ht="12.75" hidden="false" customHeight="false" outlineLevel="0" collapsed="false">
      <c r="L877" s="148"/>
      <c r="M877" s="148"/>
      <c r="N877" s="148"/>
      <c r="O877" s="148"/>
      <c r="P877" s="148"/>
      <c r="Q877" s="148"/>
    </row>
    <row r="878" customFormat="false" ht="12.75" hidden="false" customHeight="false" outlineLevel="0" collapsed="false">
      <c r="L878" s="148"/>
      <c r="M878" s="148"/>
      <c r="N878" s="148"/>
      <c r="O878" s="148"/>
      <c r="P878" s="148"/>
      <c r="Q878" s="148"/>
    </row>
    <row r="879" customFormat="false" ht="12.75" hidden="false" customHeight="false" outlineLevel="0" collapsed="false">
      <c r="L879" s="148"/>
      <c r="M879" s="148"/>
      <c r="N879" s="148"/>
      <c r="O879" s="148"/>
      <c r="P879" s="148"/>
      <c r="Q879" s="148"/>
    </row>
    <row r="880" customFormat="false" ht="12.75" hidden="false" customHeight="false" outlineLevel="0" collapsed="false">
      <c r="L880" s="148"/>
      <c r="M880" s="148"/>
      <c r="N880" s="148"/>
      <c r="O880" s="148"/>
      <c r="P880" s="148"/>
      <c r="Q880" s="148"/>
    </row>
    <row r="881" customFormat="false" ht="12.75" hidden="false" customHeight="false" outlineLevel="0" collapsed="false">
      <c r="L881" s="148"/>
      <c r="M881" s="148"/>
      <c r="N881" s="148"/>
      <c r="O881" s="148"/>
      <c r="P881" s="148"/>
      <c r="Q881" s="148"/>
    </row>
    <row r="882" customFormat="false" ht="12.75" hidden="false" customHeight="false" outlineLevel="0" collapsed="false">
      <c r="L882" s="148"/>
      <c r="M882" s="148"/>
      <c r="N882" s="148"/>
      <c r="O882" s="148"/>
      <c r="P882" s="148"/>
      <c r="Q882" s="148"/>
    </row>
    <row r="883" customFormat="false" ht="12.75" hidden="false" customHeight="false" outlineLevel="0" collapsed="false">
      <c r="L883" s="148"/>
      <c r="M883" s="148"/>
      <c r="N883" s="148"/>
      <c r="O883" s="148"/>
      <c r="P883" s="148"/>
      <c r="Q883" s="148"/>
    </row>
    <row r="884" customFormat="false" ht="12.75" hidden="false" customHeight="false" outlineLevel="0" collapsed="false">
      <c r="L884" s="148"/>
      <c r="M884" s="148"/>
      <c r="N884" s="148"/>
      <c r="O884" s="148"/>
      <c r="P884" s="148"/>
      <c r="Q884" s="148"/>
    </row>
    <row r="885" customFormat="false" ht="12.75" hidden="false" customHeight="false" outlineLevel="0" collapsed="false">
      <c r="L885" s="148"/>
      <c r="M885" s="148"/>
      <c r="N885" s="148"/>
      <c r="O885" s="148"/>
      <c r="P885" s="148"/>
      <c r="Q885" s="148"/>
    </row>
    <row r="886" customFormat="false" ht="12.75" hidden="false" customHeight="false" outlineLevel="0" collapsed="false">
      <c r="L886" s="148"/>
      <c r="M886" s="148"/>
      <c r="N886" s="148"/>
      <c r="O886" s="148"/>
      <c r="P886" s="148"/>
      <c r="Q886" s="148"/>
    </row>
    <row r="887" customFormat="false" ht="12.75" hidden="false" customHeight="false" outlineLevel="0" collapsed="false">
      <c r="L887" s="148"/>
      <c r="M887" s="148"/>
      <c r="N887" s="148"/>
      <c r="O887" s="148"/>
      <c r="P887" s="148"/>
      <c r="Q887" s="148"/>
    </row>
    <row r="888" customFormat="false" ht="12.75" hidden="false" customHeight="false" outlineLevel="0" collapsed="false">
      <c r="L888" s="148"/>
      <c r="M888" s="148"/>
      <c r="N888" s="148"/>
      <c r="O888" s="148"/>
      <c r="P888" s="148"/>
      <c r="Q888" s="148"/>
    </row>
    <row r="889" customFormat="false" ht="12.75" hidden="false" customHeight="false" outlineLevel="0" collapsed="false">
      <c r="L889" s="148"/>
      <c r="M889" s="148"/>
      <c r="N889" s="148"/>
      <c r="O889" s="148"/>
      <c r="P889" s="148"/>
      <c r="Q889" s="148"/>
    </row>
    <row r="890" customFormat="false" ht="12.75" hidden="false" customHeight="false" outlineLevel="0" collapsed="false">
      <c r="L890" s="148"/>
      <c r="M890" s="148"/>
      <c r="N890" s="148"/>
      <c r="O890" s="148"/>
      <c r="P890" s="148"/>
      <c r="Q890" s="148"/>
    </row>
    <row r="891" customFormat="false" ht="12.75" hidden="false" customHeight="false" outlineLevel="0" collapsed="false">
      <c r="L891" s="148"/>
      <c r="M891" s="148"/>
      <c r="N891" s="148"/>
      <c r="O891" s="148"/>
      <c r="P891" s="148"/>
      <c r="Q891" s="148"/>
    </row>
    <row r="892" customFormat="false" ht="12.75" hidden="false" customHeight="false" outlineLevel="0" collapsed="false">
      <c r="L892" s="148"/>
      <c r="M892" s="148"/>
      <c r="N892" s="148"/>
      <c r="O892" s="148"/>
      <c r="P892" s="148"/>
      <c r="Q892" s="148"/>
    </row>
    <row r="893" customFormat="false" ht="12.75" hidden="false" customHeight="false" outlineLevel="0" collapsed="false">
      <c r="L893" s="148"/>
      <c r="M893" s="148"/>
      <c r="N893" s="148"/>
      <c r="O893" s="148"/>
      <c r="P893" s="148"/>
      <c r="Q893" s="148"/>
    </row>
    <row r="894" customFormat="false" ht="12.75" hidden="false" customHeight="false" outlineLevel="0" collapsed="false">
      <c r="L894" s="148"/>
      <c r="M894" s="148"/>
      <c r="N894" s="148"/>
      <c r="O894" s="148"/>
      <c r="P894" s="148"/>
      <c r="Q894" s="148"/>
    </row>
    <row r="895" customFormat="false" ht="12.75" hidden="false" customHeight="false" outlineLevel="0" collapsed="false">
      <c r="L895" s="148"/>
      <c r="M895" s="148"/>
      <c r="N895" s="148"/>
      <c r="O895" s="148"/>
      <c r="P895" s="148"/>
      <c r="Q895" s="148"/>
    </row>
    <row r="896" customFormat="false" ht="12.75" hidden="false" customHeight="false" outlineLevel="0" collapsed="false">
      <c r="L896" s="148"/>
      <c r="M896" s="148"/>
      <c r="N896" s="148"/>
      <c r="O896" s="148"/>
      <c r="P896" s="148"/>
      <c r="Q896" s="148"/>
    </row>
    <row r="897" customFormat="false" ht="12.75" hidden="false" customHeight="false" outlineLevel="0" collapsed="false">
      <c r="L897" s="148"/>
      <c r="M897" s="148"/>
      <c r="N897" s="148"/>
      <c r="O897" s="148"/>
      <c r="P897" s="148"/>
      <c r="Q897" s="148"/>
    </row>
    <row r="898" customFormat="false" ht="12.75" hidden="false" customHeight="false" outlineLevel="0" collapsed="false">
      <c r="L898" s="148"/>
      <c r="M898" s="148"/>
      <c r="N898" s="148"/>
      <c r="O898" s="148"/>
      <c r="P898" s="148"/>
      <c r="Q898" s="148"/>
    </row>
    <row r="899" customFormat="false" ht="12.75" hidden="false" customHeight="false" outlineLevel="0" collapsed="false">
      <c r="L899" s="148"/>
      <c r="M899" s="148"/>
      <c r="N899" s="148"/>
      <c r="O899" s="148"/>
      <c r="P899" s="148"/>
      <c r="Q899" s="148"/>
    </row>
    <row r="900" customFormat="false" ht="12.75" hidden="false" customHeight="false" outlineLevel="0" collapsed="false">
      <c r="L900" s="148"/>
      <c r="M900" s="148"/>
      <c r="N900" s="148"/>
      <c r="O900" s="148"/>
      <c r="P900" s="148"/>
      <c r="Q900" s="148"/>
    </row>
    <row r="901" customFormat="false" ht="12.75" hidden="false" customHeight="false" outlineLevel="0" collapsed="false">
      <c r="L901" s="148"/>
      <c r="M901" s="148"/>
      <c r="N901" s="148"/>
      <c r="O901" s="148"/>
      <c r="P901" s="148"/>
      <c r="Q901" s="148"/>
    </row>
    <row r="902" customFormat="false" ht="12.75" hidden="false" customHeight="false" outlineLevel="0" collapsed="false">
      <c r="L902" s="148"/>
      <c r="M902" s="148"/>
      <c r="N902" s="148"/>
      <c r="O902" s="148"/>
      <c r="P902" s="148"/>
      <c r="Q902" s="148"/>
    </row>
    <row r="903" customFormat="false" ht="12.75" hidden="false" customHeight="false" outlineLevel="0" collapsed="false">
      <c r="L903" s="148"/>
      <c r="M903" s="148"/>
      <c r="N903" s="148"/>
      <c r="O903" s="148"/>
      <c r="P903" s="148"/>
      <c r="Q903" s="148"/>
    </row>
    <row r="904" customFormat="false" ht="12.75" hidden="false" customHeight="false" outlineLevel="0" collapsed="false">
      <c r="L904" s="148"/>
      <c r="M904" s="148"/>
      <c r="N904" s="148"/>
      <c r="O904" s="148"/>
      <c r="P904" s="148"/>
      <c r="Q904" s="148"/>
    </row>
    <row r="905" customFormat="false" ht="12.75" hidden="false" customHeight="false" outlineLevel="0" collapsed="false">
      <c r="L905" s="148"/>
      <c r="M905" s="148"/>
      <c r="N905" s="148"/>
      <c r="O905" s="148"/>
      <c r="P905" s="148"/>
      <c r="Q905" s="148"/>
    </row>
    <row r="906" customFormat="false" ht="12.75" hidden="false" customHeight="false" outlineLevel="0" collapsed="false">
      <c r="L906" s="148"/>
      <c r="M906" s="148"/>
      <c r="N906" s="148"/>
      <c r="O906" s="148"/>
      <c r="P906" s="148"/>
      <c r="Q906" s="148"/>
    </row>
    <row r="907" customFormat="false" ht="12.75" hidden="false" customHeight="false" outlineLevel="0" collapsed="false">
      <c r="L907" s="148"/>
      <c r="M907" s="148"/>
      <c r="N907" s="148"/>
      <c r="O907" s="148"/>
      <c r="P907" s="148"/>
      <c r="Q907" s="148"/>
    </row>
    <row r="908" customFormat="false" ht="12.75" hidden="false" customHeight="false" outlineLevel="0" collapsed="false">
      <c r="L908" s="148"/>
      <c r="M908" s="148"/>
      <c r="N908" s="148"/>
      <c r="O908" s="148"/>
      <c r="P908" s="148"/>
      <c r="Q908" s="148"/>
    </row>
    <row r="909" customFormat="false" ht="12.75" hidden="false" customHeight="false" outlineLevel="0" collapsed="false">
      <c r="L909" s="148"/>
      <c r="M909" s="148"/>
      <c r="N909" s="148"/>
      <c r="O909" s="148"/>
      <c r="P909" s="148"/>
      <c r="Q909" s="148"/>
    </row>
    <row r="910" customFormat="false" ht="12.75" hidden="false" customHeight="false" outlineLevel="0" collapsed="false">
      <c r="L910" s="148"/>
      <c r="M910" s="148"/>
      <c r="N910" s="148"/>
      <c r="O910" s="148"/>
      <c r="P910" s="148"/>
      <c r="Q910" s="148"/>
    </row>
    <row r="911" customFormat="false" ht="12.75" hidden="false" customHeight="false" outlineLevel="0" collapsed="false">
      <c r="L911" s="148"/>
      <c r="M911" s="148"/>
      <c r="N911" s="148"/>
      <c r="O911" s="148"/>
      <c r="P911" s="148"/>
      <c r="Q911" s="148"/>
    </row>
    <row r="912" customFormat="false" ht="12.75" hidden="false" customHeight="false" outlineLevel="0" collapsed="false">
      <c r="L912" s="148"/>
      <c r="M912" s="148"/>
      <c r="N912" s="148"/>
      <c r="O912" s="148"/>
      <c r="P912" s="148"/>
      <c r="Q912" s="148"/>
    </row>
    <row r="913" customFormat="false" ht="12.75" hidden="false" customHeight="false" outlineLevel="0" collapsed="false">
      <c r="L913" s="148"/>
      <c r="M913" s="148"/>
      <c r="N913" s="148"/>
      <c r="O913" s="148"/>
      <c r="P913" s="148"/>
      <c r="Q913" s="148"/>
    </row>
    <row r="914" customFormat="false" ht="12.75" hidden="false" customHeight="false" outlineLevel="0" collapsed="false">
      <c r="L914" s="148"/>
      <c r="M914" s="148"/>
      <c r="N914" s="148"/>
      <c r="O914" s="148"/>
      <c r="P914" s="148"/>
      <c r="Q914" s="148"/>
    </row>
    <row r="915" customFormat="false" ht="12.75" hidden="false" customHeight="false" outlineLevel="0" collapsed="false">
      <c r="L915" s="148"/>
      <c r="M915" s="148"/>
      <c r="N915" s="148"/>
      <c r="O915" s="148"/>
      <c r="P915" s="148"/>
      <c r="Q915" s="148"/>
    </row>
    <row r="916" customFormat="false" ht="12.75" hidden="false" customHeight="false" outlineLevel="0" collapsed="false">
      <c r="L916" s="148"/>
      <c r="M916" s="148"/>
      <c r="N916" s="148"/>
      <c r="O916" s="148"/>
      <c r="P916" s="148"/>
      <c r="Q916" s="148"/>
    </row>
    <row r="917" customFormat="false" ht="12.75" hidden="false" customHeight="false" outlineLevel="0" collapsed="false">
      <c r="L917" s="148"/>
      <c r="M917" s="148"/>
      <c r="N917" s="148"/>
      <c r="O917" s="148"/>
      <c r="P917" s="148"/>
      <c r="Q917" s="148"/>
    </row>
    <row r="918" customFormat="false" ht="12.75" hidden="false" customHeight="false" outlineLevel="0" collapsed="false">
      <c r="L918" s="148"/>
      <c r="M918" s="148"/>
      <c r="N918" s="148"/>
      <c r="O918" s="148"/>
      <c r="P918" s="148"/>
      <c r="Q918" s="148"/>
    </row>
    <row r="919" customFormat="false" ht="12.75" hidden="false" customHeight="false" outlineLevel="0" collapsed="false">
      <c r="L919" s="148"/>
      <c r="M919" s="148"/>
      <c r="N919" s="148"/>
      <c r="O919" s="148"/>
      <c r="P919" s="148"/>
      <c r="Q919" s="148"/>
    </row>
    <row r="920" customFormat="false" ht="12.75" hidden="false" customHeight="false" outlineLevel="0" collapsed="false">
      <c r="L920" s="148"/>
      <c r="M920" s="148"/>
      <c r="N920" s="148"/>
      <c r="O920" s="148"/>
      <c r="P920" s="148"/>
      <c r="Q920" s="148"/>
    </row>
    <row r="921" customFormat="false" ht="12.75" hidden="false" customHeight="false" outlineLevel="0" collapsed="false">
      <c r="L921" s="148"/>
      <c r="M921" s="148"/>
      <c r="N921" s="148"/>
      <c r="O921" s="148"/>
      <c r="P921" s="148"/>
      <c r="Q921" s="148"/>
    </row>
    <row r="922" customFormat="false" ht="12.75" hidden="false" customHeight="false" outlineLevel="0" collapsed="false">
      <c r="L922" s="148"/>
      <c r="M922" s="148"/>
      <c r="N922" s="148"/>
      <c r="O922" s="148"/>
      <c r="P922" s="148"/>
      <c r="Q922" s="148"/>
    </row>
    <row r="923" customFormat="false" ht="12.75" hidden="false" customHeight="false" outlineLevel="0" collapsed="false">
      <c r="L923" s="148"/>
      <c r="M923" s="148"/>
      <c r="N923" s="148"/>
      <c r="O923" s="148"/>
      <c r="P923" s="148"/>
      <c r="Q923" s="148"/>
    </row>
    <row r="924" customFormat="false" ht="12.75" hidden="false" customHeight="false" outlineLevel="0" collapsed="false">
      <c r="L924" s="148"/>
      <c r="M924" s="148"/>
      <c r="N924" s="148"/>
      <c r="O924" s="148"/>
      <c r="P924" s="148"/>
      <c r="Q924" s="148"/>
    </row>
    <row r="925" customFormat="false" ht="12.75" hidden="false" customHeight="false" outlineLevel="0" collapsed="false">
      <c r="L925" s="148"/>
      <c r="M925" s="148"/>
      <c r="N925" s="148"/>
      <c r="O925" s="148"/>
      <c r="P925" s="148"/>
      <c r="Q925" s="148"/>
    </row>
    <row r="926" customFormat="false" ht="12.75" hidden="false" customHeight="false" outlineLevel="0" collapsed="false">
      <c r="L926" s="148"/>
      <c r="M926" s="148"/>
      <c r="N926" s="148"/>
      <c r="O926" s="148"/>
      <c r="P926" s="148"/>
      <c r="Q926" s="148"/>
    </row>
    <row r="927" customFormat="false" ht="12.75" hidden="false" customHeight="false" outlineLevel="0" collapsed="false">
      <c r="L927" s="148"/>
      <c r="M927" s="148"/>
      <c r="N927" s="148"/>
      <c r="O927" s="148"/>
      <c r="P927" s="148"/>
      <c r="Q927" s="148"/>
    </row>
    <row r="928" customFormat="false" ht="12.75" hidden="false" customHeight="false" outlineLevel="0" collapsed="false">
      <c r="L928" s="148"/>
      <c r="M928" s="148"/>
      <c r="N928" s="148"/>
      <c r="O928" s="148"/>
      <c r="P928" s="148"/>
      <c r="Q928" s="148"/>
    </row>
    <row r="929" customFormat="false" ht="12.75" hidden="false" customHeight="false" outlineLevel="0" collapsed="false">
      <c r="L929" s="148"/>
      <c r="M929" s="148"/>
      <c r="N929" s="148"/>
      <c r="O929" s="148"/>
      <c r="P929" s="148"/>
      <c r="Q929" s="148"/>
    </row>
    <row r="930" customFormat="false" ht="12.75" hidden="false" customHeight="false" outlineLevel="0" collapsed="false">
      <c r="L930" s="148"/>
      <c r="M930" s="148"/>
      <c r="N930" s="148"/>
      <c r="O930" s="148"/>
      <c r="P930" s="148"/>
      <c r="Q930" s="148"/>
    </row>
    <row r="931" customFormat="false" ht="12.75" hidden="false" customHeight="false" outlineLevel="0" collapsed="false">
      <c r="L931" s="148"/>
      <c r="M931" s="148"/>
      <c r="N931" s="148"/>
      <c r="O931" s="148"/>
      <c r="P931" s="148"/>
      <c r="Q931" s="148"/>
    </row>
    <row r="932" customFormat="false" ht="12.75" hidden="false" customHeight="false" outlineLevel="0" collapsed="false">
      <c r="L932" s="148"/>
      <c r="M932" s="148"/>
      <c r="N932" s="148"/>
      <c r="O932" s="148"/>
      <c r="P932" s="148"/>
      <c r="Q932" s="148"/>
    </row>
    <row r="933" customFormat="false" ht="12.75" hidden="false" customHeight="false" outlineLevel="0" collapsed="false">
      <c r="L933" s="148"/>
      <c r="M933" s="148"/>
      <c r="N933" s="148"/>
      <c r="O933" s="148"/>
      <c r="P933" s="148"/>
      <c r="Q933" s="148"/>
    </row>
    <row r="934" customFormat="false" ht="12.75" hidden="false" customHeight="false" outlineLevel="0" collapsed="false">
      <c r="L934" s="148"/>
      <c r="M934" s="148"/>
      <c r="N934" s="148"/>
      <c r="O934" s="148"/>
      <c r="P934" s="148"/>
      <c r="Q934" s="148"/>
    </row>
    <row r="935" customFormat="false" ht="12.75" hidden="false" customHeight="false" outlineLevel="0" collapsed="false">
      <c r="L935" s="148"/>
      <c r="M935" s="148"/>
      <c r="N935" s="148"/>
      <c r="O935" s="148"/>
      <c r="P935" s="148"/>
      <c r="Q935" s="148"/>
    </row>
    <row r="936" customFormat="false" ht="12.75" hidden="false" customHeight="false" outlineLevel="0" collapsed="false">
      <c r="L936" s="148"/>
      <c r="M936" s="148"/>
      <c r="N936" s="148"/>
      <c r="O936" s="148"/>
      <c r="P936" s="148"/>
      <c r="Q936" s="148"/>
    </row>
    <row r="937" customFormat="false" ht="12.75" hidden="false" customHeight="false" outlineLevel="0" collapsed="false">
      <c r="L937" s="148"/>
      <c r="M937" s="148"/>
      <c r="N937" s="148"/>
      <c r="O937" s="148"/>
      <c r="P937" s="148"/>
      <c r="Q937" s="148"/>
    </row>
    <row r="938" customFormat="false" ht="12.75" hidden="false" customHeight="false" outlineLevel="0" collapsed="false">
      <c r="L938" s="148"/>
      <c r="M938" s="148"/>
      <c r="N938" s="148"/>
      <c r="O938" s="148"/>
      <c r="P938" s="148"/>
      <c r="Q938" s="148"/>
    </row>
    <row r="939" customFormat="false" ht="12.75" hidden="false" customHeight="false" outlineLevel="0" collapsed="false">
      <c r="L939" s="148"/>
      <c r="M939" s="148"/>
      <c r="N939" s="148"/>
      <c r="O939" s="148"/>
      <c r="P939" s="148"/>
      <c r="Q939" s="148"/>
    </row>
    <row r="940" customFormat="false" ht="12.75" hidden="false" customHeight="false" outlineLevel="0" collapsed="false">
      <c r="L940" s="148"/>
      <c r="M940" s="148"/>
      <c r="N940" s="148"/>
      <c r="O940" s="148"/>
      <c r="P940" s="148"/>
      <c r="Q940" s="148"/>
    </row>
    <row r="941" customFormat="false" ht="12.75" hidden="false" customHeight="false" outlineLevel="0" collapsed="false">
      <c r="L941" s="148"/>
      <c r="M941" s="148"/>
      <c r="N941" s="148"/>
      <c r="O941" s="148"/>
      <c r="P941" s="148"/>
      <c r="Q941" s="148"/>
    </row>
    <row r="942" customFormat="false" ht="12.75" hidden="false" customHeight="false" outlineLevel="0" collapsed="false">
      <c r="L942" s="148"/>
      <c r="M942" s="148"/>
      <c r="N942" s="148"/>
      <c r="O942" s="148"/>
      <c r="P942" s="148"/>
      <c r="Q942" s="148"/>
    </row>
    <row r="943" customFormat="false" ht="12.75" hidden="false" customHeight="false" outlineLevel="0" collapsed="false">
      <c r="L943" s="148"/>
      <c r="M943" s="148"/>
      <c r="N943" s="148"/>
      <c r="O943" s="148"/>
      <c r="P943" s="148"/>
      <c r="Q943" s="148"/>
    </row>
    <row r="944" customFormat="false" ht="12.75" hidden="false" customHeight="false" outlineLevel="0" collapsed="false">
      <c r="L944" s="148"/>
      <c r="M944" s="148"/>
      <c r="N944" s="148"/>
      <c r="O944" s="148"/>
      <c r="P944" s="148"/>
      <c r="Q944" s="148"/>
    </row>
    <row r="945" customFormat="false" ht="12.75" hidden="false" customHeight="false" outlineLevel="0" collapsed="false">
      <c r="L945" s="148"/>
      <c r="M945" s="148"/>
      <c r="N945" s="148"/>
      <c r="O945" s="148"/>
      <c r="P945" s="148"/>
      <c r="Q945" s="148"/>
    </row>
    <row r="946" customFormat="false" ht="12.75" hidden="false" customHeight="false" outlineLevel="0" collapsed="false">
      <c r="L946" s="148"/>
      <c r="M946" s="148"/>
      <c r="N946" s="148"/>
      <c r="O946" s="148"/>
      <c r="P946" s="148"/>
      <c r="Q946" s="148"/>
    </row>
    <row r="947" customFormat="false" ht="12.75" hidden="false" customHeight="false" outlineLevel="0" collapsed="false">
      <c r="L947" s="148"/>
      <c r="M947" s="148"/>
      <c r="N947" s="148"/>
      <c r="O947" s="148"/>
      <c r="P947" s="148"/>
      <c r="Q947" s="148"/>
    </row>
    <row r="948" customFormat="false" ht="12.75" hidden="false" customHeight="false" outlineLevel="0" collapsed="false">
      <c r="L948" s="148"/>
      <c r="M948" s="148"/>
      <c r="N948" s="148"/>
      <c r="O948" s="148"/>
      <c r="P948" s="148"/>
      <c r="Q948" s="148"/>
    </row>
    <row r="949" customFormat="false" ht="12.75" hidden="false" customHeight="false" outlineLevel="0" collapsed="false">
      <c r="L949" s="148"/>
      <c r="M949" s="148"/>
      <c r="N949" s="148"/>
      <c r="O949" s="148"/>
      <c r="P949" s="148"/>
      <c r="Q949" s="148"/>
    </row>
    <row r="950" customFormat="false" ht="12.75" hidden="false" customHeight="false" outlineLevel="0" collapsed="false">
      <c r="L950" s="148"/>
      <c r="M950" s="148"/>
      <c r="N950" s="148"/>
      <c r="O950" s="148"/>
      <c r="P950" s="148"/>
      <c r="Q950" s="148"/>
    </row>
    <row r="951" customFormat="false" ht="12.75" hidden="false" customHeight="false" outlineLevel="0" collapsed="false">
      <c r="L951" s="148"/>
      <c r="M951" s="148"/>
      <c r="N951" s="148"/>
      <c r="O951" s="148"/>
      <c r="P951" s="148"/>
      <c r="Q951" s="148"/>
    </row>
    <row r="952" customFormat="false" ht="12.75" hidden="false" customHeight="false" outlineLevel="0" collapsed="false">
      <c r="L952" s="148"/>
      <c r="M952" s="148"/>
      <c r="N952" s="148"/>
      <c r="O952" s="148"/>
      <c r="P952" s="148"/>
      <c r="Q952" s="148"/>
    </row>
    <row r="953" customFormat="false" ht="12.75" hidden="false" customHeight="false" outlineLevel="0" collapsed="false">
      <c r="L953" s="148"/>
      <c r="M953" s="148"/>
      <c r="N953" s="148"/>
      <c r="O953" s="148"/>
      <c r="P953" s="148"/>
      <c r="Q953" s="148"/>
    </row>
    <row r="954" customFormat="false" ht="12.75" hidden="false" customHeight="false" outlineLevel="0" collapsed="false">
      <c r="L954" s="148"/>
      <c r="M954" s="148"/>
      <c r="N954" s="148"/>
      <c r="O954" s="148"/>
      <c r="P954" s="148"/>
      <c r="Q954" s="148"/>
    </row>
    <row r="955" customFormat="false" ht="12.75" hidden="false" customHeight="false" outlineLevel="0" collapsed="false">
      <c r="L955" s="148"/>
      <c r="M955" s="148"/>
      <c r="N955" s="148"/>
      <c r="O955" s="148"/>
      <c r="P955" s="148"/>
      <c r="Q955" s="148"/>
    </row>
    <row r="956" customFormat="false" ht="12.75" hidden="false" customHeight="false" outlineLevel="0" collapsed="false">
      <c r="L956" s="148"/>
      <c r="M956" s="148"/>
      <c r="N956" s="148"/>
      <c r="O956" s="148"/>
      <c r="P956" s="148"/>
      <c r="Q956" s="148"/>
    </row>
    <row r="957" customFormat="false" ht="12.75" hidden="false" customHeight="false" outlineLevel="0" collapsed="false">
      <c r="L957" s="148"/>
      <c r="M957" s="148"/>
      <c r="N957" s="148"/>
      <c r="O957" s="148"/>
      <c r="P957" s="148"/>
      <c r="Q957" s="148"/>
    </row>
    <row r="958" customFormat="false" ht="12.75" hidden="false" customHeight="false" outlineLevel="0" collapsed="false">
      <c r="L958" s="148"/>
      <c r="M958" s="148"/>
      <c r="N958" s="148"/>
      <c r="O958" s="148"/>
      <c r="P958" s="148"/>
      <c r="Q958" s="148"/>
    </row>
    <row r="959" customFormat="false" ht="12.75" hidden="false" customHeight="false" outlineLevel="0" collapsed="false">
      <c r="L959" s="148"/>
      <c r="M959" s="148"/>
      <c r="N959" s="148"/>
      <c r="O959" s="148"/>
      <c r="P959" s="148"/>
      <c r="Q959" s="148"/>
    </row>
    <row r="960" customFormat="false" ht="12.75" hidden="false" customHeight="false" outlineLevel="0" collapsed="false">
      <c r="L960" s="148"/>
      <c r="M960" s="148"/>
      <c r="N960" s="148"/>
      <c r="O960" s="148"/>
      <c r="P960" s="148"/>
      <c r="Q960" s="148"/>
    </row>
    <row r="961" customFormat="false" ht="12.75" hidden="false" customHeight="false" outlineLevel="0" collapsed="false">
      <c r="L961" s="148"/>
      <c r="M961" s="148"/>
      <c r="N961" s="148"/>
      <c r="O961" s="148"/>
      <c r="P961" s="148"/>
      <c r="Q961" s="148"/>
    </row>
    <row r="962" customFormat="false" ht="12.75" hidden="false" customHeight="false" outlineLevel="0" collapsed="false">
      <c r="L962" s="148"/>
      <c r="M962" s="148"/>
      <c r="N962" s="148"/>
      <c r="O962" s="148"/>
      <c r="P962" s="148"/>
      <c r="Q962" s="148"/>
    </row>
    <row r="963" customFormat="false" ht="12.75" hidden="false" customHeight="false" outlineLevel="0" collapsed="false">
      <c r="L963" s="148"/>
      <c r="M963" s="148"/>
      <c r="N963" s="148"/>
      <c r="O963" s="148"/>
      <c r="P963" s="148"/>
      <c r="Q963" s="148"/>
    </row>
    <row r="964" customFormat="false" ht="12.75" hidden="false" customHeight="false" outlineLevel="0" collapsed="false">
      <c r="L964" s="148"/>
      <c r="M964" s="148"/>
      <c r="N964" s="148"/>
      <c r="O964" s="148"/>
      <c r="P964" s="148"/>
      <c r="Q964" s="148"/>
    </row>
    <row r="965" customFormat="false" ht="12.75" hidden="false" customHeight="false" outlineLevel="0" collapsed="false">
      <c r="L965" s="148"/>
      <c r="M965" s="148"/>
      <c r="N965" s="148"/>
      <c r="O965" s="148"/>
      <c r="P965" s="148"/>
      <c r="Q965" s="148"/>
    </row>
    <row r="966" customFormat="false" ht="12.75" hidden="false" customHeight="false" outlineLevel="0" collapsed="false">
      <c r="L966" s="148"/>
      <c r="M966" s="148"/>
      <c r="N966" s="148"/>
      <c r="O966" s="148"/>
      <c r="P966" s="148"/>
      <c r="Q966" s="148"/>
    </row>
    <row r="967" customFormat="false" ht="12.75" hidden="false" customHeight="false" outlineLevel="0" collapsed="false">
      <c r="L967" s="148"/>
      <c r="M967" s="148"/>
      <c r="N967" s="148"/>
      <c r="O967" s="148"/>
      <c r="P967" s="148"/>
      <c r="Q967" s="148"/>
    </row>
    <row r="968" customFormat="false" ht="12.75" hidden="false" customHeight="false" outlineLevel="0" collapsed="false">
      <c r="L968" s="148"/>
      <c r="M968" s="148"/>
      <c r="N968" s="148"/>
      <c r="O968" s="148"/>
      <c r="P968" s="148"/>
      <c r="Q968" s="148"/>
    </row>
    <row r="969" customFormat="false" ht="12.75" hidden="false" customHeight="false" outlineLevel="0" collapsed="false">
      <c r="L969" s="148"/>
      <c r="M969" s="148"/>
      <c r="N969" s="148"/>
      <c r="O969" s="148"/>
      <c r="P969" s="148"/>
      <c r="Q969" s="148"/>
    </row>
    <row r="970" customFormat="false" ht="12.75" hidden="false" customHeight="false" outlineLevel="0" collapsed="false">
      <c r="L970" s="148"/>
      <c r="M970" s="148"/>
      <c r="N970" s="148"/>
      <c r="O970" s="148"/>
      <c r="P970" s="148"/>
      <c r="Q970" s="148"/>
    </row>
    <row r="971" customFormat="false" ht="12.75" hidden="false" customHeight="false" outlineLevel="0" collapsed="false">
      <c r="L971" s="148"/>
      <c r="M971" s="148"/>
      <c r="N971" s="148"/>
      <c r="O971" s="148"/>
      <c r="P971" s="148"/>
      <c r="Q971" s="148"/>
    </row>
    <row r="972" customFormat="false" ht="12.75" hidden="false" customHeight="false" outlineLevel="0" collapsed="false">
      <c r="L972" s="148"/>
      <c r="M972" s="148"/>
      <c r="N972" s="148"/>
      <c r="O972" s="148"/>
      <c r="P972" s="148"/>
      <c r="Q972" s="148"/>
    </row>
    <row r="973" customFormat="false" ht="12.75" hidden="false" customHeight="false" outlineLevel="0" collapsed="false">
      <c r="L973" s="148"/>
      <c r="M973" s="148"/>
      <c r="N973" s="148"/>
      <c r="O973" s="148"/>
      <c r="P973" s="148"/>
      <c r="Q973" s="148"/>
    </row>
    <row r="974" customFormat="false" ht="12.75" hidden="false" customHeight="false" outlineLevel="0" collapsed="false">
      <c r="L974" s="148"/>
      <c r="M974" s="148"/>
      <c r="N974" s="148"/>
      <c r="O974" s="148"/>
      <c r="P974" s="148"/>
      <c r="Q974" s="148"/>
    </row>
    <row r="975" customFormat="false" ht="12.75" hidden="false" customHeight="false" outlineLevel="0" collapsed="false">
      <c r="L975" s="148"/>
      <c r="M975" s="148"/>
      <c r="N975" s="148"/>
      <c r="O975" s="148"/>
      <c r="P975" s="148"/>
      <c r="Q975" s="148"/>
    </row>
    <row r="976" customFormat="false" ht="12.75" hidden="false" customHeight="false" outlineLevel="0" collapsed="false">
      <c r="L976" s="148"/>
      <c r="M976" s="148"/>
      <c r="N976" s="148"/>
      <c r="O976" s="148"/>
      <c r="P976" s="148"/>
      <c r="Q976" s="148"/>
    </row>
    <row r="977" customFormat="false" ht="12.75" hidden="false" customHeight="false" outlineLevel="0" collapsed="false">
      <c r="L977" s="148"/>
      <c r="M977" s="148"/>
      <c r="N977" s="148"/>
      <c r="O977" s="148"/>
      <c r="P977" s="148"/>
      <c r="Q977" s="148"/>
    </row>
    <row r="978" customFormat="false" ht="12.75" hidden="false" customHeight="false" outlineLevel="0" collapsed="false">
      <c r="L978" s="148"/>
      <c r="M978" s="148"/>
      <c r="N978" s="148"/>
      <c r="O978" s="148"/>
      <c r="P978" s="148"/>
      <c r="Q978" s="148"/>
    </row>
    <row r="979" customFormat="false" ht="12.75" hidden="false" customHeight="false" outlineLevel="0" collapsed="false">
      <c r="L979" s="148"/>
      <c r="M979" s="148"/>
      <c r="N979" s="148"/>
      <c r="O979" s="148"/>
      <c r="P979" s="148"/>
      <c r="Q979" s="148"/>
    </row>
    <row r="980" customFormat="false" ht="12.75" hidden="false" customHeight="false" outlineLevel="0" collapsed="false">
      <c r="L980" s="148"/>
      <c r="M980" s="148"/>
      <c r="N980" s="148"/>
      <c r="O980" s="148"/>
      <c r="P980" s="148"/>
      <c r="Q980" s="148"/>
    </row>
    <row r="981" customFormat="false" ht="12.75" hidden="false" customHeight="false" outlineLevel="0" collapsed="false">
      <c r="L981" s="148"/>
      <c r="M981" s="148"/>
      <c r="N981" s="148"/>
      <c r="O981" s="148"/>
      <c r="P981" s="148"/>
      <c r="Q981" s="148"/>
    </row>
    <row r="982" customFormat="false" ht="12.75" hidden="false" customHeight="false" outlineLevel="0" collapsed="false">
      <c r="L982" s="148"/>
      <c r="M982" s="148"/>
      <c r="N982" s="148"/>
      <c r="O982" s="148"/>
      <c r="P982" s="148"/>
      <c r="Q982" s="148"/>
    </row>
    <row r="983" customFormat="false" ht="12.75" hidden="false" customHeight="false" outlineLevel="0" collapsed="false">
      <c r="L983" s="148"/>
      <c r="M983" s="148"/>
      <c r="N983" s="148"/>
      <c r="O983" s="148"/>
      <c r="P983" s="148"/>
      <c r="Q983" s="148"/>
    </row>
    <row r="984" customFormat="false" ht="12.75" hidden="false" customHeight="false" outlineLevel="0" collapsed="false">
      <c r="L984" s="148"/>
      <c r="M984" s="148"/>
      <c r="N984" s="148"/>
      <c r="O984" s="148"/>
      <c r="P984" s="148"/>
      <c r="Q984" s="148"/>
    </row>
    <row r="985" customFormat="false" ht="12.75" hidden="false" customHeight="false" outlineLevel="0" collapsed="false">
      <c r="L985" s="148"/>
      <c r="M985" s="148"/>
      <c r="N985" s="148"/>
      <c r="O985" s="148"/>
      <c r="P985" s="148"/>
      <c r="Q985" s="148"/>
    </row>
    <row r="986" customFormat="false" ht="12.75" hidden="false" customHeight="false" outlineLevel="0" collapsed="false">
      <c r="L986" s="148"/>
      <c r="M986" s="148"/>
      <c r="N986" s="148"/>
      <c r="O986" s="148"/>
      <c r="P986" s="148"/>
      <c r="Q986" s="148"/>
    </row>
    <row r="987" customFormat="false" ht="12.75" hidden="false" customHeight="false" outlineLevel="0" collapsed="false">
      <c r="L987" s="148"/>
      <c r="M987" s="148"/>
      <c r="N987" s="148"/>
      <c r="O987" s="148"/>
      <c r="P987" s="148"/>
      <c r="Q987" s="148"/>
    </row>
    <row r="988" customFormat="false" ht="12.75" hidden="false" customHeight="false" outlineLevel="0" collapsed="false">
      <c r="L988" s="148"/>
      <c r="M988" s="148"/>
      <c r="N988" s="148"/>
      <c r="O988" s="148"/>
      <c r="P988" s="148"/>
      <c r="Q988" s="148"/>
    </row>
    <row r="989" customFormat="false" ht="12.75" hidden="false" customHeight="false" outlineLevel="0" collapsed="false">
      <c r="L989" s="148"/>
      <c r="M989" s="148"/>
      <c r="N989" s="148"/>
      <c r="O989" s="148"/>
      <c r="P989" s="148"/>
      <c r="Q989" s="148"/>
    </row>
    <row r="990" customFormat="false" ht="12.75" hidden="false" customHeight="false" outlineLevel="0" collapsed="false">
      <c r="L990" s="148"/>
      <c r="M990" s="148"/>
      <c r="N990" s="148"/>
      <c r="O990" s="148"/>
      <c r="P990" s="148"/>
      <c r="Q990" s="148"/>
    </row>
    <row r="991" customFormat="false" ht="12.75" hidden="false" customHeight="false" outlineLevel="0" collapsed="false">
      <c r="L991" s="148"/>
      <c r="M991" s="148"/>
      <c r="N991" s="148"/>
      <c r="O991" s="148"/>
      <c r="P991" s="148"/>
      <c r="Q991" s="148"/>
    </row>
    <row r="992" customFormat="false" ht="12.75" hidden="false" customHeight="false" outlineLevel="0" collapsed="false">
      <c r="L992" s="148"/>
      <c r="M992" s="148"/>
      <c r="N992" s="148"/>
      <c r="O992" s="148"/>
      <c r="P992" s="148"/>
      <c r="Q992" s="148"/>
    </row>
    <row r="993" customFormat="false" ht="12.75" hidden="false" customHeight="false" outlineLevel="0" collapsed="false">
      <c r="L993" s="148"/>
      <c r="M993" s="148"/>
      <c r="N993" s="148"/>
      <c r="O993" s="148"/>
      <c r="P993" s="148"/>
      <c r="Q993" s="148"/>
    </row>
    <row r="994" customFormat="false" ht="12.75" hidden="false" customHeight="false" outlineLevel="0" collapsed="false">
      <c r="L994" s="148"/>
      <c r="M994" s="148"/>
      <c r="N994" s="148"/>
      <c r="O994" s="148"/>
      <c r="P994" s="148"/>
      <c r="Q994" s="148"/>
    </row>
    <row r="995" customFormat="false" ht="12.75" hidden="false" customHeight="false" outlineLevel="0" collapsed="false">
      <c r="L995" s="148"/>
      <c r="M995" s="148"/>
      <c r="N995" s="148"/>
      <c r="O995" s="148"/>
      <c r="P995" s="148"/>
      <c r="Q995" s="148"/>
    </row>
    <row r="996" customFormat="false" ht="12.75" hidden="false" customHeight="false" outlineLevel="0" collapsed="false">
      <c r="L996" s="148"/>
      <c r="M996" s="148"/>
      <c r="N996" s="148"/>
      <c r="O996" s="148"/>
      <c r="P996" s="148"/>
      <c r="Q996" s="148"/>
    </row>
    <row r="997" customFormat="false" ht="12.75" hidden="false" customHeight="false" outlineLevel="0" collapsed="false">
      <c r="L997" s="148"/>
      <c r="M997" s="148"/>
      <c r="N997" s="148"/>
      <c r="O997" s="148"/>
      <c r="P997" s="148"/>
      <c r="Q997" s="148"/>
    </row>
    <row r="998" customFormat="false" ht="12.75" hidden="false" customHeight="false" outlineLevel="0" collapsed="false">
      <c r="L998" s="148"/>
      <c r="M998" s="148"/>
      <c r="N998" s="148"/>
      <c r="O998" s="148"/>
      <c r="P998" s="148"/>
      <c r="Q998" s="148"/>
    </row>
    <row r="999" customFormat="false" ht="12.75" hidden="false" customHeight="false" outlineLevel="0" collapsed="false">
      <c r="L999" s="148"/>
      <c r="M999" s="148"/>
      <c r="N999" s="148"/>
      <c r="O999" s="148"/>
      <c r="P999" s="148"/>
      <c r="Q999" s="148"/>
    </row>
    <row r="1000" customFormat="false" ht="12.75" hidden="false" customHeight="false" outlineLevel="0" collapsed="false">
      <c r="L1000" s="148"/>
      <c r="M1000" s="148"/>
      <c r="N1000" s="148"/>
      <c r="O1000" s="148"/>
      <c r="P1000" s="148"/>
      <c r="Q1000" s="148"/>
    </row>
    <row r="1001" customFormat="false" ht="12.75" hidden="false" customHeight="false" outlineLevel="0" collapsed="false">
      <c r="L1001" s="148"/>
      <c r="M1001" s="148"/>
      <c r="N1001" s="148"/>
      <c r="O1001" s="148"/>
      <c r="P1001" s="148"/>
      <c r="Q1001" s="148"/>
    </row>
    <row r="1002" customFormat="false" ht="12.75" hidden="false" customHeight="false" outlineLevel="0" collapsed="false">
      <c r="L1002" s="148"/>
      <c r="M1002" s="148"/>
      <c r="N1002" s="148"/>
      <c r="O1002" s="148"/>
      <c r="P1002" s="148"/>
      <c r="Q1002" s="148"/>
    </row>
    <row r="1003" customFormat="false" ht="12.75" hidden="false" customHeight="false" outlineLevel="0" collapsed="false">
      <c r="L1003" s="148"/>
      <c r="M1003" s="148"/>
      <c r="N1003" s="148"/>
      <c r="O1003" s="148"/>
      <c r="P1003" s="148"/>
      <c r="Q1003" s="148"/>
    </row>
    <row r="1004" customFormat="false" ht="12.75" hidden="false" customHeight="false" outlineLevel="0" collapsed="false">
      <c r="L1004" s="148"/>
      <c r="M1004" s="148"/>
      <c r="N1004" s="148"/>
      <c r="O1004" s="148"/>
      <c r="P1004" s="148"/>
      <c r="Q1004" s="148"/>
    </row>
    <row r="1005" customFormat="false" ht="12.75" hidden="false" customHeight="false" outlineLevel="0" collapsed="false">
      <c r="L1005" s="148"/>
      <c r="M1005" s="148"/>
      <c r="N1005" s="148"/>
      <c r="O1005" s="148"/>
      <c r="P1005" s="148"/>
      <c r="Q1005" s="148"/>
    </row>
    <row r="1006" customFormat="false" ht="12.75" hidden="false" customHeight="false" outlineLevel="0" collapsed="false">
      <c r="L1006" s="148"/>
      <c r="M1006" s="148"/>
      <c r="N1006" s="148"/>
      <c r="O1006" s="148"/>
      <c r="P1006" s="148"/>
      <c r="Q1006" s="148"/>
    </row>
    <row r="1007" customFormat="false" ht="12.75" hidden="false" customHeight="false" outlineLevel="0" collapsed="false">
      <c r="L1007" s="148"/>
      <c r="M1007" s="148"/>
      <c r="N1007" s="148"/>
      <c r="O1007" s="148"/>
      <c r="P1007" s="148"/>
      <c r="Q1007" s="148"/>
    </row>
    <row r="1008" customFormat="false" ht="12.75" hidden="false" customHeight="false" outlineLevel="0" collapsed="false">
      <c r="L1008" s="148"/>
      <c r="M1008" s="148"/>
      <c r="N1008" s="148"/>
      <c r="O1008" s="148"/>
      <c r="P1008" s="148"/>
      <c r="Q1008" s="148"/>
    </row>
    <row r="1009" customFormat="false" ht="12.75" hidden="false" customHeight="false" outlineLevel="0" collapsed="false">
      <c r="L1009" s="148"/>
      <c r="M1009" s="148"/>
      <c r="N1009" s="148"/>
      <c r="O1009" s="148"/>
      <c r="P1009" s="148"/>
      <c r="Q1009" s="148"/>
    </row>
    <row r="1010" customFormat="false" ht="12.75" hidden="false" customHeight="false" outlineLevel="0" collapsed="false">
      <c r="L1010" s="148"/>
      <c r="M1010" s="148"/>
      <c r="N1010" s="148"/>
      <c r="O1010" s="148"/>
      <c r="P1010" s="148"/>
      <c r="Q1010" s="148"/>
    </row>
    <row r="1011" customFormat="false" ht="12.75" hidden="false" customHeight="false" outlineLevel="0" collapsed="false">
      <c r="L1011" s="148"/>
      <c r="M1011" s="148"/>
      <c r="N1011" s="148"/>
      <c r="O1011" s="148"/>
      <c r="P1011" s="148"/>
      <c r="Q1011" s="148"/>
    </row>
    <row r="1012" customFormat="false" ht="12.75" hidden="false" customHeight="false" outlineLevel="0" collapsed="false">
      <c r="L1012" s="148"/>
      <c r="M1012" s="148"/>
      <c r="N1012" s="148"/>
      <c r="O1012" s="148"/>
      <c r="P1012" s="148"/>
      <c r="Q1012" s="148"/>
    </row>
    <row r="1013" customFormat="false" ht="12.75" hidden="false" customHeight="false" outlineLevel="0" collapsed="false">
      <c r="L1013" s="148"/>
      <c r="M1013" s="148"/>
      <c r="N1013" s="148"/>
      <c r="O1013" s="148"/>
      <c r="P1013" s="148"/>
      <c r="Q1013" s="148"/>
    </row>
    <row r="1014" customFormat="false" ht="12.75" hidden="false" customHeight="false" outlineLevel="0" collapsed="false">
      <c r="L1014" s="148"/>
      <c r="M1014" s="148"/>
      <c r="N1014" s="148"/>
      <c r="O1014" s="148"/>
      <c r="P1014" s="148"/>
      <c r="Q1014" s="148"/>
    </row>
    <row r="1015" customFormat="false" ht="12.75" hidden="false" customHeight="false" outlineLevel="0" collapsed="false">
      <c r="L1015" s="148"/>
      <c r="M1015" s="148"/>
      <c r="N1015" s="148"/>
      <c r="O1015" s="148"/>
      <c r="P1015" s="148"/>
      <c r="Q1015" s="148"/>
    </row>
    <row r="1016" customFormat="false" ht="12.75" hidden="false" customHeight="false" outlineLevel="0" collapsed="false">
      <c r="L1016" s="148"/>
      <c r="M1016" s="148"/>
      <c r="N1016" s="148"/>
      <c r="O1016" s="148"/>
      <c r="P1016" s="148"/>
      <c r="Q1016" s="148"/>
    </row>
    <row r="1017" customFormat="false" ht="12.75" hidden="false" customHeight="false" outlineLevel="0" collapsed="false">
      <c r="L1017" s="148"/>
      <c r="M1017" s="148"/>
      <c r="N1017" s="148"/>
      <c r="O1017" s="148"/>
      <c r="P1017" s="148"/>
      <c r="Q1017" s="148"/>
    </row>
    <row r="1018" customFormat="false" ht="12.75" hidden="false" customHeight="false" outlineLevel="0" collapsed="false">
      <c r="L1018" s="148"/>
      <c r="M1018" s="148"/>
      <c r="N1018" s="148"/>
      <c r="O1018" s="148"/>
      <c r="P1018" s="148"/>
      <c r="Q1018" s="148"/>
    </row>
    <row r="1019" customFormat="false" ht="12.75" hidden="false" customHeight="false" outlineLevel="0" collapsed="false">
      <c r="L1019" s="148"/>
      <c r="M1019" s="148"/>
      <c r="N1019" s="148"/>
      <c r="O1019" s="148"/>
      <c r="P1019" s="148"/>
      <c r="Q1019" s="148"/>
    </row>
    <row r="1020" customFormat="false" ht="12.75" hidden="false" customHeight="false" outlineLevel="0" collapsed="false">
      <c r="L1020" s="148"/>
      <c r="M1020" s="148"/>
      <c r="N1020" s="148"/>
      <c r="O1020" s="148"/>
      <c r="P1020" s="148"/>
      <c r="Q1020" s="148"/>
    </row>
    <row r="1021" customFormat="false" ht="12.75" hidden="false" customHeight="false" outlineLevel="0" collapsed="false">
      <c r="L1021" s="148"/>
      <c r="M1021" s="148"/>
      <c r="N1021" s="148"/>
      <c r="O1021" s="148"/>
      <c r="P1021" s="148"/>
      <c r="Q1021" s="148"/>
    </row>
    <row r="1022" customFormat="false" ht="12.75" hidden="false" customHeight="false" outlineLevel="0" collapsed="false">
      <c r="L1022" s="148"/>
      <c r="M1022" s="148"/>
      <c r="N1022" s="148"/>
      <c r="O1022" s="148"/>
      <c r="P1022" s="148"/>
      <c r="Q1022" s="148"/>
    </row>
    <row r="1023" customFormat="false" ht="12.75" hidden="false" customHeight="false" outlineLevel="0" collapsed="false">
      <c r="L1023" s="148"/>
      <c r="M1023" s="148"/>
      <c r="N1023" s="148"/>
      <c r="O1023" s="148"/>
      <c r="P1023" s="148"/>
      <c r="Q1023" s="148"/>
    </row>
    <row r="1024" customFormat="false" ht="12.75" hidden="false" customHeight="false" outlineLevel="0" collapsed="false">
      <c r="L1024" s="148"/>
      <c r="M1024" s="148"/>
      <c r="N1024" s="148"/>
      <c r="O1024" s="148"/>
      <c r="P1024" s="148"/>
      <c r="Q1024" s="148"/>
    </row>
    <row r="1025" customFormat="false" ht="12.75" hidden="false" customHeight="false" outlineLevel="0" collapsed="false">
      <c r="L1025" s="148"/>
      <c r="M1025" s="148"/>
      <c r="N1025" s="148"/>
      <c r="O1025" s="148"/>
      <c r="P1025" s="148"/>
      <c r="Q1025" s="148"/>
    </row>
    <row r="1026" customFormat="false" ht="12.75" hidden="false" customHeight="false" outlineLevel="0" collapsed="false">
      <c r="L1026" s="148"/>
      <c r="M1026" s="148"/>
      <c r="N1026" s="148"/>
      <c r="O1026" s="148"/>
      <c r="P1026" s="148"/>
      <c r="Q1026" s="148"/>
    </row>
    <row r="1027" customFormat="false" ht="12.75" hidden="false" customHeight="false" outlineLevel="0" collapsed="false">
      <c r="L1027" s="148"/>
      <c r="M1027" s="148"/>
      <c r="N1027" s="148"/>
      <c r="O1027" s="148"/>
      <c r="P1027" s="148"/>
      <c r="Q1027" s="148"/>
    </row>
    <row r="1028" customFormat="false" ht="12.75" hidden="false" customHeight="false" outlineLevel="0" collapsed="false">
      <c r="L1028" s="148"/>
      <c r="M1028" s="148"/>
      <c r="N1028" s="148"/>
      <c r="O1028" s="148"/>
      <c r="P1028" s="148"/>
      <c r="Q1028" s="148"/>
    </row>
    <row r="1029" customFormat="false" ht="12.75" hidden="false" customHeight="false" outlineLevel="0" collapsed="false">
      <c r="L1029" s="148"/>
      <c r="M1029" s="148"/>
      <c r="N1029" s="148"/>
      <c r="O1029" s="148"/>
      <c r="P1029" s="148"/>
      <c r="Q1029" s="148"/>
    </row>
    <row r="1030" customFormat="false" ht="12.75" hidden="false" customHeight="false" outlineLevel="0" collapsed="false">
      <c r="L1030" s="148"/>
      <c r="M1030" s="148"/>
      <c r="N1030" s="148"/>
      <c r="O1030" s="148"/>
      <c r="P1030" s="148"/>
      <c r="Q1030" s="148"/>
    </row>
    <row r="1031" customFormat="false" ht="12.75" hidden="false" customHeight="false" outlineLevel="0" collapsed="false">
      <c r="L1031" s="148"/>
      <c r="M1031" s="148"/>
      <c r="N1031" s="148"/>
      <c r="O1031" s="148"/>
      <c r="P1031" s="148"/>
      <c r="Q1031" s="148"/>
    </row>
    <row r="1032" customFormat="false" ht="12.75" hidden="false" customHeight="false" outlineLevel="0" collapsed="false">
      <c r="L1032" s="148"/>
      <c r="M1032" s="148"/>
      <c r="N1032" s="148"/>
      <c r="O1032" s="148"/>
      <c r="P1032" s="148"/>
      <c r="Q1032" s="148"/>
    </row>
    <row r="1033" customFormat="false" ht="12.75" hidden="false" customHeight="false" outlineLevel="0" collapsed="false">
      <c r="L1033" s="148"/>
      <c r="M1033" s="148"/>
      <c r="N1033" s="148"/>
      <c r="O1033" s="148"/>
      <c r="P1033" s="148"/>
      <c r="Q1033" s="148"/>
    </row>
    <row r="1034" customFormat="false" ht="12.75" hidden="false" customHeight="false" outlineLevel="0" collapsed="false">
      <c r="L1034" s="148"/>
      <c r="M1034" s="148"/>
      <c r="N1034" s="148"/>
      <c r="O1034" s="148"/>
      <c r="P1034" s="148"/>
      <c r="Q1034" s="148"/>
    </row>
    <row r="1035" customFormat="false" ht="12.75" hidden="false" customHeight="false" outlineLevel="0" collapsed="false">
      <c r="L1035" s="148"/>
      <c r="M1035" s="148"/>
      <c r="N1035" s="148"/>
      <c r="O1035" s="148"/>
      <c r="P1035" s="148"/>
      <c r="Q1035" s="148"/>
    </row>
    <row r="1036" customFormat="false" ht="12.75" hidden="false" customHeight="false" outlineLevel="0" collapsed="false">
      <c r="L1036" s="148"/>
      <c r="M1036" s="148"/>
      <c r="N1036" s="148"/>
      <c r="O1036" s="148"/>
      <c r="P1036" s="148"/>
      <c r="Q1036" s="148"/>
    </row>
    <row r="1037" customFormat="false" ht="12.75" hidden="false" customHeight="false" outlineLevel="0" collapsed="false">
      <c r="L1037" s="148"/>
      <c r="M1037" s="148"/>
      <c r="N1037" s="148"/>
      <c r="O1037" s="148"/>
      <c r="P1037" s="148"/>
      <c r="Q1037" s="148"/>
    </row>
    <row r="1038" customFormat="false" ht="12.75" hidden="false" customHeight="false" outlineLevel="0" collapsed="false">
      <c r="L1038" s="148"/>
      <c r="M1038" s="148"/>
      <c r="N1038" s="148"/>
      <c r="O1038" s="148"/>
      <c r="P1038" s="148"/>
      <c r="Q1038" s="148"/>
    </row>
    <row r="1039" customFormat="false" ht="12.75" hidden="false" customHeight="false" outlineLevel="0" collapsed="false">
      <c r="L1039" s="148"/>
      <c r="M1039" s="148"/>
      <c r="N1039" s="148"/>
      <c r="O1039" s="148"/>
      <c r="P1039" s="148"/>
      <c r="Q1039" s="148"/>
    </row>
    <row r="1040" customFormat="false" ht="12.75" hidden="false" customHeight="false" outlineLevel="0" collapsed="false">
      <c r="L1040" s="148"/>
      <c r="M1040" s="148"/>
      <c r="N1040" s="148"/>
      <c r="O1040" s="148"/>
      <c r="P1040" s="148"/>
      <c r="Q1040" s="148"/>
    </row>
    <row r="1041" customFormat="false" ht="12.75" hidden="false" customHeight="false" outlineLevel="0" collapsed="false">
      <c r="L1041" s="148"/>
      <c r="M1041" s="148"/>
      <c r="N1041" s="148"/>
      <c r="O1041" s="148"/>
      <c r="P1041" s="148"/>
      <c r="Q1041" s="148"/>
    </row>
    <row r="1042" customFormat="false" ht="12.75" hidden="false" customHeight="false" outlineLevel="0" collapsed="false">
      <c r="L1042" s="148"/>
      <c r="M1042" s="148"/>
      <c r="N1042" s="148"/>
      <c r="O1042" s="148"/>
      <c r="P1042" s="148"/>
      <c r="Q1042" s="148"/>
    </row>
    <row r="1043" customFormat="false" ht="12.75" hidden="false" customHeight="false" outlineLevel="0" collapsed="false">
      <c r="L1043" s="148"/>
      <c r="M1043" s="148"/>
      <c r="N1043" s="148"/>
      <c r="O1043" s="148"/>
      <c r="P1043" s="148"/>
      <c r="Q1043" s="148"/>
    </row>
    <row r="1044" customFormat="false" ht="12.75" hidden="false" customHeight="false" outlineLevel="0" collapsed="false">
      <c r="L1044" s="148"/>
      <c r="M1044" s="148"/>
      <c r="N1044" s="148"/>
      <c r="O1044" s="148"/>
      <c r="P1044" s="148"/>
      <c r="Q1044" s="148"/>
    </row>
    <row r="1045" customFormat="false" ht="12.75" hidden="false" customHeight="false" outlineLevel="0" collapsed="false">
      <c r="L1045" s="148"/>
      <c r="M1045" s="148"/>
      <c r="N1045" s="148"/>
      <c r="O1045" s="148"/>
      <c r="P1045" s="148"/>
      <c r="Q1045" s="148"/>
    </row>
    <row r="1046" customFormat="false" ht="12.75" hidden="false" customHeight="false" outlineLevel="0" collapsed="false">
      <c r="L1046" s="148"/>
      <c r="M1046" s="148"/>
      <c r="N1046" s="148"/>
      <c r="O1046" s="148"/>
      <c r="P1046" s="148"/>
      <c r="Q1046" s="148"/>
    </row>
    <row r="1047" customFormat="false" ht="12.75" hidden="false" customHeight="false" outlineLevel="0" collapsed="false">
      <c r="L1047" s="148"/>
      <c r="M1047" s="148"/>
      <c r="N1047" s="148"/>
      <c r="O1047" s="148"/>
      <c r="P1047" s="148"/>
      <c r="Q1047" s="148"/>
    </row>
    <row r="1048" customFormat="false" ht="12.75" hidden="false" customHeight="false" outlineLevel="0" collapsed="false">
      <c r="L1048" s="148"/>
      <c r="M1048" s="148"/>
      <c r="N1048" s="148"/>
      <c r="O1048" s="148"/>
      <c r="P1048" s="148"/>
      <c r="Q1048" s="148"/>
    </row>
    <row r="1049" customFormat="false" ht="12.75" hidden="false" customHeight="false" outlineLevel="0" collapsed="false">
      <c r="L1049" s="148"/>
      <c r="M1049" s="148"/>
      <c r="N1049" s="148"/>
      <c r="O1049" s="148"/>
      <c r="P1049" s="148"/>
      <c r="Q1049" s="148"/>
    </row>
    <row r="1050" customFormat="false" ht="12.75" hidden="false" customHeight="false" outlineLevel="0" collapsed="false">
      <c r="L1050" s="148"/>
      <c r="M1050" s="148"/>
      <c r="N1050" s="148"/>
      <c r="O1050" s="148"/>
      <c r="P1050" s="148"/>
      <c r="Q1050" s="148"/>
    </row>
    <row r="1051" customFormat="false" ht="12.75" hidden="false" customHeight="false" outlineLevel="0" collapsed="false">
      <c r="L1051" s="148"/>
      <c r="M1051" s="148"/>
      <c r="N1051" s="148"/>
      <c r="O1051" s="148"/>
      <c r="P1051" s="148"/>
      <c r="Q1051" s="148"/>
    </row>
    <row r="1052" customFormat="false" ht="12.75" hidden="false" customHeight="false" outlineLevel="0" collapsed="false">
      <c r="L1052" s="148"/>
      <c r="M1052" s="148"/>
      <c r="N1052" s="148"/>
      <c r="O1052" s="148"/>
      <c r="P1052" s="148"/>
      <c r="Q1052" s="148"/>
    </row>
    <row r="1053" customFormat="false" ht="12.75" hidden="false" customHeight="false" outlineLevel="0" collapsed="false">
      <c r="L1053" s="148"/>
      <c r="M1053" s="148"/>
      <c r="N1053" s="148"/>
      <c r="O1053" s="148"/>
      <c r="P1053" s="148"/>
      <c r="Q1053" s="148"/>
    </row>
    <row r="1054" customFormat="false" ht="12.75" hidden="false" customHeight="false" outlineLevel="0" collapsed="false">
      <c r="L1054" s="148"/>
      <c r="M1054" s="148"/>
      <c r="N1054" s="148"/>
      <c r="O1054" s="148"/>
      <c r="P1054" s="148"/>
      <c r="Q1054" s="148"/>
    </row>
    <row r="1055" customFormat="false" ht="12.75" hidden="false" customHeight="false" outlineLevel="0" collapsed="false">
      <c r="L1055" s="148"/>
      <c r="M1055" s="148"/>
      <c r="N1055" s="148"/>
      <c r="O1055" s="148"/>
      <c r="P1055" s="148"/>
      <c r="Q1055" s="148"/>
    </row>
    <row r="1056" customFormat="false" ht="12.75" hidden="false" customHeight="false" outlineLevel="0" collapsed="false">
      <c r="L1056" s="148"/>
      <c r="M1056" s="148"/>
      <c r="N1056" s="148"/>
      <c r="O1056" s="148"/>
      <c r="P1056" s="148"/>
      <c r="Q1056" s="148"/>
    </row>
    <row r="1057" customFormat="false" ht="12.75" hidden="false" customHeight="false" outlineLevel="0" collapsed="false">
      <c r="L1057" s="148"/>
      <c r="M1057" s="148"/>
      <c r="N1057" s="148"/>
      <c r="O1057" s="148"/>
      <c r="P1057" s="148"/>
      <c r="Q1057" s="148"/>
    </row>
    <row r="1058" customFormat="false" ht="12.75" hidden="false" customHeight="false" outlineLevel="0" collapsed="false">
      <c r="L1058" s="148"/>
      <c r="M1058" s="148"/>
      <c r="N1058" s="148"/>
      <c r="O1058" s="148"/>
      <c r="P1058" s="148"/>
      <c r="Q1058" s="148"/>
    </row>
    <row r="1059" customFormat="false" ht="12.75" hidden="false" customHeight="false" outlineLevel="0" collapsed="false">
      <c r="L1059" s="148"/>
      <c r="M1059" s="148"/>
      <c r="N1059" s="148"/>
      <c r="O1059" s="148"/>
      <c r="P1059" s="148"/>
      <c r="Q1059" s="148"/>
    </row>
    <row r="1060" customFormat="false" ht="12.75" hidden="false" customHeight="false" outlineLevel="0" collapsed="false">
      <c r="L1060" s="148"/>
      <c r="M1060" s="148"/>
      <c r="N1060" s="148"/>
      <c r="O1060" s="148"/>
      <c r="P1060" s="148"/>
      <c r="Q1060" s="148"/>
    </row>
    <row r="1061" customFormat="false" ht="12.75" hidden="false" customHeight="false" outlineLevel="0" collapsed="false">
      <c r="L1061" s="148"/>
      <c r="M1061" s="148"/>
      <c r="N1061" s="148"/>
      <c r="O1061" s="148"/>
      <c r="P1061" s="148"/>
      <c r="Q1061" s="148"/>
    </row>
    <row r="1062" customFormat="false" ht="12.75" hidden="false" customHeight="false" outlineLevel="0" collapsed="false">
      <c r="L1062" s="148"/>
      <c r="M1062" s="148"/>
      <c r="N1062" s="148"/>
      <c r="O1062" s="148"/>
      <c r="P1062" s="148"/>
      <c r="Q1062" s="148"/>
    </row>
    <row r="1063" customFormat="false" ht="12.75" hidden="false" customHeight="false" outlineLevel="0" collapsed="false">
      <c r="L1063" s="148"/>
      <c r="M1063" s="148"/>
      <c r="N1063" s="148"/>
      <c r="O1063" s="148"/>
      <c r="P1063" s="148"/>
      <c r="Q1063" s="148"/>
    </row>
    <row r="1064" customFormat="false" ht="12.75" hidden="false" customHeight="false" outlineLevel="0" collapsed="false">
      <c r="L1064" s="148"/>
      <c r="M1064" s="148"/>
      <c r="N1064" s="148"/>
      <c r="O1064" s="148"/>
      <c r="P1064" s="148"/>
      <c r="Q1064" s="148"/>
    </row>
    <row r="1065" customFormat="false" ht="12.75" hidden="false" customHeight="false" outlineLevel="0" collapsed="false">
      <c r="L1065" s="148"/>
      <c r="M1065" s="148"/>
      <c r="N1065" s="148"/>
      <c r="O1065" s="148"/>
      <c r="P1065" s="148"/>
      <c r="Q1065" s="148"/>
    </row>
    <row r="1066" customFormat="false" ht="12.75" hidden="false" customHeight="false" outlineLevel="0" collapsed="false">
      <c r="L1066" s="148"/>
      <c r="M1066" s="148"/>
      <c r="N1066" s="148"/>
      <c r="O1066" s="148"/>
      <c r="P1066" s="148"/>
      <c r="Q1066" s="148"/>
    </row>
    <row r="1067" customFormat="false" ht="12.75" hidden="false" customHeight="false" outlineLevel="0" collapsed="false">
      <c r="L1067" s="148"/>
      <c r="M1067" s="148"/>
      <c r="N1067" s="148"/>
      <c r="O1067" s="148"/>
      <c r="P1067" s="148"/>
      <c r="Q1067" s="148"/>
    </row>
    <row r="1068" customFormat="false" ht="12.75" hidden="false" customHeight="false" outlineLevel="0" collapsed="false">
      <c r="L1068" s="148"/>
      <c r="M1068" s="148"/>
      <c r="N1068" s="148"/>
      <c r="O1068" s="148"/>
      <c r="P1068" s="148"/>
      <c r="Q1068" s="148"/>
    </row>
    <row r="1069" customFormat="false" ht="12.75" hidden="false" customHeight="false" outlineLevel="0" collapsed="false">
      <c r="L1069" s="148"/>
      <c r="M1069" s="148"/>
      <c r="N1069" s="148"/>
      <c r="O1069" s="148"/>
      <c r="P1069" s="148"/>
      <c r="Q1069" s="148"/>
    </row>
    <row r="1070" customFormat="false" ht="12.75" hidden="false" customHeight="false" outlineLevel="0" collapsed="false">
      <c r="L1070" s="148"/>
      <c r="M1070" s="148"/>
      <c r="N1070" s="148"/>
      <c r="O1070" s="148"/>
      <c r="P1070" s="148"/>
      <c r="Q1070" s="148"/>
    </row>
    <row r="1071" customFormat="false" ht="12.75" hidden="false" customHeight="false" outlineLevel="0" collapsed="false">
      <c r="L1071" s="148"/>
      <c r="M1071" s="148"/>
      <c r="N1071" s="148"/>
      <c r="O1071" s="148"/>
      <c r="P1071" s="148"/>
      <c r="Q1071" s="148"/>
    </row>
    <row r="1072" customFormat="false" ht="12.75" hidden="false" customHeight="false" outlineLevel="0" collapsed="false">
      <c r="L1072" s="148"/>
      <c r="M1072" s="148"/>
      <c r="N1072" s="148"/>
      <c r="O1072" s="148"/>
      <c r="P1072" s="148"/>
      <c r="Q1072" s="148"/>
    </row>
    <row r="1073" customFormat="false" ht="12.75" hidden="false" customHeight="false" outlineLevel="0" collapsed="false">
      <c r="L1073" s="148"/>
      <c r="M1073" s="148"/>
      <c r="N1073" s="148"/>
      <c r="O1073" s="148"/>
      <c r="P1073" s="148"/>
      <c r="Q1073" s="148"/>
    </row>
    <row r="1074" customFormat="false" ht="12.75" hidden="false" customHeight="false" outlineLevel="0" collapsed="false">
      <c r="L1074" s="148"/>
      <c r="M1074" s="148"/>
      <c r="N1074" s="148"/>
      <c r="O1074" s="148"/>
      <c r="P1074" s="148"/>
      <c r="Q1074" s="148"/>
    </row>
    <row r="1075" customFormat="false" ht="12.75" hidden="false" customHeight="false" outlineLevel="0" collapsed="false">
      <c r="L1075" s="148"/>
      <c r="M1075" s="148"/>
      <c r="N1075" s="148"/>
      <c r="O1075" s="148"/>
      <c r="P1075" s="148"/>
      <c r="Q1075" s="148"/>
    </row>
    <row r="1076" customFormat="false" ht="12.75" hidden="false" customHeight="false" outlineLevel="0" collapsed="false">
      <c r="L1076" s="148"/>
      <c r="M1076" s="148"/>
      <c r="N1076" s="148"/>
      <c r="O1076" s="148"/>
      <c r="P1076" s="148"/>
      <c r="Q1076" s="148"/>
    </row>
    <row r="1077" customFormat="false" ht="12.75" hidden="false" customHeight="false" outlineLevel="0" collapsed="false">
      <c r="L1077" s="148"/>
      <c r="M1077" s="148"/>
      <c r="N1077" s="148"/>
      <c r="O1077" s="148"/>
      <c r="P1077" s="148"/>
      <c r="Q1077" s="148"/>
    </row>
    <row r="1078" customFormat="false" ht="12.75" hidden="false" customHeight="false" outlineLevel="0" collapsed="false">
      <c r="L1078" s="148"/>
      <c r="M1078" s="148"/>
      <c r="N1078" s="148"/>
      <c r="O1078" s="148"/>
      <c r="P1078" s="148"/>
      <c r="Q1078" s="148"/>
    </row>
    <row r="1079" customFormat="false" ht="12.75" hidden="false" customHeight="false" outlineLevel="0" collapsed="false">
      <c r="L1079" s="148"/>
      <c r="M1079" s="148"/>
      <c r="N1079" s="148"/>
      <c r="O1079" s="148"/>
      <c r="P1079" s="148"/>
      <c r="Q1079" s="148"/>
    </row>
    <row r="1080" customFormat="false" ht="12.75" hidden="false" customHeight="false" outlineLevel="0" collapsed="false">
      <c r="L1080" s="148"/>
      <c r="M1080" s="148"/>
      <c r="N1080" s="148"/>
      <c r="O1080" s="148"/>
      <c r="P1080" s="148"/>
      <c r="Q1080" s="148"/>
    </row>
    <row r="1081" customFormat="false" ht="12.75" hidden="false" customHeight="false" outlineLevel="0" collapsed="false">
      <c r="L1081" s="148"/>
      <c r="M1081" s="148"/>
      <c r="N1081" s="148"/>
      <c r="O1081" s="148"/>
      <c r="P1081" s="148"/>
      <c r="Q1081" s="148"/>
    </row>
    <row r="1082" customFormat="false" ht="12.75" hidden="false" customHeight="false" outlineLevel="0" collapsed="false">
      <c r="L1082" s="148"/>
      <c r="M1082" s="148"/>
      <c r="N1082" s="148"/>
      <c r="O1082" s="148"/>
      <c r="P1082" s="148"/>
      <c r="Q1082" s="148"/>
    </row>
    <row r="1083" customFormat="false" ht="12.75" hidden="false" customHeight="false" outlineLevel="0" collapsed="false">
      <c r="L1083" s="148"/>
      <c r="M1083" s="148"/>
      <c r="N1083" s="148"/>
      <c r="O1083" s="148"/>
      <c r="P1083" s="148"/>
      <c r="Q1083" s="148"/>
    </row>
    <row r="1084" customFormat="false" ht="12.75" hidden="false" customHeight="false" outlineLevel="0" collapsed="false">
      <c r="L1084" s="148"/>
      <c r="M1084" s="148"/>
      <c r="N1084" s="148"/>
      <c r="O1084" s="148"/>
      <c r="P1084" s="148"/>
      <c r="Q1084" s="148"/>
    </row>
    <row r="1085" customFormat="false" ht="12.75" hidden="false" customHeight="false" outlineLevel="0" collapsed="false">
      <c r="L1085" s="148"/>
      <c r="M1085" s="148"/>
      <c r="N1085" s="148"/>
      <c r="O1085" s="148"/>
      <c r="P1085" s="148"/>
      <c r="Q1085" s="148"/>
    </row>
    <row r="1086" customFormat="false" ht="12.75" hidden="false" customHeight="false" outlineLevel="0" collapsed="false">
      <c r="L1086" s="148"/>
      <c r="M1086" s="148"/>
      <c r="N1086" s="148"/>
      <c r="O1086" s="148"/>
      <c r="P1086" s="148"/>
      <c r="Q1086" s="148"/>
    </row>
    <row r="1087" customFormat="false" ht="12.75" hidden="false" customHeight="false" outlineLevel="0" collapsed="false">
      <c r="L1087" s="148"/>
      <c r="M1087" s="148"/>
      <c r="N1087" s="148"/>
      <c r="O1087" s="148"/>
      <c r="P1087" s="148"/>
      <c r="Q1087" s="148"/>
    </row>
    <row r="1088" customFormat="false" ht="12.75" hidden="false" customHeight="false" outlineLevel="0" collapsed="false">
      <c r="L1088" s="148"/>
      <c r="M1088" s="148"/>
      <c r="N1088" s="148"/>
      <c r="O1088" s="148"/>
      <c r="P1088" s="148"/>
      <c r="Q1088" s="148"/>
    </row>
    <row r="1089" customFormat="false" ht="12.75" hidden="false" customHeight="false" outlineLevel="0" collapsed="false">
      <c r="L1089" s="148"/>
      <c r="M1089" s="148"/>
      <c r="N1089" s="148"/>
      <c r="O1089" s="148"/>
      <c r="P1089" s="148"/>
      <c r="Q1089" s="148"/>
    </row>
    <row r="1090" customFormat="false" ht="12.75" hidden="false" customHeight="false" outlineLevel="0" collapsed="false">
      <c r="L1090" s="148"/>
      <c r="M1090" s="148"/>
      <c r="N1090" s="148"/>
      <c r="O1090" s="148"/>
      <c r="P1090" s="148"/>
      <c r="Q1090" s="148"/>
    </row>
    <row r="1091" customFormat="false" ht="12.75" hidden="false" customHeight="false" outlineLevel="0" collapsed="false">
      <c r="L1091" s="148"/>
      <c r="M1091" s="148"/>
      <c r="N1091" s="148"/>
      <c r="O1091" s="148"/>
      <c r="P1091" s="148"/>
      <c r="Q1091" s="148"/>
    </row>
    <row r="1092" customFormat="false" ht="12.75" hidden="false" customHeight="false" outlineLevel="0" collapsed="false">
      <c r="L1092" s="148"/>
      <c r="M1092" s="148"/>
      <c r="N1092" s="148"/>
      <c r="O1092" s="148"/>
      <c r="P1092" s="148"/>
      <c r="Q1092" s="148"/>
    </row>
    <row r="1093" customFormat="false" ht="12.75" hidden="false" customHeight="false" outlineLevel="0" collapsed="false">
      <c r="L1093" s="148"/>
      <c r="M1093" s="148"/>
      <c r="N1093" s="148"/>
      <c r="O1093" s="148"/>
      <c r="P1093" s="148"/>
      <c r="Q1093" s="148"/>
    </row>
    <row r="1094" customFormat="false" ht="12.75" hidden="false" customHeight="false" outlineLevel="0" collapsed="false">
      <c r="L1094" s="148"/>
      <c r="M1094" s="148"/>
      <c r="N1094" s="148"/>
      <c r="O1094" s="148"/>
      <c r="P1094" s="148"/>
      <c r="Q1094" s="148"/>
    </row>
    <row r="1095" customFormat="false" ht="12.75" hidden="false" customHeight="false" outlineLevel="0" collapsed="false">
      <c r="L1095" s="148"/>
      <c r="M1095" s="148"/>
      <c r="N1095" s="148"/>
      <c r="O1095" s="148"/>
      <c r="P1095" s="148"/>
      <c r="Q1095" s="148"/>
    </row>
    <row r="1096" customFormat="false" ht="12.75" hidden="false" customHeight="false" outlineLevel="0" collapsed="false">
      <c r="L1096" s="148"/>
      <c r="M1096" s="148"/>
      <c r="N1096" s="148"/>
      <c r="O1096" s="148"/>
      <c r="P1096" s="148"/>
      <c r="Q1096" s="148"/>
    </row>
    <row r="1097" customFormat="false" ht="12.75" hidden="false" customHeight="false" outlineLevel="0" collapsed="false">
      <c r="L1097" s="148"/>
      <c r="M1097" s="148"/>
      <c r="N1097" s="148"/>
      <c r="O1097" s="148"/>
      <c r="P1097" s="148"/>
      <c r="Q1097" s="148"/>
    </row>
    <row r="1098" customFormat="false" ht="12.75" hidden="false" customHeight="false" outlineLevel="0" collapsed="false">
      <c r="L1098" s="148"/>
      <c r="M1098" s="148"/>
      <c r="N1098" s="148"/>
      <c r="O1098" s="148"/>
      <c r="P1098" s="148"/>
      <c r="Q1098" s="148"/>
    </row>
    <row r="1099" customFormat="false" ht="12.75" hidden="false" customHeight="false" outlineLevel="0" collapsed="false">
      <c r="L1099" s="148"/>
      <c r="M1099" s="148"/>
      <c r="N1099" s="148"/>
      <c r="O1099" s="148"/>
      <c r="P1099" s="148"/>
      <c r="Q1099" s="148"/>
    </row>
    <row r="1100" customFormat="false" ht="12.75" hidden="false" customHeight="false" outlineLevel="0" collapsed="false">
      <c r="L1100" s="148"/>
      <c r="M1100" s="148"/>
      <c r="N1100" s="148"/>
      <c r="O1100" s="148"/>
      <c r="P1100" s="148"/>
      <c r="Q1100" s="148"/>
    </row>
    <row r="1101" customFormat="false" ht="12.75" hidden="false" customHeight="false" outlineLevel="0" collapsed="false">
      <c r="L1101" s="148"/>
      <c r="M1101" s="148"/>
      <c r="N1101" s="148"/>
      <c r="O1101" s="148"/>
      <c r="P1101" s="148"/>
      <c r="Q1101" s="148"/>
    </row>
    <row r="1102" customFormat="false" ht="12.75" hidden="false" customHeight="false" outlineLevel="0" collapsed="false">
      <c r="L1102" s="148"/>
      <c r="M1102" s="148"/>
      <c r="N1102" s="148"/>
      <c r="O1102" s="148"/>
      <c r="P1102" s="148"/>
      <c r="Q1102" s="148"/>
    </row>
    <row r="1103" customFormat="false" ht="12.75" hidden="false" customHeight="false" outlineLevel="0" collapsed="false">
      <c r="L1103" s="148"/>
      <c r="M1103" s="148"/>
      <c r="N1103" s="148"/>
      <c r="O1103" s="148"/>
      <c r="P1103" s="148"/>
      <c r="Q1103" s="148"/>
    </row>
    <row r="1104" customFormat="false" ht="12.75" hidden="false" customHeight="false" outlineLevel="0" collapsed="false">
      <c r="L1104" s="148"/>
      <c r="M1104" s="148"/>
      <c r="N1104" s="148"/>
      <c r="O1104" s="148"/>
      <c r="P1104" s="148"/>
      <c r="Q1104" s="148"/>
    </row>
    <row r="1105" customFormat="false" ht="12.75" hidden="false" customHeight="false" outlineLevel="0" collapsed="false">
      <c r="L1105" s="148"/>
      <c r="M1105" s="148"/>
      <c r="N1105" s="148"/>
      <c r="O1105" s="148"/>
      <c r="P1105" s="148"/>
      <c r="Q1105" s="148"/>
    </row>
    <row r="1106" customFormat="false" ht="12.75" hidden="false" customHeight="false" outlineLevel="0" collapsed="false">
      <c r="L1106" s="148"/>
      <c r="M1106" s="148"/>
      <c r="N1106" s="148"/>
      <c r="O1106" s="148"/>
      <c r="P1106" s="148"/>
      <c r="Q1106" s="148"/>
    </row>
    <row r="1107" customFormat="false" ht="12.75" hidden="false" customHeight="false" outlineLevel="0" collapsed="false">
      <c r="L1107" s="148"/>
      <c r="M1107" s="148"/>
      <c r="N1107" s="148"/>
      <c r="O1107" s="148"/>
      <c r="P1107" s="148"/>
      <c r="Q1107" s="148"/>
    </row>
    <row r="1108" customFormat="false" ht="12.75" hidden="false" customHeight="false" outlineLevel="0" collapsed="false">
      <c r="L1108" s="148"/>
      <c r="M1108" s="148"/>
      <c r="N1108" s="148"/>
      <c r="O1108" s="148"/>
      <c r="P1108" s="148"/>
      <c r="Q1108" s="148"/>
    </row>
    <row r="1109" customFormat="false" ht="12.75" hidden="false" customHeight="false" outlineLevel="0" collapsed="false">
      <c r="L1109" s="148"/>
      <c r="M1109" s="148"/>
      <c r="N1109" s="148"/>
      <c r="O1109" s="148"/>
      <c r="P1109" s="148"/>
      <c r="Q1109" s="148"/>
    </row>
    <row r="1110" customFormat="false" ht="12.75" hidden="false" customHeight="false" outlineLevel="0" collapsed="false">
      <c r="L1110" s="148"/>
      <c r="M1110" s="148"/>
      <c r="N1110" s="148"/>
      <c r="O1110" s="148"/>
      <c r="P1110" s="148"/>
      <c r="Q1110" s="148"/>
    </row>
    <row r="1111" customFormat="false" ht="12.75" hidden="false" customHeight="false" outlineLevel="0" collapsed="false">
      <c r="L1111" s="148"/>
      <c r="M1111" s="148"/>
      <c r="N1111" s="148"/>
      <c r="O1111" s="148"/>
      <c r="P1111" s="148"/>
      <c r="Q1111" s="148"/>
    </row>
    <row r="1112" customFormat="false" ht="12.75" hidden="false" customHeight="false" outlineLevel="0" collapsed="false">
      <c r="L1112" s="148"/>
      <c r="M1112" s="148"/>
      <c r="N1112" s="148"/>
      <c r="O1112" s="148"/>
      <c r="P1112" s="148"/>
      <c r="Q1112" s="148"/>
    </row>
    <row r="1113" customFormat="false" ht="12.75" hidden="false" customHeight="false" outlineLevel="0" collapsed="false">
      <c r="L1113" s="148"/>
      <c r="M1113" s="148"/>
      <c r="N1113" s="148"/>
      <c r="O1113" s="148"/>
      <c r="P1113" s="148"/>
      <c r="Q1113" s="148"/>
    </row>
    <row r="1114" customFormat="false" ht="12.75" hidden="false" customHeight="false" outlineLevel="0" collapsed="false">
      <c r="L1114" s="148"/>
      <c r="M1114" s="148"/>
      <c r="N1114" s="148"/>
      <c r="O1114" s="148"/>
      <c r="P1114" s="148"/>
      <c r="Q1114" s="148"/>
    </row>
    <row r="1115" customFormat="false" ht="12.75" hidden="false" customHeight="false" outlineLevel="0" collapsed="false">
      <c r="L1115" s="148"/>
      <c r="M1115" s="148"/>
      <c r="N1115" s="148"/>
      <c r="O1115" s="148"/>
      <c r="P1115" s="148"/>
      <c r="Q1115" s="148"/>
    </row>
    <row r="1116" customFormat="false" ht="12.75" hidden="false" customHeight="false" outlineLevel="0" collapsed="false">
      <c r="L1116" s="148"/>
      <c r="M1116" s="148"/>
      <c r="N1116" s="148"/>
      <c r="O1116" s="148"/>
      <c r="P1116" s="148"/>
      <c r="Q1116" s="148"/>
    </row>
    <row r="1117" customFormat="false" ht="12.75" hidden="false" customHeight="false" outlineLevel="0" collapsed="false">
      <c r="L1117" s="148"/>
      <c r="M1117" s="148"/>
      <c r="N1117" s="148"/>
      <c r="O1117" s="148"/>
      <c r="P1117" s="148"/>
      <c r="Q1117" s="148"/>
    </row>
    <row r="1118" customFormat="false" ht="12.75" hidden="false" customHeight="false" outlineLevel="0" collapsed="false">
      <c r="L1118" s="148"/>
      <c r="M1118" s="148"/>
      <c r="N1118" s="148"/>
      <c r="O1118" s="148"/>
      <c r="P1118" s="148"/>
      <c r="Q1118" s="148"/>
    </row>
    <row r="1119" customFormat="false" ht="12.75" hidden="false" customHeight="false" outlineLevel="0" collapsed="false">
      <c r="L1119" s="148"/>
      <c r="M1119" s="148"/>
      <c r="N1119" s="148"/>
      <c r="O1119" s="148"/>
      <c r="P1119" s="148"/>
      <c r="Q1119" s="148"/>
    </row>
    <row r="1120" customFormat="false" ht="12.75" hidden="false" customHeight="false" outlineLevel="0" collapsed="false">
      <c r="L1120" s="148"/>
      <c r="M1120" s="148"/>
      <c r="N1120" s="148"/>
      <c r="O1120" s="148"/>
      <c r="P1120" s="148"/>
      <c r="Q1120" s="148"/>
    </row>
    <row r="1121" customFormat="false" ht="12.75" hidden="false" customHeight="false" outlineLevel="0" collapsed="false">
      <c r="L1121" s="148"/>
      <c r="M1121" s="148"/>
      <c r="N1121" s="148"/>
      <c r="O1121" s="148"/>
      <c r="P1121" s="148"/>
      <c r="Q1121" s="148"/>
    </row>
    <row r="1122" customFormat="false" ht="12.75" hidden="false" customHeight="false" outlineLevel="0" collapsed="false">
      <c r="L1122" s="148"/>
      <c r="M1122" s="148"/>
      <c r="N1122" s="148"/>
      <c r="O1122" s="148"/>
      <c r="P1122" s="148"/>
      <c r="Q1122" s="148"/>
    </row>
    <row r="1123" customFormat="false" ht="12.75" hidden="false" customHeight="false" outlineLevel="0" collapsed="false">
      <c r="L1123" s="148"/>
      <c r="M1123" s="148"/>
      <c r="N1123" s="148"/>
      <c r="O1123" s="148"/>
      <c r="P1123" s="148"/>
      <c r="Q1123" s="148"/>
    </row>
    <row r="1124" customFormat="false" ht="12.75" hidden="false" customHeight="false" outlineLevel="0" collapsed="false">
      <c r="L1124" s="148"/>
      <c r="M1124" s="148"/>
      <c r="N1124" s="148"/>
      <c r="O1124" s="148"/>
      <c r="P1124" s="148"/>
      <c r="Q1124" s="148"/>
    </row>
    <row r="1125" customFormat="false" ht="12.75" hidden="false" customHeight="false" outlineLevel="0" collapsed="false">
      <c r="L1125" s="148"/>
      <c r="M1125" s="148"/>
      <c r="N1125" s="148"/>
      <c r="O1125" s="148"/>
      <c r="P1125" s="148"/>
      <c r="Q1125" s="148"/>
    </row>
    <row r="1126" customFormat="false" ht="12.75" hidden="false" customHeight="false" outlineLevel="0" collapsed="false">
      <c r="L1126" s="148"/>
      <c r="M1126" s="148"/>
      <c r="N1126" s="148"/>
      <c r="O1126" s="148"/>
      <c r="P1126" s="148"/>
      <c r="Q1126" s="148"/>
    </row>
    <row r="1127" customFormat="false" ht="12.75" hidden="false" customHeight="false" outlineLevel="0" collapsed="false">
      <c r="L1127" s="148"/>
      <c r="M1127" s="148"/>
      <c r="N1127" s="148"/>
      <c r="O1127" s="148"/>
      <c r="P1127" s="148"/>
      <c r="Q1127" s="148"/>
    </row>
    <row r="1128" customFormat="false" ht="12.75" hidden="false" customHeight="false" outlineLevel="0" collapsed="false">
      <c r="L1128" s="148"/>
      <c r="M1128" s="148"/>
      <c r="N1128" s="148"/>
      <c r="O1128" s="148"/>
      <c r="P1128" s="148"/>
      <c r="Q1128" s="148"/>
    </row>
    <row r="1129" customFormat="false" ht="12.75" hidden="false" customHeight="false" outlineLevel="0" collapsed="false">
      <c r="L1129" s="148"/>
      <c r="M1129" s="148"/>
      <c r="N1129" s="148"/>
      <c r="O1129" s="148"/>
      <c r="P1129" s="148"/>
      <c r="Q1129" s="148"/>
    </row>
    <row r="1130" customFormat="false" ht="12.75" hidden="false" customHeight="false" outlineLevel="0" collapsed="false">
      <c r="L1130" s="148"/>
      <c r="M1130" s="148"/>
      <c r="N1130" s="148"/>
      <c r="O1130" s="148"/>
      <c r="P1130" s="148"/>
      <c r="Q1130" s="148"/>
    </row>
    <row r="1131" customFormat="false" ht="12.75" hidden="false" customHeight="false" outlineLevel="0" collapsed="false">
      <c r="L1131" s="148"/>
      <c r="M1131" s="148"/>
      <c r="N1131" s="148"/>
      <c r="O1131" s="148"/>
      <c r="P1131" s="148"/>
      <c r="Q1131" s="148"/>
    </row>
    <row r="1132" customFormat="false" ht="12.75" hidden="false" customHeight="false" outlineLevel="0" collapsed="false">
      <c r="L1132" s="148"/>
      <c r="M1132" s="148"/>
      <c r="N1132" s="148"/>
      <c r="O1132" s="148"/>
      <c r="P1132" s="148"/>
      <c r="Q1132" s="148"/>
    </row>
    <row r="1133" customFormat="false" ht="12.75" hidden="false" customHeight="false" outlineLevel="0" collapsed="false">
      <c r="L1133" s="148"/>
      <c r="M1133" s="148"/>
      <c r="N1133" s="148"/>
      <c r="O1133" s="148"/>
      <c r="P1133" s="148"/>
      <c r="Q1133" s="148"/>
    </row>
    <row r="1134" customFormat="false" ht="12.75" hidden="false" customHeight="false" outlineLevel="0" collapsed="false">
      <c r="L1134" s="148"/>
      <c r="M1134" s="148"/>
      <c r="N1134" s="148"/>
      <c r="O1134" s="148"/>
      <c r="P1134" s="148"/>
      <c r="Q1134" s="148"/>
    </row>
    <row r="1135" customFormat="false" ht="12.75" hidden="false" customHeight="false" outlineLevel="0" collapsed="false">
      <c r="L1135" s="148"/>
      <c r="M1135" s="148"/>
      <c r="N1135" s="148"/>
      <c r="O1135" s="148"/>
      <c r="P1135" s="148"/>
      <c r="Q1135" s="148"/>
    </row>
    <row r="1136" customFormat="false" ht="12.75" hidden="false" customHeight="false" outlineLevel="0" collapsed="false">
      <c r="L1136" s="148"/>
      <c r="M1136" s="148"/>
      <c r="N1136" s="148"/>
      <c r="O1136" s="148"/>
      <c r="P1136" s="148"/>
      <c r="Q1136" s="148"/>
    </row>
    <row r="1137" customFormat="false" ht="12.75" hidden="false" customHeight="false" outlineLevel="0" collapsed="false">
      <c r="L1137" s="148"/>
      <c r="M1137" s="148"/>
      <c r="N1137" s="148"/>
      <c r="O1137" s="148"/>
      <c r="P1137" s="148"/>
      <c r="Q1137" s="148"/>
    </row>
    <row r="1138" customFormat="false" ht="12.75" hidden="false" customHeight="false" outlineLevel="0" collapsed="false">
      <c r="L1138" s="148"/>
      <c r="M1138" s="148"/>
      <c r="N1138" s="148"/>
      <c r="O1138" s="148"/>
      <c r="P1138" s="148"/>
      <c r="Q1138" s="148"/>
    </row>
  </sheetData>
  <mergeCells count="6">
    <mergeCell ref="C1:F1"/>
    <mergeCell ref="G1:J1"/>
    <mergeCell ref="L1:Q1"/>
    <mergeCell ref="R1:W1"/>
    <mergeCell ref="X1:AC1"/>
    <mergeCell ref="AD1:AI1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B15" activeCellId="0" sqref="A1:B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22.56"/>
    <col collapsed="false" customWidth="true" hidden="false" outlineLevel="0" max="2" min="2" style="4" width="5.56"/>
    <col collapsed="false" customWidth="true" hidden="false" outlineLevel="0" max="3" min="3" style="66" width="6.56"/>
    <col collapsed="false" customWidth="true" hidden="false" outlineLevel="0" max="4" min="4" style="67" width="8.56"/>
    <col collapsed="false" customWidth="true" hidden="false" outlineLevel="0" max="5" min="5" style="67" width="7.42"/>
    <col collapsed="false" customWidth="true" hidden="false" outlineLevel="0" max="7" min="6" style="66" width="7.28"/>
    <col collapsed="false" customWidth="true" hidden="true" outlineLevel="0" max="8" min="8" style="131" width="7.7"/>
    <col collapsed="false" customWidth="true" hidden="true" outlineLevel="0" max="13" min="9" style="132" width="7.7"/>
    <col collapsed="false" customWidth="true" hidden="true" outlineLevel="0" max="19" min="14" style="5" width="6.7"/>
    <col collapsed="false" customWidth="true" hidden="false" outlineLevel="0" max="20" min="20" style="70" width="8.7"/>
    <col collapsed="false" customWidth="false" hidden="false" outlineLevel="0" max="257" min="21" style="5" width="9.14"/>
  </cols>
  <sheetData>
    <row r="1" customFormat="false" ht="12.75" hidden="false" customHeight="false" outlineLevel="0" collapsed="false">
      <c r="A1" s="133"/>
      <c r="B1" s="103"/>
      <c r="C1" s="73" t="s">
        <v>229</v>
      </c>
      <c r="D1" s="73"/>
      <c r="E1" s="73"/>
      <c r="F1" s="73"/>
      <c r="G1" s="73" t="s">
        <v>114</v>
      </c>
      <c r="H1" s="140" t="s">
        <v>230</v>
      </c>
      <c r="I1" s="140"/>
      <c r="J1" s="140"/>
      <c r="K1" s="140"/>
      <c r="L1" s="140"/>
      <c r="M1" s="140"/>
      <c r="N1" s="76" t="s">
        <v>231</v>
      </c>
      <c r="O1" s="76"/>
      <c r="P1" s="76"/>
      <c r="Q1" s="76"/>
      <c r="R1" s="76"/>
      <c r="S1" s="76"/>
      <c r="T1" s="77" t="s">
        <v>119</v>
      </c>
    </row>
    <row r="2" customFormat="false" ht="12.75" hidden="false" customHeight="false" outlineLevel="0" collapsed="false">
      <c r="A2" s="134" t="s">
        <v>77</v>
      </c>
      <c r="B2" s="83" t="s">
        <v>3</v>
      </c>
      <c r="C2" s="80" t="s">
        <v>232</v>
      </c>
      <c r="D2" s="82" t="s">
        <v>122</v>
      </c>
      <c r="E2" s="82" t="s">
        <v>126</v>
      </c>
      <c r="F2" s="83" t="s">
        <v>124</v>
      </c>
      <c r="G2" s="149" t="s">
        <v>127</v>
      </c>
      <c r="H2" s="85" t="s">
        <v>128</v>
      </c>
      <c r="I2" s="85" t="s">
        <v>129</v>
      </c>
      <c r="J2" s="85" t="s">
        <v>130</v>
      </c>
      <c r="K2" s="85" t="s">
        <v>131</v>
      </c>
      <c r="L2" s="85" t="s">
        <v>132</v>
      </c>
      <c r="M2" s="86" t="s">
        <v>133</v>
      </c>
      <c r="N2" s="88" t="s">
        <v>128</v>
      </c>
      <c r="O2" s="89" t="s">
        <v>129</v>
      </c>
      <c r="P2" s="89" t="s">
        <v>130</v>
      </c>
      <c r="Q2" s="89" t="s">
        <v>131</v>
      </c>
      <c r="R2" s="89" t="s">
        <v>132</v>
      </c>
      <c r="S2" s="90" t="s">
        <v>133</v>
      </c>
      <c r="T2" s="91" t="s">
        <v>134</v>
      </c>
    </row>
    <row r="3" customFormat="false" ht="12.75" hidden="false" customHeight="false" outlineLevel="0" collapsed="false">
      <c r="A3" s="133" t="s">
        <v>478</v>
      </c>
      <c r="B3" s="103" t="s">
        <v>172</v>
      </c>
      <c r="C3" s="135" t="n">
        <v>75</v>
      </c>
      <c r="D3" s="136" t="n">
        <f aca="false">10.4*C3</f>
        <v>780</v>
      </c>
      <c r="E3" s="136" t="n">
        <v>1</v>
      </c>
      <c r="F3" s="137" t="n">
        <v>9</v>
      </c>
      <c r="G3" s="150" t="n">
        <v>1</v>
      </c>
      <c r="H3" s="132" t="n">
        <v>0.490909090909091</v>
      </c>
      <c r="I3" s="132" t="n">
        <v>0.345454545454545</v>
      </c>
      <c r="J3" s="132" t="n">
        <v>0.0909090909090909</v>
      </c>
      <c r="K3" s="132" t="n">
        <v>0.0181818181818182</v>
      </c>
      <c r="L3" s="132" t="n">
        <v>0.0181818181818182</v>
      </c>
      <c r="M3" s="132" t="n">
        <v>0.0363636363636364</v>
      </c>
      <c r="N3" s="5" t="n">
        <f aca="false">H3*$F3</f>
        <v>4.41818181818182</v>
      </c>
      <c r="O3" s="5" t="n">
        <f aca="false">I3*$F3</f>
        <v>3.10909090909091</v>
      </c>
      <c r="P3" s="5" t="n">
        <f aca="false">J3*$F3</f>
        <v>0.818181818181818</v>
      </c>
      <c r="Q3" s="5" t="n">
        <f aca="false">K3*$F3</f>
        <v>0.163636363636364</v>
      </c>
      <c r="R3" s="5" t="n">
        <f aca="false">L3*$F3</f>
        <v>0.163636363636364</v>
      </c>
      <c r="S3" s="5" t="n">
        <f aca="false">M3*$F3</f>
        <v>0.327272727272727</v>
      </c>
      <c r="T3" s="77" t="n">
        <f aca="false">Input!$F$31*TEs!C3+Input!$F$32*TEs!D3+Input!$F$33*TEs!N3+Input!$F$34*TEs!O3+Input!$F$35*TEs!P3+Input!$F$36*TEs!Q3+Input!$F$37*TEs!R3+Input!$F$38*TEs!S3+Input!$F$39*TEs!E3+Input!$F$40*TEs!G3</f>
        <v>141.854545454545</v>
      </c>
    </row>
    <row r="4" customFormat="false" ht="12.75" hidden="false" customHeight="false" outlineLevel="0" collapsed="false">
      <c r="A4" s="141" t="s">
        <v>479</v>
      </c>
      <c r="B4" s="112" t="s">
        <v>156</v>
      </c>
      <c r="C4" s="98" t="n">
        <v>55</v>
      </c>
      <c r="D4" s="96" t="n">
        <f aca="false">11.7*C4</f>
        <v>643.5</v>
      </c>
      <c r="E4" s="96" t="n">
        <v>0</v>
      </c>
      <c r="F4" s="97" t="n">
        <v>7</v>
      </c>
      <c r="G4" s="150" t="n">
        <v>1</v>
      </c>
      <c r="H4" s="132" t="n">
        <v>0.490909090909091</v>
      </c>
      <c r="I4" s="132" t="n">
        <v>0.345454545454545</v>
      </c>
      <c r="J4" s="132" t="n">
        <v>0.0909090909090909</v>
      </c>
      <c r="K4" s="132" t="n">
        <v>0.0181818181818182</v>
      </c>
      <c r="L4" s="132" t="n">
        <v>0.0181818181818182</v>
      </c>
      <c r="M4" s="132" t="n">
        <v>0.0363636363636364</v>
      </c>
      <c r="N4" s="5" t="n">
        <f aca="false">H4*$F4</f>
        <v>3.43636363636364</v>
      </c>
      <c r="O4" s="5" t="n">
        <f aca="false">I4*$F4</f>
        <v>2.41818181818182</v>
      </c>
      <c r="P4" s="5" t="n">
        <f aca="false">J4*$F4</f>
        <v>0.636363636363636</v>
      </c>
      <c r="Q4" s="5" t="n">
        <f aca="false">K4*$F4</f>
        <v>0.127272727272727</v>
      </c>
      <c r="R4" s="5" t="n">
        <f aca="false">L4*$F4</f>
        <v>0.127272727272727</v>
      </c>
      <c r="S4" s="5" t="n">
        <f aca="false">M4*$F4</f>
        <v>0.254545454545455</v>
      </c>
      <c r="T4" s="116" t="n">
        <f aca="false">Input!$F$31*TEs!C4+Input!$F$32*TEs!D4+Input!$F$33*TEs!N4+Input!$F$34*TEs!O4+Input!$F$35*TEs!P4+Input!$F$36*TEs!Q4+Input!$F$37*TEs!R4+Input!$F$38*TEs!S4+Input!$F$39*TEs!E4+Input!$F$40*TEs!G4</f>
        <v>111.459090909091</v>
      </c>
    </row>
    <row r="5" customFormat="false" ht="12.75" hidden="false" customHeight="false" outlineLevel="0" collapsed="false">
      <c r="A5" s="141" t="s">
        <v>480</v>
      </c>
      <c r="B5" s="112" t="s">
        <v>142</v>
      </c>
      <c r="C5" s="98" t="n">
        <v>70</v>
      </c>
      <c r="D5" s="96" t="n">
        <f aca="false">9.5*C5</f>
        <v>665</v>
      </c>
      <c r="E5" s="96" t="n">
        <v>0</v>
      </c>
      <c r="F5" s="97" t="n">
        <v>3</v>
      </c>
      <c r="G5" s="150" t="n">
        <v>1</v>
      </c>
      <c r="H5" s="132" t="n">
        <v>0.490909090909091</v>
      </c>
      <c r="I5" s="132" t="n">
        <v>0.345454545454545</v>
      </c>
      <c r="J5" s="132" t="n">
        <v>0.0909090909090909</v>
      </c>
      <c r="K5" s="132" t="n">
        <v>0.0181818181818182</v>
      </c>
      <c r="L5" s="132" t="n">
        <v>0.0181818181818182</v>
      </c>
      <c r="M5" s="132" t="n">
        <v>0.0363636363636364</v>
      </c>
      <c r="N5" s="5" t="n">
        <f aca="false">H5*$F5</f>
        <v>1.47272727272727</v>
      </c>
      <c r="O5" s="5" t="n">
        <f aca="false">I5*$F5</f>
        <v>1.03636363636364</v>
      </c>
      <c r="P5" s="5" t="n">
        <f aca="false">J5*$F5</f>
        <v>0.272727272727273</v>
      </c>
      <c r="Q5" s="5" t="n">
        <f aca="false">K5*$F5</f>
        <v>0.0545454545454545</v>
      </c>
      <c r="R5" s="5" t="n">
        <f aca="false">L5*$F5</f>
        <v>0.0545454545454545</v>
      </c>
      <c r="S5" s="5" t="n">
        <f aca="false">M5*$F5</f>
        <v>0.109090909090909</v>
      </c>
      <c r="T5" s="116" t="n">
        <f aca="false">Input!$F$31*TEs!C5+Input!$F$32*TEs!D5+Input!$F$33*TEs!N5+Input!$F$34*TEs!O5+Input!$F$35*TEs!P5+Input!$F$36*TEs!Q5+Input!$F$37*TEs!R5+Input!$F$38*TEs!S5+Input!$F$39*TEs!E5+Input!$F$40*TEs!G5</f>
        <v>86.1181818181818</v>
      </c>
    </row>
    <row r="6" customFormat="false" ht="12.75" hidden="false" customHeight="false" outlineLevel="0" collapsed="false">
      <c r="A6" s="141" t="s">
        <v>481</v>
      </c>
      <c r="B6" s="112" t="s">
        <v>196</v>
      </c>
      <c r="C6" s="98" t="n">
        <v>52</v>
      </c>
      <c r="D6" s="96" t="n">
        <f aca="false">11.5*C6</f>
        <v>598</v>
      </c>
      <c r="E6" s="96" t="n">
        <v>0</v>
      </c>
      <c r="F6" s="97" t="n">
        <v>4</v>
      </c>
      <c r="G6" s="150" t="n">
        <v>0</v>
      </c>
      <c r="H6" s="132" t="n">
        <v>0.490909090909091</v>
      </c>
      <c r="I6" s="132" t="n">
        <v>0.345454545454545</v>
      </c>
      <c r="J6" s="132" t="n">
        <v>0.0909090909090909</v>
      </c>
      <c r="K6" s="132" t="n">
        <v>0.0181818181818182</v>
      </c>
      <c r="L6" s="132" t="n">
        <v>0.0181818181818182</v>
      </c>
      <c r="M6" s="132" t="n">
        <v>0.0363636363636364</v>
      </c>
      <c r="N6" s="5" t="n">
        <f aca="false">H6*$F6</f>
        <v>1.96363636363636</v>
      </c>
      <c r="O6" s="5" t="n">
        <f aca="false">I6*$F6</f>
        <v>1.38181818181818</v>
      </c>
      <c r="P6" s="5" t="n">
        <f aca="false">J6*$F6</f>
        <v>0.363636363636364</v>
      </c>
      <c r="Q6" s="5" t="n">
        <f aca="false">K6*$F6</f>
        <v>0.0727272727272727</v>
      </c>
      <c r="R6" s="5" t="n">
        <f aca="false">L6*$F6</f>
        <v>0.0727272727272727</v>
      </c>
      <c r="S6" s="5" t="n">
        <f aca="false">M6*$F6</f>
        <v>0.145454545454545</v>
      </c>
      <c r="T6" s="116" t="n">
        <f aca="false">Input!$F$31*TEs!C6+Input!$F$32*TEs!D6+Input!$F$33*TEs!N6+Input!$F$34*TEs!O6+Input!$F$35*TEs!P6+Input!$F$36*TEs!Q6+Input!$F$37*TEs!R6+Input!$F$38*TEs!S6+Input!$F$39*TEs!E6+Input!$F$40*TEs!G6</f>
        <v>87.2909090909091</v>
      </c>
    </row>
    <row r="7" customFormat="false" ht="12.75" hidden="false" customHeight="false" outlineLevel="0" collapsed="false">
      <c r="A7" s="141" t="s">
        <v>482</v>
      </c>
      <c r="B7" s="112" t="s">
        <v>184</v>
      </c>
      <c r="C7" s="98" t="n">
        <v>48</v>
      </c>
      <c r="D7" s="96" t="n">
        <f aca="false">12.7*C7</f>
        <v>609.6</v>
      </c>
      <c r="E7" s="96" t="n">
        <v>0</v>
      </c>
      <c r="F7" s="97" t="n">
        <v>4</v>
      </c>
      <c r="G7" s="150" t="n">
        <v>1</v>
      </c>
      <c r="H7" s="132" t="n">
        <v>0.490909090909091</v>
      </c>
      <c r="I7" s="132" t="n">
        <v>0.345454545454545</v>
      </c>
      <c r="J7" s="132" t="n">
        <v>0.0909090909090909</v>
      </c>
      <c r="K7" s="132" t="n">
        <v>0.0181818181818182</v>
      </c>
      <c r="L7" s="132" t="n">
        <v>0.0181818181818182</v>
      </c>
      <c r="M7" s="132" t="n">
        <v>0.0363636363636364</v>
      </c>
      <c r="N7" s="5" t="n">
        <f aca="false">H7*$F7</f>
        <v>1.96363636363636</v>
      </c>
      <c r="O7" s="5" t="n">
        <f aca="false">I7*$F7</f>
        <v>1.38181818181818</v>
      </c>
      <c r="P7" s="5" t="n">
        <f aca="false">J7*$F7</f>
        <v>0.363636363636364</v>
      </c>
      <c r="Q7" s="5" t="n">
        <f aca="false">K7*$F7</f>
        <v>0.0727272727272727</v>
      </c>
      <c r="R7" s="5" t="n">
        <f aca="false">L7*$F7</f>
        <v>0.0727272727272727</v>
      </c>
      <c r="S7" s="5" t="n">
        <f aca="false">M7*$F7</f>
        <v>0.145454545454545</v>
      </c>
      <c r="T7" s="116" t="n">
        <f aca="false">Input!$F$31*TEs!C7+Input!$F$32*TEs!D7+Input!$F$33*TEs!N7+Input!$F$34*TEs!O7+Input!$F$35*TEs!P7+Input!$F$36*TEs!Q7+Input!$F$37*TEs!R7+Input!$F$38*TEs!S7+Input!$F$39*TEs!E7+Input!$F$40*TEs!G7</f>
        <v>87.4509090909091</v>
      </c>
    </row>
    <row r="8" customFormat="false" ht="12.75" hidden="false" customHeight="false" outlineLevel="0" collapsed="false">
      <c r="A8" s="141" t="s">
        <v>483</v>
      </c>
      <c r="B8" s="112" t="s">
        <v>176</v>
      </c>
      <c r="C8" s="98" t="n">
        <v>40</v>
      </c>
      <c r="D8" s="96" t="n">
        <f aca="false">13*C8</f>
        <v>520</v>
      </c>
      <c r="E8" s="96" t="n">
        <v>0</v>
      </c>
      <c r="F8" s="97" t="n">
        <v>5</v>
      </c>
      <c r="G8" s="150" t="n">
        <v>0</v>
      </c>
      <c r="H8" s="132" t="n">
        <v>0.490909090909091</v>
      </c>
      <c r="I8" s="132" t="n">
        <v>0.345454545454545</v>
      </c>
      <c r="J8" s="132" t="n">
        <v>0.0909090909090909</v>
      </c>
      <c r="K8" s="132" t="n">
        <v>0.0181818181818182</v>
      </c>
      <c r="L8" s="132" t="n">
        <v>0.0181818181818182</v>
      </c>
      <c r="M8" s="132" t="n">
        <v>0.0363636363636364</v>
      </c>
      <c r="N8" s="5" t="n">
        <f aca="false">H8*$F8</f>
        <v>2.45454545454545</v>
      </c>
      <c r="O8" s="5" t="n">
        <f aca="false">I8*$F8</f>
        <v>1.72727272727273</v>
      </c>
      <c r="P8" s="5" t="n">
        <f aca="false">J8*$F8</f>
        <v>0.454545454545455</v>
      </c>
      <c r="Q8" s="5" t="n">
        <f aca="false">K8*$F8</f>
        <v>0.0909090909090909</v>
      </c>
      <c r="R8" s="5" t="n">
        <f aca="false">L8*$F8</f>
        <v>0.0909090909090909</v>
      </c>
      <c r="S8" s="5" t="n">
        <f aca="false">M8*$F8</f>
        <v>0.181818181818182</v>
      </c>
      <c r="T8" s="116" t="n">
        <f aca="false">Input!$F$31*TEs!C8+Input!$F$32*TEs!D8+Input!$F$33*TEs!N8+Input!$F$34*TEs!O8+Input!$F$35*TEs!P8+Input!$F$36*TEs!Q8+Input!$F$37*TEs!R8+Input!$F$38*TEs!S8+Input!$F$39*TEs!E8+Input!$F$40*TEs!G8</f>
        <v>86.3636363636364</v>
      </c>
    </row>
    <row r="9" customFormat="false" ht="12.75" hidden="false" customHeight="false" outlineLevel="0" collapsed="false">
      <c r="A9" s="141" t="s">
        <v>484</v>
      </c>
      <c r="B9" s="112" t="s">
        <v>146</v>
      </c>
      <c r="C9" s="98" t="n">
        <v>35</v>
      </c>
      <c r="D9" s="96" t="n">
        <f aca="false">14.5*C9</f>
        <v>507.5</v>
      </c>
      <c r="E9" s="96" t="n">
        <v>0</v>
      </c>
      <c r="F9" s="97" t="n">
        <v>5</v>
      </c>
      <c r="G9" s="150" t="n">
        <v>0</v>
      </c>
      <c r="H9" s="132" t="n">
        <v>0.490909090909091</v>
      </c>
      <c r="I9" s="132" t="n">
        <v>0.345454545454545</v>
      </c>
      <c r="J9" s="132" t="n">
        <v>0.0909090909090909</v>
      </c>
      <c r="K9" s="132" t="n">
        <v>0.0181818181818182</v>
      </c>
      <c r="L9" s="132" t="n">
        <v>0.0181818181818182</v>
      </c>
      <c r="M9" s="132" t="n">
        <v>0.0363636363636364</v>
      </c>
      <c r="N9" s="5" t="n">
        <f aca="false">H9*$F9</f>
        <v>2.45454545454545</v>
      </c>
      <c r="O9" s="5" t="n">
        <f aca="false">I9*$F9</f>
        <v>1.72727272727273</v>
      </c>
      <c r="P9" s="5" t="n">
        <f aca="false">J9*$F9</f>
        <v>0.454545454545455</v>
      </c>
      <c r="Q9" s="5" t="n">
        <f aca="false">K9*$F9</f>
        <v>0.0909090909090909</v>
      </c>
      <c r="R9" s="5" t="n">
        <f aca="false">L9*$F9</f>
        <v>0.0909090909090909</v>
      </c>
      <c r="S9" s="5" t="n">
        <f aca="false">M9*$F9</f>
        <v>0.181818181818182</v>
      </c>
      <c r="T9" s="116" t="n">
        <f aca="false">Input!$F$31*TEs!C9+Input!$F$32*TEs!D9+Input!$F$33*TEs!N9+Input!$F$34*TEs!O9+Input!$F$35*TEs!P9+Input!$F$36*TEs!Q9+Input!$F$37*TEs!R9+Input!$F$38*TEs!S9+Input!$F$39*TEs!E9+Input!$F$40*TEs!G9</f>
        <v>85.1136363636364</v>
      </c>
    </row>
    <row r="10" customFormat="false" ht="12.75" hidden="false" customHeight="false" outlineLevel="0" collapsed="false">
      <c r="A10" s="141" t="s">
        <v>485</v>
      </c>
      <c r="B10" s="112" t="s">
        <v>166</v>
      </c>
      <c r="C10" s="98" t="n">
        <v>53</v>
      </c>
      <c r="D10" s="96" t="n">
        <f aca="false">9.5*C10</f>
        <v>503.5</v>
      </c>
      <c r="E10" s="96" t="n">
        <v>0</v>
      </c>
      <c r="F10" s="97" t="n">
        <v>4</v>
      </c>
      <c r="G10" s="150" t="n">
        <v>0</v>
      </c>
      <c r="H10" s="132" t="n">
        <v>0.490909090909091</v>
      </c>
      <c r="I10" s="132" t="n">
        <v>0.345454545454545</v>
      </c>
      <c r="J10" s="132" t="n">
        <v>0.0909090909090909</v>
      </c>
      <c r="K10" s="132" t="n">
        <v>0.0181818181818182</v>
      </c>
      <c r="L10" s="132" t="n">
        <v>0.0181818181818182</v>
      </c>
      <c r="M10" s="132" t="n">
        <v>0.0363636363636364</v>
      </c>
      <c r="N10" s="5" t="n">
        <f aca="false">H10*$F10</f>
        <v>1.96363636363636</v>
      </c>
      <c r="O10" s="5" t="n">
        <f aca="false">I10*$F10</f>
        <v>1.38181818181818</v>
      </c>
      <c r="P10" s="5" t="n">
        <f aca="false">J10*$F10</f>
        <v>0.363636363636364</v>
      </c>
      <c r="Q10" s="5" t="n">
        <f aca="false">K10*$F10</f>
        <v>0.0727272727272727</v>
      </c>
      <c r="R10" s="5" t="n">
        <f aca="false">L10*$F10</f>
        <v>0.0727272727272727</v>
      </c>
      <c r="S10" s="5" t="n">
        <f aca="false">M10*$F10</f>
        <v>0.145454545454545</v>
      </c>
      <c r="T10" s="116" t="n">
        <f aca="false">Input!$F$31*TEs!C10+Input!$F$32*TEs!D10+Input!$F$33*TEs!N10+Input!$F$34*TEs!O10+Input!$F$35*TEs!P10+Input!$F$36*TEs!Q10+Input!$F$37*TEs!R10+Input!$F$38*TEs!S10+Input!$F$39*TEs!E10+Input!$F$40*TEs!G10</f>
        <v>77.8409090909091</v>
      </c>
    </row>
    <row r="11" customFormat="false" ht="12.75" hidden="false" customHeight="false" outlineLevel="0" collapsed="false">
      <c r="A11" s="141" t="s">
        <v>486</v>
      </c>
      <c r="B11" s="112" t="s">
        <v>140</v>
      </c>
      <c r="C11" s="98" t="n">
        <v>35</v>
      </c>
      <c r="D11" s="96" t="n">
        <f aca="false">12*C11</f>
        <v>420</v>
      </c>
      <c r="E11" s="96" t="n">
        <v>0</v>
      </c>
      <c r="F11" s="97" t="n">
        <v>4</v>
      </c>
      <c r="G11" s="150" t="n">
        <v>0</v>
      </c>
      <c r="H11" s="132" t="n">
        <v>0.490909090909091</v>
      </c>
      <c r="I11" s="132" t="n">
        <v>0.345454545454545</v>
      </c>
      <c r="J11" s="132" t="n">
        <v>0.0909090909090909</v>
      </c>
      <c r="K11" s="132" t="n">
        <v>0.0181818181818182</v>
      </c>
      <c r="L11" s="132" t="n">
        <v>0.0181818181818182</v>
      </c>
      <c r="M11" s="132" t="n">
        <v>0.0363636363636364</v>
      </c>
      <c r="N11" s="5" t="n">
        <f aca="false">H11*$F11</f>
        <v>1.96363636363636</v>
      </c>
      <c r="O11" s="5" t="n">
        <f aca="false">I11*$F11</f>
        <v>1.38181818181818</v>
      </c>
      <c r="P11" s="5" t="n">
        <f aca="false">J11*$F11</f>
        <v>0.363636363636364</v>
      </c>
      <c r="Q11" s="5" t="n">
        <f aca="false">K11*$F11</f>
        <v>0.0727272727272727</v>
      </c>
      <c r="R11" s="5" t="n">
        <f aca="false">L11*$F11</f>
        <v>0.0727272727272727</v>
      </c>
      <c r="S11" s="5" t="n">
        <f aca="false">M11*$F11</f>
        <v>0.145454545454545</v>
      </c>
      <c r="T11" s="116" t="n">
        <f aca="false">Input!$F$31*TEs!C11+Input!$F$32*TEs!D11+Input!$F$33*TEs!N11+Input!$F$34*TEs!O11+Input!$F$35*TEs!P11+Input!$F$36*TEs!Q11+Input!$F$37*TEs!R11+Input!$F$38*TEs!S11+Input!$F$39*TEs!E11+Input!$F$40*TEs!G11</f>
        <v>69.4909090909091</v>
      </c>
    </row>
    <row r="12" customFormat="false" ht="12.75" hidden="false" customHeight="false" outlineLevel="0" collapsed="false">
      <c r="A12" s="141" t="s">
        <v>487</v>
      </c>
      <c r="B12" s="112" t="s">
        <v>138</v>
      </c>
      <c r="C12" s="98" t="n">
        <v>32</v>
      </c>
      <c r="D12" s="96" t="n">
        <f aca="false">12.2*C12</f>
        <v>390.4</v>
      </c>
      <c r="E12" s="96" t="n">
        <v>0</v>
      </c>
      <c r="F12" s="97" t="n">
        <v>2</v>
      </c>
      <c r="G12" s="150" t="n">
        <v>0</v>
      </c>
      <c r="H12" s="132" t="n">
        <v>0.490909090909091</v>
      </c>
      <c r="I12" s="132" t="n">
        <v>0.345454545454545</v>
      </c>
      <c r="J12" s="132" t="n">
        <v>0.0909090909090909</v>
      </c>
      <c r="K12" s="132" t="n">
        <v>0.0181818181818182</v>
      </c>
      <c r="L12" s="132" t="n">
        <v>0.0181818181818182</v>
      </c>
      <c r="M12" s="132" t="n">
        <v>0.0363636363636364</v>
      </c>
      <c r="N12" s="5" t="n">
        <f aca="false">H12*$F12</f>
        <v>0.981818181818182</v>
      </c>
      <c r="O12" s="5" t="n">
        <f aca="false">I12*$F12</f>
        <v>0.690909090909091</v>
      </c>
      <c r="P12" s="5" t="n">
        <f aca="false">J12*$F12</f>
        <v>0.181818181818182</v>
      </c>
      <c r="Q12" s="5" t="n">
        <f aca="false">K12*$F12</f>
        <v>0.0363636363636364</v>
      </c>
      <c r="R12" s="5" t="n">
        <f aca="false">L12*$F12</f>
        <v>0.0363636363636364</v>
      </c>
      <c r="S12" s="5" t="n">
        <f aca="false">M12*$F12</f>
        <v>0.0727272727272727</v>
      </c>
      <c r="T12" s="116" t="n">
        <f aca="false">Input!$F$31*TEs!C12+Input!$F$32*TEs!D12+Input!$F$33*TEs!N12+Input!$F$34*TEs!O12+Input!$F$35*TEs!P12+Input!$F$36*TEs!Q12+Input!$F$37*TEs!R12+Input!$F$38*TEs!S12+Input!$F$39*TEs!E12+Input!$F$40*TEs!G12</f>
        <v>52.7854545454546</v>
      </c>
    </row>
    <row r="13" customFormat="false" ht="12.75" hidden="false" customHeight="false" outlineLevel="0" collapsed="false">
      <c r="A13" s="141" t="s">
        <v>488</v>
      </c>
      <c r="B13" s="112" t="s">
        <v>150</v>
      </c>
      <c r="C13" s="98" t="n">
        <v>38</v>
      </c>
      <c r="D13" s="96" t="n">
        <f aca="false">10.8*C13</f>
        <v>410.4</v>
      </c>
      <c r="E13" s="96" t="n">
        <v>0</v>
      </c>
      <c r="F13" s="97" t="n">
        <v>3</v>
      </c>
      <c r="G13" s="150" t="n">
        <v>0</v>
      </c>
      <c r="H13" s="132" t="n">
        <v>0.490909090909091</v>
      </c>
      <c r="I13" s="132" t="n">
        <v>0.345454545454545</v>
      </c>
      <c r="J13" s="132" t="n">
        <v>0.0909090909090909</v>
      </c>
      <c r="K13" s="132" t="n">
        <v>0.0181818181818182</v>
      </c>
      <c r="L13" s="132" t="n">
        <v>0.0181818181818182</v>
      </c>
      <c r="M13" s="132" t="n">
        <v>0.0363636363636364</v>
      </c>
      <c r="N13" s="5" t="n">
        <f aca="false">H13*$F13</f>
        <v>1.47272727272727</v>
      </c>
      <c r="O13" s="5" t="n">
        <f aca="false">I13*$F13</f>
        <v>1.03636363636364</v>
      </c>
      <c r="P13" s="5" t="n">
        <f aca="false">J13*$F13</f>
        <v>0.272727272727273</v>
      </c>
      <c r="Q13" s="5" t="n">
        <f aca="false">K13*$F13</f>
        <v>0.0545454545454545</v>
      </c>
      <c r="R13" s="5" t="n">
        <f aca="false">L13*$F13</f>
        <v>0.0545454545454545</v>
      </c>
      <c r="S13" s="5" t="n">
        <f aca="false">M13*$F13</f>
        <v>0.109090909090909</v>
      </c>
      <c r="T13" s="116" t="n">
        <f aca="false">Input!$F$31*TEs!C13+Input!$F$32*TEs!D13+Input!$F$33*TEs!N13+Input!$F$34*TEs!O13+Input!$F$35*TEs!P13+Input!$F$36*TEs!Q13+Input!$F$37*TEs!R13+Input!$F$38*TEs!S13+Input!$F$39*TEs!E13+Input!$F$40*TEs!G13</f>
        <v>61.6581818181818</v>
      </c>
    </row>
    <row r="14" customFormat="false" ht="12.75" hidden="false" customHeight="false" outlineLevel="0" collapsed="false">
      <c r="A14" s="141" t="s">
        <v>489</v>
      </c>
      <c r="B14" s="112" t="s">
        <v>188</v>
      </c>
      <c r="C14" s="98" t="n">
        <v>30</v>
      </c>
      <c r="D14" s="96" t="n">
        <f aca="false">12.8*C14</f>
        <v>384</v>
      </c>
      <c r="E14" s="96" t="n">
        <v>0</v>
      </c>
      <c r="F14" s="97" t="n">
        <v>3</v>
      </c>
      <c r="G14" s="150" t="n">
        <v>0</v>
      </c>
      <c r="H14" s="132" t="n">
        <v>0.490909090909091</v>
      </c>
      <c r="I14" s="132" t="n">
        <v>0.345454545454545</v>
      </c>
      <c r="J14" s="132" t="n">
        <v>0.0909090909090909</v>
      </c>
      <c r="K14" s="132" t="n">
        <v>0.0181818181818182</v>
      </c>
      <c r="L14" s="132" t="n">
        <v>0.0181818181818182</v>
      </c>
      <c r="M14" s="132" t="n">
        <v>0.0363636363636364</v>
      </c>
      <c r="N14" s="5" t="n">
        <f aca="false">H14*$F14</f>
        <v>1.47272727272727</v>
      </c>
      <c r="O14" s="5" t="n">
        <f aca="false">I14*$F14</f>
        <v>1.03636363636364</v>
      </c>
      <c r="P14" s="5" t="n">
        <f aca="false">J14*$F14</f>
        <v>0.272727272727273</v>
      </c>
      <c r="Q14" s="5" t="n">
        <f aca="false">K14*$F14</f>
        <v>0.0545454545454545</v>
      </c>
      <c r="R14" s="5" t="n">
        <f aca="false">L14*$F14</f>
        <v>0.0545454545454545</v>
      </c>
      <c r="S14" s="5" t="n">
        <f aca="false">M14*$F14</f>
        <v>0.109090909090909</v>
      </c>
      <c r="T14" s="116" t="n">
        <f aca="false">Input!$F$31*TEs!C14+Input!$F$32*TEs!D14+Input!$F$33*TEs!N14+Input!$F$34*TEs!O14+Input!$F$35*TEs!P14+Input!$F$36*TEs!Q14+Input!$F$37*TEs!R14+Input!$F$38*TEs!S14+Input!$F$39*TEs!E14+Input!$F$40*TEs!G14</f>
        <v>59.0181818181818</v>
      </c>
    </row>
    <row r="15" customFormat="false" ht="12.75" hidden="false" customHeight="false" outlineLevel="0" collapsed="false">
      <c r="A15" s="141" t="s">
        <v>490</v>
      </c>
      <c r="B15" s="112" t="s">
        <v>184</v>
      </c>
      <c r="C15" s="98" t="n">
        <v>35</v>
      </c>
      <c r="D15" s="96" t="n">
        <f aca="false">10.8*C15</f>
        <v>378</v>
      </c>
      <c r="E15" s="96" t="n">
        <v>0</v>
      </c>
      <c r="F15" s="97" t="n">
        <v>3</v>
      </c>
      <c r="G15" s="150" t="n">
        <v>0</v>
      </c>
      <c r="H15" s="132" t="n">
        <v>0.490909090909091</v>
      </c>
      <c r="I15" s="132" t="n">
        <v>0.345454545454545</v>
      </c>
      <c r="J15" s="132" t="n">
        <v>0.0909090909090909</v>
      </c>
      <c r="K15" s="132" t="n">
        <v>0.0181818181818182</v>
      </c>
      <c r="L15" s="132" t="n">
        <v>0.0181818181818182</v>
      </c>
      <c r="M15" s="132" t="n">
        <v>0.0363636363636364</v>
      </c>
      <c r="N15" s="5" t="n">
        <f aca="false">H15*$F15</f>
        <v>1.47272727272727</v>
      </c>
      <c r="O15" s="5" t="n">
        <f aca="false">I15*$F15</f>
        <v>1.03636363636364</v>
      </c>
      <c r="P15" s="5" t="n">
        <f aca="false">J15*$F15</f>
        <v>0.272727272727273</v>
      </c>
      <c r="Q15" s="5" t="n">
        <f aca="false">K15*$F15</f>
        <v>0.0545454545454545</v>
      </c>
      <c r="R15" s="5" t="n">
        <f aca="false">L15*$F15</f>
        <v>0.0545454545454545</v>
      </c>
      <c r="S15" s="5" t="n">
        <f aca="false">M15*$F15</f>
        <v>0.109090909090909</v>
      </c>
      <c r="T15" s="116" t="n">
        <f aca="false">Input!$F$31*TEs!C15+Input!$F$32*TEs!D15+Input!$F$33*TEs!N15+Input!$F$34*TEs!O15+Input!$F$35*TEs!P15+Input!$F$36*TEs!Q15+Input!$F$37*TEs!R15+Input!$F$38*TEs!S15+Input!$F$39*TEs!E15+Input!$F$40*TEs!G15</f>
        <v>58.4181818181818</v>
      </c>
    </row>
    <row r="16" customFormat="false" ht="12.75" hidden="false" customHeight="false" outlineLevel="0" collapsed="false">
      <c r="A16" s="141" t="s">
        <v>491</v>
      </c>
      <c r="B16" s="112" t="s">
        <v>138</v>
      </c>
      <c r="C16" s="98" t="n">
        <v>30</v>
      </c>
      <c r="D16" s="96" t="n">
        <f aca="false">12*C16</f>
        <v>360</v>
      </c>
      <c r="E16" s="96" t="n">
        <v>0</v>
      </c>
      <c r="F16" s="97" t="n">
        <v>3</v>
      </c>
      <c r="G16" s="150" t="n">
        <v>1</v>
      </c>
      <c r="H16" s="132" t="n">
        <v>0.490909090909091</v>
      </c>
      <c r="I16" s="132" t="n">
        <v>0.345454545454545</v>
      </c>
      <c r="J16" s="132" t="n">
        <v>0.0909090909090909</v>
      </c>
      <c r="K16" s="132" t="n">
        <v>0.0181818181818182</v>
      </c>
      <c r="L16" s="132" t="n">
        <v>0.0181818181818182</v>
      </c>
      <c r="M16" s="132" t="n">
        <v>0.0363636363636364</v>
      </c>
      <c r="N16" s="5" t="n">
        <f aca="false">H16*$F16</f>
        <v>1.47272727272727</v>
      </c>
      <c r="O16" s="5" t="n">
        <f aca="false">I16*$F16</f>
        <v>1.03636363636364</v>
      </c>
      <c r="P16" s="5" t="n">
        <f aca="false">J16*$F16</f>
        <v>0.272727272727273</v>
      </c>
      <c r="Q16" s="5" t="n">
        <f aca="false">K16*$F16</f>
        <v>0.0545454545454545</v>
      </c>
      <c r="R16" s="5" t="n">
        <f aca="false">L16*$F16</f>
        <v>0.0545454545454545</v>
      </c>
      <c r="S16" s="5" t="n">
        <f aca="false">M16*$F16</f>
        <v>0.109090909090909</v>
      </c>
      <c r="T16" s="116" t="n">
        <f aca="false">Input!$F$31*TEs!C16+Input!$F$32*TEs!D16+Input!$F$33*TEs!N16+Input!$F$34*TEs!O16+Input!$F$35*TEs!P16+Input!$F$36*TEs!Q16+Input!$F$37*TEs!R16+Input!$F$38*TEs!S16+Input!$F$39*TEs!E16+Input!$F$40*TEs!G16</f>
        <v>55.6181818181818</v>
      </c>
    </row>
    <row r="17" customFormat="false" ht="12.75" hidden="false" customHeight="false" outlineLevel="0" collapsed="false">
      <c r="A17" s="141" t="s">
        <v>492</v>
      </c>
      <c r="B17" s="112" t="s">
        <v>148</v>
      </c>
      <c r="C17" s="98" t="n">
        <v>40</v>
      </c>
      <c r="D17" s="96" t="n">
        <f aca="false">10.3*C17</f>
        <v>412</v>
      </c>
      <c r="E17" s="96" t="n">
        <v>0</v>
      </c>
      <c r="F17" s="97" t="n">
        <v>2</v>
      </c>
      <c r="G17" s="150" t="n">
        <v>0</v>
      </c>
      <c r="H17" s="132" t="n">
        <v>0.490909090909091</v>
      </c>
      <c r="I17" s="132" t="n">
        <v>0.345454545454545</v>
      </c>
      <c r="J17" s="132" t="n">
        <v>0.0909090909090909</v>
      </c>
      <c r="K17" s="132" t="n">
        <v>0.0181818181818182</v>
      </c>
      <c r="L17" s="132" t="n">
        <v>0.0181818181818182</v>
      </c>
      <c r="M17" s="132" t="n">
        <v>0.0363636363636364</v>
      </c>
      <c r="N17" s="5" t="n">
        <f aca="false">H17*$F17</f>
        <v>0.981818181818182</v>
      </c>
      <c r="O17" s="5" t="n">
        <f aca="false">I17*$F17</f>
        <v>0.690909090909091</v>
      </c>
      <c r="P17" s="5" t="n">
        <f aca="false">J17*$F17</f>
        <v>0.181818181818182</v>
      </c>
      <c r="Q17" s="5" t="n">
        <f aca="false">K17*$F17</f>
        <v>0.0363636363636364</v>
      </c>
      <c r="R17" s="5" t="n">
        <f aca="false">L17*$F17</f>
        <v>0.0363636363636364</v>
      </c>
      <c r="S17" s="5" t="n">
        <f aca="false">M17*$F17</f>
        <v>0.0727272727272727</v>
      </c>
      <c r="T17" s="116" t="n">
        <f aca="false">Input!$F$31*TEs!C17+Input!$F$32*TEs!D17+Input!$F$33*TEs!N17+Input!$F$34*TEs!O17+Input!$F$35*TEs!P17+Input!$F$36*TEs!Q17+Input!$F$37*TEs!R17+Input!$F$38*TEs!S17+Input!$F$39*TEs!E17+Input!$F$40*TEs!G17</f>
        <v>54.9454545454546</v>
      </c>
    </row>
    <row r="18" customFormat="false" ht="12.75" hidden="false" customHeight="false" outlineLevel="0" collapsed="false">
      <c r="A18" s="141" t="s">
        <v>493</v>
      </c>
      <c r="B18" s="112" t="s">
        <v>164</v>
      </c>
      <c r="C18" s="98" t="n">
        <v>35</v>
      </c>
      <c r="D18" s="96" t="n">
        <f aca="false">10.8*C18</f>
        <v>378</v>
      </c>
      <c r="E18" s="96" t="n">
        <v>0</v>
      </c>
      <c r="F18" s="97" t="n">
        <v>2</v>
      </c>
      <c r="G18" s="150" t="n">
        <v>0</v>
      </c>
      <c r="H18" s="132" t="n">
        <v>0.490909090909091</v>
      </c>
      <c r="I18" s="132" t="n">
        <v>0.345454545454545</v>
      </c>
      <c r="J18" s="132" t="n">
        <v>0.0909090909090909</v>
      </c>
      <c r="K18" s="132" t="n">
        <v>0.0181818181818182</v>
      </c>
      <c r="L18" s="132" t="n">
        <v>0.0181818181818182</v>
      </c>
      <c r="M18" s="132" t="n">
        <v>0.0363636363636364</v>
      </c>
      <c r="N18" s="5" t="n">
        <f aca="false">H18*$F18</f>
        <v>0.981818181818182</v>
      </c>
      <c r="O18" s="5" t="n">
        <f aca="false">I18*$F18</f>
        <v>0.690909090909091</v>
      </c>
      <c r="P18" s="5" t="n">
        <f aca="false">J18*$F18</f>
        <v>0.181818181818182</v>
      </c>
      <c r="Q18" s="5" t="n">
        <f aca="false">K18*$F18</f>
        <v>0.0363636363636364</v>
      </c>
      <c r="R18" s="5" t="n">
        <f aca="false">L18*$F18</f>
        <v>0.0363636363636364</v>
      </c>
      <c r="S18" s="5" t="n">
        <f aca="false">M18*$F18</f>
        <v>0.0727272727272727</v>
      </c>
      <c r="T18" s="116" t="n">
        <f aca="false">Input!$F$31*TEs!C18+Input!$F$32*TEs!D18+Input!$F$33*TEs!N18+Input!$F$34*TEs!O18+Input!$F$35*TEs!P18+Input!$F$36*TEs!Q18+Input!$F$37*TEs!R18+Input!$F$38*TEs!S18+Input!$F$39*TEs!E18+Input!$F$40*TEs!G18</f>
        <v>51.5454545454546</v>
      </c>
    </row>
    <row r="19" customFormat="false" ht="12.75" hidden="false" customHeight="false" outlineLevel="0" collapsed="false">
      <c r="A19" s="141" t="s">
        <v>494</v>
      </c>
      <c r="B19" s="112" t="s">
        <v>152</v>
      </c>
      <c r="C19" s="98" t="n">
        <v>0</v>
      </c>
      <c r="D19" s="96" t="n">
        <v>0</v>
      </c>
      <c r="E19" s="96" t="n">
        <v>0</v>
      </c>
      <c r="F19" s="97" t="n">
        <v>0</v>
      </c>
      <c r="G19" s="150" t="n">
        <v>0</v>
      </c>
      <c r="H19" s="132" t="n">
        <v>0.490909090909091</v>
      </c>
      <c r="I19" s="132" t="n">
        <v>0.345454545454545</v>
      </c>
      <c r="J19" s="132" t="n">
        <v>0.0909090909090909</v>
      </c>
      <c r="K19" s="132" t="n">
        <v>0.0181818181818182</v>
      </c>
      <c r="L19" s="132" t="n">
        <v>0.0181818181818182</v>
      </c>
      <c r="M19" s="132" t="n">
        <v>0.0363636363636364</v>
      </c>
      <c r="N19" s="5" t="n">
        <f aca="false">H19*$F19</f>
        <v>0</v>
      </c>
      <c r="O19" s="5" t="n">
        <f aca="false">I19*$F19</f>
        <v>0</v>
      </c>
      <c r="P19" s="5" t="n">
        <f aca="false">J19*$F19</f>
        <v>0</v>
      </c>
      <c r="Q19" s="5" t="n">
        <f aca="false">K19*$F19</f>
        <v>0</v>
      </c>
      <c r="R19" s="5" t="n">
        <f aca="false">L19*$F19</f>
        <v>0</v>
      </c>
      <c r="S19" s="5" t="n">
        <f aca="false">M19*$F19</f>
        <v>0</v>
      </c>
      <c r="T19" s="116" t="n">
        <f aca="false">Input!$F$31*TEs!C19+Input!$F$32*TEs!D19+Input!$F$33*TEs!N19+Input!$F$34*TEs!O19+Input!$F$35*TEs!P19+Input!$F$36*TEs!Q19+Input!$F$37*TEs!R19+Input!$F$38*TEs!S19+Input!$F$39*TEs!E19+Input!$F$40*TEs!G19</f>
        <v>0</v>
      </c>
    </row>
    <row r="20" customFormat="false" ht="12.75" hidden="false" customHeight="false" outlineLevel="0" collapsed="false">
      <c r="A20" s="141" t="s">
        <v>495</v>
      </c>
      <c r="B20" s="112" t="s">
        <v>162</v>
      </c>
      <c r="C20" s="98" t="n">
        <v>30</v>
      </c>
      <c r="D20" s="96" t="n">
        <f aca="false">12*C20</f>
        <v>360</v>
      </c>
      <c r="E20" s="96" t="n">
        <v>0</v>
      </c>
      <c r="F20" s="97" t="n">
        <v>2</v>
      </c>
      <c r="G20" s="150" t="n">
        <v>0</v>
      </c>
      <c r="H20" s="132" t="n">
        <v>0.490909090909091</v>
      </c>
      <c r="I20" s="132" t="n">
        <v>0.345454545454545</v>
      </c>
      <c r="J20" s="132" t="n">
        <v>0.0909090909090909</v>
      </c>
      <c r="K20" s="132" t="n">
        <v>0.0181818181818182</v>
      </c>
      <c r="L20" s="132" t="n">
        <v>0.0181818181818182</v>
      </c>
      <c r="M20" s="132" t="n">
        <v>0.0363636363636364</v>
      </c>
      <c r="N20" s="5" t="n">
        <f aca="false">H20*$F20</f>
        <v>0.981818181818182</v>
      </c>
      <c r="O20" s="5" t="n">
        <f aca="false">I20*$F20</f>
        <v>0.690909090909091</v>
      </c>
      <c r="P20" s="5" t="n">
        <f aca="false">J20*$F20</f>
        <v>0.181818181818182</v>
      </c>
      <c r="Q20" s="5" t="n">
        <f aca="false">K20*$F20</f>
        <v>0.0363636363636364</v>
      </c>
      <c r="R20" s="5" t="n">
        <f aca="false">L20*$F20</f>
        <v>0.0363636363636364</v>
      </c>
      <c r="S20" s="5" t="n">
        <f aca="false">M20*$F20</f>
        <v>0.0727272727272727</v>
      </c>
      <c r="T20" s="116" t="n">
        <f aca="false">Input!$F$31*TEs!C20+Input!$F$32*TEs!D20+Input!$F$33*TEs!N20+Input!$F$34*TEs!O20+Input!$F$35*TEs!P20+Input!$F$36*TEs!Q20+Input!$F$37*TEs!R20+Input!$F$38*TEs!S20+Input!$F$39*TEs!E20+Input!$F$40*TEs!G20</f>
        <v>49.7454545454546</v>
      </c>
    </row>
    <row r="21" customFormat="false" ht="12.75" hidden="false" customHeight="false" outlineLevel="0" collapsed="false">
      <c r="A21" s="141" t="s">
        <v>496</v>
      </c>
      <c r="B21" s="112" t="s">
        <v>170</v>
      </c>
      <c r="C21" s="94" t="n">
        <v>25</v>
      </c>
      <c r="D21" s="95" t="n">
        <f aca="false">12*C21</f>
        <v>300</v>
      </c>
      <c r="E21" s="96" t="n">
        <v>0</v>
      </c>
      <c r="F21" s="122" t="n">
        <v>3</v>
      </c>
      <c r="G21" s="151" t="n">
        <v>0</v>
      </c>
      <c r="H21" s="132" t="n">
        <v>0.490909090909091</v>
      </c>
      <c r="I21" s="132" t="n">
        <v>0.345454545454545</v>
      </c>
      <c r="J21" s="132" t="n">
        <v>0.0909090909090909</v>
      </c>
      <c r="K21" s="132" t="n">
        <v>0.0181818181818182</v>
      </c>
      <c r="L21" s="132" t="n">
        <v>0.0181818181818182</v>
      </c>
      <c r="M21" s="132" t="n">
        <v>0.0363636363636364</v>
      </c>
      <c r="N21" s="5" t="n">
        <f aca="false">H21*$F21</f>
        <v>1.47272727272727</v>
      </c>
      <c r="O21" s="5" t="n">
        <f aca="false">I21*$F21</f>
        <v>1.03636363636364</v>
      </c>
      <c r="P21" s="5" t="n">
        <f aca="false">J21*$F21</f>
        <v>0.272727272727273</v>
      </c>
      <c r="Q21" s="5" t="n">
        <f aca="false">K21*$F21</f>
        <v>0.0545454545454545</v>
      </c>
      <c r="R21" s="5" t="n">
        <f aca="false">L21*$F21</f>
        <v>0.0545454545454545</v>
      </c>
      <c r="S21" s="5" t="n">
        <f aca="false">M21*$F21</f>
        <v>0.109090909090909</v>
      </c>
      <c r="T21" s="116" t="n">
        <f aca="false">Input!$F$31*TEs!C21+Input!$F$32*TEs!D21+Input!$F$33*TEs!N21+Input!$F$34*TEs!O21+Input!$F$35*TEs!P21+Input!$F$36*TEs!Q21+Input!$F$37*TEs!R21+Input!$F$38*TEs!S21+Input!$F$39*TEs!E21+Input!$F$40*TEs!G21</f>
        <v>50.6181818181818</v>
      </c>
    </row>
    <row r="22" customFormat="false" ht="12.75" hidden="false" customHeight="false" outlineLevel="0" collapsed="false">
      <c r="A22" s="141" t="s">
        <v>497</v>
      </c>
      <c r="B22" s="112" t="s">
        <v>192</v>
      </c>
      <c r="C22" s="98" t="n">
        <v>30</v>
      </c>
      <c r="D22" s="96" t="n">
        <f aca="false">13.5*C22</f>
        <v>405</v>
      </c>
      <c r="E22" s="96" t="n">
        <v>0</v>
      </c>
      <c r="F22" s="97" t="n">
        <v>2</v>
      </c>
      <c r="G22" s="150" t="n">
        <v>0</v>
      </c>
      <c r="H22" s="132" t="n">
        <v>0.490909090909091</v>
      </c>
      <c r="I22" s="132" t="n">
        <v>0.345454545454545</v>
      </c>
      <c r="J22" s="132" t="n">
        <v>0.0909090909090909</v>
      </c>
      <c r="K22" s="132" t="n">
        <v>0.0181818181818182</v>
      </c>
      <c r="L22" s="132" t="n">
        <v>0.0181818181818182</v>
      </c>
      <c r="M22" s="132" t="n">
        <v>0.0363636363636364</v>
      </c>
      <c r="N22" s="5" t="n">
        <f aca="false">H22*$F22</f>
        <v>0.981818181818182</v>
      </c>
      <c r="O22" s="5" t="n">
        <f aca="false">I22*$F22</f>
        <v>0.690909090909091</v>
      </c>
      <c r="P22" s="5" t="n">
        <f aca="false">J22*$F22</f>
        <v>0.181818181818182</v>
      </c>
      <c r="Q22" s="5" t="n">
        <f aca="false">K22*$F22</f>
        <v>0.0363636363636364</v>
      </c>
      <c r="R22" s="5" t="n">
        <f aca="false">L22*$F22</f>
        <v>0.0363636363636364</v>
      </c>
      <c r="S22" s="5" t="n">
        <f aca="false">M22*$F22</f>
        <v>0.0727272727272727</v>
      </c>
      <c r="T22" s="116" t="n">
        <f aca="false">Input!$F$31*TEs!C22+Input!$F$32*TEs!D22+Input!$F$33*TEs!N22+Input!$F$34*TEs!O22+Input!$F$35*TEs!P22+Input!$F$36*TEs!Q22+Input!$F$37*TEs!R22+Input!$F$38*TEs!S22+Input!$F$39*TEs!E22+Input!$F$40*TEs!G22</f>
        <v>54.2454545454546</v>
      </c>
    </row>
    <row r="23" customFormat="false" ht="12.75" hidden="false" customHeight="false" outlineLevel="0" collapsed="false">
      <c r="A23" s="141" t="s">
        <v>498</v>
      </c>
      <c r="B23" s="112" t="s">
        <v>168</v>
      </c>
      <c r="C23" s="98" t="n">
        <v>25</v>
      </c>
      <c r="D23" s="96" t="n">
        <f aca="false">9*C23</f>
        <v>225</v>
      </c>
      <c r="E23" s="96" t="n">
        <v>0</v>
      </c>
      <c r="F23" s="97" t="n">
        <v>2</v>
      </c>
      <c r="G23" s="150" t="n">
        <v>0</v>
      </c>
      <c r="H23" s="132" t="n">
        <v>0.490909090909091</v>
      </c>
      <c r="I23" s="132" t="n">
        <v>0.345454545454545</v>
      </c>
      <c r="J23" s="132" t="n">
        <v>0.0909090909090909</v>
      </c>
      <c r="K23" s="132" t="n">
        <v>0.0181818181818182</v>
      </c>
      <c r="L23" s="132" t="n">
        <v>0.0181818181818182</v>
      </c>
      <c r="M23" s="132" t="n">
        <v>0.0363636363636364</v>
      </c>
      <c r="N23" s="5" t="n">
        <f aca="false">H23*$F23</f>
        <v>0.981818181818182</v>
      </c>
      <c r="O23" s="5" t="n">
        <f aca="false">I23*$F23</f>
        <v>0.690909090909091</v>
      </c>
      <c r="P23" s="5" t="n">
        <f aca="false">J23*$F23</f>
        <v>0.181818181818182</v>
      </c>
      <c r="Q23" s="5" t="n">
        <f aca="false">K23*$F23</f>
        <v>0.0363636363636364</v>
      </c>
      <c r="R23" s="5" t="n">
        <f aca="false">L23*$F23</f>
        <v>0.0363636363636364</v>
      </c>
      <c r="S23" s="5" t="n">
        <f aca="false">M23*$F23</f>
        <v>0.0727272727272727</v>
      </c>
      <c r="T23" s="116" t="n">
        <f aca="false">Input!$F$31*TEs!C23+Input!$F$32*TEs!D23+Input!$F$33*TEs!N23+Input!$F$34*TEs!O23+Input!$F$35*TEs!P23+Input!$F$36*TEs!Q23+Input!$F$37*TEs!R23+Input!$F$38*TEs!S23+Input!$F$39*TEs!E23+Input!$F$40*TEs!G23</f>
        <v>36.2454545454546</v>
      </c>
    </row>
    <row r="24" customFormat="false" ht="12.75" hidden="false" customHeight="false" outlineLevel="0" collapsed="false">
      <c r="A24" s="141" t="s">
        <v>499</v>
      </c>
      <c r="B24" s="112" t="s">
        <v>186</v>
      </c>
      <c r="C24" s="98" t="n">
        <v>25</v>
      </c>
      <c r="D24" s="96" t="n">
        <f aca="false">12.5*C24</f>
        <v>312.5</v>
      </c>
      <c r="E24" s="96" t="n">
        <v>0</v>
      </c>
      <c r="F24" s="97" t="n">
        <v>2</v>
      </c>
      <c r="G24" s="150" t="n">
        <v>0</v>
      </c>
      <c r="H24" s="132" t="n">
        <v>0.490909090909091</v>
      </c>
      <c r="I24" s="132" t="n">
        <v>0.345454545454545</v>
      </c>
      <c r="J24" s="132" t="n">
        <v>0.0909090909090909</v>
      </c>
      <c r="K24" s="132" t="n">
        <v>0.0181818181818182</v>
      </c>
      <c r="L24" s="132" t="n">
        <v>0.0181818181818182</v>
      </c>
      <c r="M24" s="132" t="n">
        <v>0.0363636363636364</v>
      </c>
      <c r="N24" s="5" t="n">
        <f aca="false">H24*$F24</f>
        <v>0.981818181818182</v>
      </c>
      <c r="O24" s="5" t="n">
        <f aca="false">I24*$F24</f>
        <v>0.690909090909091</v>
      </c>
      <c r="P24" s="5" t="n">
        <f aca="false">J24*$F24</f>
        <v>0.181818181818182</v>
      </c>
      <c r="Q24" s="5" t="n">
        <f aca="false">K24*$F24</f>
        <v>0.0363636363636364</v>
      </c>
      <c r="R24" s="5" t="n">
        <f aca="false">L24*$F24</f>
        <v>0.0363636363636364</v>
      </c>
      <c r="S24" s="5" t="n">
        <f aca="false">M24*$F24</f>
        <v>0.0727272727272727</v>
      </c>
      <c r="T24" s="116" t="n">
        <f aca="false">Input!$F$31*TEs!C24+Input!$F$32*TEs!D24+Input!$F$33*TEs!N24+Input!$F$34*TEs!O24+Input!$F$35*TEs!P24+Input!$F$36*TEs!Q24+Input!$F$37*TEs!R24+Input!$F$38*TEs!S24+Input!$F$39*TEs!E24+Input!$F$40*TEs!G24</f>
        <v>44.9954545454546</v>
      </c>
    </row>
    <row r="25" customFormat="false" ht="12.75" hidden="false" customHeight="false" outlineLevel="0" collapsed="false">
      <c r="A25" s="141" t="s">
        <v>500</v>
      </c>
      <c r="B25" s="112" t="s">
        <v>136</v>
      </c>
      <c r="C25" s="98" t="n">
        <v>20</v>
      </c>
      <c r="D25" s="96" t="n">
        <f aca="false">9*C25</f>
        <v>180</v>
      </c>
      <c r="E25" s="96" t="n">
        <v>0</v>
      </c>
      <c r="F25" s="97" t="n">
        <v>3</v>
      </c>
      <c r="G25" s="150" t="n">
        <v>0</v>
      </c>
      <c r="H25" s="132" t="n">
        <v>0.490909090909091</v>
      </c>
      <c r="I25" s="132" t="n">
        <v>0.345454545454545</v>
      </c>
      <c r="J25" s="132" t="n">
        <v>0.0909090909090909</v>
      </c>
      <c r="K25" s="132" t="n">
        <v>0.0181818181818182</v>
      </c>
      <c r="L25" s="132" t="n">
        <v>0.0181818181818182</v>
      </c>
      <c r="M25" s="132" t="n">
        <v>0.0363636363636364</v>
      </c>
      <c r="N25" s="5" t="n">
        <f aca="false">H25*$F25</f>
        <v>1.47272727272727</v>
      </c>
      <c r="O25" s="5" t="n">
        <f aca="false">I25*$F25</f>
        <v>1.03636363636364</v>
      </c>
      <c r="P25" s="5" t="n">
        <f aca="false">J25*$F25</f>
        <v>0.272727272727273</v>
      </c>
      <c r="Q25" s="5" t="n">
        <f aca="false">K25*$F25</f>
        <v>0.0545454545454545</v>
      </c>
      <c r="R25" s="5" t="n">
        <f aca="false">L25*$F25</f>
        <v>0.0545454545454545</v>
      </c>
      <c r="S25" s="5" t="n">
        <f aca="false">M25*$F25</f>
        <v>0.109090909090909</v>
      </c>
      <c r="T25" s="116" t="n">
        <f aca="false">Input!$F$31*TEs!C25+Input!$F$32*TEs!D25+Input!$F$33*TEs!N25+Input!$F$34*TEs!O25+Input!$F$35*TEs!P25+Input!$F$36*TEs!Q25+Input!$F$37*TEs!R25+Input!$F$38*TEs!S25+Input!$F$39*TEs!E25+Input!$F$40*TEs!G25</f>
        <v>38.6181818181818</v>
      </c>
    </row>
    <row r="26" customFormat="false" ht="12.75" hidden="false" customHeight="false" outlineLevel="0" collapsed="false">
      <c r="A26" s="141" t="s">
        <v>501</v>
      </c>
      <c r="B26" s="112" t="s">
        <v>162</v>
      </c>
      <c r="C26" s="98" t="n">
        <v>25</v>
      </c>
      <c r="D26" s="96" t="n">
        <f aca="false">11.8*C26</f>
        <v>295</v>
      </c>
      <c r="E26" s="96" t="n">
        <v>0</v>
      </c>
      <c r="F26" s="97" t="n">
        <v>1</v>
      </c>
      <c r="G26" s="150" t="n">
        <v>0</v>
      </c>
      <c r="H26" s="132" t="n">
        <v>0.490909090909091</v>
      </c>
      <c r="I26" s="132" t="n">
        <v>0.345454545454545</v>
      </c>
      <c r="J26" s="132" t="n">
        <v>0.0909090909090909</v>
      </c>
      <c r="K26" s="132" t="n">
        <v>0.0181818181818182</v>
      </c>
      <c r="L26" s="132" t="n">
        <v>0.0181818181818182</v>
      </c>
      <c r="M26" s="132" t="n">
        <v>0.0363636363636364</v>
      </c>
      <c r="N26" s="5" t="n">
        <f aca="false">H26*$F26</f>
        <v>0.490909090909091</v>
      </c>
      <c r="O26" s="5" t="n">
        <f aca="false">I26*$F26</f>
        <v>0.345454545454545</v>
      </c>
      <c r="P26" s="5" t="n">
        <f aca="false">J26*$F26</f>
        <v>0.0909090909090909</v>
      </c>
      <c r="Q26" s="5" t="n">
        <f aca="false">K26*$F26</f>
        <v>0.0181818181818182</v>
      </c>
      <c r="R26" s="5" t="n">
        <f aca="false">L26*$F26</f>
        <v>0.0181818181818182</v>
      </c>
      <c r="S26" s="5" t="n">
        <f aca="false">M26*$F26</f>
        <v>0.0363636363636364</v>
      </c>
      <c r="T26" s="116" t="n">
        <f aca="false">Input!$F$31*TEs!C26+Input!$F$32*TEs!D26+Input!$F$33*TEs!N26+Input!$F$34*TEs!O26+Input!$F$35*TEs!P26+Input!$F$36*TEs!Q26+Input!$F$37*TEs!R26+Input!$F$38*TEs!S26+Input!$F$39*TEs!E26+Input!$F$40*TEs!G26</f>
        <v>36.3727272727273</v>
      </c>
    </row>
    <row r="27" customFormat="false" ht="12.75" hidden="false" customHeight="false" outlineLevel="0" collapsed="false">
      <c r="A27" s="141" t="s">
        <v>502</v>
      </c>
      <c r="B27" s="112" t="s">
        <v>178</v>
      </c>
      <c r="C27" s="98" t="n">
        <v>20</v>
      </c>
      <c r="D27" s="96" t="n">
        <f aca="false">11.6*C27</f>
        <v>232</v>
      </c>
      <c r="E27" s="96" t="n">
        <v>0</v>
      </c>
      <c r="F27" s="97" t="n">
        <v>2</v>
      </c>
      <c r="G27" s="150" t="n">
        <v>0</v>
      </c>
      <c r="H27" s="132" t="n">
        <v>0.490909090909091</v>
      </c>
      <c r="I27" s="132" t="n">
        <v>0.345454545454545</v>
      </c>
      <c r="J27" s="132" t="n">
        <v>0.0909090909090909</v>
      </c>
      <c r="K27" s="132" t="n">
        <v>0.0181818181818182</v>
      </c>
      <c r="L27" s="132" t="n">
        <v>0.0181818181818182</v>
      </c>
      <c r="M27" s="132" t="n">
        <v>0.0363636363636364</v>
      </c>
      <c r="N27" s="5" t="n">
        <f aca="false">H27*$F27</f>
        <v>0.981818181818182</v>
      </c>
      <c r="O27" s="5" t="n">
        <f aca="false">I27*$F27</f>
        <v>0.690909090909091</v>
      </c>
      <c r="P27" s="5" t="n">
        <f aca="false">J27*$F27</f>
        <v>0.181818181818182</v>
      </c>
      <c r="Q27" s="5" t="n">
        <f aca="false">K27*$F27</f>
        <v>0.0363636363636364</v>
      </c>
      <c r="R27" s="5" t="n">
        <f aca="false">L27*$F27</f>
        <v>0.0363636363636364</v>
      </c>
      <c r="S27" s="5" t="n">
        <f aca="false">M27*$F27</f>
        <v>0.0727272727272727</v>
      </c>
      <c r="T27" s="116" t="n">
        <f aca="false">Input!$F$31*TEs!C27+Input!$F$32*TEs!D27+Input!$F$33*TEs!N27+Input!$F$34*TEs!O27+Input!$F$35*TEs!P27+Input!$F$36*TEs!Q27+Input!$F$37*TEs!R27+Input!$F$38*TEs!S27+Input!$F$39*TEs!E27+Input!$F$40*TEs!G27</f>
        <v>36.9454545454546</v>
      </c>
    </row>
    <row r="28" customFormat="false" ht="12.75" hidden="false" customHeight="false" outlineLevel="0" collapsed="false">
      <c r="A28" s="141" t="s">
        <v>503</v>
      </c>
      <c r="B28" s="112" t="s">
        <v>160</v>
      </c>
      <c r="C28" s="98" t="n">
        <v>22</v>
      </c>
      <c r="D28" s="96" t="n">
        <f aca="false">7*C28</f>
        <v>154</v>
      </c>
      <c r="E28" s="96" t="n">
        <v>0</v>
      </c>
      <c r="F28" s="97" t="n">
        <v>2</v>
      </c>
      <c r="G28" s="150" t="n">
        <v>1</v>
      </c>
      <c r="H28" s="132" t="n">
        <v>0.490909090909091</v>
      </c>
      <c r="I28" s="132" t="n">
        <v>0.345454545454545</v>
      </c>
      <c r="J28" s="132" t="n">
        <v>0.0909090909090909</v>
      </c>
      <c r="K28" s="132" t="n">
        <v>0.0181818181818182</v>
      </c>
      <c r="L28" s="132" t="n">
        <v>0.0181818181818182</v>
      </c>
      <c r="M28" s="132" t="n">
        <v>0.0363636363636364</v>
      </c>
      <c r="N28" s="5" t="n">
        <f aca="false">H28*$F28</f>
        <v>0.981818181818182</v>
      </c>
      <c r="O28" s="5" t="n">
        <f aca="false">I28*$F28</f>
        <v>0.690909090909091</v>
      </c>
      <c r="P28" s="5" t="n">
        <f aca="false">J28*$F28</f>
        <v>0.181818181818182</v>
      </c>
      <c r="Q28" s="5" t="n">
        <f aca="false">K28*$F28</f>
        <v>0.0363636363636364</v>
      </c>
      <c r="R28" s="5" t="n">
        <f aca="false">L28*$F28</f>
        <v>0.0363636363636364</v>
      </c>
      <c r="S28" s="5" t="n">
        <f aca="false">M28*$F28</f>
        <v>0.0727272727272727</v>
      </c>
      <c r="T28" s="116" t="n">
        <f aca="false">Input!$F$31*TEs!C28+Input!$F$32*TEs!D28+Input!$F$33*TEs!N28+Input!$F$34*TEs!O28+Input!$F$35*TEs!P28+Input!$F$36*TEs!Q28+Input!$F$37*TEs!R28+Input!$F$38*TEs!S28+Input!$F$39*TEs!E28+Input!$F$40*TEs!G28</f>
        <v>28.1454545454545</v>
      </c>
    </row>
    <row r="29" customFormat="false" ht="12.75" hidden="false" customHeight="false" outlineLevel="0" collapsed="false">
      <c r="A29" s="141" t="s">
        <v>504</v>
      </c>
      <c r="B29" s="112" t="s">
        <v>154</v>
      </c>
      <c r="C29" s="98" t="n">
        <v>18</v>
      </c>
      <c r="D29" s="96" t="n">
        <f aca="false">11.8*C29</f>
        <v>212.4</v>
      </c>
      <c r="E29" s="96" t="n">
        <v>0</v>
      </c>
      <c r="F29" s="97" t="n">
        <v>2</v>
      </c>
      <c r="G29" s="150" t="n">
        <v>0</v>
      </c>
      <c r="H29" s="132" t="n">
        <v>0.490909090909091</v>
      </c>
      <c r="I29" s="132" t="n">
        <v>0.345454545454545</v>
      </c>
      <c r="J29" s="132" t="n">
        <v>0.0909090909090909</v>
      </c>
      <c r="K29" s="132" t="n">
        <v>0.0181818181818182</v>
      </c>
      <c r="L29" s="132" t="n">
        <v>0.0181818181818182</v>
      </c>
      <c r="M29" s="132" t="n">
        <v>0.0363636363636364</v>
      </c>
      <c r="N29" s="5" t="n">
        <f aca="false">H29*$F29</f>
        <v>0.981818181818182</v>
      </c>
      <c r="O29" s="5" t="n">
        <f aca="false">I29*$F29</f>
        <v>0.690909090909091</v>
      </c>
      <c r="P29" s="5" t="n">
        <f aca="false">J29*$F29</f>
        <v>0.181818181818182</v>
      </c>
      <c r="Q29" s="5" t="n">
        <f aca="false">K29*$F29</f>
        <v>0.0363636363636364</v>
      </c>
      <c r="R29" s="5" t="n">
        <f aca="false">L29*$F29</f>
        <v>0.0363636363636364</v>
      </c>
      <c r="S29" s="5" t="n">
        <f aca="false">M29*$F29</f>
        <v>0.0727272727272727</v>
      </c>
      <c r="T29" s="116" t="n">
        <f aca="false">Input!$F$31*TEs!C29+Input!$F$32*TEs!D29+Input!$F$33*TEs!N29+Input!$F$34*TEs!O29+Input!$F$35*TEs!P29+Input!$F$36*TEs!Q29+Input!$F$37*TEs!R29+Input!$F$38*TEs!S29+Input!$F$39*TEs!E29+Input!$F$40*TEs!G29</f>
        <v>34.9854545454546</v>
      </c>
    </row>
    <row r="30" customFormat="false" ht="12.75" hidden="false" customHeight="false" outlineLevel="0" collapsed="false">
      <c r="A30" s="141" t="s">
        <v>505</v>
      </c>
      <c r="B30" s="112" t="s">
        <v>180</v>
      </c>
      <c r="C30" s="98" t="n">
        <v>20</v>
      </c>
      <c r="D30" s="96" t="n">
        <f aca="false">11.5*C30</f>
        <v>230</v>
      </c>
      <c r="E30" s="96" t="n">
        <v>0</v>
      </c>
      <c r="F30" s="97" t="n">
        <v>1</v>
      </c>
      <c r="G30" s="150" t="n">
        <v>0</v>
      </c>
      <c r="H30" s="132" t="n">
        <v>0.490909090909091</v>
      </c>
      <c r="I30" s="132" t="n">
        <v>0.345454545454545</v>
      </c>
      <c r="J30" s="132" t="n">
        <v>0.0909090909090909</v>
      </c>
      <c r="K30" s="132" t="n">
        <v>0.0181818181818182</v>
      </c>
      <c r="L30" s="132" t="n">
        <v>0.0181818181818182</v>
      </c>
      <c r="M30" s="132" t="n">
        <v>0.0363636363636364</v>
      </c>
      <c r="N30" s="5" t="n">
        <f aca="false">H30*$F30</f>
        <v>0.490909090909091</v>
      </c>
      <c r="O30" s="5" t="n">
        <f aca="false">I30*$F30</f>
        <v>0.345454545454545</v>
      </c>
      <c r="P30" s="5" t="n">
        <f aca="false">J30*$F30</f>
        <v>0.0909090909090909</v>
      </c>
      <c r="Q30" s="5" t="n">
        <f aca="false">K30*$F30</f>
        <v>0.0181818181818182</v>
      </c>
      <c r="R30" s="5" t="n">
        <f aca="false">L30*$F30</f>
        <v>0.0181818181818182</v>
      </c>
      <c r="S30" s="5" t="n">
        <f aca="false">M30*$F30</f>
        <v>0.0363636363636364</v>
      </c>
      <c r="T30" s="116" t="n">
        <f aca="false">Input!$F$31*TEs!C30+Input!$F$32*TEs!D30+Input!$F$33*TEs!N30+Input!$F$34*TEs!O30+Input!$F$35*TEs!P30+Input!$F$36*TEs!Q30+Input!$F$37*TEs!R30+Input!$F$38*TEs!S30+Input!$F$39*TEs!E30+Input!$F$40*TEs!G30</f>
        <v>29.8727272727273</v>
      </c>
    </row>
    <row r="31" customFormat="false" ht="12.75" hidden="false" customHeight="false" outlineLevel="0" collapsed="false">
      <c r="A31" s="141" t="s">
        <v>506</v>
      </c>
      <c r="B31" s="112" t="s">
        <v>182</v>
      </c>
      <c r="C31" s="98" t="n">
        <v>15</v>
      </c>
      <c r="D31" s="96" t="n">
        <f aca="false">11*C31</f>
        <v>165</v>
      </c>
      <c r="E31" s="96" t="n">
        <v>0</v>
      </c>
      <c r="F31" s="97" t="n">
        <v>2</v>
      </c>
      <c r="G31" s="150" t="n">
        <v>0</v>
      </c>
      <c r="H31" s="132" t="n">
        <v>0.490909090909091</v>
      </c>
      <c r="I31" s="132" t="n">
        <v>0.345454545454545</v>
      </c>
      <c r="J31" s="132" t="n">
        <v>0.0909090909090909</v>
      </c>
      <c r="K31" s="132" t="n">
        <v>0.0181818181818182</v>
      </c>
      <c r="L31" s="132" t="n">
        <v>0.0181818181818182</v>
      </c>
      <c r="M31" s="132" t="n">
        <v>0.0363636363636364</v>
      </c>
      <c r="N31" s="5" t="n">
        <f aca="false">H31*$F31</f>
        <v>0.981818181818182</v>
      </c>
      <c r="O31" s="5" t="n">
        <f aca="false">I31*$F31</f>
        <v>0.690909090909091</v>
      </c>
      <c r="P31" s="5" t="n">
        <f aca="false">J31*$F31</f>
        <v>0.181818181818182</v>
      </c>
      <c r="Q31" s="5" t="n">
        <f aca="false">K31*$F31</f>
        <v>0.0363636363636364</v>
      </c>
      <c r="R31" s="5" t="n">
        <f aca="false">L31*$F31</f>
        <v>0.0363636363636364</v>
      </c>
      <c r="S31" s="5" t="n">
        <f aca="false">M31*$F31</f>
        <v>0.0727272727272727</v>
      </c>
      <c r="T31" s="116" t="n">
        <f aca="false">Input!$F$31*TEs!C31+Input!$F$32*TEs!D31+Input!$F$33*TEs!N31+Input!$F$34*TEs!O31+Input!$F$35*TEs!P31+Input!$F$36*TEs!Q31+Input!$F$37*TEs!R31+Input!$F$38*TEs!S31+Input!$F$39*TEs!E31+Input!$F$40*TEs!G31</f>
        <v>30.2454545454545</v>
      </c>
    </row>
    <row r="32" customFormat="false" ht="12.75" hidden="false" customHeight="false" outlineLevel="0" collapsed="false">
      <c r="A32" s="141" t="s">
        <v>507</v>
      </c>
      <c r="B32" s="112" t="s">
        <v>168</v>
      </c>
      <c r="C32" s="98" t="n">
        <v>30</v>
      </c>
      <c r="D32" s="96" t="n">
        <f aca="false">10.4*C32</f>
        <v>312</v>
      </c>
      <c r="E32" s="96" t="n">
        <v>0</v>
      </c>
      <c r="F32" s="97" t="n">
        <v>2</v>
      </c>
      <c r="G32" s="150" t="n">
        <v>0</v>
      </c>
      <c r="H32" s="132" t="n">
        <v>0.490909090909091</v>
      </c>
      <c r="I32" s="132" t="n">
        <v>0.345454545454545</v>
      </c>
      <c r="J32" s="132" t="n">
        <v>0.0909090909090909</v>
      </c>
      <c r="K32" s="132" t="n">
        <v>0.0181818181818182</v>
      </c>
      <c r="L32" s="132" t="n">
        <v>0.0181818181818182</v>
      </c>
      <c r="M32" s="132" t="n">
        <v>0.0363636363636364</v>
      </c>
      <c r="N32" s="5" t="n">
        <f aca="false">H32*$F32</f>
        <v>0.981818181818182</v>
      </c>
      <c r="O32" s="5" t="n">
        <f aca="false">I32*$F32</f>
        <v>0.690909090909091</v>
      </c>
      <c r="P32" s="5" t="n">
        <f aca="false">J32*$F32</f>
        <v>0.181818181818182</v>
      </c>
      <c r="Q32" s="5" t="n">
        <f aca="false">K32*$F32</f>
        <v>0.0363636363636364</v>
      </c>
      <c r="R32" s="5" t="n">
        <f aca="false">L32*$F32</f>
        <v>0.0363636363636364</v>
      </c>
      <c r="S32" s="5" t="n">
        <f aca="false">M32*$F32</f>
        <v>0.0727272727272727</v>
      </c>
      <c r="T32" s="116" t="n">
        <f aca="false">Input!$F$31*TEs!C32+Input!$F$32*TEs!D32+Input!$F$33*TEs!N32+Input!$F$34*TEs!O32+Input!$F$35*TEs!P32+Input!$F$36*TEs!Q32+Input!$F$37*TEs!R32+Input!$F$38*TEs!S32+Input!$F$39*TEs!E32+Input!$F$40*TEs!G32</f>
        <v>44.9454545454546</v>
      </c>
    </row>
    <row r="33" customFormat="false" ht="12.75" hidden="false" customHeight="false" outlineLevel="0" collapsed="false">
      <c r="A33" s="141" t="s">
        <v>508</v>
      </c>
      <c r="B33" s="112" t="s">
        <v>154</v>
      </c>
      <c r="C33" s="98" t="n">
        <v>20</v>
      </c>
      <c r="D33" s="96" t="n">
        <f aca="false">10.4*C33</f>
        <v>208</v>
      </c>
      <c r="E33" s="96" t="n">
        <v>0</v>
      </c>
      <c r="F33" s="97" t="n">
        <v>1</v>
      </c>
      <c r="G33" s="150" t="n">
        <v>0</v>
      </c>
      <c r="H33" s="132" t="n">
        <v>0.490909090909091</v>
      </c>
      <c r="I33" s="132" t="n">
        <v>0.345454545454545</v>
      </c>
      <c r="J33" s="132" t="n">
        <v>0.0909090909090909</v>
      </c>
      <c r="K33" s="132" t="n">
        <v>0.0181818181818182</v>
      </c>
      <c r="L33" s="132" t="n">
        <v>0.0181818181818182</v>
      </c>
      <c r="M33" s="132" t="n">
        <v>0.0363636363636364</v>
      </c>
      <c r="N33" s="5" t="n">
        <f aca="false">H33*$F33</f>
        <v>0.490909090909091</v>
      </c>
      <c r="O33" s="5" t="n">
        <f aca="false">I33*$F33</f>
        <v>0.345454545454545</v>
      </c>
      <c r="P33" s="5" t="n">
        <f aca="false">J33*$F33</f>
        <v>0.0909090909090909</v>
      </c>
      <c r="Q33" s="5" t="n">
        <f aca="false">K33*$F33</f>
        <v>0.0181818181818182</v>
      </c>
      <c r="R33" s="5" t="n">
        <f aca="false">L33*$F33</f>
        <v>0.0181818181818182</v>
      </c>
      <c r="S33" s="5" t="n">
        <f aca="false">M33*$F33</f>
        <v>0.0363636363636364</v>
      </c>
      <c r="T33" s="116" t="n">
        <f aca="false">Input!$F$31*TEs!C33+Input!$F$32*TEs!D33+Input!$F$33*TEs!N33+Input!$F$34*TEs!O33+Input!$F$35*TEs!P33+Input!$F$36*TEs!Q33+Input!$F$37*TEs!R33+Input!$F$38*TEs!S33+Input!$F$39*TEs!E33+Input!$F$40*TEs!G33</f>
        <v>27.6727272727273</v>
      </c>
    </row>
    <row r="34" customFormat="false" ht="12.75" hidden="false" customHeight="false" outlineLevel="0" collapsed="false">
      <c r="A34" s="141" t="s">
        <v>509</v>
      </c>
      <c r="B34" s="112" t="s">
        <v>180</v>
      </c>
      <c r="C34" s="98" t="n">
        <v>25</v>
      </c>
      <c r="D34" s="96" t="n">
        <f aca="false">8*C34</f>
        <v>200</v>
      </c>
      <c r="E34" s="96" t="n">
        <v>0</v>
      </c>
      <c r="F34" s="97" t="n">
        <v>1</v>
      </c>
      <c r="G34" s="150" t="n">
        <v>0</v>
      </c>
      <c r="H34" s="132" t="n">
        <v>0.490909090909091</v>
      </c>
      <c r="I34" s="132" t="n">
        <v>0.345454545454545</v>
      </c>
      <c r="J34" s="132" t="n">
        <v>0.0909090909090909</v>
      </c>
      <c r="K34" s="132" t="n">
        <v>0.0181818181818182</v>
      </c>
      <c r="L34" s="132" t="n">
        <v>0.0181818181818182</v>
      </c>
      <c r="M34" s="132" t="n">
        <v>0.0363636363636364</v>
      </c>
      <c r="N34" s="5" t="n">
        <f aca="false">H34*$F34</f>
        <v>0.490909090909091</v>
      </c>
      <c r="O34" s="5" t="n">
        <f aca="false">I34*$F34</f>
        <v>0.345454545454545</v>
      </c>
      <c r="P34" s="5" t="n">
        <f aca="false">J34*$F34</f>
        <v>0.0909090909090909</v>
      </c>
      <c r="Q34" s="5" t="n">
        <f aca="false">K34*$F34</f>
        <v>0.0181818181818182</v>
      </c>
      <c r="R34" s="5" t="n">
        <f aca="false">L34*$F34</f>
        <v>0.0181818181818182</v>
      </c>
      <c r="S34" s="5" t="n">
        <f aca="false">M34*$F34</f>
        <v>0.0363636363636364</v>
      </c>
      <c r="T34" s="116" t="n">
        <f aca="false">Input!$F$31*TEs!C34+Input!$F$32*TEs!D34+Input!$F$33*TEs!N34+Input!$F$34*TEs!O34+Input!$F$35*TEs!P34+Input!$F$36*TEs!Q34+Input!$F$37*TEs!R34+Input!$F$38*TEs!S34+Input!$F$39*TEs!E34+Input!$F$40*TEs!G34</f>
        <v>26.8727272727273</v>
      </c>
    </row>
    <row r="35" customFormat="false" ht="12.75" hidden="false" customHeight="false" outlineLevel="0" collapsed="false">
      <c r="A35" s="141" t="s">
        <v>510</v>
      </c>
      <c r="B35" s="112" t="s">
        <v>152</v>
      </c>
      <c r="C35" s="98" t="n">
        <v>25</v>
      </c>
      <c r="D35" s="96" t="n">
        <f aca="false">12.7*C35</f>
        <v>317.5</v>
      </c>
      <c r="E35" s="96" t="n">
        <v>0</v>
      </c>
      <c r="F35" s="97" t="n">
        <v>2</v>
      </c>
      <c r="G35" s="150" t="n">
        <v>0</v>
      </c>
      <c r="H35" s="132" t="n">
        <v>0.490909090909091</v>
      </c>
      <c r="I35" s="132" t="n">
        <v>0.345454545454545</v>
      </c>
      <c r="J35" s="132" t="n">
        <v>0.0909090909090909</v>
      </c>
      <c r="K35" s="132" t="n">
        <v>0.0181818181818182</v>
      </c>
      <c r="L35" s="132" t="n">
        <v>0.0181818181818182</v>
      </c>
      <c r="M35" s="132" t="n">
        <v>0.0363636363636364</v>
      </c>
      <c r="N35" s="5" t="n">
        <f aca="false">H35*$F35</f>
        <v>0.981818181818182</v>
      </c>
      <c r="O35" s="5" t="n">
        <f aca="false">I35*$F35</f>
        <v>0.690909090909091</v>
      </c>
      <c r="P35" s="5" t="n">
        <f aca="false">J35*$F35</f>
        <v>0.181818181818182</v>
      </c>
      <c r="Q35" s="5" t="n">
        <f aca="false">K35*$F35</f>
        <v>0.0363636363636364</v>
      </c>
      <c r="R35" s="5" t="n">
        <f aca="false">L35*$F35</f>
        <v>0.0363636363636364</v>
      </c>
      <c r="S35" s="5" t="n">
        <f aca="false">M35*$F35</f>
        <v>0.0727272727272727</v>
      </c>
      <c r="T35" s="116" t="n">
        <f aca="false">Input!$F$31*TEs!C35+Input!$F$32*TEs!D35+Input!$F$33*TEs!N35+Input!$F$34*TEs!O35+Input!$F$35*TEs!P35+Input!$F$36*TEs!Q35+Input!$F$37*TEs!R35+Input!$F$38*TEs!S35+Input!$F$39*TEs!E35+Input!$F$40*TEs!G35</f>
        <v>45.4954545454546</v>
      </c>
    </row>
    <row r="36" customFormat="false" ht="12.75" hidden="false" customHeight="false" outlineLevel="0" collapsed="false">
      <c r="A36" s="141" t="s">
        <v>511</v>
      </c>
      <c r="B36" s="112" t="s">
        <v>158</v>
      </c>
      <c r="C36" s="98" t="n">
        <v>15</v>
      </c>
      <c r="D36" s="96" t="n">
        <f aca="false">12*C36</f>
        <v>180</v>
      </c>
      <c r="E36" s="96" t="n">
        <v>0</v>
      </c>
      <c r="F36" s="97" t="n">
        <v>1</v>
      </c>
      <c r="G36" s="150" t="n">
        <v>0</v>
      </c>
      <c r="H36" s="132" t="n">
        <v>0.490909090909091</v>
      </c>
      <c r="I36" s="132" t="n">
        <v>0.345454545454545</v>
      </c>
      <c r="J36" s="132" t="n">
        <v>0.0909090909090909</v>
      </c>
      <c r="K36" s="132" t="n">
        <v>0.0181818181818182</v>
      </c>
      <c r="L36" s="132" t="n">
        <v>0.0181818181818182</v>
      </c>
      <c r="M36" s="132" t="n">
        <v>0.0363636363636364</v>
      </c>
      <c r="N36" s="5" t="n">
        <f aca="false">H36*$F36</f>
        <v>0.490909090909091</v>
      </c>
      <c r="O36" s="5" t="n">
        <f aca="false">I36*$F36</f>
        <v>0.345454545454545</v>
      </c>
      <c r="P36" s="5" t="n">
        <f aca="false">J36*$F36</f>
        <v>0.0909090909090909</v>
      </c>
      <c r="Q36" s="5" t="n">
        <f aca="false">K36*$F36</f>
        <v>0.0181818181818182</v>
      </c>
      <c r="R36" s="5" t="n">
        <f aca="false">L36*$F36</f>
        <v>0.0181818181818182</v>
      </c>
      <c r="S36" s="5" t="n">
        <f aca="false">M36*$F36</f>
        <v>0.0363636363636364</v>
      </c>
      <c r="T36" s="116" t="n">
        <f aca="false">Input!$F$31*TEs!C36+Input!$F$32*TEs!D36+Input!$F$33*TEs!N36+Input!$F$34*TEs!O36+Input!$F$35*TEs!P36+Input!$F$36*TEs!Q36+Input!$F$37*TEs!R36+Input!$F$38*TEs!S36+Input!$F$39*TEs!E36+Input!$F$40*TEs!G36</f>
        <v>24.8727272727273</v>
      </c>
    </row>
    <row r="37" customFormat="false" ht="12.75" hidden="false" customHeight="false" outlineLevel="0" collapsed="false">
      <c r="A37" s="141" t="s">
        <v>512</v>
      </c>
      <c r="B37" s="112" t="s">
        <v>174</v>
      </c>
      <c r="C37" s="98" t="n">
        <v>15</v>
      </c>
      <c r="D37" s="96" t="n">
        <f aca="false">12*C37</f>
        <v>180</v>
      </c>
      <c r="E37" s="96" t="n">
        <v>0</v>
      </c>
      <c r="F37" s="97" t="n">
        <v>1</v>
      </c>
      <c r="G37" s="150" t="n">
        <v>0</v>
      </c>
      <c r="H37" s="132" t="n">
        <v>0.490909090909091</v>
      </c>
      <c r="I37" s="132" t="n">
        <v>0.345454545454545</v>
      </c>
      <c r="J37" s="132" t="n">
        <v>0.0909090909090909</v>
      </c>
      <c r="K37" s="132" t="n">
        <v>0.0181818181818182</v>
      </c>
      <c r="L37" s="132" t="n">
        <v>0.0181818181818182</v>
      </c>
      <c r="M37" s="132" t="n">
        <v>0.0363636363636364</v>
      </c>
      <c r="N37" s="5" t="n">
        <f aca="false">H37*$F37</f>
        <v>0.490909090909091</v>
      </c>
      <c r="O37" s="5" t="n">
        <f aca="false">I37*$F37</f>
        <v>0.345454545454545</v>
      </c>
      <c r="P37" s="5" t="n">
        <f aca="false">J37*$F37</f>
        <v>0.0909090909090909</v>
      </c>
      <c r="Q37" s="5" t="n">
        <f aca="false">K37*$F37</f>
        <v>0.0181818181818182</v>
      </c>
      <c r="R37" s="5" t="n">
        <f aca="false">L37*$F37</f>
        <v>0.0181818181818182</v>
      </c>
      <c r="S37" s="5" t="n">
        <f aca="false">M37*$F37</f>
        <v>0.0363636363636364</v>
      </c>
      <c r="T37" s="116" t="n">
        <f aca="false">Input!$F$31*TEs!C37+Input!$F$32*TEs!D37+Input!$F$33*TEs!N37+Input!$F$34*TEs!O37+Input!$F$35*TEs!P37+Input!$F$36*TEs!Q37+Input!$F$37*TEs!R37+Input!$F$38*TEs!S37+Input!$F$39*TEs!E37+Input!$F$40*TEs!G37</f>
        <v>24.8727272727273</v>
      </c>
    </row>
    <row r="38" customFormat="false" ht="12.75" hidden="false" customHeight="false" outlineLevel="0" collapsed="false">
      <c r="A38" s="141" t="s">
        <v>513</v>
      </c>
      <c r="B38" s="112" t="s">
        <v>190</v>
      </c>
      <c r="C38" s="98" t="n">
        <v>20</v>
      </c>
      <c r="D38" s="96" t="n">
        <f aca="false">8.7*C38</f>
        <v>174</v>
      </c>
      <c r="E38" s="96" t="n">
        <v>0</v>
      </c>
      <c r="F38" s="97" t="n">
        <v>1</v>
      </c>
      <c r="G38" s="150" t="n">
        <v>0</v>
      </c>
      <c r="H38" s="132" t="n">
        <v>0.490909090909091</v>
      </c>
      <c r="I38" s="132" t="n">
        <v>0.345454545454545</v>
      </c>
      <c r="J38" s="132" t="n">
        <v>0.0909090909090909</v>
      </c>
      <c r="K38" s="132" t="n">
        <v>0.0181818181818182</v>
      </c>
      <c r="L38" s="132" t="n">
        <v>0.0181818181818182</v>
      </c>
      <c r="M38" s="132" t="n">
        <v>0.0363636363636364</v>
      </c>
      <c r="N38" s="5" t="n">
        <f aca="false">H38*$F38</f>
        <v>0.490909090909091</v>
      </c>
      <c r="O38" s="5" t="n">
        <f aca="false">I38*$F38</f>
        <v>0.345454545454545</v>
      </c>
      <c r="P38" s="5" t="n">
        <f aca="false">J38*$F38</f>
        <v>0.0909090909090909</v>
      </c>
      <c r="Q38" s="5" t="n">
        <f aca="false">K38*$F38</f>
        <v>0.0181818181818182</v>
      </c>
      <c r="R38" s="5" t="n">
        <f aca="false">L38*$F38</f>
        <v>0.0181818181818182</v>
      </c>
      <c r="S38" s="5" t="n">
        <f aca="false">M38*$F38</f>
        <v>0.0363636363636364</v>
      </c>
      <c r="T38" s="116" t="n">
        <f aca="false">Input!$F$31*TEs!C38+Input!$F$32*TEs!D38+Input!$F$33*TEs!N38+Input!$F$34*TEs!O38+Input!$F$35*TEs!P38+Input!$F$36*TEs!Q38+Input!$F$37*TEs!R38+Input!$F$38*TEs!S38+Input!$F$39*TEs!E38+Input!$F$40*TEs!G38</f>
        <v>24.2727272727273</v>
      </c>
    </row>
    <row r="39" customFormat="false" ht="12.75" hidden="false" customHeight="false" outlineLevel="0" collapsed="false">
      <c r="A39" s="141" t="s">
        <v>514</v>
      </c>
      <c r="B39" s="112" t="s">
        <v>186</v>
      </c>
      <c r="C39" s="98" t="n">
        <v>15</v>
      </c>
      <c r="D39" s="96" t="n">
        <f aca="false">11*C39</f>
        <v>165</v>
      </c>
      <c r="E39" s="96" t="n">
        <v>0</v>
      </c>
      <c r="F39" s="97" t="n">
        <v>1</v>
      </c>
      <c r="G39" s="150" t="n">
        <v>0</v>
      </c>
      <c r="H39" s="132" t="n">
        <v>0.490909090909091</v>
      </c>
      <c r="I39" s="132" t="n">
        <v>0.345454545454545</v>
      </c>
      <c r="J39" s="132" t="n">
        <v>0.0909090909090909</v>
      </c>
      <c r="K39" s="132" t="n">
        <v>0.0181818181818182</v>
      </c>
      <c r="L39" s="132" t="n">
        <v>0.0181818181818182</v>
      </c>
      <c r="M39" s="132" t="n">
        <v>0.0363636363636364</v>
      </c>
      <c r="N39" s="5" t="n">
        <f aca="false">H39*$F39</f>
        <v>0.490909090909091</v>
      </c>
      <c r="O39" s="5" t="n">
        <f aca="false">I39*$F39</f>
        <v>0.345454545454545</v>
      </c>
      <c r="P39" s="5" t="n">
        <f aca="false">J39*$F39</f>
        <v>0.0909090909090909</v>
      </c>
      <c r="Q39" s="5" t="n">
        <f aca="false">K39*$F39</f>
        <v>0.0181818181818182</v>
      </c>
      <c r="R39" s="5" t="n">
        <f aca="false">L39*$F39</f>
        <v>0.0181818181818182</v>
      </c>
      <c r="S39" s="5" t="n">
        <f aca="false">M39*$F39</f>
        <v>0.0363636363636364</v>
      </c>
      <c r="T39" s="116" t="n">
        <f aca="false">Input!$F$31*TEs!C39+Input!$F$32*TEs!D39+Input!$F$33*TEs!N39+Input!$F$34*TEs!O39+Input!$F$35*TEs!P39+Input!$F$36*TEs!Q39+Input!$F$37*TEs!R39+Input!$F$38*TEs!S39+Input!$F$39*TEs!E39+Input!$F$40*TEs!G39</f>
        <v>23.3727272727273</v>
      </c>
    </row>
    <row r="40" customFormat="false" ht="12.75" hidden="false" customHeight="false" outlineLevel="0" collapsed="false">
      <c r="A40" s="141" t="s">
        <v>515</v>
      </c>
      <c r="B40" s="112" t="s">
        <v>136</v>
      </c>
      <c r="C40" s="98" t="n">
        <v>15</v>
      </c>
      <c r="D40" s="96" t="n">
        <f aca="false">11*C40</f>
        <v>165</v>
      </c>
      <c r="E40" s="96" t="n">
        <v>0</v>
      </c>
      <c r="F40" s="97" t="n">
        <v>1</v>
      </c>
      <c r="G40" s="150" t="n">
        <v>0</v>
      </c>
      <c r="H40" s="132" t="n">
        <v>0.490909090909091</v>
      </c>
      <c r="I40" s="132" t="n">
        <v>0.345454545454545</v>
      </c>
      <c r="J40" s="132" t="n">
        <v>0.0909090909090909</v>
      </c>
      <c r="K40" s="132" t="n">
        <v>0.0181818181818182</v>
      </c>
      <c r="L40" s="132" t="n">
        <v>0.0181818181818182</v>
      </c>
      <c r="M40" s="132" t="n">
        <v>0.0363636363636364</v>
      </c>
      <c r="N40" s="5" t="n">
        <f aca="false">H40*$F40</f>
        <v>0.490909090909091</v>
      </c>
      <c r="O40" s="5" t="n">
        <f aca="false">I40*$F40</f>
        <v>0.345454545454545</v>
      </c>
      <c r="P40" s="5" t="n">
        <f aca="false">J40*$F40</f>
        <v>0.0909090909090909</v>
      </c>
      <c r="Q40" s="5" t="n">
        <f aca="false">K40*$F40</f>
        <v>0.0181818181818182</v>
      </c>
      <c r="R40" s="5" t="n">
        <f aca="false">L40*$F40</f>
        <v>0.0181818181818182</v>
      </c>
      <c r="S40" s="5" t="n">
        <f aca="false">M40*$F40</f>
        <v>0.0363636363636364</v>
      </c>
      <c r="T40" s="116" t="n">
        <f aca="false">Input!$F$31*TEs!C40+Input!$F$32*TEs!D40+Input!$F$33*TEs!N40+Input!$F$34*TEs!O40+Input!$F$35*TEs!P40+Input!$F$36*TEs!Q40+Input!$F$37*TEs!R40+Input!$F$38*TEs!S40+Input!$F$39*TEs!E40+Input!$F$40*TEs!G40</f>
        <v>23.3727272727273</v>
      </c>
    </row>
    <row r="41" customFormat="false" ht="12.75" hidden="false" customHeight="false" outlineLevel="0" collapsed="false">
      <c r="A41" s="141" t="s">
        <v>516</v>
      </c>
      <c r="B41" s="112" t="s">
        <v>144</v>
      </c>
      <c r="C41" s="98" t="n">
        <v>20</v>
      </c>
      <c r="D41" s="96" t="n">
        <f aca="false">8*C41</f>
        <v>160</v>
      </c>
      <c r="E41" s="96" t="n">
        <v>0</v>
      </c>
      <c r="F41" s="97" t="n">
        <v>1</v>
      </c>
      <c r="G41" s="150" t="n">
        <v>0</v>
      </c>
      <c r="H41" s="132" t="n">
        <v>0.490909090909091</v>
      </c>
      <c r="I41" s="132" t="n">
        <v>0.345454545454545</v>
      </c>
      <c r="J41" s="132" t="n">
        <v>0.0909090909090909</v>
      </c>
      <c r="K41" s="132" t="n">
        <v>0.0181818181818182</v>
      </c>
      <c r="L41" s="132" t="n">
        <v>0.0181818181818182</v>
      </c>
      <c r="M41" s="132" t="n">
        <v>0.0363636363636364</v>
      </c>
      <c r="N41" s="5" t="n">
        <f aca="false">H41*$F41</f>
        <v>0.490909090909091</v>
      </c>
      <c r="O41" s="5" t="n">
        <f aca="false">I41*$F41</f>
        <v>0.345454545454545</v>
      </c>
      <c r="P41" s="5" t="n">
        <f aca="false">J41*$F41</f>
        <v>0.0909090909090909</v>
      </c>
      <c r="Q41" s="5" t="n">
        <f aca="false">K41*$F41</f>
        <v>0.0181818181818182</v>
      </c>
      <c r="R41" s="5" t="n">
        <f aca="false">L41*$F41</f>
        <v>0.0181818181818182</v>
      </c>
      <c r="S41" s="5" t="n">
        <f aca="false">M41*$F41</f>
        <v>0.0363636363636364</v>
      </c>
      <c r="T41" s="116" t="n">
        <f aca="false">Input!$F$31*TEs!C41+Input!$F$32*TEs!D41+Input!$F$33*TEs!N41+Input!$F$34*TEs!O41+Input!$F$35*TEs!P41+Input!$F$36*TEs!Q41+Input!$F$37*TEs!R41+Input!$F$38*TEs!S41+Input!$F$39*TEs!E41+Input!$F$40*TEs!G41</f>
        <v>22.8727272727273</v>
      </c>
    </row>
    <row r="42" customFormat="false" ht="12.75" hidden="false" customHeight="false" outlineLevel="0" collapsed="false">
      <c r="A42" s="141" t="s">
        <v>517</v>
      </c>
      <c r="B42" s="112" t="s">
        <v>162</v>
      </c>
      <c r="C42" s="98" t="n">
        <v>14</v>
      </c>
      <c r="D42" s="96" t="n">
        <f aca="false">10.5*C42</f>
        <v>147</v>
      </c>
      <c r="E42" s="96" t="n">
        <v>0</v>
      </c>
      <c r="F42" s="97" t="n">
        <v>1</v>
      </c>
      <c r="G42" s="150" t="n">
        <v>0</v>
      </c>
      <c r="H42" s="132" t="n">
        <v>0.490909090909091</v>
      </c>
      <c r="I42" s="132" t="n">
        <v>0.345454545454545</v>
      </c>
      <c r="J42" s="132" t="n">
        <v>0.0909090909090909</v>
      </c>
      <c r="K42" s="132" t="n">
        <v>0.0181818181818182</v>
      </c>
      <c r="L42" s="132" t="n">
        <v>0.0181818181818182</v>
      </c>
      <c r="M42" s="132" t="n">
        <v>0.0363636363636364</v>
      </c>
      <c r="N42" s="5" t="n">
        <f aca="false">H42*$F42</f>
        <v>0.490909090909091</v>
      </c>
      <c r="O42" s="5" t="n">
        <f aca="false">I42*$F42</f>
        <v>0.345454545454545</v>
      </c>
      <c r="P42" s="5" t="n">
        <f aca="false">J42*$F42</f>
        <v>0.0909090909090909</v>
      </c>
      <c r="Q42" s="5" t="n">
        <f aca="false">K42*$F42</f>
        <v>0.0181818181818182</v>
      </c>
      <c r="R42" s="5" t="n">
        <f aca="false">L42*$F42</f>
        <v>0.0181818181818182</v>
      </c>
      <c r="S42" s="5" t="n">
        <f aca="false">M42*$F42</f>
        <v>0.0363636363636364</v>
      </c>
      <c r="T42" s="116" t="n">
        <f aca="false">Input!$F$31*TEs!C42+Input!$F$32*TEs!D42+Input!$F$33*TEs!N42+Input!$F$34*TEs!O42+Input!$F$35*TEs!P42+Input!$F$36*TEs!Q42+Input!$F$37*TEs!R42+Input!$F$38*TEs!S42+Input!$F$39*TEs!E42+Input!$F$40*TEs!G42</f>
        <v>21.5727272727273</v>
      </c>
    </row>
    <row r="43" customFormat="false" ht="12.75" hidden="false" customHeight="false" outlineLevel="0" collapsed="false">
      <c r="A43" s="141" t="s">
        <v>518</v>
      </c>
      <c r="B43" s="112" t="s">
        <v>174</v>
      </c>
      <c r="C43" s="98" t="n">
        <v>15</v>
      </c>
      <c r="D43" s="96" t="n">
        <f aca="false">9.4*C43</f>
        <v>141</v>
      </c>
      <c r="E43" s="96" t="n">
        <v>0</v>
      </c>
      <c r="F43" s="97" t="n">
        <v>1</v>
      </c>
      <c r="G43" s="150" t="n">
        <v>0</v>
      </c>
      <c r="H43" s="132" t="n">
        <v>0.490909090909091</v>
      </c>
      <c r="I43" s="132" t="n">
        <v>0.345454545454545</v>
      </c>
      <c r="J43" s="132" t="n">
        <v>0.0909090909090909</v>
      </c>
      <c r="K43" s="132" t="n">
        <v>0.0181818181818182</v>
      </c>
      <c r="L43" s="132" t="n">
        <v>0.0181818181818182</v>
      </c>
      <c r="M43" s="132" t="n">
        <v>0.0363636363636364</v>
      </c>
      <c r="N43" s="5" t="n">
        <f aca="false">H43*$F43</f>
        <v>0.490909090909091</v>
      </c>
      <c r="O43" s="5" t="n">
        <f aca="false">I43*$F43</f>
        <v>0.345454545454545</v>
      </c>
      <c r="P43" s="5" t="n">
        <f aca="false">J43*$F43</f>
        <v>0.0909090909090909</v>
      </c>
      <c r="Q43" s="5" t="n">
        <f aca="false">K43*$F43</f>
        <v>0.0181818181818182</v>
      </c>
      <c r="R43" s="5" t="n">
        <f aca="false">L43*$F43</f>
        <v>0.0181818181818182</v>
      </c>
      <c r="S43" s="5" t="n">
        <f aca="false">M43*$F43</f>
        <v>0.0363636363636364</v>
      </c>
      <c r="T43" s="116" t="n">
        <f aca="false">Input!$F$31*TEs!C43+Input!$F$32*TEs!D43+Input!$F$33*TEs!N43+Input!$F$34*TEs!O43+Input!$F$35*TEs!P43+Input!$F$36*TEs!Q43+Input!$F$37*TEs!R43+Input!$F$38*TEs!S43+Input!$F$39*TEs!E43+Input!$F$40*TEs!G43</f>
        <v>20.9727272727273</v>
      </c>
    </row>
    <row r="44" customFormat="false" ht="12.75" hidden="false" customHeight="false" outlineLevel="0" collapsed="false">
      <c r="A44" s="141" t="s">
        <v>519</v>
      </c>
      <c r="B44" s="112" t="s">
        <v>146</v>
      </c>
      <c r="C44" s="98" t="n">
        <v>10</v>
      </c>
      <c r="D44" s="96" t="n">
        <f aca="false">12.5*C44</f>
        <v>125</v>
      </c>
      <c r="E44" s="96" t="n">
        <v>0</v>
      </c>
      <c r="F44" s="97" t="n">
        <v>0</v>
      </c>
      <c r="G44" s="150" t="n">
        <v>0</v>
      </c>
      <c r="H44" s="132" t="n">
        <v>0.490909090909091</v>
      </c>
      <c r="I44" s="132" t="n">
        <v>0.345454545454545</v>
      </c>
      <c r="J44" s="132" t="n">
        <v>0.0909090909090909</v>
      </c>
      <c r="K44" s="132" t="n">
        <v>0.0181818181818182</v>
      </c>
      <c r="L44" s="132" t="n">
        <v>0.0181818181818182</v>
      </c>
      <c r="M44" s="132" t="n">
        <v>0.0363636363636364</v>
      </c>
      <c r="N44" s="5" t="n">
        <f aca="false">H44*$F44</f>
        <v>0</v>
      </c>
      <c r="O44" s="5" t="n">
        <f aca="false">I44*$F44</f>
        <v>0</v>
      </c>
      <c r="P44" s="5" t="n">
        <f aca="false">J44*$F44</f>
        <v>0</v>
      </c>
      <c r="Q44" s="5" t="n">
        <f aca="false">K44*$F44</f>
        <v>0</v>
      </c>
      <c r="R44" s="5" t="n">
        <f aca="false">L44*$F44</f>
        <v>0</v>
      </c>
      <c r="S44" s="5" t="n">
        <f aca="false">M44*$F44</f>
        <v>0</v>
      </c>
      <c r="T44" s="116" t="n">
        <f aca="false">Input!$F$31*TEs!C44+Input!$F$32*TEs!D44+Input!$F$33*TEs!N44+Input!$F$34*TEs!O44+Input!$F$35*TEs!P44+Input!$F$36*TEs!Q44+Input!$F$37*TEs!R44+Input!$F$38*TEs!S44+Input!$F$39*TEs!E44+Input!$F$40*TEs!G44</f>
        <v>12.5</v>
      </c>
    </row>
    <row r="45" customFormat="false" ht="12.75" hidden="false" customHeight="false" outlineLevel="0" collapsed="false">
      <c r="A45" s="141" t="s">
        <v>520</v>
      </c>
      <c r="B45" s="112" t="s">
        <v>182</v>
      </c>
      <c r="C45" s="98" t="n">
        <v>10</v>
      </c>
      <c r="D45" s="96" t="n">
        <f aca="false">12*C45</f>
        <v>120</v>
      </c>
      <c r="E45" s="96" t="n">
        <v>0</v>
      </c>
      <c r="F45" s="97" t="n">
        <v>1</v>
      </c>
      <c r="G45" s="150" t="n">
        <v>0</v>
      </c>
      <c r="H45" s="132" t="n">
        <v>0.490909090909091</v>
      </c>
      <c r="I45" s="132" t="n">
        <v>0.345454545454545</v>
      </c>
      <c r="J45" s="132" t="n">
        <v>0.0909090909090909</v>
      </c>
      <c r="K45" s="132" t="n">
        <v>0.0181818181818182</v>
      </c>
      <c r="L45" s="132" t="n">
        <v>0.0181818181818182</v>
      </c>
      <c r="M45" s="132" t="n">
        <v>0.0363636363636364</v>
      </c>
      <c r="N45" s="5" t="n">
        <f aca="false">H45*$F45</f>
        <v>0.490909090909091</v>
      </c>
      <c r="O45" s="5" t="n">
        <f aca="false">I45*$F45</f>
        <v>0.345454545454545</v>
      </c>
      <c r="P45" s="5" t="n">
        <f aca="false">J45*$F45</f>
        <v>0.0909090909090909</v>
      </c>
      <c r="Q45" s="5" t="n">
        <f aca="false">K45*$F45</f>
        <v>0.0181818181818182</v>
      </c>
      <c r="R45" s="5" t="n">
        <f aca="false">L45*$F45</f>
        <v>0.0181818181818182</v>
      </c>
      <c r="S45" s="5" t="n">
        <f aca="false">M45*$F45</f>
        <v>0.0363636363636364</v>
      </c>
      <c r="T45" s="116" t="n">
        <f aca="false">Input!$F$31*TEs!C45+Input!$F$32*TEs!D45+Input!$F$33*TEs!N45+Input!$F$34*TEs!O45+Input!$F$35*TEs!P45+Input!$F$36*TEs!Q45+Input!$F$37*TEs!R45+Input!$F$38*TEs!S45+Input!$F$39*TEs!E45+Input!$F$40*TEs!G45</f>
        <v>18.8727272727273</v>
      </c>
    </row>
    <row r="46" customFormat="false" ht="12.75" hidden="false" customHeight="false" outlineLevel="0" collapsed="false">
      <c r="A46" s="141" t="s">
        <v>521</v>
      </c>
      <c r="B46" s="112" t="s">
        <v>140</v>
      </c>
      <c r="C46" s="98" t="n">
        <v>10</v>
      </c>
      <c r="D46" s="96" t="n">
        <f aca="false">11.8*C46</f>
        <v>118</v>
      </c>
      <c r="E46" s="96" t="n">
        <v>0</v>
      </c>
      <c r="F46" s="97" t="n">
        <v>1</v>
      </c>
      <c r="G46" s="150" t="n">
        <v>0</v>
      </c>
      <c r="H46" s="132" t="n">
        <v>0.490909090909091</v>
      </c>
      <c r="I46" s="132" t="n">
        <v>0.345454545454545</v>
      </c>
      <c r="J46" s="132" t="n">
        <v>0.0909090909090909</v>
      </c>
      <c r="K46" s="132" t="n">
        <v>0.0181818181818182</v>
      </c>
      <c r="L46" s="132" t="n">
        <v>0.0181818181818182</v>
      </c>
      <c r="M46" s="132" t="n">
        <v>0.0363636363636364</v>
      </c>
      <c r="N46" s="5" t="n">
        <f aca="false">H46*$F46</f>
        <v>0.490909090909091</v>
      </c>
      <c r="O46" s="5" t="n">
        <f aca="false">I46*$F46</f>
        <v>0.345454545454545</v>
      </c>
      <c r="P46" s="5" t="n">
        <f aca="false">J46*$F46</f>
        <v>0.0909090909090909</v>
      </c>
      <c r="Q46" s="5" t="n">
        <f aca="false">K46*$F46</f>
        <v>0.0181818181818182</v>
      </c>
      <c r="R46" s="5" t="n">
        <f aca="false">L46*$F46</f>
        <v>0.0181818181818182</v>
      </c>
      <c r="S46" s="5" t="n">
        <f aca="false">M46*$F46</f>
        <v>0.0363636363636364</v>
      </c>
      <c r="T46" s="116" t="n">
        <f aca="false">Input!$F$31*TEs!C46+Input!$F$32*TEs!D46+Input!$F$33*TEs!N46+Input!$F$34*TEs!O46+Input!$F$35*TEs!P46+Input!$F$36*TEs!Q46+Input!$F$37*TEs!R46+Input!$F$38*TEs!S46+Input!$F$39*TEs!E46+Input!$F$40*TEs!G46</f>
        <v>18.6727272727273</v>
      </c>
    </row>
    <row r="47" customFormat="false" ht="12.75" hidden="false" customHeight="false" outlineLevel="0" collapsed="false">
      <c r="A47" s="141" t="s">
        <v>522</v>
      </c>
      <c r="B47" s="112" t="s">
        <v>178</v>
      </c>
      <c r="C47" s="98" t="n">
        <v>10</v>
      </c>
      <c r="D47" s="96" t="n">
        <f aca="false">11.4*C47</f>
        <v>114</v>
      </c>
      <c r="E47" s="96" t="n">
        <v>0</v>
      </c>
      <c r="F47" s="97" t="n">
        <v>1</v>
      </c>
      <c r="G47" s="150" t="n">
        <v>0</v>
      </c>
      <c r="H47" s="132" t="n">
        <v>0.490909090909091</v>
      </c>
      <c r="I47" s="132" t="n">
        <v>0.345454545454545</v>
      </c>
      <c r="J47" s="132" t="n">
        <v>0.0909090909090909</v>
      </c>
      <c r="K47" s="132" t="n">
        <v>0.0181818181818182</v>
      </c>
      <c r="L47" s="132" t="n">
        <v>0.0181818181818182</v>
      </c>
      <c r="M47" s="132" t="n">
        <v>0.0363636363636364</v>
      </c>
      <c r="N47" s="5" t="n">
        <f aca="false">H47*$F47</f>
        <v>0.490909090909091</v>
      </c>
      <c r="O47" s="5" t="n">
        <f aca="false">I47*$F47</f>
        <v>0.345454545454545</v>
      </c>
      <c r="P47" s="5" t="n">
        <f aca="false">J47*$F47</f>
        <v>0.0909090909090909</v>
      </c>
      <c r="Q47" s="5" t="n">
        <f aca="false">K47*$F47</f>
        <v>0.0181818181818182</v>
      </c>
      <c r="R47" s="5" t="n">
        <f aca="false">L47*$F47</f>
        <v>0.0181818181818182</v>
      </c>
      <c r="S47" s="5" t="n">
        <f aca="false">M47*$F47</f>
        <v>0.0363636363636364</v>
      </c>
      <c r="T47" s="116" t="n">
        <f aca="false">Input!$F$31*TEs!C47+Input!$F$32*TEs!D47+Input!$F$33*TEs!N47+Input!$F$34*TEs!O47+Input!$F$35*TEs!P47+Input!$F$36*TEs!Q47+Input!$F$37*TEs!R47+Input!$F$38*TEs!S47+Input!$F$39*TEs!E47+Input!$F$40*TEs!G47</f>
        <v>18.2727272727273</v>
      </c>
    </row>
    <row r="48" customFormat="false" ht="12.75" hidden="false" customHeight="false" outlineLevel="0" collapsed="false">
      <c r="A48" s="141" t="s">
        <v>523</v>
      </c>
      <c r="B48" s="112" t="s">
        <v>196</v>
      </c>
      <c r="C48" s="98" t="n">
        <v>10</v>
      </c>
      <c r="D48" s="96" t="n">
        <f aca="false">11.4*C48</f>
        <v>114</v>
      </c>
      <c r="E48" s="96" t="n">
        <v>0</v>
      </c>
      <c r="F48" s="97" t="n">
        <v>1</v>
      </c>
      <c r="G48" s="150" t="n">
        <v>0</v>
      </c>
      <c r="H48" s="132" t="n">
        <v>0.490909090909091</v>
      </c>
      <c r="I48" s="132" t="n">
        <v>0.345454545454545</v>
      </c>
      <c r="J48" s="132" t="n">
        <v>0.0909090909090909</v>
      </c>
      <c r="K48" s="132" t="n">
        <v>0.0181818181818182</v>
      </c>
      <c r="L48" s="132" t="n">
        <v>0.0181818181818182</v>
      </c>
      <c r="M48" s="132" t="n">
        <v>0.0363636363636364</v>
      </c>
      <c r="N48" s="5" t="n">
        <f aca="false">H48*$F48</f>
        <v>0.490909090909091</v>
      </c>
      <c r="O48" s="5" t="n">
        <f aca="false">I48*$F48</f>
        <v>0.345454545454545</v>
      </c>
      <c r="P48" s="5" t="n">
        <f aca="false">J48*$F48</f>
        <v>0.0909090909090909</v>
      </c>
      <c r="Q48" s="5" t="n">
        <f aca="false">K48*$F48</f>
        <v>0.0181818181818182</v>
      </c>
      <c r="R48" s="5" t="n">
        <f aca="false">L48*$F48</f>
        <v>0.0181818181818182</v>
      </c>
      <c r="S48" s="5" t="n">
        <f aca="false">M48*$F48</f>
        <v>0.0363636363636364</v>
      </c>
      <c r="T48" s="116" t="n">
        <f aca="false">Input!$F$31*TEs!C48+Input!$F$32*TEs!D48+Input!$F$33*TEs!N48+Input!$F$34*TEs!O48+Input!$F$35*TEs!P48+Input!$F$36*TEs!Q48+Input!$F$37*TEs!R48+Input!$F$38*TEs!S48+Input!$F$39*TEs!E48+Input!$F$40*TEs!G48</f>
        <v>18.2727272727273</v>
      </c>
    </row>
    <row r="49" customFormat="false" ht="12.75" hidden="false" customHeight="false" outlineLevel="0" collapsed="false">
      <c r="A49" s="141" t="s">
        <v>524</v>
      </c>
      <c r="B49" s="112" t="s">
        <v>170</v>
      </c>
      <c r="C49" s="94" t="n">
        <v>10</v>
      </c>
      <c r="D49" s="95" t="n">
        <f aca="false">11*C49</f>
        <v>110</v>
      </c>
      <c r="E49" s="96" t="n">
        <v>0</v>
      </c>
      <c r="F49" s="122" t="n">
        <v>1</v>
      </c>
      <c r="G49" s="151" t="n">
        <v>0</v>
      </c>
      <c r="H49" s="132" t="n">
        <v>0.490909090909091</v>
      </c>
      <c r="I49" s="132" t="n">
        <v>0.345454545454545</v>
      </c>
      <c r="J49" s="132" t="n">
        <v>0.0909090909090909</v>
      </c>
      <c r="K49" s="132" t="n">
        <v>0.0181818181818182</v>
      </c>
      <c r="L49" s="132" t="n">
        <v>0.0181818181818182</v>
      </c>
      <c r="M49" s="132" t="n">
        <v>0.0363636363636364</v>
      </c>
      <c r="N49" s="5" t="n">
        <f aca="false">H49*$F49</f>
        <v>0.490909090909091</v>
      </c>
      <c r="O49" s="5" t="n">
        <f aca="false">I49*$F49</f>
        <v>0.345454545454545</v>
      </c>
      <c r="P49" s="5" t="n">
        <f aca="false">J49*$F49</f>
        <v>0.0909090909090909</v>
      </c>
      <c r="Q49" s="5" t="n">
        <f aca="false">K49*$F49</f>
        <v>0.0181818181818182</v>
      </c>
      <c r="R49" s="5" t="n">
        <f aca="false">L49*$F49</f>
        <v>0.0181818181818182</v>
      </c>
      <c r="S49" s="5" t="n">
        <f aca="false">M49*$F49</f>
        <v>0.0363636363636364</v>
      </c>
      <c r="T49" s="116" t="n">
        <f aca="false">Input!$F$31*TEs!C49+Input!$F$32*TEs!D49+Input!$F$33*TEs!N49+Input!$F$34*TEs!O49+Input!$F$35*TEs!P49+Input!$F$36*TEs!Q49+Input!$F$37*TEs!R49+Input!$F$38*TEs!S49+Input!$F$39*TEs!E49+Input!$F$40*TEs!G49</f>
        <v>17.8727272727273</v>
      </c>
    </row>
    <row r="50" customFormat="false" ht="12.75" hidden="false" customHeight="false" outlineLevel="0" collapsed="false">
      <c r="A50" s="141" t="s">
        <v>525</v>
      </c>
      <c r="B50" s="112" t="s">
        <v>172</v>
      </c>
      <c r="C50" s="98" t="n">
        <v>10</v>
      </c>
      <c r="D50" s="96" t="n">
        <f aca="false">9*C50</f>
        <v>90</v>
      </c>
      <c r="E50" s="96" t="n">
        <v>0</v>
      </c>
      <c r="F50" s="97" t="n">
        <v>1</v>
      </c>
      <c r="G50" s="150" t="n">
        <v>0</v>
      </c>
      <c r="H50" s="132" t="n">
        <v>0.490909090909091</v>
      </c>
      <c r="I50" s="132" t="n">
        <v>0.345454545454545</v>
      </c>
      <c r="J50" s="132" t="n">
        <v>0.0909090909090909</v>
      </c>
      <c r="K50" s="132" t="n">
        <v>0.0181818181818182</v>
      </c>
      <c r="L50" s="132" t="n">
        <v>0.0181818181818182</v>
      </c>
      <c r="M50" s="132" t="n">
        <v>0.0363636363636364</v>
      </c>
      <c r="N50" s="5" t="n">
        <f aca="false">H50*$F50</f>
        <v>0.490909090909091</v>
      </c>
      <c r="O50" s="5" t="n">
        <f aca="false">I50*$F50</f>
        <v>0.345454545454545</v>
      </c>
      <c r="P50" s="5" t="n">
        <f aca="false">J50*$F50</f>
        <v>0.0909090909090909</v>
      </c>
      <c r="Q50" s="5" t="n">
        <f aca="false">K50*$F50</f>
        <v>0.0181818181818182</v>
      </c>
      <c r="R50" s="5" t="n">
        <f aca="false">L50*$F50</f>
        <v>0.0181818181818182</v>
      </c>
      <c r="S50" s="5" t="n">
        <f aca="false">M50*$F50</f>
        <v>0.0363636363636364</v>
      </c>
      <c r="T50" s="116" t="n">
        <f aca="false">Input!$F$31*TEs!C50+Input!$F$32*TEs!D50+Input!$F$33*TEs!N50+Input!$F$34*TEs!O50+Input!$F$35*TEs!P50+Input!$F$36*TEs!Q50+Input!$F$37*TEs!R50+Input!$F$38*TEs!S50+Input!$F$39*TEs!E50+Input!$F$40*TEs!G50</f>
        <v>15.8727272727273</v>
      </c>
    </row>
    <row r="51" customFormat="false" ht="12.75" hidden="false" customHeight="false" outlineLevel="0" collapsed="false">
      <c r="A51" s="141" t="s">
        <v>526</v>
      </c>
      <c r="B51" s="112" t="s">
        <v>176</v>
      </c>
      <c r="C51" s="98" t="n">
        <v>10</v>
      </c>
      <c r="D51" s="96" t="n">
        <f aca="false">12.9*C51</f>
        <v>129</v>
      </c>
      <c r="E51" s="96" t="n">
        <v>0</v>
      </c>
      <c r="F51" s="97" t="n">
        <v>0</v>
      </c>
      <c r="G51" s="150" t="n">
        <v>0</v>
      </c>
      <c r="H51" s="132" t="n">
        <v>0.490909090909091</v>
      </c>
      <c r="I51" s="132" t="n">
        <v>0.345454545454545</v>
      </c>
      <c r="J51" s="132" t="n">
        <v>0.0909090909090909</v>
      </c>
      <c r="K51" s="132" t="n">
        <v>0.0181818181818182</v>
      </c>
      <c r="L51" s="132" t="n">
        <v>0.0181818181818182</v>
      </c>
      <c r="M51" s="132" t="n">
        <v>0.0363636363636364</v>
      </c>
      <c r="N51" s="5" t="n">
        <f aca="false">H51*$F51</f>
        <v>0</v>
      </c>
      <c r="O51" s="5" t="n">
        <f aca="false">I51*$F51</f>
        <v>0</v>
      </c>
      <c r="P51" s="5" t="n">
        <f aca="false">J51*$F51</f>
        <v>0</v>
      </c>
      <c r="Q51" s="5" t="n">
        <f aca="false">K51*$F51</f>
        <v>0</v>
      </c>
      <c r="R51" s="5" t="n">
        <f aca="false">L51*$F51</f>
        <v>0</v>
      </c>
      <c r="S51" s="5" t="n">
        <f aca="false">M51*$F51</f>
        <v>0</v>
      </c>
      <c r="T51" s="116" t="n">
        <f aca="false">Input!$F$31*TEs!C51+Input!$F$32*TEs!D51+Input!$F$33*TEs!N51+Input!$F$34*TEs!O51+Input!$F$35*TEs!P51+Input!$F$36*TEs!Q51+Input!$F$37*TEs!R51+Input!$F$38*TEs!S51+Input!$F$39*TEs!E51+Input!$F$40*TEs!G51</f>
        <v>12.9</v>
      </c>
    </row>
    <row r="52" customFormat="false" ht="12.75" hidden="false" customHeight="false" outlineLevel="0" collapsed="false">
      <c r="A52" s="141" t="s">
        <v>527</v>
      </c>
      <c r="B52" s="112" t="s">
        <v>144</v>
      </c>
      <c r="C52" s="98" t="n">
        <v>12</v>
      </c>
      <c r="D52" s="96" t="n">
        <f aca="false">10.3*C52</f>
        <v>123.6</v>
      </c>
      <c r="E52" s="96" t="n">
        <v>0</v>
      </c>
      <c r="F52" s="97" t="n">
        <v>0</v>
      </c>
      <c r="G52" s="150" t="n">
        <v>0</v>
      </c>
      <c r="H52" s="132" t="n">
        <v>0.490909090909091</v>
      </c>
      <c r="I52" s="132" t="n">
        <v>0.345454545454545</v>
      </c>
      <c r="J52" s="132" t="n">
        <v>0.0909090909090909</v>
      </c>
      <c r="K52" s="132" t="n">
        <v>0.0181818181818182</v>
      </c>
      <c r="L52" s="132" t="n">
        <v>0.0181818181818182</v>
      </c>
      <c r="M52" s="132" t="n">
        <v>0.0363636363636364</v>
      </c>
      <c r="N52" s="5" t="n">
        <f aca="false">H52*$F52</f>
        <v>0</v>
      </c>
      <c r="O52" s="5" t="n">
        <f aca="false">I52*$F52</f>
        <v>0</v>
      </c>
      <c r="P52" s="5" t="n">
        <f aca="false">J52*$F52</f>
        <v>0</v>
      </c>
      <c r="Q52" s="5" t="n">
        <f aca="false">K52*$F52</f>
        <v>0</v>
      </c>
      <c r="R52" s="5" t="n">
        <f aca="false">L52*$F52</f>
        <v>0</v>
      </c>
      <c r="S52" s="5" t="n">
        <f aca="false">M52*$F52</f>
        <v>0</v>
      </c>
      <c r="T52" s="116" t="n">
        <f aca="false">Input!$F$31*TEs!C52+Input!$F$32*TEs!D52+Input!$F$33*TEs!N52+Input!$F$34*TEs!O52+Input!$F$35*TEs!P52+Input!$F$36*TEs!Q52+Input!$F$37*TEs!R52+Input!$F$38*TEs!S52+Input!$F$39*TEs!E52+Input!$F$40*TEs!G52</f>
        <v>12.36</v>
      </c>
    </row>
    <row r="53" customFormat="false" ht="12.75" hidden="false" customHeight="false" outlineLevel="0" collapsed="false">
      <c r="A53" s="141" t="s">
        <v>528</v>
      </c>
      <c r="B53" s="112" t="s">
        <v>194</v>
      </c>
      <c r="C53" s="98" t="n">
        <v>15</v>
      </c>
      <c r="D53" s="96" t="n">
        <f aca="false">8*C53</f>
        <v>120</v>
      </c>
      <c r="E53" s="96" t="n">
        <v>0</v>
      </c>
      <c r="F53" s="97" t="n">
        <v>0</v>
      </c>
      <c r="G53" s="150" t="n">
        <v>0</v>
      </c>
      <c r="H53" s="132" t="n">
        <v>0.490909090909091</v>
      </c>
      <c r="I53" s="132" t="n">
        <v>0.345454545454545</v>
      </c>
      <c r="J53" s="132" t="n">
        <v>0.0909090909090909</v>
      </c>
      <c r="K53" s="132" t="n">
        <v>0.0181818181818182</v>
      </c>
      <c r="L53" s="132" t="n">
        <v>0.0181818181818182</v>
      </c>
      <c r="M53" s="132" t="n">
        <v>0.0363636363636364</v>
      </c>
      <c r="N53" s="5" t="n">
        <f aca="false">H53*$F53</f>
        <v>0</v>
      </c>
      <c r="O53" s="5" t="n">
        <f aca="false">I53*$F53</f>
        <v>0</v>
      </c>
      <c r="P53" s="5" t="n">
        <f aca="false">J53*$F53</f>
        <v>0</v>
      </c>
      <c r="Q53" s="5" t="n">
        <f aca="false">K53*$F53</f>
        <v>0</v>
      </c>
      <c r="R53" s="5" t="n">
        <f aca="false">L53*$F53</f>
        <v>0</v>
      </c>
      <c r="S53" s="5" t="n">
        <f aca="false">M53*$F53</f>
        <v>0</v>
      </c>
      <c r="T53" s="116" t="n">
        <f aca="false">Input!$F$31*TEs!C53+Input!$F$32*TEs!D53+Input!$F$33*TEs!N53+Input!$F$34*TEs!O53+Input!$F$35*TEs!P53+Input!$F$36*TEs!Q53+Input!$F$37*TEs!R53+Input!$F$38*TEs!S53+Input!$F$39*TEs!E53+Input!$F$40*TEs!G53</f>
        <v>12</v>
      </c>
    </row>
    <row r="54" customFormat="false" ht="12.75" hidden="false" customHeight="false" outlineLevel="0" collapsed="false">
      <c r="A54" s="141" t="s">
        <v>529</v>
      </c>
      <c r="B54" s="112" t="s">
        <v>190</v>
      </c>
      <c r="C54" s="98" t="n">
        <v>10</v>
      </c>
      <c r="D54" s="96" t="n">
        <f aca="false">12*C54</f>
        <v>120</v>
      </c>
      <c r="E54" s="96" t="n">
        <v>0</v>
      </c>
      <c r="F54" s="97" t="n">
        <v>0</v>
      </c>
      <c r="G54" s="150" t="n">
        <v>0</v>
      </c>
      <c r="H54" s="132" t="n">
        <v>0.490909090909091</v>
      </c>
      <c r="I54" s="132" t="n">
        <v>0.345454545454545</v>
      </c>
      <c r="J54" s="132" t="n">
        <v>0.0909090909090909</v>
      </c>
      <c r="K54" s="132" t="n">
        <v>0.0181818181818182</v>
      </c>
      <c r="L54" s="132" t="n">
        <v>0.0181818181818182</v>
      </c>
      <c r="M54" s="132" t="n">
        <v>0.0363636363636364</v>
      </c>
      <c r="N54" s="5" t="n">
        <f aca="false">H54*$F54</f>
        <v>0</v>
      </c>
      <c r="O54" s="5" t="n">
        <f aca="false">I54*$F54</f>
        <v>0</v>
      </c>
      <c r="P54" s="5" t="n">
        <f aca="false">J54*$F54</f>
        <v>0</v>
      </c>
      <c r="Q54" s="5" t="n">
        <f aca="false">K54*$F54</f>
        <v>0</v>
      </c>
      <c r="R54" s="5" t="n">
        <f aca="false">L54*$F54</f>
        <v>0</v>
      </c>
      <c r="S54" s="5" t="n">
        <f aca="false">M54*$F54</f>
        <v>0</v>
      </c>
      <c r="T54" s="116" t="n">
        <f aca="false">Input!$F$31*TEs!C54+Input!$F$32*TEs!D54+Input!$F$33*TEs!N54+Input!$F$34*TEs!O54+Input!$F$35*TEs!P54+Input!$F$36*TEs!Q54+Input!$F$37*TEs!R54+Input!$F$38*TEs!S54+Input!$F$39*TEs!E54+Input!$F$40*TEs!G54</f>
        <v>12</v>
      </c>
    </row>
    <row r="55" customFormat="false" ht="12.75" hidden="false" customHeight="false" outlineLevel="0" collapsed="false">
      <c r="A55" s="141" t="s">
        <v>530</v>
      </c>
      <c r="B55" s="112" t="s">
        <v>192</v>
      </c>
      <c r="C55" s="98" t="n">
        <v>20</v>
      </c>
      <c r="D55" s="96" t="n">
        <f aca="false">9.7*C55</f>
        <v>194</v>
      </c>
      <c r="E55" s="96" t="n">
        <v>0</v>
      </c>
      <c r="F55" s="97" t="n">
        <v>1</v>
      </c>
      <c r="G55" s="150" t="n">
        <v>0</v>
      </c>
      <c r="H55" s="132" t="n">
        <v>0.490909090909091</v>
      </c>
      <c r="I55" s="132" t="n">
        <v>0.345454545454545</v>
      </c>
      <c r="J55" s="132" t="n">
        <v>0.0909090909090909</v>
      </c>
      <c r="K55" s="132" t="n">
        <v>0.0181818181818182</v>
      </c>
      <c r="L55" s="132" t="n">
        <v>0.0181818181818182</v>
      </c>
      <c r="M55" s="132" t="n">
        <v>0.0363636363636364</v>
      </c>
      <c r="N55" s="5" t="n">
        <f aca="false">H55*$F55</f>
        <v>0.490909090909091</v>
      </c>
      <c r="O55" s="5" t="n">
        <f aca="false">I55*$F55</f>
        <v>0.345454545454545</v>
      </c>
      <c r="P55" s="5" t="n">
        <f aca="false">J55*$F55</f>
        <v>0.0909090909090909</v>
      </c>
      <c r="Q55" s="5" t="n">
        <f aca="false">K55*$F55</f>
        <v>0.0181818181818182</v>
      </c>
      <c r="R55" s="5" t="n">
        <f aca="false">L55*$F55</f>
        <v>0.0181818181818182</v>
      </c>
      <c r="S55" s="5" t="n">
        <f aca="false">M55*$F55</f>
        <v>0.0363636363636364</v>
      </c>
      <c r="T55" s="116" t="n">
        <f aca="false">Input!$F$31*TEs!C55+Input!$F$32*TEs!D55+Input!$F$33*TEs!N55+Input!$F$34*TEs!O55+Input!$F$35*TEs!P55+Input!$F$36*TEs!Q55+Input!$F$37*TEs!R55+Input!$F$38*TEs!S55+Input!$F$39*TEs!E55+Input!$F$40*TEs!G55</f>
        <v>26.2727272727273</v>
      </c>
    </row>
    <row r="56" customFormat="false" ht="12.75" hidden="false" customHeight="false" outlineLevel="0" collapsed="false">
      <c r="A56" s="141" t="s">
        <v>531</v>
      </c>
      <c r="B56" s="112" t="s">
        <v>142</v>
      </c>
      <c r="C56" s="98" t="n">
        <v>10</v>
      </c>
      <c r="D56" s="96" t="n">
        <f aca="false">11*C56</f>
        <v>110</v>
      </c>
      <c r="E56" s="96" t="n">
        <v>0</v>
      </c>
      <c r="F56" s="97" t="n">
        <v>0</v>
      </c>
      <c r="G56" s="150" t="n">
        <v>0</v>
      </c>
      <c r="H56" s="132" t="n">
        <v>0.490909090909091</v>
      </c>
      <c r="I56" s="132" t="n">
        <v>0.345454545454545</v>
      </c>
      <c r="J56" s="132" t="n">
        <v>0.0909090909090909</v>
      </c>
      <c r="K56" s="132" t="n">
        <v>0.0181818181818182</v>
      </c>
      <c r="L56" s="132" t="n">
        <v>0.0181818181818182</v>
      </c>
      <c r="M56" s="132" t="n">
        <v>0.0363636363636364</v>
      </c>
      <c r="N56" s="5" t="n">
        <f aca="false">H56*$F56</f>
        <v>0</v>
      </c>
      <c r="O56" s="5" t="n">
        <f aca="false">I56*$F56</f>
        <v>0</v>
      </c>
      <c r="P56" s="5" t="n">
        <f aca="false">J56*$F56</f>
        <v>0</v>
      </c>
      <c r="Q56" s="5" t="n">
        <f aca="false">K56*$F56</f>
        <v>0</v>
      </c>
      <c r="R56" s="5" t="n">
        <f aca="false">L56*$F56</f>
        <v>0</v>
      </c>
      <c r="S56" s="5" t="n">
        <f aca="false">M56*$F56</f>
        <v>0</v>
      </c>
      <c r="T56" s="116" t="n">
        <f aca="false">Input!$F$31*TEs!C56+Input!$F$32*TEs!D56+Input!$F$33*TEs!N56+Input!$F$34*TEs!O56+Input!$F$35*TEs!P56+Input!$F$36*TEs!Q56+Input!$F$37*TEs!R56+Input!$F$38*TEs!S56+Input!$F$39*TEs!E56+Input!$F$40*TEs!G56</f>
        <v>11</v>
      </c>
    </row>
    <row r="57" customFormat="false" ht="12.75" hidden="false" customHeight="false" outlineLevel="0" collapsed="false">
      <c r="A57" s="141" t="s">
        <v>532</v>
      </c>
      <c r="B57" s="112" t="s">
        <v>150</v>
      </c>
      <c r="C57" s="98" t="n">
        <v>10</v>
      </c>
      <c r="D57" s="96" t="n">
        <f aca="false">11*C57</f>
        <v>110</v>
      </c>
      <c r="E57" s="96" t="n">
        <v>0</v>
      </c>
      <c r="F57" s="97" t="n">
        <v>0</v>
      </c>
      <c r="G57" s="150" t="n">
        <v>0</v>
      </c>
      <c r="H57" s="132" t="n">
        <v>0.490909090909091</v>
      </c>
      <c r="I57" s="132" t="n">
        <v>0.345454545454545</v>
      </c>
      <c r="J57" s="132" t="n">
        <v>0.0909090909090909</v>
      </c>
      <c r="K57" s="132" t="n">
        <v>0.0181818181818182</v>
      </c>
      <c r="L57" s="132" t="n">
        <v>0.0181818181818182</v>
      </c>
      <c r="M57" s="132" t="n">
        <v>0.0363636363636364</v>
      </c>
      <c r="N57" s="5" t="n">
        <f aca="false">H57*$F57</f>
        <v>0</v>
      </c>
      <c r="O57" s="5" t="n">
        <f aca="false">I57*$F57</f>
        <v>0</v>
      </c>
      <c r="P57" s="5" t="n">
        <f aca="false">J57*$F57</f>
        <v>0</v>
      </c>
      <c r="Q57" s="5" t="n">
        <f aca="false">K57*$F57</f>
        <v>0</v>
      </c>
      <c r="R57" s="5" t="n">
        <f aca="false">L57*$F57</f>
        <v>0</v>
      </c>
      <c r="S57" s="5" t="n">
        <f aca="false">M57*$F57</f>
        <v>0</v>
      </c>
      <c r="T57" s="116" t="n">
        <f aca="false">Input!$F$31*TEs!C57+Input!$F$32*TEs!D57+Input!$F$33*TEs!N57+Input!$F$34*TEs!O57+Input!$F$35*TEs!P57+Input!$F$36*TEs!Q57+Input!$F$37*TEs!R57+Input!$F$38*TEs!S57+Input!$F$39*TEs!E57+Input!$F$40*TEs!G57</f>
        <v>11</v>
      </c>
    </row>
    <row r="58" customFormat="false" ht="12.75" hidden="false" customHeight="false" outlineLevel="0" collapsed="false">
      <c r="A58" s="141" t="s">
        <v>533</v>
      </c>
      <c r="B58" s="112" t="s">
        <v>160</v>
      </c>
      <c r="C58" s="98" t="n">
        <v>10</v>
      </c>
      <c r="D58" s="96" t="n">
        <f aca="false">10.9*C58</f>
        <v>109</v>
      </c>
      <c r="E58" s="96" t="n">
        <v>0</v>
      </c>
      <c r="F58" s="97" t="n">
        <v>0</v>
      </c>
      <c r="G58" s="150" t="n">
        <v>0</v>
      </c>
      <c r="H58" s="132" t="n">
        <v>0.490909090909091</v>
      </c>
      <c r="I58" s="132" t="n">
        <v>0.345454545454545</v>
      </c>
      <c r="J58" s="132" t="n">
        <v>0.0909090909090909</v>
      </c>
      <c r="K58" s="132" t="n">
        <v>0.0181818181818182</v>
      </c>
      <c r="L58" s="132" t="n">
        <v>0.0181818181818182</v>
      </c>
      <c r="M58" s="132" t="n">
        <v>0.0363636363636364</v>
      </c>
      <c r="N58" s="5" t="n">
        <f aca="false">H58*$F58</f>
        <v>0</v>
      </c>
      <c r="O58" s="5" t="n">
        <f aca="false">I58*$F58</f>
        <v>0</v>
      </c>
      <c r="P58" s="5" t="n">
        <f aca="false">J58*$F58</f>
        <v>0</v>
      </c>
      <c r="Q58" s="5" t="n">
        <f aca="false">K58*$F58</f>
        <v>0</v>
      </c>
      <c r="R58" s="5" t="n">
        <f aca="false">L58*$F58</f>
        <v>0</v>
      </c>
      <c r="S58" s="5" t="n">
        <f aca="false">M58*$F58</f>
        <v>0</v>
      </c>
      <c r="T58" s="116" t="n">
        <f aca="false">Input!$F$31*TEs!C58+Input!$F$32*TEs!D58+Input!$F$33*TEs!N58+Input!$F$34*TEs!O58+Input!$F$35*TEs!P58+Input!$F$36*TEs!Q58+Input!$F$37*TEs!R58+Input!$F$38*TEs!S58+Input!$F$39*TEs!E58+Input!$F$40*TEs!G58</f>
        <v>10.9</v>
      </c>
    </row>
    <row r="59" customFormat="false" ht="12.75" hidden="false" customHeight="false" outlineLevel="0" collapsed="false">
      <c r="A59" s="141" t="s">
        <v>534</v>
      </c>
      <c r="B59" s="112" t="s">
        <v>158</v>
      </c>
      <c r="C59" s="98" t="n">
        <v>8</v>
      </c>
      <c r="D59" s="96" t="n">
        <f aca="false">11*C59</f>
        <v>88</v>
      </c>
      <c r="E59" s="96" t="n">
        <v>0</v>
      </c>
      <c r="F59" s="97" t="n">
        <v>0</v>
      </c>
      <c r="G59" s="150" t="n">
        <v>0</v>
      </c>
      <c r="H59" s="132" t="n">
        <v>0.490909090909091</v>
      </c>
      <c r="I59" s="132" t="n">
        <v>0.345454545454545</v>
      </c>
      <c r="J59" s="132" t="n">
        <v>0.0909090909090909</v>
      </c>
      <c r="K59" s="132" t="n">
        <v>0.0181818181818182</v>
      </c>
      <c r="L59" s="132" t="n">
        <v>0.0181818181818182</v>
      </c>
      <c r="M59" s="132" t="n">
        <v>0.0363636363636364</v>
      </c>
      <c r="N59" s="5" t="n">
        <f aca="false">H59*$F59</f>
        <v>0</v>
      </c>
      <c r="O59" s="5" t="n">
        <f aca="false">I59*$F59</f>
        <v>0</v>
      </c>
      <c r="P59" s="5" t="n">
        <f aca="false">J59*$F59</f>
        <v>0</v>
      </c>
      <c r="Q59" s="5" t="n">
        <f aca="false">K59*$F59</f>
        <v>0</v>
      </c>
      <c r="R59" s="5" t="n">
        <f aca="false">L59*$F59</f>
        <v>0</v>
      </c>
      <c r="S59" s="5" t="n">
        <f aca="false">M59*$F59</f>
        <v>0</v>
      </c>
      <c r="T59" s="116" t="n">
        <f aca="false">Input!$F$31*TEs!C59+Input!$F$32*TEs!D59+Input!$F$33*TEs!N59+Input!$F$34*TEs!O59+Input!$F$35*TEs!P59+Input!$F$36*TEs!Q59+Input!$F$37*TEs!R59+Input!$F$38*TEs!S59+Input!$F$39*TEs!E59+Input!$F$40*TEs!G59</f>
        <v>8.8</v>
      </c>
    </row>
    <row r="60" customFormat="false" ht="12.75" hidden="false" customHeight="false" outlineLevel="0" collapsed="false">
      <c r="A60" s="141" t="s">
        <v>535</v>
      </c>
      <c r="B60" s="112" t="s">
        <v>164</v>
      </c>
      <c r="C60" s="98" t="n">
        <v>10</v>
      </c>
      <c r="D60" s="96" t="n">
        <f aca="false">8*C60</f>
        <v>80</v>
      </c>
      <c r="E60" s="96" t="n">
        <v>0</v>
      </c>
      <c r="F60" s="97" t="n">
        <v>0</v>
      </c>
      <c r="G60" s="150" t="n">
        <v>0</v>
      </c>
      <c r="H60" s="132" t="n">
        <v>0.490909090909091</v>
      </c>
      <c r="I60" s="132" t="n">
        <v>0.345454545454545</v>
      </c>
      <c r="J60" s="132" t="n">
        <v>0.0909090909090909</v>
      </c>
      <c r="K60" s="132" t="n">
        <v>0.0181818181818182</v>
      </c>
      <c r="L60" s="132" t="n">
        <v>0.0181818181818182</v>
      </c>
      <c r="M60" s="132" t="n">
        <v>0.0363636363636364</v>
      </c>
      <c r="N60" s="5" t="n">
        <f aca="false">H60*$F60</f>
        <v>0</v>
      </c>
      <c r="O60" s="5" t="n">
        <f aca="false">I60*$F60</f>
        <v>0</v>
      </c>
      <c r="P60" s="5" t="n">
        <f aca="false">J60*$F60</f>
        <v>0</v>
      </c>
      <c r="Q60" s="5" t="n">
        <f aca="false">K60*$F60</f>
        <v>0</v>
      </c>
      <c r="R60" s="5" t="n">
        <f aca="false">L60*$F60</f>
        <v>0</v>
      </c>
      <c r="S60" s="5" t="n">
        <f aca="false">M60*$F60</f>
        <v>0</v>
      </c>
      <c r="T60" s="116" t="n">
        <f aca="false">Input!$F$31*TEs!C60+Input!$F$32*TEs!D60+Input!$F$33*TEs!N60+Input!$F$34*TEs!O60+Input!$F$35*TEs!P60+Input!$F$36*TEs!Q60+Input!$F$37*TEs!R60+Input!$F$38*TEs!S60+Input!$F$39*TEs!E60+Input!$F$40*TEs!G60</f>
        <v>8</v>
      </c>
    </row>
    <row r="61" customFormat="false" ht="12.75" hidden="false" customHeight="false" outlineLevel="0" collapsed="false">
      <c r="A61" s="141" t="s">
        <v>536</v>
      </c>
      <c r="B61" s="112" t="s">
        <v>194</v>
      </c>
      <c r="C61" s="98" t="n">
        <v>10</v>
      </c>
      <c r="D61" s="96" t="n">
        <f aca="false">7.9*C61</f>
        <v>79</v>
      </c>
      <c r="E61" s="96" t="n">
        <v>0</v>
      </c>
      <c r="F61" s="97" t="n">
        <v>0</v>
      </c>
      <c r="G61" s="150" t="n">
        <v>0</v>
      </c>
      <c r="H61" s="132" t="n">
        <v>0.490909090909091</v>
      </c>
      <c r="I61" s="132" t="n">
        <v>0.345454545454545</v>
      </c>
      <c r="J61" s="132" t="n">
        <v>0.0909090909090909</v>
      </c>
      <c r="K61" s="132" t="n">
        <v>0.0181818181818182</v>
      </c>
      <c r="L61" s="132" t="n">
        <v>0.0181818181818182</v>
      </c>
      <c r="M61" s="132" t="n">
        <v>0.0363636363636364</v>
      </c>
      <c r="N61" s="5" t="n">
        <f aca="false">H61*$F61</f>
        <v>0</v>
      </c>
      <c r="O61" s="5" t="n">
        <f aca="false">I61*$F61</f>
        <v>0</v>
      </c>
      <c r="P61" s="5" t="n">
        <f aca="false">J61*$F61</f>
        <v>0</v>
      </c>
      <c r="Q61" s="5" t="n">
        <f aca="false">K61*$F61</f>
        <v>0</v>
      </c>
      <c r="R61" s="5" t="n">
        <f aca="false">L61*$F61</f>
        <v>0</v>
      </c>
      <c r="S61" s="5" t="n">
        <f aca="false">M61*$F61</f>
        <v>0</v>
      </c>
      <c r="T61" s="116" t="n">
        <f aca="false">Input!$F$31*TEs!C61+Input!$F$32*TEs!D61+Input!$F$33*TEs!N61+Input!$F$34*TEs!O61+Input!$F$35*TEs!P61+Input!$F$36*TEs!Q61+Input!$F$37*TEs!R61+Input!$F$38*TEs!S61+Input!$F$39*TEs!E61+Input!$F$40*TEs!G61</f>
        <v>7.9</v>
      </c>
    </row>
    <row r="62" customFormat="false" ht="12.75" hidden="false" customHeight="false" outlineLevel="0" collapsed="false">
      <c r="A62" s="141" t="s">
        <v>537</v>
      </c>
      <c r="B62" s="112" t="s">
        <v>156</v>
      </c>
      <c r="C62" s="98" t="n">
        <v>8</v>
      </c>
      <c r="D62" s="96" t="n">
        <f aca="false">9*C62</f>
        <v>72</v>
      </c>
      <c r="E62" s="96" t="n">
        <v>0</v>
      </c>
      <c r="F62" s="97" t="n">
        <v>0</v>
      </c>
      <c r="G62" s="150" t="n">
        <v>0</v>
      </c>
      <c r="H62" s="132" t="n">
        <v>0.490909090909091</v>
      </c>
      <c r="I62" s="132" t="n">
        <v>0.345454545454545</v>
      </c>
      <c r="J62" s="132" t="n">
        <v>0.0909090909090909</v>
      </c>
      <c r="K62" s="132" t="n">
        <v>0.0181818181818182</v>
      </c>
      <c r="L62" s="132" t="n">
        <v>0.0181818181818182</v>
      </c>
      <c r="M62" s="132" t="n">
        <v>0.0363636363636364</v>
      </c>
      <c r="N62" s="5" t="n">
        <f aca="false">H62*$F62</f>
        <v>0</v>
      </c>
      <c r="O62" s="5" t="n">
        <f aca="false">I62*$F62</f>
        <v>0</v>
      </c>
      <c r="P62" s="5" t="n">
        <f aca="false">J62*$F62</f>
        <v>0</v>
      </c>
      <c r="Q62" s="5" t="n">
        <f aca="false">K62*$F62</f>
        <v>0</v>
      </c>
      <c r="R62" s="5" t="n">
        <f aca="false">L62*$F62</f>
        <v>0</v>
      </c>
      <c r="S62" s="5" t="n">
        <f aca="false">M62*$F62</f>
        <v>0</v>
      </c>
      <c r="T62" s="116" t="n">
        <f aca="false">Input!$F$31*TEs!C62+Input!$F$32*TEs!D62+Input!$F$33*TEs!N62+Input!$F$34*TEs!O62+Input!$F$35*TEs!P62+Input!$F$36*TEs!Q62+Input!$F$37*TEs!R62+Input!$F$38*TEs!S62+Input!$F$39*TEs!E62+Input!$F$40*TEs!G62</f>
        <v>7.2</v>
      </c>
    </row>
    <row r="63" customFormat="false" ht="12.75" hidden="false" customHeight="false" outlineLevel="0" collapsed="false">
      <c r="A63" s="141" t="s">
        <v>538</v>
      </c>
      <c r="B63" s="112" t="s">
        <v>166</v>
      </c>
      <c r="C63" s="98" t="n">
        <v>10</v>
      </c>
      <c r="D63" s="96" t="n">
        <f aca="false">6.7*C63</f>
        <v>67</v>
      </c>
      <c r="E63" s="96" t="n">
        <v>0</v>
      </c>
      <c r="F63" s="97" t="n">
        <v>0</v>
      </c>
      <c r="G63" s="150" t="n">
        <v>0</v>
      </c>
      <c r="H63" s="132" t="n">
        <v>0.490909090909091</v>
      </c>
      <c r="I63" s="132" t="n">
        <v>0.345454545454545</v>
      </c>
      <c r="J63" s="132" t="n">
        <v>0.0909090909090909</v>
      </c>
      <c r="K63" s="132" t="n">
        <v>0.0181818181818182</v>
      </c>
      <c r="L63" s="132" t="n">
        <v>0.0181818181818182</v>
      </c>
      <c r="M63" s="132" t="n">
        <v>0.0363636363636364</v>
      </c>
      <c r="N63" s="5" t="n">
        <f aca="false">H63*$F63</f>
        <v>0</v>
      </c>
      <c r="O63" s="5" t="n">
        <f aca="false">I63*$F63</f>
        <v>0</v>
      </c>
      <c r="P63" s="5" t="n">
        <f aca="false">J63*$F63</f>
        <v>0</v>
      </c>
      <c r="Q63" s="5" t="n">
        <f aca="false">K63*$F63</f>
        <v>0</v>
      </c>
      <c r="R63" s="5" t="n">
        <f aca="false">L63*$F63</f>
        <v>0</v>
      </c>
      <c r="S63" s="5" t="n">
        <f aca="false">M63*$F63</f>
        <v>0</v>
      </c>
      <c r="T63" s="116" t="n">
        <f aca="false">Input!$F$31*TEs!C63+Input!$F$32*TEs!D63+Input!$F$33*TEs!N63+Input!$F$34*TEs!O63+Input!$F$35*TEs!P63+Input!$F$36*TEs!Q63+Input!$F$37*TEs!R63+Input!$F$38*TEs!S63+Input!$F$39*TEs!E63+Input!$F$40*TEs!G63</f>
        <v>6.7</v>
      </c>
    </row>
    <row r="64" customFormat="false" ht="12.75" hidden="false" customHeight="false" outlineLevel="0" collapsed="false">
      <c r="A64" s="141" t="s">
        <v>539</v>
      </c>
      <c r="B64" s="112" t="s">
        <v>148</v>
      </c>
      <c r="C64" s="98" t="n">
        <v>5</v>
      </c>
      <c r="D64" s="96" t="n">
        <f aca="false">11*C64</f>
        <v>55</v>
      </c>
      <c r="E64" s="96" t="n">
        <v>0</v>
      </c>
      <c r="F64" s="97" t="n">
        <v>0</v>
      </c>
      <c r="G64" s="150" t="n">
        <v>0</v>
      </c>
      <c r="H64" s="132" t="n">
        <v>0.490909090909091</v>
      </c>
      <c r="I64" s="132" t="n">
        <v>0.345454545454545</v>
      </c>
      <c r="J64" s="132" t="n">
        <v>0.0909090909090909</v>
      </c>
      <c r="K64" s="132" t="n">
        <v>0.0181818181818182</v>
      </c>
      <c r="L64" s="132" t="n">
        <v>0.0181818181818182</v>
      </c>
      <c r="M64" s="132" t="n">
        <v>0.0363636363636364</v>
      </c>
      <c r="N64" s="5" t="n">
        <f aca="false">H64*$F64</f>
        <v>0</v>
      </c>
      <c r="O64" s="5" t="n">
        <f aca="false">I64*$F64</f>
        <v>0</v>
      </c>
      <c r="P64" s="5" t="n">
        <f aca="false">J64*$F64</f>
        <v>0</v>
      </c>
      <c r="Q64" s="5" t="n">
        <f aca="false">K64*$F64</f>
        <v>0</v>
      </c>
      <c r="R64" s="5" t="n">
        <f aca="false">L64*$F64</f>
        <v>0</v>
      </c>
      <c r="S64" s="5" t="n">
        <f aca="false">M64*$F64</f>
        <v>0</v>
      </c>
      <c r="T64" s="116" t="n">
        <f aca="false">Input!$F$31*TEs!C64+Input!$F$32*TEs!D64+Input!$F$33*TEs!N64+Input!$F$34*TEs!O64+Input!$F$35*TEs!P64+Input!$F$36*TEs!Q64+Input!$F$37*TEs!R64+Input!$F$38*TEs!S64+Input!$F$39*TEs!E64+Input!$F$40*TEs!G64</f>
        <v>5.5</v>
      </c>
    </row>
    <row r="65" customFormat="false" ht="12.75" hidden="false" customHeight="false" outlineLevel="0" collapsed="false">
      <c r="A65" s="142" t="s">
        <v>540</v>
      </c>
      <c r="B65" s="83" t="s">
        <v>188</v>
      </c>
      <c r="C65" s="127" t="n">
        <v>6</v>
      </c>
      <c r="D65" s="125" t="n">
        <f aca="false">7.5*C65</f>
        <v>45</v>
      </c>
      <c r="E65" s="125" t="n">
        <v>0</v>
      </c>
      <c r="F65" s="126" t="n">
        <v>0</v>
      </c>
      <c r="G65" s="152" t="n">
        <v>0</v>
      </c>
      <c r="H65" s="132" t="n">
        <v>0.490909090909091</v>
      </c>
      <c r="I65" s="132" t="n">
        <v>0.345454545454545</v>
      </c>
      <c r="J65" s="132" t="n">
        <v>0.0909090909090909</v>
      </c>
      <c r="K65" s="132" t="n">
        <v>0.0181818181818182</v>
      </c>
      <c r="L65" s="132" t="n">
        <v>0.0181818181818182</v>
      </c>
      <c r="M65" s="132" t="n">
        <v>0.0363636363636364</v>
      </c>
      <c r="N65" s="5" t="n">
        <f aca="false">H65*$F65</f>
        <v>0</v>
      </c>
      <c r="O65" s="5" t="n">
        <f aca="false">I65*$F65</f>
        <v>0</v>
      </c>
      <c r="P65" s="5" t="n">
        <f aca="false">J65*$F65</f>
        <v>0</v>
      </c>
      <c r="Q65" s="5" t="n">
        <f aca="false">K65*$F65</f>
        <v>0</v>
      </c>
      <c r="R65" s="5" t="n">
        <f aca="false">L65*$F65</f>
        <v>0</v>
      </c>
      <c r="S65" s="5" t="n">
        <f aca="false">M65*$F65</f>
        <v>0</v>
      </c>
      <c r="T65" s="91" t="n">
        <f aca="false">Input!$F$31*TEs!C65+Input!$F$32*TEs!D65+Input!$F$33*TEs!N65+Input!$F$34*TEs!O65+Input!$F$35*TEs!P65+Input!$F$36*TEs!Q65+Input!$F$37*TEs!R65+Input!$F$38*TEs!S65+Input!$F$39*TEs!E65+Input!$F$40*TEs!G65</f>
        <v>4.5</v>
      </c>
    </row>
  </sheetData>
  <mergeCells count="3">
    <mergeCell ref="C1:F1"/>
    <mergeCell ref="H1:M1"/>
    <mergeCell ref="N1:S1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0" activePane="bottomRight" state="frozen"/>
      <selection pane="topLeft" activeCell="A1" activeCellId="0" sqref="A1"/>
      <selection pane="topRight" activeCell="C1" activeCellId="0" sqref="C1"/>
      <selection pane="bottomLeft" activeCell="A30" activeCellId="0" sqref="A30"/>
      <selection pane="bottomRight" activeCell="C54" activeCellId="0" sqref="C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  <col collapsed="false" customWidth="true" hidden="false" outlineLevel="0" max="2" min="2" style="1" width="6.13"/>
    <col collapsed="false" customWidth="true" hidden="false" outlineLevel="0" max="3" min="3" style="1" width="6.99"/>
    <col collapsed="false" customWidth="true" hidden="false" outlineLevel="0" max="4" min="4" style="1" width="6.41"/>
    <col collapsed="false" customWidth="true" hidden="false" outlineLevel="0" max="5" min="5" style="1" width="7.56"/>
    <col collapsed="false" customWidth="true" hidden="false" outlineLevel="0" max="6" min="6" style="1" width="6.99"/>
    <col collapsed="false" customWidth="true" hidden="true" outlineLevel="0" max="7" min="7" style="153" width="9.14"/>
    <col collapsed="false" customWidth="true" hidden="true" outlineLevel="0" max="8" min="8" style="153" width="2.42"/>
    <col collapsed="false" customWidth="true" hidden="true" outlineLevel="0" max="14" min="9" style="153" width="9.14"/>
    <col collapsed="false" customWidth="true" hidden="true" outlineLevel="0" max="22" min="15" style="1" width="9.14"/>
    <col collapsed="false" customWidth="true" hidden="false" outlineLevel="0" max="23" min="23" style="154" width="9.14"/>
  </cols>
  <sheetData>
    <row r="1" customFormat="false" ht="12.75" hidden="false" customHeight="false" outlineLevel="0" collapsed="false">
      <c r="A1" s="155"/>
      <c r="B1" s="156"/>
      <c r="C1" s="157" t="s">
        <v>541</v>
      </c>
      <c r="D1" s="157"/>
      <c r="E1" s="157" t="s">
        <v>542</v>
      </c>
      <c r="F1" s="157"/>
      <c r="G1" s="157" t="s">
        <v>543</v>
      </c>
      <c r="H1" s="157"/>
      <c r="I1" s="157"/>
      <c r="J1" s="157"/>
      <c r="K1" s="157" t="s">
        <v>544</v>
      </c>
      <c r="L1" s="157"/>
      <c r="M1" s="157"/>
      <c r="N1" s="157"/>
      <c r="O1" s="157" t="s">
        <v>545</v>
      </c>
      <c r="P1" s="157"/>
      <c r="Q1" s="157"/>
      <c r="R1" s="157"/>
      <c r="S1" s="157" t="s">
        <v>546</v>
      </c>
      <c r="T1" s="157"/>
      <c r="U1" s="157"/>
      <c r="V1" s="157"/>
      <c r="W1" s="158" t="s">
        <v>119</v>
      </c>
    </row>
    <row r="2" customFormat="false" ht="12.75" hidden="false" customHeight="false" outlineLevel="0" collapsed="false">
      <c r="A2" s="159" t="s">
        <v>79</v>
      </c>
      <c r="B2" s="160" t="s">
        <v>3</v>
      </c>
      <c r="C2" s="161" t="s">
        <v>547</v>
      </c>
      <c r="D2" s="160" t="s">
        <v>548</v>
      </c>
      <c r="E2" s="161" t="s">
        <v>547</v>
      </c>
      <c r="F2" s="160" t="s">
        <v>548</v>
      </c>
      <c r="G2" s="161" t="s">
        <v>549</v>
      </c>
      <c r="H2" s="162" t="s">
        <v>131</v>
      </c>
      <c r="I2" s="162" t="s">
        <v>132</v>
      </c>
      <c r="J2" s="160" t="s">
        <v>133</v>
      </c>
      <c r="K2" s="161" t="s">
        <v>549</v>
      </c>
      <c r="L2" s="162" t="s">
        <v>131</v>
      </c>
      <c r="M2" s="162" t="s">
        <v>132</v>
      </c>
      <c r="N2" s="160" t="s">
        <v>133</v>
      </c>
      <c r="O2" s="161" t="s">
        <v>549</v>
      </c>
      <c r="P2" s="162" t="s">
        <v>131</v>
      </c>
      <c r="Q2" s="162" t="s">
        <v>132</v>
      </c>
      <c r="R2" s="160" t="s">
        <v>133</v>
      </c>
      <c r="S2" s="161" t="s">
        <v>549</v>
      </c>
      <c r="T2" s="162" t="s">
        <v>131</v>
      </c>
      <c r="U2" s="162" t="s">
        <v>132</v>
      </c>
      <c r="V2" s="160" t="s">
        <v>133</v>
      </c>
      <c r="W2" s="163" t="s">
        <v>134</v>
      </c>
    </row>
    <row r="3" customFormat="false" ht="12.75" hidden="false" customHeight="false" outlineLevel="0" collapsed="false">
      <c r="A3" s="155" t="s">
        <v>550</v>
      </c>
      <c r="B3" s="156" t="s">
        <v>138</v>
      </c>
      <c r="C3" s="164" t="n">
        <v>32</v>
      </c>
      <c r="D3" s="165" t="n">
        <v>5</v>
      </c>
      <c r="E3" s="164" t="n">
        <v>41</v>
      </c>
      <c r="F3" s="165" t="n">
        <v>1</v>
      </c>
      <c r="G3" s="99" t="n">
        <v>0.360714285714286</v>
      </c>
      <c r="H3" s="100" t="n">
        <v>0.292857142857143</v>
      </c>
      <c r="I3" s="100" t="n">
        <v>0.307142857142857</v>
      </c>
      <c r="J3" s="101" t="n">
        <v>0.0392857142857143</v>
      </c>
      <c r="K3" s="99" t="n">
        <v>0.087719298245614</v>
      </c>
      <c r="L3" s="100" t="n">
        <v>0.245614035087719</v>
      </c>
      <c r="M3" s="100" t="n">
        <v>0.526315789473684</v>
      </c>
      <c r="N3" s="101" t="n">
        <v>0.140350877192982</v>
      </c>
      <c r="O3" s="99" t="n">
        <f aca="false">G3*$C3</f>
        <v>11.5428571428571</v>
      </c>
      <c r="P3" s="100" t="n">
        <f aca="false">H3*$C3</f>
        <v>9.37142857142857</v>
      </c>
      <c r="Q3" s="100" t="n">
        <f aca="false">I3*$C3</f>
        <v>9.82857142857143</v>
      </c>
      <c r="R3" s="101" t="n">
        <f aca="false">J3*$C3</f>
        <v>1.25714285714286</v>
      </c>
      <c r="S3" s="99" t="n">
        <f aca="false">K3*$D3</f>
        <v>0.43859649122807</v>
      </c>
      <c r="T3" s="100" t="n">
        <f aca="false">L3*$D3</f>
        <v>1.2280701754386</v>
      </c>
      <c r="U3" s="100" t="n">
        <f aca="false">M3*$D3</f>
        <v>2.63157894736842</v>
      </c>
      <c r="V3" s="101" t="n">
        <f aca="false">N3*$D3</f>
        <v>0.701754385964912</v>
      </c>
      <c r="W3" s="158" t="n">
        <f aca="false">Input!$I$13*PKs!O3+Input!$I$14*PKs!L3+Input!$I$15*PKs!Q3+Input!$I$16*PKs!R3+Input!$I$17*PKs!S3+Input!$I$18*PKs!T3+Input!$I$19*PKs!U3+Input!$I$20*PKs!V3+Input!$I$21*PKs!E3+Input!$I$22*PKs!F3</f>
        <v>133.296741854637</v>
      </c>
    </row>
    <row r="4" customFormat="false" ht="12.75" hidden="false" customHeight="false" outlineLevel="0" collapsed="false">
      <c r="A4" s="166" t="s">
        <v>551</v>
      </c>
      <c r="B4" s="167" t="s">
        <v>154</v>
      </c>
      <c r="C4" s="168" t="n">
        <v>29</v>
      </c>
      <c r="D4" s="169" t="n">
        <v>6</v>
      </c>
      <c r="E4" s="168" t="n">
        <v>40</v>
      </c>
      <c r="F4" s="169" t="n">
        <v>0</v>
      </c>
      <c r="G4" s="107" t="n">
        <v>0.360714285714286</v>
      </c>
      <c r="H4" s="108" t="n">
        <v>0.292857142857143</v>
      </c>
      <c r="I4" s="108" t="n">
        <v>0.307142857142857</v>
      </c>
      <c r="J4" s="109" t="n">
        <v>0.0392857142857143</v>
      </c>
      <c r="K4" s="107" t="n">
        <v>0.087719298245614</v>
      </c>
      <c r="L4" s="108" t="n">
        <v>0.245614035087719</v>
      </c>
      <c r="M4" s="108" t="n">
        <v>0.526315789473684</v>
      </c>
      <c r="N4" s="109" t="n">
        <v>0.140350877192982</v>
      </c>
      <c r="O4" s="107" t="n">
        <f aca="false">G4*$C4</f>
        <v>10.4607142857143</v>
      </c>
      <c r="P4" s="108" t="n">
        <f aca="false">H4*$C4</f>
        <v>8.49285714285714</v>
      </c>
      <c r="Q4" s="108" t="n">
        <f aca="false">I4*$C4</f>
        <v>8.90714285714286</v>
      </c>
      <c r="R4" s="109" t="n">
        <f aca="false">J4*$C4</f>
        <v>1.13928571428571</v>
      </c>
      <c r="S4" s="107" t="n">
        <f aca="false">K4*$D4</f>
        <v>0.526315789473684</v>
      </c>
      <c r="T4" s="108" t="n">
        <f aca="false">L4*$D4</f>
        <v>1.47368421052632</v>
      </c>
      <c r="U4" s="108" t="n">
        <f aca="false">M4*$D4</f>
        <v>3.15789473684211</v>
      </c>
      <c r="V4" s="109" t="n">
        <f aca="false">N4*$D4</f>
        <v>0.842105263157895</v>
      </c>
      <c r="W4" s="170" t="n">
        <f aca="false">Input!$I$13*PKs!O4+Input!$I$14*PKs!L4+Input!$I$15*PKs!Q4+Input!$I$16*PKs!R4+Input!$I$17*PKs!S4+Input!$I$18*PKs!T4+Input!$I$19*PKs!U4+Input!$I$20*PKs!V4+Input!$I$21*PKs!E4+Input!$I$22*PKs!F4</f>
        <v>123.736027568922</v>
      </c>
    </row>
    <row r="5" customFormat="false" ht="12.75" hidden="false" customHeight="false" outlineLevel="0" collapsed="false">
      <c r="A5" s="166" t="s">
        <v>552</v>
      </c>
      <c r="B5" s="167" t="s">
        <v>150</v>
      </c>
      <c r="C5" s="168" t="n">
        <v>27</v>
      </c>
      <c r="D5" s="169" t="n">
        <v>8</v>
      </c>
      <c r="E5" s="168" t="n">
        <v>43</v>
      </c>
      <c r="F5" s="169" t="n">
        <v>1</v>
      </c>
      <c r="G5" s="107" t="n">
        <v>0.303964757709251</v>
      </c>
      <c r="H5" s="108" t="n">
        <v>0.295154185022026</v>
      </c>
      <c r="I5" s="108" t="n">
        <v>0.299559471365639</v>
      </c>
      <c r="J5" s="109" t="n">
        <v>0.101321585903084</v>
      </c>
      <c r="K5" s="107" t="n">
        <v>0.0392156862745098</v>
      </c>
      <c r="L5" s="108" t="n">
        <v>0.156862745098039</v>
      </c>
      <c r="M5" s="108" t="n">
        <v>0.392156862745098</v>
      </c>
      <c r="N5" s="109" t="n">
        <v>0.411764705882353</v>
      </c>
      <c r="O5" s="107" t="n">
        <f aca="false">G5*$C5</f>
        <v>8.20704845814978</v>
      </c>
      <c r="P5" s="108" t="n">
        <f aca="false">H5*$C5</f>
        <v>7.96916299559471</v>
      </c>
      <c r="Q5" s="108" t="n">
        <f aca="false">I5*$C5</f>
        <v>8.08810572687225</v>
      </c>
      <c r="R5" s="109" t="n">
        <f aca="false">J5*$C5</f>
        <v>2.73568281938326</v>
      </c>
      <c r="S5" s="107" t="n">
        <f aca="false">K5*$D5</f>
        <v>0.313725490196078</v>
      </c>
      <c r="T5" s="108" t="n">
        <f aca="false">L5*$D5</f>
        <v>1.25490196078431</v>
      </c>
      <c r="U5" s="108" t="n">
        <f aca="false">M5*$D5</f>
        <v>3.13725490196078</v>
      </c>
      <c r="V5" s="109" t="n">
        <f aca="false">N5*$D5</f>
        <v>3.29411764705882</v>
      </c>
      <c r="W5" s="170" t="n">
        <f aca="false">Input!$I$13*PKs!O5+Input!$I$14*PKs!L5+Input!$I$15*PKs!Q5+Input!$I$16*PKs!R5+Input!$I$17*PKs!S5+Input!$I$18*PKs!T5+Input!$I$19*PKs!U5+Input!$I$20*PKs!V5+Input!$I$21*PKs!E5+Input!$I$22*PKs!F5</f>
        <v>125.103221905502</v>
      </c>
    </row>
    <row r="6" customFormat="false" ht="12.75" hidden="false" customHeight="false" outlineLevel="0" collapsed="false">
      <c r="A6" s="166" t="s">
        <v>553</v>
      </c>
      <c r="B6" s="167" t="s">
        <v>162</v>
      </c>
      <c r="C6" s="168" t="n">
        <v>28</v>
      </c>
      <c r="D6" s="169" t="n">
        <v>7</v>
      </c>
      <c r="E6" s="168" t="n">
        <v>39</v>
      </c>
      <c r="F6" s="169" t="n">
        <v>0</v>
      </c>
      <c r="G6" s="107" t="n">
        <v>0.303964757709251</v>
      </c>
      <c r="H6" s="108" t="n">
        <v>0.295154185022026</v>
      </c>
      <c r="I6" s="108" t="n">
        <v>0.299559471365639</v>
      </c>
      <c r="J6" s="109" t="n">
        <v>0.101321585903084</v>
      </c>
      <c r="K6" s="107" t="n">
        <v>0.0392156862745098</v>
      </c>
      <c r="L6" s="108" t="n">
        <v>0.156862745098039</v>
      </c>
      <c r="M6" s="108" t="n">
        <v>0.392156862745098</v>
      </c>
      <c r="N6" s="109" t="n">
        <v>0.411764705882353</v>
      </c>
      <c r="O6" s="107" t="n">
        <f aca="false">G6*$C6</f>
        <v>8.51101321585903</v>
      </c>
      <c r="P6" s="108" t="n">
        <f aca="false">H6*$C6</f>
        <v>8.26431718061674</v>
      </c>
      <c r="Q6" s="108" t="n">
        <f aca="false">I6*$C6</f>
        <v>8.38766519823789</v>
      </c>
      <c r="R6" s="109" t="n">
        <f aca="false">J6*$C6</f>
        <v>2.83700440528634</v>
      </c>
      <c r="S6" s="107" t="n">
        <f aca="false">K6*$D6</f>
        <v>0.274509803921569</v>
      </c>
      <c r="T6" s="108" t="n">
        <f aca="false">L6*$D6</f>
        <v>1.09803921568627</v>
      </c>
      <c r="U6" s="108" t="n">
        <f aca="false">M6*$D6</f>
        <v>2.74509803921569</v>
      </c>
      <c r="V6" s="109" t="n">
        <f aca="false">N6*$D6</f>
        <v>2.88235294117647</v>
      </c>
      <c r="W6" s="170" t="n">
        <f aca="false">Input!$I$13*PKs!O6+Input!$I$14*PKs!L6+Input!$I$15*PKs!Q6+Input!$I$16*PKs!R6+Input!$I$17*PKs!S6+Input!$I$18*PKs!T6+Input!$I$19*PKs!U6+Input!$I$20*PKs!V6+Input!$I$21*PKs!E6+Input!$I$22*PKs!F6</f>
        <v>124.120843050877</v>
      </c>
    </row>
    <row r="7" customFormat="false" ht="12.75" hidden="false" customHeight="false" outlineLevel="0" collapsed="false">
      <c r="A7" s="166" t="s">
        <v>554</v>
      </c>
      <c r="B7" s="167" t="s">
        <v>136</v>
      </c>
      <c r="C7" s="168" t="n">
        <v>25</v>
      </c>
      <c r="D7" s="169" t="n">
        <v>7</v>
      </c>
      <c r="E7" s="168" t="n">
        <v>48</v>
      </c>
      <c r="F7" s="169" t="n">
        <v>2</v>
      </c>
      <c r="G7" s="107" t="n">
        <v>0.360714285714286</v>
      </c>
      <c r="H7" s="108" t="n">
        <v>0.292857142857143</v>
      </c>
      <c r="I7" s="108" t="n">
        <v>0.307142857142857</v>
      </c>
      <c r="J7" s="109" t="n">
        <v>0.0392857142857143</v>
      </c>
      <c r="K7" s="107" t="n">
        <v>0.087719298245614</v>
      </c>
      <c r="L7" s="108" t="n">
        <v>0.245614035087719</v>
      </c>
      <c r="M7" s="108" t="n">
        <v>0.526315789473684</v>
      </c>
      <c r="N7" s="109" t="n">
        <v>0.140350877192982</v>
      </c>
      <c r="O7" s="107" t="n">
        <f aca="false">G7*$C7</f>
        <v>9.01785714285714</v>
      </c>
      <c r="P7" s="108" t="n">
        <f aca="false">H7*$C7</f>
        <v>7.32142857142857</v>
      </c>
      <c r="Q7" s="108" t="n">
        <f aca="false">I7*$C7</f>
        <v>7.67857142857143</v>
      </c>
      <c r="R7" s="109" t="n">
        <f aca="false">J7*$C7</f>
        <v>0.982142857142857</v>
      </c>
      <c r="S7" s="107" t="n">
        <f aca="false">K7*$D7</f>
        <v>0.614035087719298</v>
      </c>
      <c r="T7" s="108" t="n">
        <f aca="false">L7*$D7</f>
        <v>1.71929824561404</v>
      </c>
      <c r="U7" s="108" t="n">
        <f aca="false">M7*$D7</f>
        <v>3.68421052631579</v>
      </c>
      <c r="V7" s="109" t="n">
        <f aca="false">N7*$D7</f>
        <v>0.982456140350877</v>
      </c>
      <c r="W7" s="170" t="n">
        <f aca="false">Input!$I$13*PKs!O7+Input!$I$14*PKs!L7+Input!$I$15*PKs!Q7+Input!$I$16*PKs!R7+Input!$I$17*PKs!S7+Input!$I$18*PKs!T7+Input!$I$19*PKs!U7+Input!$I$20*PKs!V7+Input!$I$21*PKs!E7+Input!$I$22*PKs!F7</f>
        <v>120.321741854637</v>
      </c>
    </row>
    <row r="8" customFormat="false" ht="12.75" hidden="false" customHeight="false" outlineLevel="0" collapsed="false">
      <c r="A8" s="166" t="s">
        <v>555</v>
      </c>
      <c r="B8" s="167" t="s">
        <v>164</v>
      </c>
      <c r="C8" s="168" t="n">
        <v>29</v>
      </c>
      <c r="D8" s="169" t="n">
        <v>6</v>
      </c>
      <c r="E8" s="168" t="n">
        <v>33</v>
      </c>
      <c r="F8" s="169" t="n">
        <v>0</v>
      </c>
      <c r="G8" s="107" t="n">
        <v>0.303964757709251</v>
      </c>
      <c r="H8" s="108" t="n">
        <v>0.295154185022026</v>
      </c>
      <c r="I8" s="108" t="n">
        <v>0.299559471365639</v>
      </c>
      <c r="J8" s="109" t="n">
        <v>0.101321585903084</v>
      </c>
      <c r="K8" s="107" t="n">
        <v>0.0392156862745098</v>
      </c>
      <c r="L8" s="108" t="n">
        <v>0.156862745098039</v>
      </c>
      <c r="M8" s="108" t="n">
        <v>0.392156862745098</v>
      </c>
      <c r="N8" s="109" t="n">
        <v>0.411764705882353</v>
      </c>
      <c r="O8" s="107" t="n">
        <f aca="false">G8*$C8</f>
        <v>8.81497797356828</v>
      </c>
      <c r="P8" s="108" t="n">
        <f aca="false">H8*$C8</f>
        <v>8.55947136563877</v>
      </c>
      <c r="Q8" s="108" t="n">
        <f aca="false">I8*$C8</f>
        <v>8.68722466960352</v>
      </c>
      <c r="R8" s="109" t="n">
        <f aca="false">J8*$C8</f>
        <v>2.93832599118943</v>
      </c>
      <c r="S8" s="107" t="n">
        <f aca="false">K8*$D8</f>
        <v>0.235294117647059</v>
      </c>
      <c r="T8" s="108" t="n">
        <f aca="false">L8*$D8</f>
        <v>0.941176470588235</v>
      </c>
      <c r="U8" s="108" t="n">
        <f aca="false">M8*$D8</f>
        <v>2.35294117647059</v>
      </c>
      <c r="V8" s="109" t="n">
        <f aca="false">N8*$D8</f>
        <v>2.47058823529412</v>
      </c>
      <c r="W8" s="170" t="n">
        <f aca="false">Input!$I$13*PKs!O8+Input!$I$14*PKs!L8+Input!$I$15*PKs!Q8+Input!$I$16*PKs!R8+Input!$I$17*PKs!S8+Input!$I$18*PKs!T8+Input!$I$19*PKs!U8+Input!$I$20*PKs!V8+Input!$I$21*PKs!E8+Input!$I$22*PKs!F8</f>
        <v>121.138464196251</v>
      </c>
    </row>
    <row r="9" customFormat="false" ht="12.75" hidden="false" customHeight="false" outlineLevel="0" collapsed="false">
      <c r="A9" s="166" t="s">
        <v>556</v>
      </c>
      <c r="B9" s="167" t="s">
        <v>176</v>
      </c>
      <c r="C9" s="168" t="n">
        <v>28</v>
      </c>
      <c r="D9" s="169" t="n">
        <v>8</v>
      </c>
      <c r="E9" s="168" t="n">
        <v>35</v>
      </c>
      <c r="F9" s="169" t="n">
        <v>0</v>
      </c>
      <c r="G9" s="107" t="n">
        <v>0.4453125</v>
      </c>
      <c r="H9" s="108" t="n">
        <v>0.328125</v>
      </c>
      <c r="I9" s="108" t="n">
        <v>0.1875</v>
      </c>
      <c r="J9" s="109" t="n">
        <v>0.0390625</v>
      </c>
      <c r="K9" s="107" t="n">
        <v>0.0444444444444444</v>
      </c>
      <c r="L9" s="108" t="n">
        <v>0.333333333333333</v>
      </c>
      <c r="M9" s="108" t="n">
        <v>0.533333333333333</v>
      </c>
      <c r="N9" s="109" t="n">
        <v>0.0888888888888889</v>
      </c>
      <c r="O9" s="107" t="n">
        <f aca="false">G9*$C9</f>
        <v>12.46875</v>
      </c>
      <c r="P9" s="108" t="n">
        <f aca="false">H9*$C9</f>
        <v>9.1875</v>
      </c>
      <c r="Q9" s="108" t="n">
        <f aca="false">I9*$C9</f>
        <v>5.25</v>
      </c>
      <c r="R9" s="109" t="n">
        <f aca="false">J9*$C9</f>
        <v>1.09375</v>
      </c>
      <c r="S9" s="107" t="n">
        <f aca="false">K9*$D9</f>
        <v>0.355555555555556</v>
      </c>
      <c r="T9" s="108" t="n">
        <f aca="false">L9*$D9</f>
        <v>2.66666666666667</v>
      </c>
      <c r="U9" s="108" t="n">
        <f aca="false">M9*$D9</f>
        <v>4.26666666666667</v>
      </c>
      <c r="V9" s="109" t="n">
        <f aca="false">N9*$D9</f>
        <v>0.711111111111111</v>
      </c>
      <c r="W9" s="170" t="n">
        <f aca="false">Input!$I$13*PKs!O9+Input!$I$14*PKs!L9+Input!$I$15*PKs!Q9+Input!$I$16*PKs!R9+Input!$I$17*PKs!S9+Input!$I$18*PKs!T9+Input!$I$19*PKs!U9+Input!$I$20*PKs!V9+Input!$I$21*PKs!E9+Input!$I$22*PKs!F9</f>
        <v>106.552083333333</v>
      </c>
    </row>
    <row r="10" customFormat="false" ht="12.75" hidden="false" customHeight="false" outlineLevel="0" collapsed="false">
      <c r="A10" s="166" t="s">
        <v>557</v>
      </c>
      <c r="B10" s="167" t="s">
        <v>182</v>
      </c>
      <c r="C10" s="168" t="n">
        <v>28</v>
      </c>
      <c r="D10" s="169" t="n">
        <v>5</v>
      </c>
      <c r="E10" s="168" t="n">
        <v>35</v>
      </c>
      <c r="F10" s="169" t="n">
        <v>0</v>
      </c>
      <c r="G10" s="107" t="n">
        <v>0.303964757709251</v>
      </c>
      <c r="H10" s="108" t="n">
        <v>0.295154185022026</v>
      </c>
      <c r="I10" s="108" t="n">
        <v>0.299559471365639</v>
      </c>
      <c r="J10" s="109" t="n">
        <v>0.101321585903084</v>
      </c>
      <c r="K10" s="107" t="n">
        <v>0.0392156862745098</v>
      </c>
      <c r="L10" s="108" t="n">
        <v>0.156862745098039</v>
      </c>
      <c r="M10" s="108" t="n">
        <v>0.392156862745098</v>
      </c>
      <c r="N10" s="109" t="n">
        <v>0.411764705882353</v>
      </c>
      <c r="O10" s="107" t="n">
        <f aca="false">G10*$C10</f>
        <v>8.51101321585903</v>
      </c>
      <c r="P10" s="108" t="n">
        <f aca="false">H10*$C10</f>
        <v>8.26431718061674</v>
      </c>
      <c r="Q10" s="108" t="n">
        <f aca="false">I10*$C10</f>
        <v>8.38766519823789</v>
      </c>
      <c r="R10" s="109" t="n">
        <f aca="false">J10*$C10</f>
        <v>2.83700440528634</v>
      </c>
      <c r="S10" s="107" t="n">
        <f aca="false">K10*$D10</f>
        <v>0.196078431372549</v>
      </c>
      <c r="T10" s="108" t="n">
        <f aca="false">L10*$D10</f>
        <v>0.784313725490196</v>
      </c>
      <c r="U10" s="108" t="n">
        <f aca="false">M10*$D10</f>
        <v>1.96078431372549</v>
      </c>
      <c r="V10" s="109" t="n">
        <f aca="false">N10*$D10</f>
        <v>2.05882352941176</v>
      </c>
      <c r="W10" s="170" t="n">
        <f aca="false">Input!$I$13*PKs!O10+Input!$I$14*PKs!L10+Input!$I$15*PKs!Q10+Input!$I$16*PKs!R10+Input!$I$17*PKs!S10+Input!$I$18*PKs!T10+Input!$I$19*PKs!U10+Input!$I$20*PKs!V10+Input!$I$21*PKs!E10+Input!$I$22*PKs!F10</f>
        <v>120.120843050877</v>
      </c>
    </row>
    <row r="11" customFormat="false" ht="12.75" hidden="false" customHeight="false" outlineLevel="0" collapsed="false">
      <c r="A11" s="166" t="s">
        <v>558</v>
      </c>
      <c r="B11" s="167" t="s">
        <v>146</v>
      </c>
      <c r="C11" s="168" t="n">
        <v>29</v>
      </c>
      <c r="D11" s="169" t="n">
        <v>8</v>
      </c>
      <c r="E11" s="168" t="n">
        <v>32</v>
      </c>
      <c r="F11" s="169" t="n">
        <v>1</v>
      </c>
      <c r="G11" s="107" t="n">
        <v>0.303964757709251</v>
      </c>
      <c r="H11" s="108" t="n">
        <v>0.295154185022026</v>
      </c>
      <c r="I11" s="108" t="n">
        <v>0.299559471365639</v>
      </c>
      <c r="J11" s="109" t="n">
        <v>0.101321585903084</v>
      </c>
      <c r="K11" s="107" t="n">
        <v>0.0392156862745098</v>
      </c>
      <c r="L11" s="108" t="n">
        <v>0.156862745098039</v>
      </c>
      <c r="M11" s="108" t="n">
        <v>0.392156862745098</v>
      </c>
      <c r="N11" s="109" t="n">
        <v>0.411764705882353</v>
      </c>
      <c r="O11" s="107" t="n">
        <f aca="false">G11*$C11</f>
        <v>8.81497797356828</v>
      </c>
      <c r="P11" s="108" t="n">
        <f aca="false">H11*$C11</f>
        <v>8.55947136563877</v>
      </c>
      <c r="Q11" s="108" t="n">
        <f aca="false">I11*$C11</f>
        <v>8.68722466960352</v>
      </c>
      <c r="R11" s="109" t="n">
        <f aca="false">J11*$C11</f>
        <v>2.93832599118943</v>
      </c>
      <c r="S11" s="107" t="n">
        <f aca="false">K11*$D11</f>
        <v>0.313725490196078</v>
      </c>
      <c r="T11" s="108" t="n">
        <f aca="false">L11*$D11</f>
        <v>1.25490196078431</v>
      </c>
      <c r="U11" s="108" t="n">
        <f aca="false">M11*$D11</f>
        <v>3.13725490196078</v>
      </c>
      <c r="V11" s="109" t="n">
        <f aca="false">N11*$D11</f>
        <v>3.29411764705882</v>
      </c>
      <c r="W11" s="170" t="n">
        <f aca="false">Input!$I$13*PKs!O11+Input!$I$14*PKs!L11+Input!$I$15*PKs!Q11+Input!$I$16*PKs!R11+Input!$I$17*PKs!S11+Input!$I$18*PKs!T11+Input!$I$19*PKs!U11+Input!$I$20*PKs!V11+Input!$I$21*PKs!E11+Input!$I$22*PKs!F11</f>
        <v>120.138464196251</v>
      </c>
    </row>
    <row r="12" customFormat="false" ht="12.75" hidden="false" customHeight="false" outlineLevel="0" collapsed="false">
      <c r="A12" s="166" t="s">
        <v>559</v>
      </c>
      <c r="B12" s="167" t="s">
        <v>140</v>
      </c>
      <c r="C12" s="168" t="n">
        <v>27</v>
      </c>
      <c r="D12" s="169" t="n">
        <v>5</v>
      </c>
      <c r="E12" s="168" t="n">
        <v>37</v>
      </c>
      <c r="F12" s="169" t="n">
        <v>1</v>
      </c>
      <c r="G12" s="107" t="n">
        <v>0.360714285714286</v>
      </c>
      <c r="H12" s="108" t="n">
        <v>0.292857142857143</v>
      </c>
      <c r="I12" s="108" t="n">
        <v>0.307142857142857</v>
      </c>
      <c r="J12" s="109" t="n">
        <v>0.0392857142857143</v>
      </c>
      <c r="K12" s="107" t="n">
        <v>0.087719298245614</v>
      </c>
      <c r="L12" s="108" t="n">
        <v>0.245614035087719</v>
      </c>
      <c r="M12" s="108" t="n">
        <v>0.526315789473684</v>
      </c>
      <c r="N12" s="109" t="n">
        <v>0.140350877192982</v>
      </c>
      <c r="O12" s="107" t="n">
        <f aca="false">G12*$C12</f>
        <v>9.73928571428571</v>
      </c>
      <c r="P12" s="108" t="n">
        <f aca="false">H12*$C12</f>
        <v>7.90714285714286</v>
      </c>
      <c r="Q12" s="108" t="n">
        <f aca="false">I12*$C12</f>
        <v>8.29285714285714</v>
      </c>
      <c r="R12" s="109" t="n">
        <f aca="false">J12*$C12</f>
        <v>1.06071428571429</v>
      </c>
      <c r="S12" s="107" t="n">
        <f aca="false">K12*$D12</f>
        <v>0.43859649122807</v>
      </c>
      <c r="T12" s="108" t="n">
        <f aca="false">L12*$D12</f>
        <v>1.2280701754386</v>
      </c>
      <c r="U12" s="108" t="n">
        <f aca="false">M12*$D12</f>
        <v>2.63157894736842</v>
      </c>
      <c r="V12" s="109" t="n">
        <f aca="false">N12*$D12</f>
        <v>0.701754385964912</v>
      </c>
      <c r="W12" s="170" t="n">
        <f aca="false">Input!$I$13*PKs!O12+Input!$I$14*PKs!L12+Input!$I$15*PKs!Q12+Input!$I$16*PKs!R12+Input!$I$17*PKs!S12+Input!$I$18*PKs!T12+Input!$I$19*PKs!U12+Input!$I$20*PKs!V12+Input!$I$21*PKs!E12+Input!$I$22*PKs!F12</f>
        <v>115.028884711779</v>
      </c>
    </row>
    <row r="13" customFormat="false" ht="12.75" hidden="false" customHeight="false" outlineLevel="0" collapsed="false">
      <c r="A13" s="166" t="s">
        <v>560</v>
      </c>
      <c r="B13" s="167" t="s">
        <v>142</v>
      </c>
      <c r="C13" s="168" t="n">
        <v>27</v>
      </c>
      <c r="D13" s="169" t="n">
        <v>6</v>
      </c>
      <c r="E13" s="168" t="n">
        <v>36</v>
      </c>
      <c r="F13" s="169" t="n">
        <v>0</v>
      </c>
      <c r="G13" s="107" t="n">
        <v>0.4453125</v>
      </c>
      <c r="H13" s="108" t="n">
        <v>0.328125</v>
      </c>
      <c r="I13" s="108" t="n">
        <v>0.1875</v>
      </c>
      <c r="J13" s="109" t="n">
        <v>0.0390625</v>
      </c>
      <c r="K13" s="107" t="n">
        <v>0.0444444444444444</v>
      </c>
      <c r="L13" s="108" t="n">
        <v>0.333333333333333</v>
      </c>
      <c r="M13" s="108" t="n">
        <v>0.533333333333333</v>
      </c>
      <c r="N13" s="109" t="n">
        <v>0.0888888888888889</v>
      </c>
      <c r="O13" s="107" t="n">
        <f aca="false">G13*$C13</f>
        <v>12.0234375</v>
      </c>
      <c r="P13" s="108" t="n">
        <f aca="false">H13*$C13</f>
        <v>8.859375</v>
      </c>
      <c r="Q13" s="108" t="n">
        <f aca="false">I13*$C13</f>
        <v>5.0625</v>
      </c>
      <c r="R13" s="109" t="n">
        <f aca="false">J13*$C13</f>
        <v>1.0546875</v>
      </c>
      <c r="S13" s="107" t="n">
        <f aca="false">K13*$D13</f>
        <v>0.266666666666667</v>
      </c>
      <c r="T13" s="108" t="n">
        <f aca="false">L13*$D13</f>
        <v>2</v>
      </c>
      <c r="U13" s="108" t="n">
        <f aca="false">M13*$D13</f>
        <v>3.2</v>
      </c>
      <c r="V13" s="109" t="n">
        <f aca="false">N13*$D13</f>
        <v>0.533333333333333</v>
      </c>
      <c r="W13" s="170" t="n">
        <f aca="false">Input!$I$13*PKs!O13+Input!$I$14*PKs!L13+Input!$I$15*PKs!Q13+Input!$I$16*PKs!R13+Input!$I$17*PKs!S13+Input!$I$18*PKs!T13+Input!$I$19*PKs!U13+Input!$I$20*PKs!V13+Input!$I$21*PKs!E13+Input!$I$22*PKs!F13</f>
        <v>105.044270833333</v>
      </c>
    </row>
    <row r="14" customFormat="false" ht="12.75" hidden="false" customHeight="false" outlineLevel="0" collapsed="false">
      <c r="A14" s="166" t="s">
        <v>561</v>
      </c>
      <c r="B14" s="167" t="s">
        <v>194</v>
      </c>
      <c r="C14" s="168" t="n">
        <v>28</v>
      </c>
      <c r="D14" s="169" t="n">
        <v>6</v>
      </c>
      <c r="E14" s="168" t="n">
        <v>31</v>
      </c>
      <c r="F14" s="169" t="n">
        <v>0</v>
      </c>
      <c r="G14" s="107" t="n">
        <v>0.303964757709251</v>
      </c>
      <c r="H14" s="108" t="n">
        <v>0.295154185022026</v>
      </c>
      <c r="I14" s="108" t="n">
        <v>0.299559471365639</v>
      </c>
      <c r="J14" s="109" t="n">
        <v>0.101321585903084</v>
      </c>
      <c r="K14" s="107" t="n">
        <v>0.0392156862745098</v>
      </c>
      <c r="L14" s="108" t="n">
        <v>0.156862745098039</v>
      </c>
      <c r="M14" s="108" t="n">
        <v>0.392156862745098</v>
      </c>
      <c r="N14" s="109" t="n">
        <v>0.411764705882353</v>
      </c>
      <c r="O14" s="107" t="n">
        <f aca="false">G14*$C14</f>
        <v>8.51101321585903</v>
      </c>
      <c r="P14" s="108" t="n">
        <f aca="false">H14*$C14</f>
        <v>8.26431718061674</v>
      </c>
      <c r="Q14" s="108" t="n">
        <f aca="false">I14*$C14</f>
        <v>8.38766519823789</v>
      </c>
      <c r="R14" s="109" t="n">
        <f aca="false">J14*$C14</f>
        <v>2.83700440528634</v>
      </c>
      <c r="S14" s="107" t="n">
        <f aca="false">K14*$D14</f>
        <v>0.235294117647059</v>
      </c>
      <c r="T14" s="108" t="n">
        <f aca="false">L14*$D14</f>
        <v>0.941176470588235</v>
      </c>
      <c r="U14" s="108" t="n">
        <f aca="false">M14*$D14</f>
        <v>2.35294117647059</v>
      </c>
      <c r="V14" s="109" t="n">
        <f aca="false">N14*$D14</f>
        <v>2.47058823529412</v>
      </c>
      <c r="W14" s="170" t="n">
        <f aca="false">Input!$I$13*PKs!O14+Input!$I$14*PKs!L14+Input!$I$15*PKs!Q14+Input!$I$16*PKs!R14+Input!$I$17*PKs!S14+Input!$I$18*PKs!T14+Input!$I$19*PKs!U14+Input!$I$20*PKs!V14+Input!$I$21*PKs!E14+Input!$I$22*PKs!F14</f>
        <v>116.120843050877</v>
      </c>
    </row>
    <row r="15" customFormat="false" ht="12.75" hidden="false" customHeight="false" outlineLevel="0" collapsed="false">
      <c r="A15" s="166" t="s">
        <v>562</v>
      </c>
      <c r="B15" s="167" t="s">
        <v>178</v>
      </c>
      <c r="C15" s="168" t="n">
        <v>27</v>
      </c>
      <c r="D15" s="169" t="n">
        <v>7</v>
      </c>
      <c r="E15" s="168" t="n">
        <v>31</v>
      </c>
      <c r="F15" s="169" t="n">
        <v>1</v>
      </c>
      <c r="G15" s="107" t="n">
        <v>0.360714285714286</v>
      </c>
      <c r="H15" s="108" t="n">
        <v>0.292857142857143</v>
      </c>
      <c r="I15" s="108" t="n">
        <v>0.307142857142857</v>
      </c>
      <c r="J15" s="109" t="n">
        <v>0.0392857142857143</v>
      </c>
      <c r="K15" s="107" t="n">
        <v>0.087719298245614</v>
      </c>
      <c r="L15" s="108" t="n">
        <v>0.245614035087719</v>
      </c>
      <c r="M15" s="108" t="n">
        <v>0.526315789473684</v>
      </c>
      <c r="N15" s="109" t="n">
        <v>0.140350877192982</v>
      </c>
      <c r="O15" s="107" t="n">
        <f aca="false">G15*$C15</f>
        <v>9.73928571428571</v>
      </c>
      <c r="P15" s="108" t="n">
        <f aca="false">H15*$C15</f>
        <v>7.90714285714286</v>
      </c>
      <c r="Q15" s="108" t="n">
        <f aca="false">I15*$C15</f>
        <v>8.29285714285714</v>
      </c>
      <c r="R15" s="109" t="n">
        <f aca="false">J15*$C15</f>
        <v>1.06071428571429</v>
      </c>
      <c r="S15" s="107" t="n">
        <f aca="false">K15*$D15</f>
        <v>0.614035087719298</v>
      </c>
      <c r="T15" s="108" t="n">
        <f aca="false">L15*$D15</f>
        <v>1.71929824561404</v>
      </c>
      <c r="U15" s="108" t="n">
        <f aca="false">M15*$D15</f>
        <v>3.68421052631579</v>
      </c>
      <c r="V15" s="109" t="n">
        <f aca="false">N15*$D15</f>
        <v>0.982456140350877</v>
      </c>
      <c r="W15" s="170" t="n">
        <f aca="false">Input!$I$13*PKs!O15+Input!$I$14*PKs!L15+Input!$I$15*PKs!Q15+Input!$I$16*PKs!R15+Input!$I$17*PKs!S15+Input!$I$18*PKs!T15+Input!$I$19*PKs!U15+Input!$I$20*PKs!V15+Input!$I$21*PKs!E15+Input!$I$22*PKs!F15</f>
        <v>109.028884711779</v>
      </c>
    </row>
    <row r="16" customFormat="false" ht="12.75" hidden="false" customHeight="false" outlineLevel="0" collapsed="false">
      <c r="A16" s="166" t="s">
        <v>563</v>
      </c>
      <c r="B16" s="167" t="s">
        <v>188</v>
      </c>
      <c r="C16" s="168" t="n">
        <v>27</v>
      </c>
      <c r="D16" s="169" t="n">
        <v>5</v>
      </c>
      <c r="E16" s="168" t="n">
        <v>31</v>
      </c>
      <c r="F16" s="169" t="n">
        <v>1</v>
      </c>
      <c r="G16" s="107" t="n">
        <v>0.303964757709251</v>
      </c>
      <c r="H16" s="108" t="n">
        <v>0.295154185022026</v>
      </c>
      <c r="I16" s="108" t="n">
        <v>0.299559471365639</v>
      </c>
      <c r="J16" s="109" t="n">
        <v>0.101321585903084</v>
      </c>
      <c r="K16" s="107" t="n">
        <v>0.0392156862745098</v>
      </c>
      <c r="L16" s="108" t="n">
        <v>0.156862745098039</v>
      </c>
      <c r="M16" s="108" t="n">
        <v>0.392156862745098</v>
      </c>
      <c r="N16" s="109" t="n">
        <v>0.411764705882353</v>
      </c>
      <c r="O16" s="107" t="n">
        <f aca="false">G16*$C16</f>
        <v>8.20704845814978</v>
      </c>
      <c r="P16" s="108" t="n">
        <f aca="false">H16*$C16</f>
        <v>7.96916299559471</v>
      </c>
      <c r="Q16" s="108" t="n">
        <f aca="false">I16*$C16</f>
        <v>8.08810572687225</v>
      </c>
      <c r="R16" s="109" t="n">
        <f aca="false">J16*$C16</f>
        <v>2.73568281938326</v>
      </c>
      <c r="S16" s="107" t="n">
        <f aca="false">K16*$D16</f>
        <v>0.196078431372549</v>
      </c>
      <c r="T16" s="108" t="n">
        <f aca="false">L16*$D16</f>
        <v>0.784313725490196</v>
      </c>
      <c r="U16" s="108" t="n">
        <f aca="false">M16*$D16</f>
        <v>1.96078431372549</v>
      </c>
      <c r="V16" s="109" t="n">
        <f aca="false">N16*$D16</f>
        <v>2.05882352941176</v>
      </c>
      <c r="W16" s="170" t="n">
        <f aca="false">Input!$I$13*PKs!O16+Input!$I$14*PKs!L16+Input!$I$15*PKs!Q16+Input!$I$16*PKs!R16+Input!$I$17*PKs!S16+Input!$I$18*PKs!T16+Input!$I$19*PKs!U16+Input!$I$20*PKs!V16+Input!$I$21*PKs!E16+Input!$I$22*PKs!F16</f>
        <v>113.103221905502</v>
      </c>
    </row>
    <row r="17" customFormat="false" ht="12.75" hidden="false" customHeight="false" outlineLevel="0" collapsed="false">
      <c r="A17" s="166" t="s">
        <v>564</v>
      </c>
      <c r="B17" s="167" t="s">
        <v>144</v>
      </c>
      <c r="C17" s="168" t="n">
        <v>18</v>
      </c>
      <c r="D17" s="169" t="n">
        <v>3</v>
      </c>
      <c r="E17" s="168" t="n">
        <v>24</v>
      </c>
      <c r="F17" s="169" t="n">
        <v>1</v>
      </c>
      <c r="G17" s="107" t="n">
        <v>0.4453125</v>
      </c>
      <c r="H17" s="108" t="n">
        <v>0.328125</v>
      </c>
      <c r="I17" s="108" t="n">
        <v>0.1875</v>
      </c>
      <c r="J17" s="109" t="n">
        <v>0.0390625</v>
      </c>
      <c r="K17" s="107" t="n">
        <v>0.0444444444444444</v>
      </c>
      <c r="L17" s="108" t="n">
        <v>0.333333333333333</v>
      </c>
      <c r="M17" s="108" t="n">
        <v>0.533333333333333</v>
      </c>
      <c r="N17" s="109" t="n">
        <v>0.0888888888888889</v>
      </c>
      <c r="O17" s="107" t="n">
        <f aca="false">G17*$C17</f>
        <v>8.015625</v>
      </c>
      <c r="P17" s="108" t="n">
        <f aca="false">H17*$C17</f>
        <v>5.90625</v>
      </c>
      <c r="Q17" s="108" t="n">
        <f aca="false">I17*$C17</f>
        <v>3.375</v>
      </c>
      <c r="R17" s="109" t="n">
        <f aca="false">J17*$C17</f>
        <v>0.703125</v>
      </c>
      <c r="S17" s="107" t="n">
        <f aca="false">K17*$D17</f>
        <v>0.133333333333333</v>
      </c>
      <c r="T17" s="108" t="n">
        <f aca="false">L17*$D17</f>
        <v>1</v>
      </c>
      <c r="U17" s="108" t="n">
        <f aca="false">M17*$D17</f>
        <v>1.6</v>
      </c>
      <c r="V17" s="109" t="n">
        <f aca="false">N17*$D17</f>
        <v>0.266666666666667</v>
      </c>
      <c r="W17" s="170" t="n">
        <f aca="false">Input!$I$13*PKs!O17+Input!$I$14*PKs!L17+Input!$I$15*PKs!Q17+Input!$I$16*PKs!R17+Input!$I$17*PKs!S17+Input!$I$18*PKs!T17+Input!$I$19*PKs!U17+Input!$I$20*PKs!V17+Input!$I$21*PKs!E17+Input!$I$22*PKs!F17</f>
        <v>70.4739583333333</v>
      </c>
    </row>
    <row r="18" customFormat="false" ht="12.75" hidden="false" customHeight="false" outlineLevel="0" collapsed="false">
      <c r="A18" s="166" t="s">
        <v>565</v>
      </c>
      <c r="B18" s="167" t="s">
        <v>160</v>
      </c>
      <c r="C18" s="168" t="n">
        <v>24</v>
      </c>
      <c r="D18" s="169" t="n">
        <v>6</v>
      </c>
      <c r="E18" s="168" t="n">
        <v>36</v>
      </c>
      <c r="F18" s="169" t="n">
        <v>0</v>
      </c>
      <c r="G18" s="107" t="n">
        <v>0.4453125</v>
      </c>
      <c r="H18" s="108" t="n">
        <v>0.328125</v>
      </c>
      <c r="I18" s="108" t="n">
        <v>0.1875</v>
      </c>
      <c r="J18" s="109" t="n">
        <v>0.0390625</v>
      </c>
      <c r="K18" s="107" t="n">
        <v>0.0444444444444444</v>
      </c>
      <c r="L18" s="108" t="n">
        <v>0.333333333333333</v>
      </c>
      <c r="M18" s="108" t="n">
        <v>0.533333333333333</v>
      </c>
      <c r="N18" s="109" t="n">
        <v>0.0888888888888889</v>
      </c>
      <c r="O18" s="107" t="n">
        <f aca="false">G18*$C18</f>
        <v>10.6875</v>
      </c>
      <c r="P18" s="108" t="n">
        <f aca="false">H18*$C18</f>
        <v>7.875</v>
      </c>
      <c r="Q18" s="108" t="n">
        <f aca="false">I18*$C18</f>
        <v>4.5</v>
      </c>
      <c r="R18" s="109" t="n">
        <f aca="false">J18*$C18</f>
        <v>0.9375</v>
      </c>
      <c r="S18" s="107" t="n">
        <f aca="false">K18*$D18</f>
        <v>0.266666666666667</v>
      </c>
      <c r="T18" s="108" t="n">
        <f aca="false">L18*$D18</f>
        <v>2</v>
      </c>
      <c r="U18" s="108" t="n">
        <f aca="false">M18*$D18</f>
        <v>3.2</v>
      </c>
      <c r="V18" s="109" t="n">
        <f aca="false">N18*$D18</f>
        <v>0.533333333333333</v>
      </c>
      <c r="W18" s="170" t="n">
        <f aca="false">Input!$I$13*PKs!O18+Input!$I$14*PKs!L18+Input!$I$15*PKs!Q18+Input!$I$16*PKs!R18+Input!$I$17*PKs!S18+Input!$I$18*PKs!T18+Input!$I$19*PKs!U18+Input!$I$20*PKs!V18+Input!$I$21*PKs!E18+Input!$I$22*PKs!F18</f>
        <v>97.5208333333333</v>
      </c>
    </row>
    <row r="19" customFormat="false" ht="12.75" hidden="false" customHeight="false" outlineLevel="0" collapsed="false">
      <c r="A19" s="166" t="s">
        <v>566</v>
      </c>
      <c r="B19" s="167" t="s">
        <v>196</v>
      </c>
      <c r="C19" s="168" t="n">
        <v>27</v>
      </c>
      <c r="D19" s="169" t="n">
        <v>5</v>
      </c>
      <c r="E19" s="168" t="n">
        <v>27</v>
      </c>
      <c r="F19" s="169" t="n">
        <v>0</v>
      </c>
      <c r="G19" s="107" t="n">
        <v>0.360714285714286</v>
      </c>
      <c r="H19" s="108" t="n">
        <v>0.292857142857143</v>
      </c>
      <c r="I19" s="108" t="n">
        <v>0.307142857142857</v>
      </c>
      <c r="J19" s="109" t="n">
        <v>0.0392857142857143</v>
      </c>
      <c r="K19" s="107" t="n">
        <v>0.087719298245614</v>
      </c>
      <c r="L19" s="108" t="n">
        <v>0.245614035087719</v>
      </c>
      <c r="M19" s="108" t="n">
        <v>0.526315789473684</v>
      </c>
      <c r="N19" s="109" t="n">
        <v>0.140350877192982</v>
      </c>
      <c r="O19" s="107" t="n">
        <f aca="false">G19*$C19</f>
        <v>9.73928571428571</v>
      </c>
      <c r="P19" s="108" t="n">
        <f aca="false">H19*$C19</f>
        <v>7.90714285714286</v>
      </c>
      <c r="Q19" s="108" t="n">
        <f aca="false">I19*$C19</f>
        <v>8.29285714285714</v>
      </c>
      <c r="R19" s="109" t="n">
        <f aca="false">J19*$C19</f>
        <v>1.06071428571429</v>
      </c>
      <c r="S19" s="107" t="n">
        <f aca="false">K19*$D19</f>
        <v>0.43859649122807</v>
      </c>
      <c r="T19" s="108" t="n">
        <f aca="false">L19*$D19</f>
        <v>1.2280701754386</v>
      </c>
      <c r="U19" s="108" t="n">
        <f aca="false">M19*$D19</f>
        <v>2.63157894736842</v>
      </c>
      <c r="V19" s="109" t="n">
        <f aca="false">N19*$D19</f>
        <v>0.701754385964912</v>
      </c>
      <c r="W19" s="170" t="n">
        <f aca="false">Input!$I$13*PKs!O19+Input!$I$14*PKs!L19+Input!$I$15*PKs!Q19+Input!$I$16*PKs!R19+Input!$I$17*PKs!S19+Input!$I$18*PKs!T19+Input!$I$19*PKs!U19+Input!$I$20*PKs!V19+Input!$I$21*PKs!E19+Input!$I$22*PKs!F19</f>
        <v>105.028884711779</v>
      </c>
    </row>
    <row r="20" customFormat="false" ht="12.75" hidden="false" customHeight="false" outlineLevel="0" collapsed="false">
      <c r="A20" s="166" t="s">
        <v>567</v>
      </c>
      <c r="B20" s="167" t="s">
        <v>184</v>
      </c>
      <c r="C20" s="168" t="n">
        <v>25</v>
      </c>
      <c r="D20" s="169" t="n">
        <v>6</v>
      </c>
      <c r="E20" s="168" t="n">
        <v>36</v>
      </c>
      <c r="F20" s="169" t="n">
        <v>0</v>
      </c>
      <c r="G20" s="107" t="n">
        <v>0.360714285714286</v>
      </c>
      <c r="H20" s="108" t="n">
        <v>0.292857142857143</v>
      </c>
      <c r="I20" s="108" t="n">
        <v>0.307142857142857</v>
      </c>
      <c r="J20" s="109" t="n">
        <v>0.0392857142857143</v>
      </c>
      <c r="K20" s="107" t="n">
        <v>0.087719298245614</v>
      </c>
      <c r="L20" s="108" t="n">
        <v>0.245614035087719</v>
      </c>
      <c r="M20" s="108" t="n">
        <v>0.526315789473684</v>
      </c>
      <c r="N20" s="109" t="n">
        <v>0.140350877192982</v>
      </c>
      <c r="O20" s="107" t="n">
        <f aca="false">G20*$C20</f>
        <v>9.01785714285714</v>
      </c>
      <c r="P20" s="108" t="n">
        <f aca="false">H20*$C20</f>
        <v>7.32142857142857</v>
      </c>
      <c r="Q20" s="108" t="n">
        <f aca="false">I20*$C20</f>
        <v>7.67857142857143</v>
      </c>
      <c r="R20" s="109" t="n">
        <f aca="false">J20*$C20</f>
        <v>0.982142857142857</v>
      </c>
      <c r="S20" s="107" t="n">
        <f aca="false">K20*$D20</f>
        <v>0.526315789473684</v>
      </c>
      <c r="T20" s="108" t="n">
        <f aca="false">L20*$D20</f>
        <v>1.47368421052632</v>
      </c>
      <c r="U20" s="108" t="n">
        <f aca="false">M20*$D20</f>
        <v>3.15789473684211</v>
      </c>
      <c r="V20" s="109" t="n">
        <f aca="false">N20*$D20</f>
        <v>0.842105263157895</v>
      </c>
      <c r="W20" s="170" t="n">
        <f aca="false">Input!$I$13*PKs!O20+Input!$I$14*PKs!L20+Input!$I$15*PKs!Q20+Input!$I$16*PKs!R20+Input!$I$17*PKs!S20+Input!$I$18*PKs!T20+Input!$I$19*PKs!U20+Input!$I$20*PKs!V20+Input!$I$21*PKs!E20+Input!$I$22*PKs!F20</f>
        <v>108.321741854637</v>
      </c>
    </row>
    <row r="21" customFormat="false" ht="12.75" hidden="false" customHeight="false" outlineLevel="0" collapsed="false">
      <c r="A21" s="166" t="s">
        <v>568</v>
      </c>
      <c r="B21" s="167" t="s">
        <v>174</v>
      </c>
      <c r="C21" s="168" t="n">
        <v>24</v>
      </c>
      <c r="D21" s="169" t="n">
        <v>5</v>
      </c>
      <c r="E21" s="168" t="n">
        <v>30</v>
      </c>
      <c r="F21" s="169" t="n">
        <v>1</v>
      </c>
      <c r="G21" s="107" t="n">
        <v>0.4453125</v>
      </c>
      <c r="H21" s="108" t="n">
        <v>0.328125</v>
      </c>
      <c r="I21" s="108" t="n">
        <v>0.1875</v>
      </c>
      <c r="J21" s="109" t="n">
        <v>0.0390625</v>
      </c>
      <c r="K21" s="107" t="n">
        <v>0.0444444444444444</v>
      </c>
      <c r="L21" s="108" t="n">
        <v>0.333333333333333</v>
      </c>
      <c r="M21" s="108" t="n">
        <v>0.533333333333333</v>
      </c>
      <c r="N21" s="109" t="n">
        <v>0.0888888888888889</v>
      </c>
      <c r="O21" s="107" t="n">
        <f aca="false">G21*$C21</f>
        <v>10.6875</v>
      </c>
      <c r="P21" s="108" t="n">
        <f aca="false">H21*$C21</f>
        <v>7.875</v>
      </c>
      <c r="Q21" s="108" t="n">
        <f aca="false">I21*$C21</f>
        <v>4.5</v>
      </c>
      <c r="R21" s="109" t="n">
        <f aca="false">J21*$C21</f>
        <v>0.9375</v>
      </c>
      <c r="S21" s="107" t="n">
        <f aca="false">K21*$D21</f>
        <v>0.222222222222222</v>
      </c>
      <c r="T21" s="108" t="n">
        <f aca="false">L21*$D21</f>
        <v>1.66666666666667</v>
      </c>
      <c r="U21" s="108" t="n">
        <f aca="false">M21*$D21</f>
        <v>2.66666666666667</v>
      </c>
      <c r="V21" s="109" t="n">
        <f aca="false">N21*$D21</f>
        <v>0.444444444444445</v>
      </c>
      <c r="W21" s="170" t="n">
        <f aca="false">Input!$I$13*PKs!O21+Input!$I$14*PKs!L21+Input!$I$15*PKs!Q21+Input!$I$16*PKs!R21+Input!$I$17*PKs!S21+Input!$I$18*PKs!T21+Input!$I$19*PKs!U21+Input!$I$20*PKs!V21+Input!$I$21*PKs!E21+Input!$I$22*PKs!F21</f>
        <v>91.5208333333333</v>
      </c>
    </row>
    <row r="22" customFormat="false" ht="12.75" hidden="false" customHeight="false" outlineLevel="0" collapsed="false">
      <c r="A22" s="166" t="s">
        <v>569</v>
      </c>
      <c r="B22" s="167" t="s">
        <v>172</v>
      </c>
      <c r="C22" s="168" t="n">
        <v>24</v>
      </c>
      <c r="D22" s="169" t="n">
        <v>6</v>
      </c>
      <c r="E22" s="168" t="n">
        <v>35</v>
      </c>
      <c r="F22" s="169" t="n">
        <v>0</v>
      </c>
      <c r="G22" s="107" t="n">
        <v>0.360714285714286</v>
      </c>
      <c r="H22" s="108" t="n">
        <v>0.292857142857143</v>
      </c>
      <c r="I22" s="108" t="n">
        <v>0.307142857142857</v>
      </c>
      <c r="J22" s="109" t="n">
        <v>0.0392857142857143</v>
      </c>
      <c r="K22" s="107" t="n">
        <v>0.087719298245614</v>
      </c>
      <c r="L22" s="108" t="n">
        <v>0.245614035087719</v>
      </c>
      <c r="M22" s="108" t="n">
        <v>0.526315789473684</v>
      </c>
      <c r="N22" s="109" t="n">
        <v>0.140350877192982</v>
      </c>
      <c r="O22" s="107" t="n">
        <f aca="false">G22*$C22</f>
        <v>8.65714285714286</v>
      </c>
      <c r="P22" s="108" t="n">
        <f aca="false">H22*$C22</f>
        <v>7.02857142857143</v>
      </c>
      <c r="Q22" s="108" t="n">
        <f aca="false">I22*$C22</f>
        <v>7.37142857142857</v>
      </c>
      <c r="R22" s="109" t="n">
        <f aca="false">J22*$C22</f>
        <v>0.942857142857143</v>
      </c>
      <c r="S22" s="107" t="n">
        <f aca="false">K22*$D22</f>
        <v>0.526315789473684</v>
      </c>
      <c r="T22" s="108" t="n">
        <f aca="false">L22*$D22</f>
        <v>1.47368421052632</v>
      </c>
      <c r="U22" s="108" t="n">
        <f aca="false">M22*$D22</f>
        <v>3.15789473684211</v>
      </c>
      <c r="V22" s="109" t="n">
        <f aca="false">N22*$D22</f>
        <v>0.842105263157895</v>
      </c>
      <c r="W22" s="170" t="n">
        <f aca="false">Input!$I$13*PKs!O22+Input!$I$14*PKs!L22+Input!$I$15*PKs!Q22+Input!$I$16*PKs!R22+Input!$I$17*PKs!S22+Input!$I$18*PKs!T22+Input!$I$19*PKs!U22+Input!$I$20*PKs!V22+Input!$I$21*PKs!E22+Input!$I$22*PKs!F22</f>
        <v>104.468170426065</v>
      </c>
    </row>
    <row r="23" customFormat="false" ht="12.75" hidden="false" customHeight="false" outlineLevel="0" collapsed="false">
      <c r="A23" s="166" t="s">
        <v>570</v>
      </c>
      <c r="B23" s="167" t="s">
        <v>190</v>
      </c>
      <c r="C23" s="168" t="n">
        <v>25</v>
      </c>
      <c r="D23" s="169" t="n">
        <v>5</v>
      </c>
      <c r="E23" s="168" t="n">
        <v>30</v>
      </c>
      <c r="F23" s="169" t="n">
        <v>1</v>
      </c>
      <c r="G23" s="107" t="n">
        <v>0.303964757709251</v>
      </c>
      <c r="H23" s="108" t="n">
        <v>0.295154185022026</v>
      </c>
      <c r="I23" s="108" t="n">
        <v>0.299559471365639</v>
      </c>
      <c r="J23" s="109" t="n">
        <v>0.101321585903084</v>
      </c>
      <c r="K23" s="107" t="n">
        <v>0.0392156862745098</v>
      </c>
      <c r="L23" s="108" t="n">
        <v>0.156862745098039</v>
      </c>
      <c r="M23" s="108" t="n">
        <v>0.392156862745098</v>
      </c>
      <c r="N23" s="109" t="n">
        <v>0.411764705882353</v>
      </c>
      <c r="O23" s="107" t="n">
        <f aca="false">G23*$C23</f>
        <v>7.59911894273128</v>
      </c>
      <c r="P23" s="108" t="n">
        <f aca="false">H23*$C23</f>
        <v>7.37885462555066</v>
      </c>
      <c r="Q23" s="108" t="n">
        <f aca="false">I23*$C23</f>
        <v>7.48898678414097</v>
      </c>
      <c r="R23" s="109" t="n">
        <f aca="false">J23*$C23</f>
        <v>2.53303964757709</v>
      </c>
      <c r="S23" s="107" t="n">
        <f aca="false">K23*$D23</f>
        <v>0.196078431372549</v>
      </c>
      <c r="T23" s="108" t="n">
        <f aca="false">L23*$D23</f>
        <v>0.784313725490196</v>
      </c>
      <c r="U23" s="108" t="n">
        <f aca="false">M23*$D23</f>
        <v>1.96078431372549</v>
      </c>
      <c r="V23" s="109" t="n">
        <f aca="false">N23*$D23</f>
        <v>2.05882352941176</v>
      </c>
      <c r="W23" s="170" t="n">
        <f aca="false">Input!$I$13*PKs!O23+Input!$I$14*PKs!L23+Input!$I$15*PKs!Q23+Input!$I$16*PKs!R23+Input!$I$17*PKs!S23+Input!$I$18*PKs!T23+Input!$I$19*PKs!U23+Input!$I$20*PKs!V23+Input!$I$21*PKs!E23+Input!$I$22*PKs!F23</f>
        <v>106.067979614753</v>
      </c>
    </row>
    <row r="24" customFormat="false" ht="12.75" hidden="false" customHeight="false" outlineLevel="0" collapsed="false">
      <c r="A24" s="166" t="s">
        <v>571</v>
      </c>
      <c r="B24" s="167" t="s">
        <v>168</v>
      </c>
      <c r="C24" s="168" t="n">
        <v>22</v>
      </c>
      <c r="D24" s="169" t="n">
        <v>6</v>
      </c>
      <c r="E24" s="168" t="n">
        <v>38</v>
      </c>
      <c r="F24" s="169" t="n">
        <v>1</v>
      </c>
      <c r="G24" s="107" t="n">
        <v>0.4453125</v>
      </c>
      <c r="H24" s="108" t="n">
        <v>0.328125</v>
      </c>
      <c r="I24" s="108" t="n">
        <v>0.1875</v>
      </c>
      <c r="J24" s="109" t="n">
        <v>0.0390625</v>
      </c>
      <c r="K24" s="107" t="n">
        <v>0.0444444444444444</v>
      </c>
      <c r="L24" s="108" t="n">
        <v>0.333333333333333</v>
      </c>
      <c r="M24" s="108" t="n">
        <v>0.533333333333333</v>
      </c>
      <c r="N24" s="109" t="n">
        <v>0.0888888888888889</v>
      </c>
      <c r="O24" s="107" t="n">
        <f aca="false">G24*$C24</f>
        <v>9.796875</v>
      </c>
      <c r="P24" s="108" t="n">
        <f aca="false">H24*$C24</f>
        <v>7.21875</v>
      </c>
      <c r="Q24" s="108" t="n">
        <f aca="false">I24*$C24</f>
        <v>4.125</v>
      </c>
      <c r="R24" s="109" t="n">
        <f aca="false">J24*$C24</f>
        <v>0.859375</v>
      </c>
      <c r="S24" s="107" t="n">
        <f aca="false">K24*$D24</f>
        <v>0.266666666666667</v>
      </c>
      <c r="T24" s="108" t="n">
        <f aca="false">L24*$D24</f>
        <v>2</v>
      </c>
      <c r="U24" s="108" t="n">
        <f aca="false">M24*$D24</f>
        <v>3.2</v>
      </c>
      <c r="V24" s="109" t="n">
        <f aca="false">N24*$D24</f>
        <v>0.533333333333333</v>
      </c>
      <c r="W24" s="170" t="n">
        <f aca="false">Input!$I$13*PKs!O24+Input!$I$14*PKs!L24+Input!$I$15*PKs!Q24+Input!$I$16*PKs!R24+Input!$I$17*PKs!S24+Input!$I$18*PKs!T24+Input!$I$19*PKs!U24+Input!$I$20*PKs!V24+Input!$I$21*PKs!E24+Input!$I$22*PKs!F24</f>
        <v>94.5052083333333</v>
      </c>
    </row>
    <row r="25" customFormat="false" ht="12.75" hidden="false" customHeight="false" outlineLevel="0" collapsed="false">
      <c r="A25" s="166" t="s">
        <v>572</v>
      </c>
      <c r="B25" s="167" t="s">
        <v>148</v>
      </c>
      <c r="C25" s="168" t="n">
        <v>24</v>
      </c>
      <c r="D25" s="169" t="n">
        <v>5</v>
      </c>
      <c r="E25" s="168" t="n">
        <v>32</v>
      </c>
      <c r="F25" s="169" t="n">
        <v>1</v>
      </c>
      <c r="G25" s="107" t="n">
        <v>0.360714285714286</v>
      </c>
      <c r="H25" s="108" t="n">
        <v>0.292857142857143</v>
      </c>
      <c r="I25" s="108" t="n">
        <v>0.307142857142857</v>
      </c>
      <c r="J25" s="109" t="n">
        <v>0.0392857142857143</v>
      </c>
      <c r="K25" s="107" t="n">
        <v>0.087719298245614</v>
      </c>
      <c r="L25" s="108" t="n">
        <v>0.245614035087719</v>
      </c>
      <c r="M25" s="108" t="n">
        <v>0.526315789473684</v>
      </c>
      <c r="N25" s="109" t="n">
        <v>0.140350877192982</v>
      </c>
      <c r="O25" s="107" t="n">
        <f aca="false">G25*$C25</f>
        <v>8.65714285714286</v>
      </c>
      <c r="P25" s="108" t="n">
        <f aca="false">H25*$C25</f>
        <v>7.02857142857143</v>
      </c>
      <c r="Q25" s="108" t="n">
        <f aca="false">I25*$C25</f>
        <v>7.37142857142857</v>
      </c>
      <c r="R25" s="109" t="n">
        <f aca="false">J25*$C25</f>
        <v>0.942857142857143</v>
      </c>
      <c r="S25" s="107" t="n">
        <f aca="false">K25*$D25</f>
        <v>0.43859649122807</v>
      </c>
      <c r="T25" s="108" t="n">
        <f aca="false">L25*$D25</f>
        <v>1.2280701754386</v>
      </c>
      <c r="U25" s="108" t="n">
        <f aca="false">M25*$D25</f>
        <v>2.63157894736842</v>
      </c>
      <c r="V25" s="109" t="n">
        <f aca="false">N25*$D25</f>
        <v>0.701754385964912</v>
      </c>
      <c r="W25" s="170" t="n">
        <f aca="false">Input!$I$13*PKs!O25+Input!$I$14*PKs!L25+Input!$I$15*PKs!Q25+Input!$I$16*PKs!R25+Input!$I$17*PKs!S25+Input!$I$18*PKs!T25+Input!$I$19*PKs!U25+Input!$I$20*PKs!V25+Input!$I$21*PKs!E25+Input!$I$22*PKs!F25</f>
        <v>101.468170426065</v>
      </c>
    </row>
    <row r="26" customFormat="false" ht="12.75" hidden="false" customHeight="false" outlineLevel="0" collapsed="false">
      <c r="A26" s="166" t="s">
        <v>573</v>
      </c>
      <c r="B26" s="167" t="s">
        <v>156</v>
      </c>
      <c r="C26" s="168" t="n">
        <v>23</v>
      </c>
      <c r="D26" s="169" t="n">
        <v>5</v>
      </c>
      <c r="E26" s="168" t="n">
        <v>39</v>
      </c>
      <c r="F26" s="169" t="n">
        <v>1</v>
      </c>
      <c r="G26" s="107" t="n">
        <v>0.303964757709251</v>
      </c>
      <c r="H26" s="108" t="n">
        <v>0.295154185022026</v>
      </c>
      <c r="I26" s="108" t="n">
        <v>0.299559471365639</v>
      </c>
      <c r="J26" s="109" t="n">
        <v>0.101321585903084</v>
      </c>
      <c r="K26" s="107" t="n">
        <v>0.0392156862745098</v>
      </c>
      <c r="L26" s="108" t="n">
        <v>0.156862745098039</v>
      </c>
      <c r="M26" s="108" t="n">
        <v>0.392156862745098</v>
      </c>
      <c r="N26" s="109" t="n">
        <v>0.411764705882353</v>
      </c>
      <c r="O26" s="107" t="n">
        <f aca="false">G26*$C26</f>
        <v>6.99118942731278</v>
      </c>
      <c r="P26" s="108" t="n">
        <f aca="false">H26*$C26</f>
        <v>6.78854625550661</v>
      </c>
      <c r="Q26" s="108" t="n">
        <f aca="false">I26*$C26</f>
        <v>6.88986784140969</v>
      </c>
      <c r="R26" s="109" t="n">
        <f aca="false">J26*$C26</f>
        <v>2.33039647577093</v>
      </c>
      <c r="S26" s="107" t="n">
        <f aca="false">K26*$D26</f>
        <v>0.196078431372549</v>
      </c>
      <c r="T26" s="108" t="n">
        <f aca="false">L26*$D26</f>
        <v>0.784313725490196</v>
      </c>
      <c r="U26" s="108" t="n">
        <f aca="false">M26*$D26</f>
        <v>1.96078431372549</v>
      </c>
      <c r="V26" s="109" t="n">
        <f aca="false">N26*$D26</f>
        <v>2.05882352941176</v>
      </c>
      <c r="W26" s="170" t="n">
        <f aca="false">Input!$I$13*PKs!O26+Input!$I$14*PKs!L26+Input!$I$15*PKs!Q26+Input!$I$16*PKs!R26+Input!$I$17*PKs!S26+Input!$I$18*PKs!T26+Input!$I$19*PKs!U26+Input!$I$20*PKs!V26+Input!$I$21*PKs!E26+Input!$I$22*PKs!F26</f>
        <v>109.032737324005</v>
      </c>
    </row>
    <row r="27" customFormat="false" ht="12.75" hidden="false" customHeight="false" outlineLevel="0" collapsed="false">
      <c r="A27" s="166" t="s">
        <v>574</v>
      </c>
      <c r="B27" s="167" t="s">
        <v>152</v>
      </c>
      <c r="C27" s="168" t="n">
        <v>23</v>
      </c>
      <c r="D27" s="169" t="n">
        <v>4</v>
      </c>
      <c r="E27" s="168" t="n">
        <v>31</v>
      </c>
      <c r="F27" s="169" t="n">
        <v>1</v>
      </c>
      <c r="G27" s="107" t="n">
        <v>0.360714285714286</v>
      </c>
      <c r="H27" s="108" t="n">
        <v>0.292857142857143</v>
      </c>
      <c r="I27" s="108" t="n">
        <v>0.307142857142857</v>
      </c>
      <c r="J27" s="109" t="n">
        <v>0.0392857142857143</v>
      </c>
      <c r="K27" s="107" t="n">
        <v>0.087719298245614</v>
      </c>
      <c r="L27" s="108" t="n">
        <v>0.245614035087719</v>
      </c>
      <c r="M27" s="108" t="n">
        <v>0.526315789473684</v>
      </c>
      <c r="N27" s="109" t="n">
        <v>0.140350877192982</v>
      </c>
      <c r="O27" s="107" t="n">
        <f aca="false">G27*$C27</f>
        <v>8.29642857142857</v>
      </c>
      <c r="P27" s="108" t="n">
        <f aca="false">H27*$C27</f>
        <v>6.73571428571429</v>
      </c>
      <c r="Q27" s="108" t="n">
        <f aca="false">I27*$C27</f>
        <v>7.06428571428572</v>
      </c>
      <c r="R27" s="109" t="n">
        <f aca="false">J27*$C27</f>
        <v>0.903571428571429</v>
      </c>
      <c r="S27" s="107" t="n">
        <f aca="false">K27*$D27</f>
        <v>0.350877192982456</v>
      </c>
      <c r="T27" s="108" t="n">
        <f aca="false">L27*$D27</f>
        <v>0.982456140350877</v>
      </c>
      <c r="U27" s="108" t="n">
        <f aca="false">M27*$D27</f>
        <v>2.10526315789474</v>
      </c>
      <c r="V27" s="109" t="n">
        <f aca="false">N27*$D27</f>
        <v>0.56140350877193</v>
      </c>
      <c r="W27" s="170" t="n">
        <f aca="false">Input!$I$13*PKs!O27+Input!$I$14*PKs!L27+Input!$I$15*PKs!Q27+Input!$I$16*PKs!R27+Input!$I$17*PKs!S27+Input!$I$18*PKs!T27+Input!$I$19*PKs!U27+Input!$I$20*PKs!V27+Input!$I$21*PKs!E27+Input!$I$22*PKs!F27</f>
        <v>97.6145989974937</v>
      </c>
    </row>
    <row r="28" customFormat="false" ht="12.75" hidden="false" customHeight="false" outlineLevel="0" collapsed="false">
      <c r="A28" s="166" t="s">
        <v>575</v>
      </c>
      <c r="B28" s="167" t="s">
        <v>180</v>
      </c>
      <c r="C28" s="168" t="n">
        <v>23</v>
      </c>
      <c r="D28" s="169" t="n">
        <v>6</v>
      </c>
      <c r="E28" s="168" t="n">
        <v>30</v>
      </c>
      <c r="F28" s="169" t="n">
        <v>0</v>
      </c>
      <c r="G28" s="107" t="n">
        <v>0.360714285714286</v>
      </c>
      <c r="H28" s="108" t="n">
        <v>0.292857142857143</v>
      </c>
      <c r="I28" s="108" t="n">
        <v>0.307142857142857</v>
      </c>
      <c r="J28" s="109" t="n">
        <v>0.0392857142857143</v>
      </c>
      <c r="K28" s="107" t="n">
        <v>0.087719298245614</v>
      </c>
      <c r="L28" s="108" t="n">
        <v>0.245614035087719</v>
      </c>
      <c r="M28" s="108" t="n">
        <v>0.526315789473684</v>
      </c>
      <c r="N28" s="109" t="n">
        <v>0.140350877192982</v>
      </c>
      <c r="O28" s="107" t="n">
        <f aca="false">G28*$C28</f>
        <v>8.29642857142857</v>
      </c>
      <c r="P28" s="108" t="n">
        <f aca="false">H28*$C28</f>
        <v>6.73571428571429</v>
      </c>
      <c r="Q28" s="108" t="n">
        <f aca="false">I28*$C28</f>
        <v>7.06428571428572</v>
      </c>
      <c r="R28" s="109" t="n">
        <f aca="false">J28*$C28</f>
        <v>0.903571428571429</v>
      </c>
      <c r="S28" s="107" t="n">
        <f aca="false">K28*$D28</f>
        <v>0.526315789473684</v>
      </c>
      <c r="T28" s="108" t="n">
        <f aca="false">L28*$D28</f>
        <v>1.47368421052632</v>
      </c>
      <c r="U28" s="108" t="n">
        <f aca="false">M28*$D28</f>
        <v>3.15789473684211</v>
      </c>
      <c r="V28" s="109" t="n">
        <f aca="false">N28*$D28</f>
        <v>0.842105263157895</v>
      </c>
      <c r="W28" s="170" t="n">
        <f aca="false">Input!$I$13*PKs!O28+Input!$I$14*PKs!L28+Input!$I$15*PKs!Q28+Input!$I$16*PKs!R28+Input!$I$17*PKs!S28+Input!$I$18*PKs!T28+Input!$I$19*PKs!U28+Input!$I$20*PKs!V28+Input!$I$21*PKs!E28+Input!$I$22*PKs!F28</f>
        <v>96.6145989974937</v>
      </c>
    </row>
    <row r="29" customFormat="false" ht="12.75" hidden="false" customHeight="false" outlineLevel="0" collapsed="false">
      <c r="A29" s="166" t="s">
        <v>576</v>
      </c>
      <c r="B29" s="167" t="s">
        <v>166</v>
      </c>
      <c r="C29" s="168" t="n">
        <v>22</v>
      </c>
      <c r="D29" s="169" t="n">
        <v>6</v>
      </c>
      <c r="E29" s="168" t="n">
        <v>31</v>
      </c>
      <c r="F29" s="169" t="n">
        <v>1</v>
      </c>
      <c r="G29" s="107" t="n">
        <v>0.4453125</v>
      </c>
      <c r="H29" s="108" t="n">
        <v>0.328125</v>
      </c>
      <c r="I29" s="108" t="n">
        <v>0.1875</v>
      </c>
      <c r="J29" s="109" t="n">
        <v>0.0390625</v>
      </c>
      <c r="K29" s="107" t="n">
        <v>0.0444444444444444</v>
      </c>
      <c r="L29" s="108" t="n">
        <v>0.333333333333333</v>
      </c>
      <c r="M29" s="108" t="n">
        <v>0.533333333333333</v>
      </c>
      <c r="N29" s="109" t="n">
        <v>0.0888888888888889</v>
      </c>
      <c r="O29" s="107" t="n">
        <f aca="false">G29*$C29</f>
        <v>9.796875</v>
      </c>
      <c r="P29" s="108" t="n">
        <f aca="false">H29*$C29</f>
        <v>7.21875</v>
      </c>
      <c r="Q29" s="108" t="n">
        <f aca="false">I29*$C29</f>
        <v>4.125</v>
      </c>
      <c r="R29" s="109" t="n">
        <f aca="false">J29*$C29</f>
        <v>0.859375</v>
      </c>
      <c r="S29" s="107" t="n">
        <f aca="false">K29*$D29</f>
        <v>0.266666666666667</v>
      </c>
      <c r="T29" s="108" t="n">
        <f aca="false">L29*$D29</f>
        <v>2</v>
      </c>
      <c r="U29" s="108" t="n">
        <f aca="false">M29*$D29</f>
        <v>3.2</v>
      </c>
      <c r="V29" s="109" t="n">
        <f aca="false">N29*$D29</f>
        <v>0.533333333333333</v>
      </c>
      <c r="W29" s="170" t="n">
        <f aca="false">Input!$I$13*PKs!O29+Input!$I$14*PKs!L29+Input!$I$15*PKs!Q29+Input!$I$16*PKs!R29+Input!$I$17*PKs!S29+Input!$I$18*PKs!T29+Input!$I$19*PKs!U29+Input!$I$20*PKs!V29+Input!$I$21*PKs!E29+Input!$I$22*PKs!F29</f>
        <v>87.5052083333333</v>
      </c>
    </row>
    <row r="30" customFormat="false" ht="12.75" hidden="false" customHeight="false" outlineLevel="0" collapsed="false">
      <c r="A30" s="166" t="s">
        <v>577</v>
      </c>
      <c r="B30" s="167" t="s">
        <v>186</v>
      </c>
      <c r="C30" s="168" t="n">
        <v>19</v>
      </c>
      <c r="D30" s="169" t="n">
        <v>5</v>
      </c>
      <c r="E30" s="168" t="n">
        <v>36</v>
      </c>
      <c r="F30" s="169" t="n">
        <v>1</v>
      </c>
      <c r="G30" s="107" t="n">
        <v>0.4453125</v>
      </c>
      <c r="H30" s="108" t="n">
        <v>0.328125</v>
      </c>
      <c r="I30" s="108" t="n">
        <v>0.1875</v>
      </c>
      <c r="J30" s="109" t="n">
        <v>0.0390625</v>
      </c>
      <c r="K30" s="107" t="n">
        <v>0.0444444444444444</v>
      </c>
      <c r="L30" s="108" t="n">
        <v>0.333333333333333</v>
      </c>
      <c r="M30" s="108" t="n">
        <v>0.533333333333333</v>
      </c>
      <c r="N30" s="109" t="n">
        <v>0.0888888888888889</v>
      </c>
      <c r="O30" s="107" t="n">
        <f aca="false">G30*$C30</f>
        <v>8.4609375</v>
      </c>
      <c r="P30" s="108" t="n">
        <f aca="false">H30*$C30</f>
        <v>6.234375</v>
      </c>
      <c r="Q30" s="108" t="n">
        <f aca="false">I30*$C30</f>
        <v>3.5625</v>
      </c>
      <c r="R30" s="109" t="n">
        <f aca="false">J30*$C30</f>
        <v>0.7421875</v>
      </c>
      <c r="S30" s="107" t="n">
        <f aca="false">K30*$D30</f>
        <v>0.222222222222222</v>
      </c>
      <c r="T30" s="108" t="n">
        <f aca="false">L30*$D30</f>
        <v>1.66666666666667</v>
      </c>
      <c r="U30" s="108" t="n">
        <f aca="false">M30*$D30</f>
        <v>2.66666666666667</v>
      </c>
      <c r="V30" s="109" t="n">
        <f aca="false">N30*$D30</f>
        <v>0.444444444444445</v>
      </c>
      <c r="W30" s="170" t="n">
        <f aca="false">Input!$I$13*PKs!O30+Input!$I$14*PKs!L30+Input!$I$15*PKs!Q30+Input!$I$16*PKs!R30+Input!$I$17*PKs!S30+Input!$I$18*PKs!T30+Input!$I$19*PKs!U30+Input!$I$20*PKs!V30+Input!$I$21*PKs!E30+Input!$I$22*PKs!F30</f>
        <v>84.9817708333333</v>
      </c>
    </row>
    <row r="31" customFormat="false" ht="12.75" hidden="false" customHeight="false" outlineLevel="0" collapsed="false">
      <c r="A31" s="166" t="s">
        <v>578</v>
      </c>
      <c r="B31" s="167" t="s">
        <v>170</v>
      </c>
      <c r="C31" s="168" t="n">
        <v>21</v>
      </c>
      <c r="D31" s="169" t="n">
        <v>5</v>
      </c>
      <c r="E31" s="168" t="n">
        <v>28</v>
      </c>
      <c r="F31" s="169" t="n">
        <v>1</v>
      </c>
      <c r="G31" s="107" t="n">
        <v>0.303964757709251</v>
      </c>
      <c r="H31" s="108" t="n">
        <v>0.295154185022026</v>
      </c>
      <c r="I31" s="108" t="n">
        <v>0.299559471365639</v>
      </c>
      <c r="J31" s="109" t="n">
        <v>0.101321585903084</v>
      </c>
      <c r="K31" s="107" t="n">
        <v>0.0392156862745098</v>
      </c>
      <c r="L31" s="108" t="n">
        <v>0.156862745098039</v>
      </c>
      <c r="M31" s="108" t="n">
        <v>0.392156862745098</v>
      </c>
      <c r="N31" s="109" t="n">
        <v>0.411764705882353</v>
      </c>
      <c r="O31" s="107" t="n">
        <f aca="false">G31*$C31</f>
        <v>6.38325991189427</v>
      </c>
      <c r="P31" s="108" t="n">
        <f aca="false">H31*$C31</f>
        <v>6.19823788546256</v>
      </c>
      <c r="Q31" s="108" t="n">
        <f aca="false">I31*$C31</f>
        <v>6.29074889867841</v>
      </c>
      <c r="R31" s="109" t="n">
        <f aca="false">J31*$C31</f>
        <v>2.12775330396476</v>
      </c>
      <c r="S31" s="107" t="n">
        <f aca="false">K31*$D31</f>
        <v>0.196078431372549</v>
      </c>
      <c r="T31" s="108" t="n">
        <f aca="false">L31*$D31</f>
        <v>0.784313725490196</v>
      </c>
      <c r="U31" s="108" t="n">
        <f aca="false">M31*$D31</f>
        <v>1.96078431372549</v>
      </c>
      <c r="V31" s="109" t="n">
        <f aca="false">N31*$D31</f>
        <v>2.05882352941176</v>
      </c>
      <c r="W31" s="170" t="n">
        <f aca="false">Input!$I$13*PKs!O31+Input!$I$14*PKs!L31+Input!$I$15*PKs!Q31+Input!$I$16*PKs!R31+Input!$I$17*PKs!S31+Input!$I$18*PKs!T31+Input!$I$19*PKs!U31+Input!$I$20*PKs!V31+Input!$I$21*PKs!E31+Input!$I$22*PKs!F31</f>
        <v>91.9974950332556</v>
      </c>
    </row>
    <row r="32" customFormat="false" ht="12.75" hidden="false" customHeight="false" outlineLevel="0" collapsed="false">
      <c r="A32" s="166" t="s">
        <v>579</v>
      </c>
      <c r="B32" s="167" t="s">
        <v>192</v>
      </c>
      <c r="C32" s="168" t="n">
        <v>21</v>
      </c>
      <c r="D32" s="169" t="n">
        <v>8</v>
      </c>
      <c r="E32" s="168" t="n">
        <v>26</v>
      </c>
      <c r="F32" s="169" t="n">
        <v>1</v>
      </c>
      <c r="G32" s="107" t="n">
        <v>0.4453125</v>
      </c>
      <c r="H32" s="108" t="n">
        <v>0.328125</v>
      </c>
      <c r="I32" s="108" t="n">
        <v>0.1875</v>
      </c>
      <c r="J32" s="109" t="n">
        <v>0.0390625</v>
      </c>
      <c r="K32" s="107" t="n">
        <v>0.0444444444444444</v>
      </c>
      <c r="L32" s="108" t="n">
        <v>0.333333333333333</v>
      </c>
      <c r="M32" s="108" t="n">
        <v>0.533333333333333</v>
      </c>
      <c r="N32" s="109" t="n">
        <v>0.0888888888888889</v>
      </c>
      <c r="O32" s="107" t="n">
        <f aca="false">G32*$C32</f>
        <v>9.3515625</v>
      </c>
      <c r="P32" s="108" t="n">
        <f aca="false">H32*$C32</f>
        <v>6.890625</v>
      </c>
      <c r="Q32" s="108" t="n">
        <f aca="false">I32*$C32</f>
        <v>3.9375</v>
      </c>
      <c r="R32" s="109" t="n">
        <f aca="false">J32*$C32</f>
        <v>0.8203125</v>
      </c>
      <c r="S32" s="107" t="n">
        <f aca="false">K32*$D32</f>
        <v>0.355555555555556</v>
      </c>
      <c r="T32" s="108" t="n">
        <f aca="false">L32*$D32</f>
        <v>2.66666666666667</v>
      </c>
      <c r="U32" s="108" t="n">
        <f aca="false">M32*$D32</f>
        <v>4.26666666666667</v>
      </c>
      <c r="V32" s="109" t="n">
        <f aca="false">N32*$D32</f>
        <v>0.711111111111111</v>
      </c>
      <c r="W32" s="170" t="n">
        <f aca="false">Input!$I$13*PKs!O32+Input!$I$14*PKs!L32+Input!$I$15*PKs!Q32+Input!$I$16*PKs!R32+Input!$I$17*PKs!S32+Input!$I$18*PKs!T32+Input!$I$19*PKs!U32+Input!$I$20*PKs!V32+Input!$I$21*PKs!E32+Input!$I$22*PKs!F32</f>
        <v>79.9973958333333</v>
      </c>
    </row>
    <row r="33" customFormat="false" ht="12.75" hidden="false" customHeight="false" outlineLevel="0" collapsed="false">
      <c r="A33" s="159" t="s">
        <v>580</v>
      </c>
      <c r="B33" s="160" t="s">
        <v>158</v>
      </c>
      <c r="C33" s="171" t="n">
        <v>16</v>
      </c>
      <c r="D33" s="172" t="n">
        <v>6</v>
      </c>
      <c r="E33" s="171" t="n">
        <v>28</v>
      </c>
      <c r="F33" s="172" t="n">
        <v>1</v>
      </c>
      <c r="G33" s="128" t="n">
        <v>0.4453125</v>
      </c>
      <c r="H33" s="129" t="n">
        <v>0.328125</v>
      </c>
      <c r="I33" s="129" t="n">
        <v>0.1875</v>
      </c>
      <c r="J33" s="130" t="n">
        <v>0.0390625</v>
      </c>
      <c r="K33" s="128" t="n">
        <v>0.0444444444444444</v>
      </c>
      <c r="L33" s="129" t="n">
        <v>0.333333333333333</v>
      </c>
      <c r="M33" s="129" t="n">
        <v>0.533333333333333</v>
      </c>
      <c r="N33" s="130" t="n">
        <v>0.0888888888888889</v>
      </c>
      <c r="O33" s="128" t="n">
        <f aca="false">G33*$C33</f>
        <v>7.125</v>
      </c>
      <c r="P33" s="129" t="n">
        <f aca="false">H33*$C33</f>
        <v>5.25</v>
      </c>
      <c r="Q33" s="129" t="n">
        <f aca="false">I33*$C33</f>
        <v>3</v>
      </c>
      <c r="R33" s="130" t="n">
        <f aca="false">J33*$C33</f>
        <v>0.625</v>
      </c>
      <c r="S33" s="128" t="n">
        <f aca="false">K33*$D33</f>
        <v>0.266666666666667</v>
      </c>
      <c r="T33" s="129" t="n">
        <f aca="false">L33*$D33</f>
        <v>2</v>
      </c>
      <c r="U33" s="129" t="n">
        <f aca="false">M33*$D33</f>
        <v>3.2</v>
      </c>
      <c r="V33" s="130" t="n">
        <f aca="false">N33*$D33</f>
        <v>0.533333333333333</v>
      </c>
      <c r="W33" s="163" t="n">
        <f aca="false">Input!$I$13*PKs!O33+Input!$I$14*PKs!L33+Input!$I$15*PKs!Q33+Input!$I$16*PKs!R33+Input!$I$17*PKs!S33+Input!$I$18*PKs!T33+Input!$I$19*PKs!U33+Input!$I$20*PKs!V33+Input!$I$21*PKs!E33+Input!$I$22*PKs!F33</f>
        <v>69.4583333333333</v>
      </c>
    </row>
  </sheetData>
  <mergeCells count="6">
    <mergeCell ref="C1:D1"/>
    <mergeCell ref="E1:F1"/>
    <mergeCell ref="G1:J1"/>
    <mergeCell ref="K1:N1"/>
    <mergeCell ref="O1:R1"/>
    <mergeCell ref="S1:V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5" width="20.85"/>
    <col collapsed="false" customWidth="true" hidden="false" outlineLevel="0" max="2" min="2" style="1" width="4.28"/>
    <col collapsed="false" customWidth="true" hidden="false" outlineLevel="0" max="3" min="3" style="1" width="9.56"/>
    <col collapsed="false" customWidth="true" hidden="false" outlineLevel="0" max="4" min="4" style="1" width="11.56"/>
    <col collapsed="false" customWidth="true" hidden="false" outlineLevel="0" max="5" min="5" style="1" width="6.28"/>
    <col collapsed="false" customWidth="true" hidden="false" outlineLevel="0" max="6" min="6" style="1" width="7.7"/>
    <col collapsed="false" customWidth="true" hidden="false" outlineLevel="0" max="7" min="7" style="173" width="12.85"/>
    <col collapsed="false" customWidth="true" hidden="false" outlineLevel="0" max="8" min="8" style="1" width="13.28"/>
    <col collapsed="false" customWidth="true" hidden="false" outlineLevel="0" max="9" min="9" style="1" width="7.7"/>
  </cols>
  <sheetData>
    <row r="1" customFormat="false" ht="12.75" hidden="false" customHeight="false" outlineLevel="0" collapsed="false">
      <c r="A1" s="174"/>
      <c r="B1" s="175"/>
      <c r="C1" s="176" t="s">
        <v>581</v>
      </c>
      <c r="D1" s="176"/>
      <c r="E1" s="176"/>
      <c r="F1" s="176"/>
      <c r="G1" s="177" t="s">
        <v>122</v>
      </c>
      <c r="H1" s="156" t="s">
        <v>582</v>
      </c>
      <c r="I1" s="157" t="s">
        <v>119</v>
      </c>
    </row>
    <row r="2" customFormat="false" ht="12.75" hidden="false" customHeight="false" outlineLevel="0" collapsed="false">
      <c r="A2" s="178" t="s">
        <v>3</v>
      </c>
      <c r="B2" s="161" t="s">
        <v>124</v>
      </c>
      <c r="C2" s="162" t="s">
        <v>583</v>
      </c>
      <c r="D2" s="162" t="s">
        <v>12</v>
      </c>
      <c r="E2" s="162" t="s">
        <v>14</v>
      </c>
      <c r="F2" s="162" t="s">
        <v>15</v>
      </c>
      <c r="G2" s="179" t="s">
        <v>584</v>
      </c>
      <c r="H2" s="160" t="s">
        <v>584</v>
      </c>
      <c r="I2" s="180" t="s">
        <v>582</v>
      </c>
    </row>
    <row r="3" customFormat="false" ht="12.75" hidden="false" customHeight="false" outlineLevel="0" collapsed="false">
      <c r="A3" s="181" t="s">
        <v>108</v>
      </c>
      <c r="B3" s="168" t="n">
        <v>8</v>
      </c>
      <c r="C3" s="182" t="n">
        <v>8</v>
      </c>
      <c r="D3" s="182" t="n">
        <v>24</v>
      </c>
      <c r="E3" s="182" t="n">
        <v>52</v>
      </c>
      <c r="F3" s="182" t="n">
        <v>1</v>
      </c>
      <c r="G3" s="183" t="n">
        <v>5060</v>
      </c>
      <c r="H3" s="184" t="n">
        <v>280.8</v>
      </c>
      <c r="I3" s="185" t="n">
        <f aca="false">Input!$I$4*Defs!B3+Input!$I$5*Defs!C3+Input!$I$6*Defs!D3+Input!$I$7*Defs!E3+Input!$I$8*Defs!F3+Input!$I$9*Defs!G3+Input!$I$10*Defs!H3</f>
        <v>87.32</v>
      </c>
    </row>
    <row r="4" customFormat="false" ht="12.75" hidden="false" customHeight="false" outlineLevel="0" collapsed="false">
      <c r="A4" s="181" t="s">
        <v>111</v>
      </c>
      <c r="B4" s="168" t="n">
        <v>6</v>
      </c>
      <c r="C4" s="182" t="n">
        <v>16</v>
      </c>
      <c r="D4" s="182" t="n">
        <v>28</v>
      </c>
      <c r="E4" s="182" t="n">
        <v>45</v>
      </c>
      <c r="F4" s="182" t="n">
        <v>1</v>
      </c>
      <c r="G4" s="183" t="n">
        <v>5200</v>
      </c>
      <c r="H4" s="184" t="n">
        <v>340.2</v>
      </c>
      <c r="I4" s="185" t="n">
        <f aca="false">Input!$I$4*Defs!B4+Input!$I$5*Defs!C4+Input!$I$6*Defs!D4+Input!$I$7*Defs!E4+Input!$I$8*Defs!F4+Input!$I$9*Defs!G4+Input!$I$10*Defs!H4</f>
        <v>84.98</v>
      </c>
    </row>
    <row r="5" customFormat="false" ht="12.75" hidden="false" customHeight="false" outlineLevel="0" collapsed="false">
      <c r="A5" s="181" t="s">
        <v>83</v>
      </c>
      <c r="B5" s="168" t="n">
        <v>6</v>
      </c>
      <c r="C5" s="182" t="n">
        <v>12</v>
      </c>
      <c r="D5" s="182" t="n">
        <v>24</v>
      </c>
      <c r="E5" s="182" t="n">
        <v>47</v>
      </c>
      <c r="F5" s="182" t="n">
        <v>1</v>
      </c>
      <c r="G5" s="183" t="n">
        <v>4600</v>
      </c>
      <c r="H5" s="184" t="n">
        <v>270</v>
      </c>
      <c r="I5" s="185" t="n">
        <f aca="false">Input!$I$4*Defs!B5+Input!$I$5*Defs!C5+Input!$I$6*Defs!D5+Input!$I$7*Defs!E5+Input!$I$8*Defs!F5+Input!$I$9*Defs!G5+Input!$I$10*Defs!H5</f>
        <v>84</v>
      </c>
    </row>
    <row r="6" customFormat="false" ht="12.75" hidden="false" customHeight="false" outlineLevel="0" collapsed="false">
      <c r="A6" s="181" t="s">
        <v>110</v>
      </c>
      <c r="B6" s="168" t="n">
        <v>6</v>
      </c>
      <c r="C6" s="182" t="n">
        <v>20</v>
      </c>
      <c r="D6" s="182" t="n">
        <v>14</v>
      </c>
      <c r="E6" s="182" t="n">
        <v>45</v>
      </c>
      <c r="F6" s="182" t="n">
        <v>2</v>
      </c>
      <c r="G6" s="183" t="n">
        <v>5540</v>
      </c>
      <c r="H6" s="184" t="n">
        <v>313.2</v>
      </c>
      <c r="I6" s="185" t="n">
        <f aca="false">Input!$I$4*Defs!B6+Input!$I$5*Defs!C6+Input!$I$6*Defs!D6+Input!$I$7*Defs!E6+Input!$I$8*Defs!F6+Input!$I$9*Defs!G6+Input!$I$10*Defs!H6</f>
        <v>66.28</v>
      </c>
    </row>
    <row r="7" customFormat="false" ht="12.75" hidden="false" customHeight="false" outlineLevel="0" collapsed="false">
      <c r="A7" s="181" t="s">
        <v>94</v>
      </c>
      <c r="B7" s="168" t="n">
        <v>6</v>
      </c>
      <c r="C7" s="182" t="n">
        <v>14</v>
      </c>
      <c r="D7" s="182" t="n">
        <v>16</v>
      </c>
      <c r="E7" s="182" t="n">
        <v>48</v>
      </c>
      <c r="F7" s="182" t="n">
        <v>1</v>
      </c>
      <c r="G7" s="183" t="n">
        <v>4800</v>
      </c>
      <c r="H7" s="184" t="n">
        <v>264.6</v>
      </c>
      <c r="I7" s="185" t="n">
        <f aca="false">Input!$I$4*Defs!B7+Input!$I$5*Defs!C7+Input!$I$6*Defs!D7+Input!$I$7*Defs!E7+Input!$I$8*Defs!F7+Input!$I$9*Defs!G7+Input!$I$10*Defs!H7</f>
        <v>71.54</v>
      </c>
    </row>
    <row r="8" customFormat="false" ht="12.75" hidden="false" customHeight="false" outlineLevel="0" collapsed="false">
      <c r="A8" s="181" t="s">
        <v>107</v>
      </c>
      <c r="B8" s="168" t="n">
        <v>5</v>
      </c>
      <c r="C8" s="182" t="n">
        <v>12</v>
      </c>
      <c r="D8" s="182" t="n">
        <v>27</v>
      </c>
      <c r="E8" s="182" t="n">
        <v>45</v>
      </c>
      <c r="F8" s="182" t="n">
        <v>0</v>
      </c>
      <c r="G8" s="183" t="n">
        <v>5700</v>
      </c>
      <c r="H8" s="184" t="n">
        <v>307.8</v>
      </c>
      <c r="I8" s="185" t="n">
        <f aca="false">Input!$I$4*Defs!B8+Input!$I$5*Defs!C8+Input!$I$6*Defs!D8+Input!$I$7*Defs!E8+Input!$I$8*Defs!F8+Input!$I$9*Defs!G8+Input!$I$10*Defs!H8</f>
        <v>65.22</v>
      </c>
    </row>
    <row r="9" customFormat="false" ht="12.75" hidden="false" customHeight="false" outlineLevel="0" collapsed="false">
      <c r="A9" s="181" t="s">
        <v>109</v>
      </c>
      <c r="B9" s="168" t="n">
        <v>7</v>
      </c>
      <c r="C9" s="182" t="n">
        <v>12</v>
      </c>
      <c r="D9" s="182" t="n">
        <v>18</v>
      </c>
      <c r="E9" s="182" t="n">
        <v>40</v>
      </c>
      <c r="F9" s="182" t="n">
        <v>1</v>
      </c>
      <c r="G9" s="183" t="n">
        <v>4700</v>
      </c>
      <c r="H9" s="184" t="n">
        <v>248.4</v>
      </c>
      <c r="I9" s="185" t="n">
        <f aca="false">Input!$I$4*Defs!B9+Input!$I$5*Defs!C9+Input!$I$6*Defs!D9+Input!$I$7*Defs!E9+Input!$I$8*Defs!F9+Input!$I$9*Defs!G9+Input!$I$10*Defs!H9</f>
        <v>72.16</v>
      </c>
    </row>
    <row r="10" customFormat="false" ht="12.75" hidden="false" customHeight="false" outlineLevel="0" collapsed="false">
      <c r="A10" s="181" t="s">
        <v>102</v>
      </c>
      <c r="B10" s="168" t="n">
        <v>5</v>
      </c>
      <c r="C10" s="182" t="n">
        <v>14</v>
      </c>
      <c r="D10" s="182" t="n">
        <v>21</v>
      </c>
      <c r="E10" s="182" t="n">
        <v>43</v>
      </c>
      <c r="F10" s="182" t="n">
        <v>0</v>
      </c>
      <c r="G10" s="183" t="n">
        <v>5200</v>
      </c>
      <c r="H10" s="184" t="n">
        <v>324</v>
      </c>
      <c r="I10" s="185" t="n">
        <f aca="false">Input!$I$4*Defs!B10+Input!$I$5*Defs!C10+Input!$I$6*Defs!D10+Input!$I$7*Defs!E10+Input!$I$8*Defs!F10+Input!$I$9*Defs!G10+Input!$I$10*Defs!H10</f>
        <v>58.6</v>
      </c>
    </row>
    <row r="11" customFormat="false" ht="12.75" hidden="false" customHeight="false" outlineLevel="0" collapsed="false">
      <c r="A11" s="181" t="s">
        <v>96</v>
      </c>
      <c r="B11" s="168" t="n">
        <v>5</v>
      </c>
      <c r="C11" s="182" t="n">
        <v>10</v>
      </c>
      <c r="D11" s="182" t="n">
        <v>22</v>
      </c>
      <c r="E11" s="182" t="n">
        <v>41</v>
      </c>
      <c r="F11" s="182" t="n">
        <v>1</v>
      </c>
      <c r="G11" s="183" t="n">
        <v>4900</v>
      </c>
      <c r="H11" s="184" t="n">
        <v>286.2</v>
      </c>
      <c r="I11" s="185" t="n">
        <f aca="false">Input!$I$4*Defs!B11+Input!$I$5*Defs!C11+Input!$I$6*Defs!D11+Input!$I$7*Defs!E11+Input!$I$8*Defs!F11+Input!$I$9*Defs!G11+Input!$I$10*Defs!H11</f>
        <v>59.38</v>
      </c>
    </row>
    <row r="12" customFormat="false" ht="12.75" hidden="false" customHeight="false" outlineLevel="0" collapsed="false">
      <c r="A12" s="181" t="s">
        <v>103</v>
      </c>
      <c r="B12" s="168" t="n">
        <v>4</v>
      </c>
      <c r="C12" s="182" t="n">
        <v>15</v>
      </c>
      <c r="D12" s="182" t="n">
        <v>24</v>
      </c>
      <c r="E12" s="182" t="n">
        <v>40</v>
      </c>
      <c r="F12" s="182" t="n">
        <v>1</v>
      </c>
      <c r="G12" s="183" t="n">
        <v>5600</v>
      </c>
      <c r="H12" s="184" t="n">
        <v>356.4</v>
      </c>
      <c r="I12" s="185" t="n">
        <f aca="false">Input!$I$4*Defs!B12+Input!$I$5*Defs!C12+Input!$I$6*Defs!D12+Input!$I$7*Defs!E12+Input!$I$8*Defs!F12+Input!$I$9*Defs!G12+Input!$I$10*Defs!H12</f>
        <v>52.36</v>
      </c>
    </row>
    <row r="13" customFormat="false" ht="12.75" hidden="false" customHeight="false" outlineLevel="0" collapsed="false">
      <c r="A13" s="181" t="s">
        <v>90</v>
      </c>
      <c r="B13" s="168" t="n">
        <v>4</v>
      </c>
      <c r="C13" s="182" t="n">
        <v>11</v>
      </c>
      <c r="D13" s="182" t="n">
        <v>17</v>
      </c>
      <c r="E13" s="182" t="n">
        <v>48</v>
      </c>
      <c r="F13" s="182" t="n">
        <v>1</v>
      </c>
      <c r="G13" s="183" t="n">
        <v>5050</v>
      </c>
      <c r="H13" s="184" t="n">
        <v>318.6</v>
      </c>
      <c r="I13" s="185" t="n">
        <f aca="false">Input!$I$4*Defs!B13+Input!$I$5*Defs!C13+Input!$I$6*Defs!D13+Input!$I$7*Defs!E13+Input!$I$8*Defs!F13+Input!$I$9*Defs!G13+Input!$I$10*Defs!H13</f>
        <v>47.64</v>
      </c>
    </row>
    <row r="14" customFormat="false" ht="12.75" hidden="false" customHeight="false" outlineLevel="0" collapsed="false">
      <c r="A14" s="181" t="s">
        <v>95</v>
      </c>
      <c r="B14" s="168" t="n">
        <v>5</v>
      </c>
      <c r="C14" s="182" t="n">
        <v>17</v>
      </c>
      <c r="D14" s="182" t="n">
        <v>18</v>
      </c>
      <c r="E14" s="182" t="n">
        <v>35</v>
      </c>
      <c r="F14" s="182" t="n">
        <v>1</v>
      </c>
      <c r="G14" s="183" t="n">
        <v>5330</v>
      </c>
      <c r="H14" s="184" t="n">
        <v>334.8</v>
      </c>
      <c r="I14" s="185" t="n">
        <f aca="false">Input!$I$4*Defs!B14+Input!$I$5*Defs!C14+Input!$I$6*Defs!D14+Input!$I$7*Defs!E14+Input!$I$8*Defs!F14+Input!$I$9*Defs!G14+Input!$I$10*Defs!H14</f>
        <v>50.22</v>
      </c>
    </row>
    <row r="15" customFormat="false" ht="12.75" hidden="false" customHeight="false" outlineLevel="0" collapsed="false">
      <c r="A15" s="181" t="s">
        <v>99</v>
      </c>
      <c r="B15" s="168" t="n">
        <v>3</v>
      </c>
      <c r="C15" s="182" t="n">
        <v>14</v>
      </c>
      <c r="D15" s="182" t="n">
        <v>20</v>
      </c>
      <c r="E15" s="182" t="n">
        <v>46</v>
      </c>
      <c r="F15" s="182" t="n">
        <v>1</v>
      </c>
      <c r="G15" s="183" t="n">
        <v>5600</v>
      </c>
      <c r="H15" s="184" t="n">
        <v>388.8</v>
      </c>
      <c r="I15" s="185" t="n">
        <f aca="false">Input!$I$4*Defs!B15+Input!$I$5*Defs!C15+Input!$I$6*Defs!D15+Input!$I$7*Defs!E15+Input!$I$8*Defs!F15+Input!$I$9*Defs!G15+Input!$I$10*Defs!H15</f>
        <v>39.12</v>
      </c>
    </row>
    <row r="16" customFormat="false" ht="12.75" hidden="false" customHeight="false" outlineLevel="0" collapsed="false">
      <c r="A16" s="181" t="s">
        <v>92</v>
      </c>
      <c r="B16" s="168" t="n">
        <v>4</v>
      </c>
      <c r="C16" s="182" t="n">
        <v>12</v>
      </c>
      <c r="D16" s="182" t="n">
        <v>23</v>
      </c>
      <c r="E16" s="182" t="n">
        <v>35</v>
      </c>
      <c r="F16" s="182" t="n">
        <v>1</v>
      </c>
      <c r="G16" s="183" t="n">
        <v>5400</v>
      </c>
      <c r="H16" s="184" t="n">
        <v>324</v>
      </c>
      <c r="I16" s="185" t="n">
        <f aca="false">Input!$I$4*Defs!B16+Input!$I$5*Defs!C16+Input!$I$6*Defs!D16+Input!$I$7*Defs!E16+Input!$I$8*Defs!F16+Input!$I$9*Defs!G16+Input!$I$10*Defs!H16</f>
        <v>44.6</v>
      </c>
    </row>
    <row r="17" customFormat="false" ht="12.75" hidden="false" customHeight="false" outlineLevel="0" collapsed="false">
      <c r="A17" s="181" t="s">
        <v>86</v>
      </c>
      <c r="B17" s="168" t="n">
        <v>3</v>
      </c>
      <c r="C17" s="182" t="n">
        <v>22</v>
      </c>
      <c r="D17" s="182" t="n">
        <v>18</v>
      </c>
      <c r="E17" s="182" t="n">
        <v>38</v>
      </c>
      <c r="F17" s="182" t="n">
        <v>0</v>
      </c>
      <c r="G17" s="183" t="n">
        <v>5330</v>
      </c>
      <c r="H17" s="184" t="n">
        <v>324</v>
      </c>
      <c r="I17" s="185" t="n">
        <f aca="false">Input!$I$4*Defs!B17+Input!$I$5*Defs!C17+Input!$I$6*Defs!D17+Input!$I$7*Defs!E17+Input!$I$8*Defs!F17+Input!$I$9*Defs!G17+Input!$I$10*Defs!H17</f>
        <v>50.3</v>
      </c>
    </row>
    <row r="18" customFormat="false" ht="12.75" hidden="false" customHeight="false" outlineLevel="0" collapsed="false">
      <c r="A18" s="181" t="s">
        <v>98</v>
      </c>
      <c r="B18" s="168" t="n">
        <v>4</v>
      </c>
      <c r="C18" s="182" t="n">
        <v>13</v>
      </c>
      <c r="D18" s="182" t="n">
        <v>18</v>
      </c>
      <c r="E18" s="182" t="n">
        <v>40</v>
      </c>
      <c r="F18" s="182" t="n">
        <v>0</v>
      </c>
      <c r="G18" s="183" t="n">
        <v>5100</v>
      </c>
      <c r="H18" s="184" t="n">
        <v>307.8</v>
      </c>
      <c r="I18" s="185" t="n">
        <f aca="false">Input!$I$4*Defs!B18+Input!$I$5*Defs!C18+Input!$I$6*Defs!D18+Input!$I$7*Defs!E18+Input!$I$8*Defs!F18+Input!$I$9*Defs!G18+Input!$I$10*Defs!H18</f>
        <v>44.22</v>
      </c>
    </row>
    <row r="19" customFormat="false" ht="12.75" hidden="false" customHeight="false" outlineLevel="0" collapsed="false">
      <c r="A19" s="181" t="s">
        <v>91</v>
      </c>
      <c r="B19" s="168" t="n">
        <v>3</v>
      </c>
      <c r="C19" s="182" t="n">
        <v>13</v>
      </c>
      <c r="D19" s="182" t="n">
        <v>15</v>
      </c>
      <c r="E19" s="182" t="n">
        <v>46</v>
      </c>
      <c r="F19" s="182" t="n">
        <v>1</v>
      </c>
      <c r="G19" s="183" t="n">
        <v>5540</v>
      </c>
      <c r="H19" s="184" t="n">
        <v>340.2</v>
      </c>
      <c r="I19" s="185" t="n">
        <f aca="false">Input!$I$4*Defs!B19+Input!$I$5*Defs!C19+Input!$I$6*Defs!D19+Input!$I$7*Defs!E19+Input!$I$8*Defs!F19+Input!$I$9*Defs!G19+Input!$I$10*Defs!H19</f>
        <v>32.58</v>
      </c>
    </row>
    <row r="20" customFormat="false" ht="12.75" hidden="false" customHeight="false" outlineLevel="0" collapsed="false">
      <c r="A20" s="181" t="s">
        <v>85</v>
      </c>
      <c r="B20" s="168" t="n">
        <v>5</v>
      </c>
      <c r="C20" s="182" t="n">
        <v>16</v>
      </c>
      <c r="D20" s="182" t="n">
        <v>19</v>
      </c>
      <c r="E20" s="182" t="n">
        <v>45</v>
      </c>
      <c r="F20" s="182" t="n">
        <v>0</v>
      </c>
      <c r="G20" s="183" t="n">
        <v>5300</v>
      </c>
      <c r="H20" s="184" t="n">
        <v>340</v>
      </c>
      <c r="I20" s="185" t="n">
        <f aca="false">Input!$I$4*Defs!B20+Input!$I$5*Defs!C20+Input!$I$6*Defs!D20+Input!$I$7*Defs!E20+Input!$I$8*Defs!F20+Input!$I$9*Defs!G20+Input!$I$10*Defs!H20</f>
        <v>58</v>
      </c>
    </row>
    <row r="21" customFormat="false" ht="12.75" hidden="false" customHeight="false" outlineLevel="0" collapsed="false">
      <c r="A21" s="181" t="s">
        <v>100</v>
      </c>
      <c r="B21" s="168" t="n">
        <v>4</v>
      </c>
      <c r="C21" s="182" t="n">
        <v>7</v>
      </c>
      <c r="D21" s="182" t="n">
        <v>18</v>
      </c>
      <c r="E21" s="182" t="n">
        <v>41</v>
      </c>
      <c r="F21" s="182" t="n">
        <v>0</v>
      </c>
      <c r="G21" s="183" t="n">
        <v>5300</v>
      </c>
      <c r="H21" s="184" t="n">
        <v>313.2</v>
      </c>
      <c r="I21" s="185" t="n">
        <f aca="false">Input!$I$4*Defs!B21+Input!$I$5*Defs!C21+Input!$I$6*Defs!D21+Input!$I$7*Defs!E21+Input!$I$8*Defs!F21+Input!$I$9*Defs!G21+Input!$I$10*Defs!H21</f>
        <v>30.68</v>
      </c>
    </row>
    <row r="22" customFormat="false" ht="12.75" hidden="false" customHeight="false" outlineLevel="0" collapsed="false">
      <c r="A22" s="181" t="s">
        <v>105</v>
      </c>
      <c r="B22" s="168" t="n">
        <v>3</v>
      </c>
      <c r="C22" s="182" t="n">
        <v>11</v>
      </c>
      <c r="D22" s="182" t="n">
        <v>18</v>
      </c>
      <c r="E22" s="182" t="n">
        <v>40</v>
      </c>
      <c r="F22" s="182" t="n">
        <v>1</v>
      </c>
      <c r="G22" s="183" t="n">
        <v>5200</v>
      </c>
      <c r="H22" s="184" t="n">
        <v>307.8</v>
      </c>
      <c r="I22" s="185" t="n">
        <f aca="false">Input!$I$4*Defs!B22+Input!$I$5*Defs!C22+Input!$I$6*Defs!D22+Input!$I$7*Defs!E22+Input!$I$8*Defs!F22+Input!$I$9*Defs!G22+Input!$I$10*Defs!H22</f>
        <v>35.22</v>
      </c>
    </row>
    <row r="23" customFormat="false" ht="12.75" hidden="false" customHeight="false" outlineLevel="0" collapsed="false">
      <c r="A23" s="181" t="s">
        <v>104</v>
      </c>
      <c r="B23" s="168" t="n">
        <v>3</v>
      </c>
      <c r="C23" s="182" t="n">
        <v>14</v>
      </c>
      <c r="D23" s="182" t="n">
        <v>15</v>
      </c>
      <c r="E23" s="182" t="n">
        <v>41</v>
      </c>
      <c r="F23" s="182" t="n">
        <v>0</v>
      </c>
      <c r="G23" s="183" t="n">
        <v>5330</v>
      </c>
      <c r="H23" s="184" t="n">
        <v>291.6</v>
      </c>
      <c r="I23" s="185" t="n">
        <f aca="false">Input!$I$4*Defs!B23+Input!$I$5*Defs!C23+Input!$I$6*Defs!D23+Input!$I$7*Defs!E23+Input!$I$8*Defs!F23+Input!$I$9*Defs!G23+Input!$I$10*Defs!H23</f>
        <v>34.54</v>
      </c>
    </row>
    <row r="24" customFormat="false" ht="12.75" hidden="false" customHeight="false" outlineLevel="0" collapsed="false">
      <c r="A24" s="181" t="s">
        <v>89</v>
      </c>
      <c r="B24" s="168" t="n">
        <v>4</v>
      </c>
      <c r="C24" s="182" t="n">
        <v>10</v>
      </c>
      <c r="D24" s="182" t="n">
        <v>17</v>
      </c>
      <c r="E24" s="182" t="n">
        <v>34</v>
      </c>
      <c r="F24" s="182" t="n">
        <v>1</v>
      </c>
      <c r="G24" s="183" t="n">
        <v>5400</v>
      </c>
      <c r="H24" s="184" t="n">
        <v>334.8</v>
      </c>
      <c r="I24" s="185" t="n">
        <f aca="false">Input!$I$4*Defs!B24+Input!$I$5*Defs!C24+Input!$I$6*Defs!D24+Input!$I$7*Defs!E24+Input!$I$8*Defs!F24+Input!$I$9*Defs!G24+Input!$I$10*Defs!H24</f>
        <v>26.52</v>
      </c>
    </row>
    <row r="25" customFormat="false" ht="12.75" hidden="false" customHeight="false" outlineLevel="0" collapsed="false">
      <c r="A25" s="181" t="s">
        <v>106</v>
      </c>
      <c r="B25" s="168" t="n">
        <v>3</v>
      </c>
      <c r="C25" s="182" t="n">
        <v>10</v>
      </c>
      <c r="D25" s="182" t="n">
        <v>16</v>
      </c>
      <c r="E25" s="182" t="n">
        <v>40</v>
      </c>
      <c r="F25" s="182" t="n">
        <v>1</v>
      </c>
      <c r="G25" s="183" t="n">
        <v>5920</v>
      </c>
      <c r="H25" s="184" t="n">
        <v>410.4</v>
      </c>
      <c r="I25" s="185" t="n">
        <f aca="false">Input!$I$4*Defs!B25+Input!$I$5*Defs!C25+Input!$I$6*Defs!D25+Input!$I$7*Defs!E25+Input!$I$8*Defs!F25+Input!$I$9*Defs!G25+Input!$I$10*Defs!H25</f>
        <v>11.76</v>
      </c>
    </row>
    <row r="26" customFormat="false" ht="12.75" hidden="false" customHeight="false" outlineLevel="0" collapsed="false">
      <c r="A26" s="181" t="s">
        <v>93</v>
      </c>
      <c r="B26" s="168" t="n">
        <v>4</v>
      </c>
      <c r="C26" s="182" t="n">
        <v>11</v>
      </c>
      <c r="D26" s="182" t="n">
        <v>10</v>
      </c>
      <c r="E26" s="182" t="n">
        <v>40</v>
      </c>
      <c r="F26" s="182" t="n">
        <v>0</v>
      </c>
      <c r="G26" s="183" t="n">
        <v>5600</v>
      </c>
      <c r="H26" s="184" t="n">
        <v>345.6</v>
      </c>
      <c r="I26" s="185" t="n">
        <f aca="false">Input!$I$4*Defs!B26+Input!$I$5*Defs!C26+Input!$I$6*Defs!D26+Input!$I$7*Defs!E26+Input!$I$8*Defs!F26+Input!$I$9*Defs!G26+Input!$I$10*Defs!H26</f>
        <v>15.44</v>
      </c>
    </row>
    <row r="27" customFormat="false" ht="12.75" hidden="false" customHeight="false" outlineLevel="0" collapsed="false">
      <c r="A27" s="181" t="s">
        <v>101</v>
      </c>
      <c r="B27" s="168" t="n">
        <v>3</v>
      </c>
      <c r="C27" s="182" t="n">
        <v>10</v>
      </c>
      <c r="D27" s="182" t="n">
        <v>23</v>
      </c>
      <c r="E27" s="182" t="n">
        <v>31</v>
      </c>
      <c r="F27" s="182" t="n">
        <v>1</v>
      </c>
      <c r="G27" s="183" t="n">
        <v>5440</v>
      </c>
      <c r="H27" s="184" t="n">
        <v>307.8</v>
      </c>
      <c r="I27" s="185" t="n">
        <f aca="false">Input!$I$4*Defs!B27+Input!$I$5*Defs!C27+Input!$I$6*Defs!D27+Input!$I$7*Defs!E27+Input!$I$8*Defs!F27+Input!$I$9*Defs!G27+Input!$I$10*Defs!H27</f>
        <v>31.82</v>
      </c>
    </row>
    <row r="28" customFormat="false" ht="12.75" hidden="false" customHeight="false" outlineLevel="0" collapsed="false">
      <c r="A28" s="181" t="s">
        <v>97</v>
      </c>
      <c r="B28" s="168" t="n">
        <v>2</v>
      </c>
      <c r="C28" s="182" t="n">
        <v>16</v>
      </c>
      <c r="D28" s="182" t="n">
        <v>15</v>
      </c>
      <c r="E28" s="182" t="n">
        <v>41</v>
      </c>
      <c r="F28" s="182" t="n">
        <v>0</v>
      </c>
      <c r="G28" s="183" t="n">
        <v>5800</v>
      </c>
      <c r="H28" s="184" t="n">
        <v>313.2</v>
      </c>
      <c r="I28" s="185" t="n">
        <f aca="false">Input!$I$4*Defs!B28+Input!$I$5*Defs!C28+Input!$I$6*Defs!D28+Input!$I$7*Defs!E28+Input!$I$8*Defs!F28+Input!$I$9*Defs!G28+Input!$I$10*Defs!H28</f>
        <v>25.68</v>
      </c>
    </row>
    <row r="29" customFormat="false" ht="12.75" hidden="false" customHeight="false" outlineLevel="0" collapsed="false">
      <c r="A29" s="181" t="s">
        <v>81</v>
      </c>
      <c r="B29" s="168" t="n">
        <v>2</v>
      </c>
      <c r="C29" s="182" t="n">
        <v>14</v>
      </c>
      <c r="D29" s="182" t="n">
        <v>18</v>
      </c>
      <c r="E29" s="182" t="n">
        <v>34</v>
      </c>
      <c r="F29" s="182" t="n">
        <v>1</v>
      </c>
      <c r="G29" s="183" t="n">
        <v>5700</v>
      </c>
      <c r="H29" s="184" t="n">
        <v>367.2</v>
      </c>
      <c r="I29" s="185" t="n">
        <f aca="false">Input!$I$4*Defs!B29+Input!$I$5*Defs!C29+Input!$I$6*Defs!D29+Input!$I$7*Defs!E29+Input!$I$8*Defs!F29+Input!$I$9*Defs!G29+Input!$I$10*Defs!H29</f>
        <v>18.28</v>
      </c>
    </row>
    <row r="30" customFormat="false" ht="12.75" hidden="false" customHeight="false" outlineLevel="0" collapsed="false">
      <c r="A30" s="181" t="s">
        <v>84</v>
      </c>
      <c r="B30" s="168" t="n">
        <v>4</v>
      </c>
      <c r="C30" s="182" t="n">
        <v>9</v>
      </c>
      <c r="D30" s="182" t="n">
        <v>12</v>
      </c>
      <c r="E30" s="182" t="n">
        <v>34</v>
      </c>
      <c r="F30" s="182" t="n">
        <v>0</v>
      </c>
      <c r="G30" s="183" t="n">
        <v>4900</v>
      </c>
      <c r="H30" s="184" t="n">
        <v>307.8</v>
      </c>
      <c r="I30" s="185" t="n">
        <f aca="false">Input!$I$4*Defs!B30+Input!$I$5*Defs!C30+Input!$I$6*Defs!D30+Input!$I$7*Defs!E30+Input!$I$8*Defs!F30+Input!$I$9*Defs!G30+Input!$I$10*Defs!H30</f>
        <v>20.22</v>
      </c>
    </row>
    <row r="31" customFormat="false" ht="12.75" hidden="false" customHeight="false" outlineLevel="0" collapsed="false">
      <c r="A31" s="181" t="s">
        <v>82</v>
      </c>
      <c r="B31" s="168" t="n">
        <v>2</v>
      </c>
      <c r="C31" s="182" t="n">
        <v>10</v>
      </c>
      <c r="D31" s="182" t="n">
        <v>13</v>
      </c>
      <c r="E31" s="182" t="n">
        <v>34</v>
      </c>
      <c r="F31" s="182" t="n">
        <v>1</v>
      </c>
      <c r="G31" s="183" t="n">
        <v>5540</v>
      </c>
      <c r="H31" s="184" t="n">
        <v>367.2</v>
      </c>
      <c r="I31" s="185" t="n">
        <f aca="false">Input!$I$4*Defs!B31+Input!$I$5*Defs!C31+Input!$I$6*Defs!D31+Input!$I$7*Defs!E31+Input!$I$8*Defs!F31+Input!$I$9*Defs!G31+Input!$I$10*Defs!H31</f>
        <v>1.88</v>
      </c>
    </row>
    <row r="32" customFormat="false" ht="12.75" hidden="false" customHeight="false" outlineLevel="0" collapsed="false">
      <c r="A32" s="181" t="s">
        <v>87</v>
      </c>
      <c r="B32" s="168" t="n">
        <v>2</v>
      </c>
      <c r="C32" s="182" t="n">
        <v>12</v>
      </c>
      <c r="D32" s="182" t="n">
        <v>12</v>
      </c>
      <c r="E32" s="182" t="n">
        <v>30</v>
      </c>
      <c r="F32" s="182" t="n">
        <v>0</v>
      </c>
      <c r="G32" s="183" t="n">
        <v>5760</v>
      </c>
      <c r="H32" s="184" t="n">
        <v>432</v>
      </c>
      <c r="I32" s="185" t="n">
        <f aca="false">Input!$I$4*Defs!B32+Input!$I$5*Defs!C32+Input!$I$6*Defs!D32+Input!$I$7*Defs!E32+Input!$I$8*Defs!F32+Input!$I$9*Defs!G32+Input!$I$10*Defs!H32</f>
        <v>-10.8</v>
      </c>
    </row>
    <row r="33" customFormat="false" ht="12.75" hidden="false" customHeight="false" outlineLevel="0" collapsed="false">
      <c r="A33" s="178" t="s">
        <v>88</v>
      </c>
      <c r="B33" s="171" t="n">
        <v>2</v>
      </c>
      <c r="C33" s="186" t="n">
        <v>15</v>
      </c>
      <c r="D33" s="186" t="n">
        <v>10</v>
      </c>
      <c r="E33" s="186" t="n">
        <v>29</v>
      </c>
      <c r="F33" s="186" t="n">
        <v>0</v>
      </c>
      <c r="G33" s="187" t="n">
        <v>5960</v>
      </c>
      <c r="H33" s="188" t="n">
        <v>453.6</v>
      </c>
      <c r="I33" s="180" t="n">
        <f aca="false">Input!$I$4*Defs!B33+Input!$I$5*Defs!C33+Input!$I$6*Defs!D33+Input!$I$7*Defs!E33+Input!$I$8*Defs!F33+Input!$I$9*Defs!G33+Input!$I$10*Defs!H33</f>
        <v>-13.96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2" activeCellId="0" sqref="A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3.28"/>
  </cols>
  <sheetData>
    <row r="1" customFormat="false" ht="12.75" hidden="false" customHeight="false" outlineLevel="0" collapsed="false">
      <c r="A1" s="189" t="s">
        <v>585</v>
      </c>
    </row>
    <row r="2" customFormat="false" ht="12.75" hidden="false" customHeight="false" outlineLevel="0" collapsed="false">
      <c r="A2" s="0" t="s">
        <v>586</v>
      </c>
    </row>
    <row r="3" customFormat="false" ht="12.75" hidden="false" customHeight="false" outlineLevel="0" collapsed="false">
      <c r="A3" s="0" t="s">
        <v>587</v>
      </c>
    </row>
    <row r="4" customFormat="false" ht="12.75" hidden="false" customHeight="false" outlineLevel="0" collapsed="false">
      <c r="A4" s="0" t="s">
        <v>588</v>
      </c>
    </row>
    <row r="6" customFormat="false" ht="12.75" hidden="false" customHeight="false" outlineLevel="0" collapsed="false">
      <c r="A6" s="189" t="s">
        <v>589</v>
      </c>
    </row>
    <row r="7" customFormat="false" ht="12.75" hidden="false" customHeight="false" outlineLevel="0" collapsed="false">
      <c r="A7" s="0" t="s">
        <v>590</v>
      </c>
    </row>
    <row r="8" customFormat="false" ht="12.75" hidden="false" customHeight="false" outlineLevel="0" collapsed="false">
      <c r="A8" s="0" t="s">
        <v>591</v>
      </c>
    </row>
    <row r="9" customFormat="false" ht="12.75" hidden="false" customHeight="false" outlineLevel="0" collapsed="false">
      <c r="A9" s="0" t="s">
        <v>592</v>
      </c>
    </row>
    <row r="11" customFormat="false" ht="12.75" hidden="false" customHeight="false" outlineLevel="0" collapsed="false">
      <c r="A11" s="189" t="s">
        <v>593</v>
      </c>
    </row>
    <row r="12" customFormat="false" ht="12.75" hidden="false" customHeight="false" outlineLevel="0" collapsed="false">
      <c r="A12" s="0" t="s">
        <v>594</v>
      </c>
    </row>
    <row r="13" customFormat="false" ht="12.75" hidden="false" customHeight="false" outlineLevel="0" collapsed="false">
      <c r="A13" s="0" t="s">
        <v>595</v>
      </c>
    </row>
    <row r="14" customFormat="false" ht="12.75" hidden="false" customHeight="false" outlineLevel="0" collapsed="false">
      <c r="A14" s="0" t="s">
        <v>596</v>
      </c>
    </row>
    <row r="15" customFormat="false" ht="12.75" hidden="false" customHeight="false" outlineLevel="0" collapsed="false">
      <c r="A15" s="0" t="s">
        <v>597</v>
      </c>
    </row>
    <row r="16" customFormat="false" ht="12.75" hidden="false" customHeight="false" outlineLevel="0" collapsed="false">
      <c r="A16" s="0" t="s">
        <v>598</v>
      </c>
    </row>
    <row r="17" customFormat="false" ht="12.75" hidden="false" customHeight="false" outlineLevel="0" collapsed="false">
      <c r="A17" s="0" t="s">
        <v>599</v>
      </c>
    </row>
    <row r="19" customFormat="false" ht="12.75" hidden="false" customHeight="false" outlineLevel="0" collapsed="false">
      <c r="A19" s="189" t="s">
        <v>600</v>
      </c>
    </row>
    <row r="20" customFormat="false" ht="12.75" hidden="false" customHeight="false" outlineLevel="0" collapsed="false">
      <c r="A20" s="5" t="s">
        <v>601</v>
      </c>
    </row>
    <row r="21" customFormat="false" ht="12.75" hidden="false" customHeight="false" outlineLevel="0" collapsed="false">
      <c r="A21" s="0" t="s">
        <v>602</v>
      </c>
    </row>
    <row r="23" customFormat="false" ht="12.75" hidden="false" customHeight="false" outlineLevel="0" collapsed="false">
      <c r="A23" s="1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1999-05-15T20:34:35Z</dcterms:created>
  <dc:creator>Joe Bryant</dc:creator>
  <dc:description/>
  <dc:language>en-US</dc:language>
  <cp:lastModifiedBy>Eric Bass</cp:lastModifiedBy>
  <cp:lastPrinted>2000-07-30T16:24:33Z</cp:lastPrinted>
  <dcterms:modified xsi:type="dcterms:W3CDTF">2000-06-06T00:10:28Z</dcterms:modified>
  <cp:revision>0</cp:revision>
  <dc:subject/>
  <dc:title>VBD Cheatsheet</dc:title>
</cp:coreProperties>
</file>