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Summary Table" sheetId="7" state="visible" r:id="rId9"/>
    <sheet name="Core &amp; Non-core" sheetId="8" state="visible" r:id="rId10"/>
    <sheet name="PGE - Core Analysis" sheetId="9" state="visible" r:id="rId11"/>
    <sheet name="Curves" sheetId="10" state="visible" r:id="rId12"/>
    <sheet name="DWR contracted" sheetId="11" state="visible" r:id="rId13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purchases'!$A$2:$AW$15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localSheetId="6" name="_xlnm.Print_Area" vbProcedure="false">'Summary Table'!$A$2:$P$34</definedName>
    <definedName function="false" hidden="false" name="printrange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<sst xmlns="http://schemas.openxmlformats.org/spreadsheetml/2006/main" count="1402" uniqueCount="410">
  <si>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</si>
  <si>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</si>
  <si>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</si>
  <si>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</si>
  <si>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</si>
  <si>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</si>
  <si>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</si>
  <si>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</si>
  <si>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</si>
  <si>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</si>
  <si>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</si>
  <si>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</si>
  <si>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</si>
  <si>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</si>
  <si>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</si>
  <si>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</si>
  <si>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</si>
  <si>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</si>
  <si>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</si>
  <si>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</si>
  <si>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</si>
  <si>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</si>
  <si>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</si>
  <si>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</si>
  <si>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</si>
  <si>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</si>
  <si>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</si>
  <si>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</si>
  <si>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</si>
  <si>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</si>
  <si>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</si>
  <si>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</si>
  <si>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</si>
  <si>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</si>
  <si>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</si>
  <si>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</si>
  <si>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</si>
  <si>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</si>
  <si>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</si>
  <si>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</si>
  <si>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</si>
  <si>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</si>
  <si>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</si>
  <si>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</si>
  <si>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</si>
  <si>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</si>
  <si>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</si>
  <si>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</si>
  <si>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</si>
  <si>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</si>
  <si>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</si>
  <si>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</si>
  <si>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</si>
  <si>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</si>
  <si>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</si>
  <si>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</si>
  <si>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</si>
  <si>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</si>
  <si>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</si>
  <si>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</si>
  <si>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</si>
  <si>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</si>
  <si>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</si>
  <si>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Over 500kW</t>
  </si>
  <si>
    <t xml:space="preserve">Core</t>
  </si>
  <si>
    <t xml:space="preserve">Non-Core</t>
  </si>
  <si>
    <t xml:space="preserve">Over 20kW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</si>
  <si>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</si>
  <si>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</si>
  <si>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</si>
  <si>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</si>
  <si>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</si>
  <si>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</si>
  <si>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</si>
  <si>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</si>
  <si>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</si>
  <si>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</si>
  <si>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</si>
  <si>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</si>
  <si>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</si>
  <si>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</si>
  <si>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</si>
  <si>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</si>
  <si>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</si>
  <si>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</si>
  <si>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</si>
  <si>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</si>
  <si>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</si>
  <si>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</si>
  <si>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</si>
  <si>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</si>
  <si>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</si>
  <si>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</si>
  <si>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</si>
  <si>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</si>
  <si>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</si>
  <si>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</si>
  <si>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</si>
  <si>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</si>
  <si>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</si>
  <si>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</si>
  <si>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</si>
  <si>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</si>
  <si>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</si>
  <si>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</si>
  <si>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</si>
  <si>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</si>
  <si>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</si>
  <si>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</si>
  <si>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</si>
  <si>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</si>
  <si>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</si>
  <si>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</si>
  <si>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</si>
  <si>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</si>
  <si>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</si>
  <si>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</si>
  <si>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</si>
  <si>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</si>
  <si>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</si>
  <si>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</si>
  <si>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</si>
  <si>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</si>
  <si>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</si>
  <si>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</si>
  <si>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</si>
  <si>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</si>
  <si>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</si>
  <si>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</si>
  <si>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</si>
  <si>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</si>
  <si>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</si>
  <si>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</si>
  <si>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</si>
  <si>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</si>
  <si>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</si>
  <si>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</si>
  <si>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</si>
  <si>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</si>
  <si>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</si>
  <si>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</si>
  <si>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</si>
  <si>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</si>
  <si>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</si>
  <si>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</si>
  <si>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</si>
  <si>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</si>
  <si>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</si>
  <si>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</si>
  <si>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</si>
  <si>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</si>
  <si>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</si>
  <si>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</si>
  <si>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</si>
  <si>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</si>
  <si>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</si>
  <si>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</si>
  <si>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</si>
  <si>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</si>
  <si>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</si>
  <si>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</si>
  <si>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</si>
  <si>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</si>
  <si>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</si>
  <si>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</si>
  <si>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</si>
  <si>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</si>
  <si>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</si>
  <si>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CONTRCT</t>
  </si>
  <si>
    <t xml:space="preserve">NON </t>
  </si>
  <si>
    <t xml:space="preserve">COST AT SP 15</t>
  </si>
  <si>
    <t xml:space="preserve">ORIGINAL</t>
  </si>
  <si>
    <t xml:space="preserve">PEAK</t>
  </si>
  <si>
    <t xml:space="preserve">COST AT PEAK</t>
  </si>
  <si>
    <t xml:space="preserve">COST AT  PEAK</t>
  </si>
  <si>
    <t xml:space="preserve">NON PEAK</t>
  </si>
  <si>
    <t xml:space="preserve">SP 15 NON</t>
  </si>
  <si>
    <t xml:space="preserve">ANNUAL CASH</t>
  </si>
  <si>
    <t xml:space="preserve">NON CONTRACTED</t>
  </si>
  <si>
    <t xml:space="preserve">CONTRACTED %</t>
  </si>
  <si>
    <t xml:space="preserve">SP 15 OFFER</t>
  </si>
  <si>
    <t xml:space="preserve">DELTA</t>
  </si>
  <si>
    <t xml:space="preserve">PEAK OFFER</t>
  </si>
  <si>
    <t xml:space="preserve">NEED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</si>
  <si>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</si>
  <si>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</si>
  <si>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</si>
  <si>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</si>
  <si>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</si>
  <si>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</si>
  <si>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</si>
  <si>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</si>
  <si>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npv (5.6%+1.75%)</t>
  </si>
  <si>
    <t xml:space="preserve">Q2</t>
  </si>
  <si>
    <t xml:space="preserve">Q3</t>
  </si>
  <si>
    <t xml:space="preserve">Q4</t>
  </si>
  <si>
    <t xml:space="preserve">Cost</t>
  </si>
  <si>
    <t xml:space="preserve">REGION 11</t>
  </si>
  <si>
    <t xml:space="preserve">SP15</t>
  </si>
  <si>
    <t xml:space="preserve">Bid</t>
  </si>
  <si>
    <t xml:space="preserve">Mid</t>
  </si>
  <si>
    <t xml:space="preserve">Offer</t>
  </si>
  <si>
    <t xml:space="preserve">($/MWH)</t>
  </si>
  <si>
    <t xml:space="preserve">Month</t>
  </si>
  <si>
    <t xml:space="preserve">Over 20kW - non-core/ Past Utility split</t>
  </si>
  <si>
    <t xml:space="preserve">Spot Prices (1=$104 from DWR, 0= $82.75 from Blend)</t>
  </si>
  <si>
    <t xml:space="preserve">25%/75% Scenario</t>
  </si>
  <si>
    <t xml:space="preserve">Past Utility split (1=Pro rata,  0=Pro rata + 1/2 to nc)</t>
  </si>
  <si>
    <t xml:space="preserve">Cost to Core:</t>
  </si>
  <si>
    <t xml:space="preserve">Cents per kw:</t>
  </si>
  <si>
    <t xml:space="preserve">PG&amp;E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</si>
  <si>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</si>
  <si>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</si>
  <si>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</si>
  <si>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</si>
  <si>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</si>
  <si>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Total Gen</t>
  </si>
  <si>
    <t xml:space="preserve">Other T&amp;D</t>
  </si>
  <si>
    <t xml:space="preserve">Total Core per proposal</t>
  </si>
  <si>
    <t xml:space="preserve">Total Core per current CPUC</t>
  </si>
  <si>
    <t xml:space="preserve">Cost to Non-Core:</t>
  </si>
  <si>
    <t xml:space="preserve">Other T&amp;D </t>
  </si>
  <si>
    <t xml:space="preserve">Total Non-Core per proposal</t>
  </si>
  <si>
    <t xml:space="preserve">Total Non-Core per current CPUC</t>
  </si>
  <si>
    <t xml:space="preserve">Toggle switch</t>
  </si>
  <si>
    <t xml:space="preserve">1=83,000 mw</t>
  </si>
  <si>
    <t xml:space="preserve">Total Vol</t>
  </si>
  <si>
    <t xml:space="preserve">0=93,000 mw</t>
  </si>
  <si>
    <t xml:space="preserve">1=dwr for spot (104)</t>
  </si>
  <si>
    <t xml:space="preserve">Prices</t>
  </si>
  <si>
    <t xml:space="preserve">0=dwr/hen for spot (82.75)</t>
  </si>
  <si>
    <t xml:space="preserve">Under 500kW (core) CPUC</t>
  </si>
  <si>
    <t xml:space="preserve">Over (non core) CPUC</t>
  </si>
  <si>
    <t xml:space="preserve">1=All nc</t>
  </si>
  <si>
    <t xml:space="preserve">Total CPUC (demand)</t>
  </si>
  <si>
    <t xml:space="preserve">Past Utility</t>
  </si>
  <si>
    <t xml:space="preserve">0=Core and NC</t>
  </si>
  <si>
    <t xml:space="preserve">Retained Gen + QF (supply)*</t>
  </si>
  <si>
    <t xml:space="preserve">1=Over 500kW</t>
  </si>
  <si>
    <t xml:space="preserve">20kW/500kW</t>
  </si>
  <si>
    <t xml:space="preserve">0=Over 20kW</t>
  </si>
  <si>
    <t xml:space="preserve">Retained Gen + QF</t>
  </si>
  <si>
    <t xml:space="preserve">*Past Utility - PG&amp;E, SCE only</t>
  </si>
  <si>
    <t xml:space="preserve">Open long (short)</t>
  </si>
  <si>
    <t xml:space="preserve">Core / Open Long / (short) position</t>
  </si>
  <si>
    <t xml:space="preserve">Under 20kW</t>
  </si>
  <si>
    <t xml:space="preserve">Under 20kW Core</t>
  </si>
  <si>
    <t xml:space="preserve">* From 2001 estimated (page 27 MOU slides)</t>
  </si>
  <si>
    <t xml:space="preserve">Over 20kW - Non-core</t>
  </si>
  <si>
    <t xml:space="preserve">Under 20kW 25%/75% Scenario</t>
  </si>
  <si>
    <t xml:space="preserve">Past DWR</t>
  </si>
  <si>
    <t xml:space="preserve">Future DWR</t>
  </si>
  <si>
    <t xml:space="preserve">Under 20kW 50%/50% Scenario</t>
  </si>
  <si>
    <t xml:space="preserve">Past Utility with 15 year amortization assumption</t>
  </si>
  <si>
    <t xml:space="preserve">Future Utility</t>
  </si>
  <si>
    <t xml:space="preserve">1=25% of Over 20kW - Non-Core/75% of Over 20kW - Core</t>
  </si>
  <si>
    <t xml:space="preserve">0=50% of Over 20kW - Non-Core/50% of Over 20kW - Core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</si>
  <si>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</si>
  <si>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</si>
  <si>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</si>
  <si>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</si>
  <si>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Share of Past Utility with 20 year amortization</t>
  </si>
  <si>
    <t xml:space="preserve">Share of Diff Between Mrkt Rates &amp; Future DWR contracts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</si>
  <si>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</si>
  <si>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</si>
  <si>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</si>
  <si>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</si>
  <si>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</si>
  <si>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Total Non-Core Load </t>
  </si>
  <si>
    <t xml:space="preserve">Cost to Non-Core</t>
  </si>
  <si>
    <t xml:space="preserve">Cost to Non-Core per proposed CPUC</t>
  </si>
  <si>
    <t xml:space="preserve">Core Rate T&amp;D (cents)</t>
  </si>
  <si>
    <t xml:space="preserve">Non Core T&amp;D (cents)</t>
  </si>
  <si>
    <t xml:space="preserve">All T&amp;D  (cents)</t>
  </si>
  <si>
    <t xml:space="preserve">Total dollars T&amp;D</t>
  </si>
  <si>
    <t xml:space="preserve">Core T&amp;D/non core T&amp;D</t>
  </si>
  <si>
    <t xml:space="preserve">Core T&amp;D/ All T&amp;D</t>
  </si>
  <si>
    <t xml:space="preserve">Per 12/31/00 10-K (kwh)</t>
  </si>
  <si>
    <t xml:space="preserve">Electric revenue</t>
  </si>
  <si>
    <t xml:space="preserve">Electric Revenue per kwh</t>
  </si>
  <si>
    <t xml:space="preserve">Generating portion per MOU</t>
  </si>
  <si>
    <t xml:space="preserve">T&amp;D and other costs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</si>
  <si>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</si>
  <si>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</si>
  <si>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</si>
  <si>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</si>
  <si>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</si>
  <si>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</si>
  <si>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</si>
  <si>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</si>
  <si>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</si>
  <si>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</si>
  <si>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</si>
  <si>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</si>
  <si>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</si>
  <si>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</si>
  <si>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</si>
  <si>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</si>
  <si>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</si>
  <si>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</si>
  <si>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Other T&amp;D (plug to total revenue)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</si>
  <si>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</si>
  <si>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</si>
  <si>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</si>
  <si>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</si>
  <si>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</si>
  <si>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</si>
  <si>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</si>
  <si>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</si>
  <si>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</si>
  <si>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</si>
  <si>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</si>
  <si>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</si>
  <si>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</si>
  <si>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</si>
  <si>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</si>
  <si>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</si>
  <si>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</si>
  <si>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</si>
  <si>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</si>
  <si>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</si>
  <si>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</si>
  <si>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</si>
  <si>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</si>
  <si>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</si>
  <si>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</si>
  <si>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</si>
  <si>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</si>
  <si>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Contracted &amp; Non Contracted</t>
  </si>
  <si>
    <t xml:space="preserve">At Indicated</t>
  </si>
  <si>
    <t xml:space="preserve">Curve Selection: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</si>
  <si>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</si>
  <si>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</si>
  <si>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</si>
  <si>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</si>
  <si>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</si>
  <si>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</si>
  <si>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</si>
  <si>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</si>
  <si>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Price</t>
  </si>
  <si>
    <t xml:space="preserve">Volume</t>
  </si>
  <si>
    <t xml:space="preserve">2= Henwood</t>
  </si>
  <si>
    <t xml:space="preserve">3= ENA</t>
  </si>
  <si>
    <t xml:space="preserve">NP-15 % of Blend:</t>
  </si>
  <si>
    <t xml:space="preserve">Yearly Henwood</t>
  </si>
  <si>
    <t xml:space="preserve">Table 1</t>
  </si>
  <si>
    <t xml:space="preserve">Agreements Executed and In Contract Development</t>
  </si>
  <si>
    <t xml:space="preserve">CDWR POWER BIDS STATUS</t>
  </si>
  <si>
    <t xml:space="preserve">AS OF April 9</t>
  </si>
  <si>
    <t xml:space="preserve">GENERAL TERMS</t>
  </si>
  <si>
    <t xml:space="preserve">STATUS</t>
  </si>
  <si>
    <t xml:space="preserve">NON-PEAK</t>
  </si>
  <si>
    <t xml:space="preserve">Contact No.</t>
  </si>
  <si>
    <t xml:space="preserve">Start</t>
  </si>
  <si>
    <t xml:space="preserve">Term </t>
  </si>
  <si>
    <t xml:space="preserve">Product</t>
  </si>
  <si>
    <t xml:space="preserve">Zone</t>
  </si>
  <si>
    <t xml:space="preserve">MW
2001</t>
  </si>
  <si>
    <t xml:space="preserve">MW
2002</t>
  </si>
  <si>
    <t xml:space="preserve">MW
2003</t>
  </si>
  <si>
    <t xml:space="preserve">MW
2004</t>
  </si>
  <si>
    <t xml:space="preserve">MW
2005</t>
  </si>
  <si>
    <t xml:space="preserve">MW
2006-10</t>
  </si>
  <si>
    <t xml:space="preserve">Submitted</t>
  </si>
  <si>
    <t xml:space="preserve">Agreement in Principle</t>
  </si>
  <si>
    <t xml:space="preserve">Signed Contract</t>
  </si>
  <si>
    <t xml:space="preserve">(MW shown reflect July capacity, before transmission losses)</t>
  </si>
  <si>
    <t xml:space="preserve">LONG TERM</t>
  </si>
  <si>
    <t xml:space="preserve">5 yr</t>
  </si>
  <si>
    <t xml:space="preserve">Peak</t>
  </si>
  <si>
    <t xml:space="preserve">14 mos</t>
  </si>
  <si>
    <t xml:space="preserve">Base</t>
  </si>
  <si>
    <t xml:space="preserve">*</t>
  </si>
  <si>
    <t xml:space="preserve">2/01</t>
  </si>
  <si>
    <t xml:space="preserve">2/?/01</t>
  </si>
  <si>
    <t xml:space="preserve">Bal. '01</t>
  </si>
  <si>
    <t xml:space="preserve">Op. Res.</t>
  </si>
  <si>
    <t xml:space="preserve">Unspec.</t>
  </si>
  <si>
    <t xml:space="preserve">Bal '01</t>
  </si>
  <si>
    <t xml:space="preserve">OffPeak</t>
  </si>
  <si>
    <t xml:space="preserve">**</t>
  </si>
  <si>
    <t xml:space="preserve">10 yr</t>
  </si>
  <si>
    <t xml:space="preserve">4.5 yr</t>
  </si>
  <si>
    <t xml:space="preserve">9.5 yr</t>
  </si>
  <si>
    <t xml:space="preserve">20 yr</t>
  </si>
  <si>
    <t xml:space="preserve">3 yr</t>
  </si>
  <si>
    <t xml:space="preserve">8 yr</t>
  </si>
  <si>
    <t xml:space="preserve">8.25 yr</t>
  </si>
  <si>
    <t xml:space="preserve">2.25 yr</t>
  </si>
  <si>
    <t xml:space="preserve">6 mos</t>
  </si>
  <si>
    <t xml:space="preserve">10.25 yr</t>
  </si>
  <si>
    <t xml:space="preserve">2.5 yr</t>
  </si>
  <si>
    <t xml:space="preserve">4 mos</t>
  </si>
  <si>
    <t xml:space="preserve">Jan</t>
  </si>
  <si>
    <t xml:space="preserve">1.5 yr</t>
  </si>
  <si>
    <t xml:space="preserve">10.3 yr</t>
  </si>
  <si>
    <t xml:space="preserve">17 mos</t>
  </si>
  <si>
    <t xml:space="preserve">SSPeak</t>
  </si>
  <si>
    <t xml:space="preserve">9 yr</t>
  </si>
  <si>
    <t xml:space="preserve">11.25 yr</t>
  </si>
  <si>
    <t xml:space="preserve">Sum. Peak</t>
  </si>
  <si>
    <t xml:space="preserve">6.25 yr</t>
  </si>
  <si>
    <t xml:space="preserve">10yr</t>
  </si>
  <si>
    <t xml:space="preserve">Agreements Being Negotiated</t>
  </si>
  <si>
    <t xml:space="preserve">Weekly Progress - Agreements Executed Since 3/14</t>
  </si>
  <si>
    <t xml:space="preserve">Executed Agreements</t>
  </si>
  <si>
    <t xml:space="preserve">Notes:</t>
  </si>
  <si>
    <t xml:space="preserve">Lines 26 and 28 represent the Block Forward contracts assumed by CDWR.</t>
  </si>
  <si>
    <t xml:space="preserve">*   Capacity provided during year, but not in July (month of maximum statewide net short)</t>
  </si>
  <si>
    <t xml:space="preserve">**  Off-Peak capacity is not part of peak MW tabulation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</si>
</sst>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mm/dd/yy"/>
    <numFmt numFmtId="179" formatCode="_(* #,##0.000_);_(* \(#,##0.000\);_(* \-??_);_(@_)"/>
    <numFmt numFmtId="180" formatCode="[$-409]m/d/yy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FFFFFF"/>
      <name val="Arial"/>
      <family val="2"/>
    </font>
    <font>
      <b val="true"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D140" s="28" t="s">
        <v>63</v>
      </c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64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65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28" t="s">
        <v>66</v>
      </c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  <row r="147" customFormat="false" ht="12.75" hidden="false" customHeight="false" outlineLevel="0" collapsed="false">
      <c r="D147" s="1" t="s">
        <v>64</v>
      </c>
      <c r="E147" s="2" t="n">
        <f aca="false">E8+E11+E14+E17+E20+E23+E62+E65+E68+E71+E74+E77+E80+E83+E86+E89+E92+E95+E98+E101+E107</f>
        <v>30686.646265</v>
      </c>
      <c r="F147" s="3" t="n">
        <f aca="false">+G147/E147*100</f>
        <v>11.7819342354256</v>
      </c>
      <c r="G147" s="2" t="n">
        <f aca="false">G8+G11+G14+G17+G20+G23+G62+G65+G68+G71+G74+G77+G80+G83+G86+G89+G92+G95+G98+G101+G107</f>
        <v>3615.480482</v>
      </c>
      <c r="H147" s="2" t="n">
        <f aca="false">H8+H11+H14+H17+H20+H23+H62+H65+H68+H71+H74+H77+H80+H83+H86+H89+H92+H95+H98+H101+H107</f>
        <v>756.387522</v>
      </c>
      <c r="I147" s="2" t="n">
        <f aca="false">I8+I11+I14+I17+I20+I23+I62+I65+I68+I71+I74+I77+I80+I83+I86+I89+I92+I95+I98+I101+I107</f>
        <v>4371.868004</v>
      </c>
      <c r="J147" s="9" t="n">
        <f aca="false">I147/E147*100</f>
        <v>14.2468093979575</v>
      </c>
      <c r="K147" s="12" t="n">
        <f aca="false">(J147-F147)/F147</f>
        <v>0.209208022492652</v>
      </c>
    </row>
    <row r="148" customFormat="false" ht="12.75" hidden="false" customHeight="false" outlineLevel="0" collapsed="false">
      <c r="D148" s="1" t="s">
        <v>65</v>
      </c>
      <c r="E148" s="2" t="n">
        <f aca="false">E44+E47+E50+E53+E56+E59+E104+E110+E113+E116+E26+E29+E32+E35+E38+E41++E119+E122</f>
        <v>51304.324662</v>
      </c>
      <c r="F148" s="3" t="n">
        <f aca="false">+G148/E148*100</f>
        <v>9.55476483180532</v>
      </c>
      <c r="G148" s="2" t="n">
        <f aca="false">G44+G47+G50+G53+G56+G59+G104+G110+G113+G116+G26+G29+G32+G35+G38+G41++G119+G122</f>
        <v>4902.00757</v>
      </c>
      <c r="H148" s="2" t="n">
        <f aca="false">H44+H47+H50+H53+H56+H59+H104+H110+H113+H116+H26+H29+H32+H35+H38+H41++H119+H122</f>
        <v>2126.3416</v>
      </c>
      <c r="I148" s="2" t="n">
        <f aca="false">I44+I47+I50+I53+I56+I59+I104+I110+I113+I116+I26+I29+I32+I35+I38+I41++I119+I122</f>
        <v>7028.34917</v>
      </c>
      <c r="J148" s="9" t="n">
        <f aca="false">I148/E148*100</f>
        <v>13.6993308386841</v>
      </c>
      <c r="K148" s="12" t="n">
        <f aca="false">(J148-F148)/F148</f>
        <v>0.433769546381994</v>
      </c>
    </row>
    <row r="149" customFormat="false" ht="12.75" hidden="false" customHeight="false" outlineLevel="0" collapsed="false">
      <c r="G149" s="2"/>
      <c r="H149" s="2"/>
      <c r="I149" s="2"/>
      <c r="K149" s="11"/>
    </row>
    <row r="150" customFormat="false" ht="12.75" hidden="false" customHeight="false" outlineLevel="0" collapsed="false">
      <c r="D150" s="1" t="s">
        <v>62</v>
      </c>
      <c r="E150" s="8" t="n">
        <f aca="false">+E147+E148</f>
        <v>81990.970927</v>
      </c>
      <c r="F150" s="3" t="n">
        <f aca="false">+G150/E150*100</f>
        <v>10.3883244163354</v>
      </c>
      <c r="G150" s="8" t="n">
        <f aca="false">+G147+G148</f>
        <v>8517.488052</v>
      </c>
      <c r="H150" s="8" t="n">
        <f aca="false">+H147+H148</f>
        <v>2882.729122</v>
      </c>
      <c r="I150" s="8" t="n">
        <f aca="false">+I147+I148</f>
        <v>11400.217174</v>
      </c>
      <c r="J150" s="9" t="n">
        <f aca="false">I150/E150*100</f>
        <v>13.9042348750207</v>
      </c>
      <c r="K150" s="12" t="n">
        <f aca="false">(J150-F150)/F150</f>
        <v>0.338448273058992</v>
      </c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45"/>
  <sheetViews>
    <sheetView showFormulas="false" showGridLines="true" showRowColHeaders="true" showZeros="true" rightToLeft="false" tabSelected="false" showOutlineSymbols="true" defaultGridColor="true" view="normal" topLeftCell="AB1" colorId="64" zoomScale="100" zoomScaleNormal="100" zoomScalePageLayoutView="100" workbookViewId="0">
      <selection pane="topLeft" activeCell="AG8" activeCellId="0" sqref="A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  <col collapsed="false" customWidth="true" hidden="false" outlineLevel="0" max="43" min="43" style="0" width="21.7"/>
    <col collapsed="false" customWidth="true" hidden="false" outlineLevel="0" max="46" min="46" style="0" width="11.85"/>
    <col collapsed="false" customWidth="true" hidden="false" outlineLevel="0" max="47" min="47" style="0" width="17.56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306</v>
      </c>
      <c r="I1" s="28"/>
      <c r="J1" s="28"/>
      <c r="K1" s="28"/>
      <c r="L1" s="28" t="s">
        <v>307</v>
      </c>
      <c r="M1" s="1"/>
      <c r="O1" s="28" t="s">
        <v>308</v>
      </c>
      <c r="Q1" s="28" t="s">
        <v>309</v>
      </c>
      <c r="T1" s="28" t="s">
        <v>310</v>
      </c>
      <c r="U1" s="28"/>
      <c r="V1" s="28"/>
      <c r="W1" s="28"/>
      <c r="AJ1" s="106"/>
      <c r="AK1" s="80"/>
      <c r="AL1" s="80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311</v>
      </c>
      <c r="Q2" s="28" t="s">
        <v>312</v>
      </c>
      <c r="T2" s="28" t="s">
        <v>313</v>
      </c>
      <c r="U2" s="28"/>
      <c r="V2" s="28"/>
      <c r="W2" s="28"/>
      <c r="X2" s="0" t="n">
        <f aca="false">COUNT(S7:S45)</f>
        <v>39</v>
      </c>
      <c r="Y2" s="0" t="s">
        <v>314</v>
      </c>
      <c r="AB2" s="110" t="n">
        <v>0.0734</v>
      </c>
    </row>
    <row r="3" customFormat="false" ht="12.75" hidden="false" customHeight="false" outlineLevel="0" collapsed="false">
      <c r="C3" s="1"/>
      <c r="D3" s="1" t="s">
        <v>315</v>
      </c>
      <c r="E3" s="1" t="s">
        <v>316</v>
      </c>
      <c r="F3" s="1"/>
      <c r="G3" s="1"/>
      <c r="H3" s="1" t="s">
        <v>196</v>
      </c>
      <c r="I3" s="1" t="s">
        <v>316</v>
      </c>
      <c r="J3" s="1"/>
      <c r="K3" s="1"/>
      <c r="L3" s="1" t="s">
        <v>196</v>
      </c>
      <c r="M3" s="1" t="s">
        <v>316</v>
      </c>
      <c r="T3" s="28" t="s">
        <v>317</v>
      </c>
      <c r="U3" s="28"/>
      <c r="V3" s="28"/>
      <c r="W3" s="28"/>
      <c r="Y3" s="0" t="s">
        <v>318</v>
      </c>
      <c r="AN3" s="70" t="s">
        <v>319</v>
      </c>
      <c r="AO3" s="70" t="s">
        <v>319</v>
      </c>
      <c r="AQ3" s="70" t="s">
        <v>319</v>
      </c>
      <c r="AU3" s="70" t="s">
        <v>319</v>
      </c>
    </row>
    <row r="4" customFormat="false" ht="12.75" hidden="false" customHeight="false" outlineLevel="0" collapsed="false">
      <c r="C4" s="1" t="s">
        <v>185</v>
      </c>
      <c r="D4" s="1" t="s">
        <v>320</v>
      </c>
      <c r="E4" s="1" t="s">
        <v>321</v>
      </c>
      <c r="F4" s="1"/>
      <c r="G4" s="1" t="s">
        <v>185</v>
      </c>
      <c r="H4" s="1" t="s">
        <v>320</v>
      </c>
      <c r="I4" s="1" t="s">
        <v>321</v>
      </c>
      <c r="J4" s="1"/>
      <c r="K4" s="1" t="s">
        <v>185</v>
      </c>
      <c r="L4" s="1" t="s">
        <v>320</v>
      </c>
      <c r="M4" s="1" t="s">
        <v>321</v>
      </c>
      <c r="O4" s="1" t="s">
        <v>320</v>
      </c>
      <c r="Q4" s="1" t="s">
        <v>320</v>
      </c>
      <c r="T4" s="28" t="s">
        <v>311</v>
      </c>
      <c r="U4" s="28"/>
      <c r="V4" s="28" t="s">
        <v>322</v>
      </c>
      <c r="W4" s="28"/>
      <c r="AE4" s="0" t="s">
        <v>323</v>
      </c>
      <c r="AF4" s="0" t="s">
        <v>323</v>
      </c>
      <c r="AG4" s="0" t="s">
        <v>324</v>
      </c>
      <c r="AH4" s="0" t="s">
        <v>324</v>
      </c>
      <c r="AI4" s="0" t="s">
        <v>324</v>
      </c>
      <c r="AJ4" s="0" t="s">
        <v>324</v>
      </c>
      <c r="AL4" s="0" t="s">
        <v>325</v>
      </c>
      <c r="AN4" s="70" t="s">
        <v>326</v>
      </c>
      <c r="AO4" s="70" t="s">
        <v>327</v>
      </c>
      <c r="AQ4" s="70" t="s">
        <v>328</v>
      </c>
      <c r="AU4" s="70" t="s">
        <v>327</v>
      </c>
    </row>
    <row r="5" customFormat="false" ht="12.75" hidden="false" customHeight="false" outlineLevel="0" collapsed="false">
      <c r="T5" s="28" t="s">
        <v>329</v>
      </c>
      <c r="U5" s="28"/>
      <c r="V5" s="111" t="n">
        <f aca="false">XNPV(AB2,V7:V45,S7:S45)</f>
        <v>56045584.0106964</v>
      </c>
      <c r="W5" s="111"/>
      <c r="Y5" s="0" t="s">
        <v>330</v>
      </c>
      <c r="AA5" s="0" t="n">
        <v>1</v>
      </c>
      <c r="AE5" s="0" t="s">
        <v>198</v>
      </c>
      <c r="AF5" s="0" t="s">
        <v>331</v>
      </c>
      <c r="AG5" s="0" t="s">
        <v>198</v>
      </c>
      <c r="AH5" s="0" t="s">
        <v>331</v>
      </c>
      <c r="AI5" s="0" t="s">
        <v>198</v>
      </c>
      <c r="AJ5" s="0" t="s">
        <v>331</v>
      </c>
      <c r="AL5" s="0" t="s">
        <v>332</v>
      </c>
      <c r="AN5" s="112" t="n">
        <v>0.0734</v>
      </c>
      <c r="AO5" s="112" t="n">
        <v>0.0734</v>
      </c>
      <c r="AQ5" s="112" t="n">
        <v>0.0734</v>
      </c>
      <c r="AU5" s="112" t="n">
        <v>0.0734</v>
      </c>
    </row>
    <row r="6" customFormat="false" ht="12.75" hidden="false" customHeight="false" outlineLevel="0" collapsed="false">
      <c r="A6" s="0" t="n">
        <v>2001</v>
      </c>
      <c r="B6" s="0" t="s">
        <v>191</v>
      </c>
      <c r="C6" s="8" t="n">
        <v>13308000</v>
      </c>
      <c r="D6" s="80" t="n">
        <f aca="false">E6*C6/1000</f>
        <v>3792780</v>
      </c>
      <c r="E6" s="80" t="n">
        <v>285</v>
      </c>
      <c r="G6" s="0" t="s">
        <v>333</v>
      </c>
      <c r="H6" s="0" t="s">
        <v>333</v>
      </c>
      <c r="I6" s="0" t="s">
        <v>333</v>
      </c>
      <c r="K6" s="0" t="s">
        <v>333</v>
      </c>
      <c r="L6" s="0" t="s">
        <v>333</v>
      </c>
      <c r="M6" s="0" t="s">
        <v>333</v>
      </c>
      <c r="T6" s="28" t="s">
        <v>334</v>
      </c>
      <c r="U6" s="28"/>
      <c r="V6" s="28"/>
      <c r="W6" s="28"/>
      <c r="Y6" s="0" t="s">
        <v>335</v>
      </c>
      <c r="AC6" s="0" t="n">
        <v>2001</v>
      </c>
      <c r="AD6" s="0" t="s">
        <v>191</v>
      </c>
      <c r="AG6" s="0" t="s">
        <v>336</v>
      </c>
      <c r="AH6" s="0" t="s">
        <v>336</v>
      </c>
      <c r="AI6" s="0" t="s">
        <v>337</v>
      </c>
      <c r="AJ6" s="0" t="s">
        <v>337</v>
      </c>
      <c r="AK6" s="0" t="s">
        <v>338</v>
      </c>
      <c r="AN6" s="113" t="n">
        <f aca="false">NPV(AN5/4,AN8:AN45)</f>
        <v>2249.94674923428</v>
      </c>
      <c r="AO6" s="113" t="n">
        <f aca="false">NPV(AO5/4,AO8:AO45)</f>
        <v>2250</v>
      </c>
      <c r="AQ6" s="113" t="n">
        <f aca="false">NPV(AQ5/4,AQ8:AQ45)</f>
        <v>51137136.2094619</v>
      </c>
      <c r="AS6" s="0" t="s">
        <v>339</v>
      </c>
      <c r="AT6" s="0" t="s">
        <v>340</v>
      </c>
      <c r="AU6" s="113" t="n">
        <f aca="false">NPV(AU5/4,AU8:AU45)</f>
        <v>51137136</v>
      </c>
    </row>
    <row r="7" customFormat="false" ht="12.75" hidden="false" customHeight="false" outlineLevel="0" collapsed="false">
      <c r="B7" s="0" t="s">
        <v>193</v>
      </c>
      <c r="C7" s="8" t="n">
        <v>17301661</v>
      </c>
      <c r="D7" s="80" t="n">
        <f aca="false">E7*C7/1000</f>
        <v>4550336.843</v>
      </c>
      <c r="E7" s="80" t="n">
        <v>263</v>
      </c>
      <c r="G7" s="8" t="n">
        <v>6835030</v>
      </c>
      <c r="H7" s="80" t="n">
        <f aca="false">I7*G7/1000</f>
        <v>922729.05</v>
      </c>
      <c r="I7" s="80" t="n">
        <v>135</v>
      </c>
      <c r="K7" s="8" t="n">
        <v>10466630</v>
      </c>
      <c r="L7" s="80" t="n">
        <f aca="false">K7*M7/1000</f>
        <v>3621453.98</v>
      </c>
      <c r="M7" s="80" t="n">
        <v>346</v>
      </c>
      <c r="O7" s="80" t="n">
        <f aca="false">(I7-M7)*G7/1000</f>
        <v>-1442191.33</v>
      </c>
      <c r="Q7" s="80" t="n">
        <f aca="false">O7</f>
        <v>-1442191.33</v>
      </c>
      <c r="S7" s="114" t="n">
        <v>37072</v>
      </c>
      <c r="T7" s="80" t="n">
        <f aca="false">XNPV($AB$2,O7:$O$45,S7:$S$45)</f>
        <v>-10907674.2768819</v>
      </c>
      <c r="U7" s="80"/>
      <c r="V7" s="80" t="n">
        <f aca="false">L7+H7</f>
        <v>4544183.03</v>
      </c>
      <c r="W7" s="80" t="n">
        <f aca="false">$V$5/$X$2</f>
        <v>1437066.25668452</v>
      </c>
      <c r="X7" s="113"/>
      <c r="Y7" s="0" t="s">
        <v>341</v>
      </c>
      <c r="AB7" s="115"/>
      <c r="AD7" s="0" t="s">
        <v>193</v>
      </c>
      <c r="AE7" s="0" t="s">
        <v>333</v>
      </c>
      <c r="AF7" s="0" t="s">
        <v>333</v>
      </c>
      <c r="AG7" s="0" t="s">
        <v>333</v>
      </c>
      <c r="AH7" s="0" t="s">
        <v>333</v>
      </c>
      <c r="AI7" s="0" t="s">
        <v>333</v>
      </c>
      <c r="AJ7" s="0" t="s">
        <v>333</v>
      </c>
      <c r="AK7" s="80" t="n">
        <v>346</v>
      </c>
      <c r="AL7" s="0" t="n">
        <v>1</v>
      </c>
    </row>
    <row r="8" customFormat="false" ht="12.75" hidden="false" customHeight="false" outlineLevel="0" collapsed="false">
      <c r="B8" s="0" t="s">
        <v>194</v>
      </c>
      <c r="C8" s="8" t="n">
        <v>21250889</v>
      </c>
      <c r="D8" s="80" t="n">
        <f aca="false">E8*C8/1000</f>
        <v>3676403.797</v>
      </c>
      <c r="E8" s="80" t="n">
        <v>173</v>
      </c>
      <c r="G8" s="8" t="n">
        <v>8241181</v>
      </c>
      <c r="H8" s="80" t="n">
        <f aca="false">I8*G8/1000</f>
        <v>1137282.978</v>
      </c>
      <c r="I8" s="80" t="n">
        <v>138</v>
      </c>
      <c r="K8" s="8" t="n">
        <v>13009708</v>
      </c>
      <c r="L8" s="80" t="n">
        <f aca="false">K8*M8/1000</f>
        <v>2536893.06</v>
      </c>
      <c r="M8" s="80" t="n">
        <f aca="false">IF($AA$5=1,AK8,IF($AA$5=2,$AA$10*AJ8+(1-$AA$10)*AI8,$AA$10*AF8+(1-$AA$10)*AE8))</f>
        <v>195</v>
      </c>
      <c r="O8" s="80" t="n">
        <f aca="false">(I8-M8)*G8/1000</f>
        <v>-469747.317</v>
      </c>
      <c r="Q8" s="80" t="n">
        <f aca="false">O8+Q7*(1+$AB$2)^0.25</f>
        <v>-1937704.12735985</v>
      </c>
      <c r="S8" s="114" t="n">
        <v>37164</v>
      </c>
      <c r="T8" s="80" t="n">
        <f aca="false">XNPV($AB$2,O8:$O$45,S8:$S$45)</f>
        <v>-9635990.95968337</v>
      </c>
      <c r="U8" s="80"/>
      <c r="V8" s="80" t="n">
        <f aca="false">L8+H8</f>
        <v>3674176.038</v>
      </c>
      <c r="W8" s="80" t="n">
        <f aca="false">$V$5/$X$2</f>
        <v>1437066.25668452</v>
      </c>
      <c r="X8" s="113"/>
      <c r="Y8" s="0" t="s">
        <v>342</v>
      </c>
      <c r="AB8" s="115"/>
      <c r="AD8" s="0" t="s">
        <v>194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80" t="n">
        <v>195</v>
      </c>
      <c r="AL8" s="0" t="n">
        <f aca="false">AL7*(1+$AA$12)^0.25</f>
        <v>1.00372908893809</v>
      </c>
      <c r="AN8" s="104" t="n">
        <f aca="false">(AJ8+AK8)/2</f>
        <v>206.135136044579</v>
      </c>
      <c r="AO8" s="0" t="n">
        <v>82.7545820152566</v>
      </c>
      <c r="AQ8" s="104" t="n">
        <f aca="false">+D8</f>
        <v>3676403.797</v>
      </c>
      <c r="AS8" s="104" t="n">
        <v>106.145304813907</v>
      </c>
      <c r="AT8" s="44" t="n">
        <f aca="false">+C8</f>
        <v>21250889</v>
      </c>
      <c r="AU8" s="80" t="n">
        <f aca="false">+AS8*AT8/1000</f>
        <v>2255682.09047149</v>
      </c>
    </row>
    <row r="9" customFormat="false" ht="12.75" hidden="false" customHeight="false" outlineLevel="0" collapsed="false">
      <c r="B9" s="0" t="s">
        <v>195</v>
      </c>
      <c r="C9" s="8" t="n">
        <v>17494520</v>
      </c>
      <c r="D9" s="80" t="n">
        <f aca="false">E9*C9/1000</f>
        <v>3096530.04</v>
      </c>
      <c r="E9" s="80" t="n">
        <v>177</v>
      </c>
      <c r="G9" s="8" t="n">
        <v>7583534</v>
      </c>
      <c r="H9" s="80" t="n">
        <f aca="false">I9*G9/1000</f>
        <v>940358.216</v>
      </c>
      <c r="I9" s="80" t="n">
        <v>124</v>
      </c>
      <c r="K9" s="8" t="n">
        <v>9910986</v>
      </c>
      <c r="L9" s="80" t="n">
        <f aca="false">K9*M9/1000</f>
        <v>2140772.976</v>
      </c>
      <c r="M9" s="80" t="n">
        <f aca="false">IF($AA$5=1,AK9,IF($AA$5=2,$AA$10*AJ9+(1-$AA$10)*AI9,$AA$10*AF9+(1-$AA$10)*AE9))</f>
        <v>216</v>
      </c>
      <c r="O9" s="80" t="n">
        <f aca="false">(I9-M9)*G9/1000</f>
        <v>-697685.128</v>
      </c>
      <c r="Q9" s="80" t="n">
        <f aca="false">O9+Q8*(1+$AB$2)^0.25</f>
        <v>-2670007.32343317</v>
      </c>
      <c r="S9" s="114" t="n">
        <v>37256</v>
      </c>
      <c r="T9" s="80" t="n">
        <f aca="false">XNPV($AB$2,O9:$O$45,S9:$S$45)</f>
        <v>-9331361.25972828</v>
      </c>
      <c r="U9" s="80"/>
      <c r="V9" s="80" t="n">
        <f aca="false">L9+H9</f>
        <v>3081131.192</v>
      </c>
      <c r="W9" s="80" t="n">
        <f aca="false">$V$5/$X$2</f>
        <v>1437066.25668452</v>
      </c>
      <c r="X9" s="113"/>
      <c r="AB9" s="115"/>
      <c r="AD9" s="0" t="s">
        <v>195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80" t="n">
        <v>216</v>
      </c>
      <c r="AL9" s="0" t="n">
        <f aca="false">AL8*(1+$AA$12)^0.25</f>
        <v>1.00747208398049</v>
      </c>
      <c r="AN9" s="104" t="n">
        <f aca="false">(AJ9+AK9)/2</f>
        <v>253.347707687612</v>
      </c>
      <c r="AO9" s="0" t="n">
        <f aca="false">+AO8</f>
        <v>82.7545820152566</v>
      </c>
      <c r="AQ9" s="104" t="n">
        <f aca="false">+D9</f>
        <v>3096530.04</v>
      </c>
      <c r="AS9" s="104" t="n">
        <f aca="false">+AS8</f>
        <v>106.145304813907</v>
      </c>
      <c r="AT9" s="44" t="n">
        <f aca="false">+G9</f>
        <v>7583534</v>
      </c>
      <c r="AU9" s="80" t="n">
        <f aca="false">+AS9*AT9/1000</f>
        <v>804956.527996624</v>
      </c>
    </row>
    <row r="10" customFormat="false" ht="12.75" hidden="false" customHeight="false" outlineLevel="0" collapsed="false">
      <c r="A10" s="0" t="n">
        <v>2002</v>
      </c>
      <c r="B10" s="0" t="s">
        <v>191</v>
      </c>
      <c r="C10" s="8" t="n">
        <v>13607508</v>
      </c>
      <c r="D10" s="80" t="n">
        <f aca="false">E10*C10/1000</f>
        <v>1837013.58</v>
      </c>
      <c r="E10" s="80" t="n">
        <v>135</v>
      </c>
      <c r="G10" s="8" t="n">
        <v>8874797</v>
      </c>
      <c r="H10" s="80" t="n">
        <f aca="false">I10*G10/1000</f>
        <v>887479.7</v>
      </c>
      <c r="I10" s="80" t="n">
        <v>100</v>
      </c>
      <c r="K10" s="8" t="n">
        <v>4732711</v>
      </c>
      <c r="L10" s="80" t="n">
        <f aca="false">K10*M10/1000</f>
        <v>946542.2</v>
      </c>
      <c r="M10" s="80" t="n">
        <f aca="false">IF($AA$5=1,AK10,IF($AA$5=2,$AA$10*AJ10+(1-$AA$10)*AI10,$AA$10*AF10+(1-$AA$10)*AE10))</f>
        <v>200</v>
      </c>
      <c r="O10" s="80" t="n">
        <f aca="false">(I10-M10)*G10/1000</f>
        <v>-887479.7</v>
      </c>
      <c r="Q10" s="80" t="n">
        <f aca="false">O10+Q9*(1+$AB$2)^0.25</f>
        <v>-3605188.05991949</v>
      </c>
      <c r="S10" s="114" t="n">
        <v>37346</v>
      </c>
      <c r="T10" s="80" t="n">
        <f aca="false">XNPV($AB$2,O10:$O$45,S10:$S$45)</f>
        <v>-8785789.6896331</v>
      </c>
      <c r="U10" s="80"/>
      <c r="V10" s="80" t="n">
        <f aca="false">L10+H10</f>
        <v>1834021.9</v>
      </c>
      <c r="W10" s="80" t="n">
        <f aca="false">$V$5/$X$2</f>
        <v>1437066.25668452</v>
      </c>
      <c r="X10" s="113"/>
      <c r="Y10" s="0" t="s">
        <v>343</v>
      </c>
      <c r="AA10" s="116" t="n">
        <v>0.4</v>
      </c>
      <c r="AB10" s="115"/>
      <c r="AC10" s="0" t="n">
        <v>2002</v>
      </c>
      <c r="AD10" s="0" t="s">
        <v>191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80" t="n">
        <v>200</v>
      </c>
      <c r="AL10" s="0" t="n">
        <f aca="false">AL9*(1+$AA$12)^0.25</f>
        <v>1.0112290369843</v>
      </c>
      <c r="AN10" s="104" t="n">
        <f aca="false">(AJ10+AK10)/2</f>
        <v>147.469935958037</v>
      </c>
      <c r="AO10" s="0" t="n">
        <f aca="false">+AO9</f>
        <v>82.7545820152566</v>
      </c>
      <c r="AQ10" s="104" t="n">
        <f aca="false">+D10</f>
        <v>1837013.58</v>
      </c>
      <c r="AS10" s="104" t="n">
        <f aca="false">+AS9</f>
        <v>106.145304813907</v>
      </c>
      <c r="AT10" s="44" t="n">
        <f aca="false">+G10</f>
        <v>8874797</v>
      </c>
      <c r="AU10" s="80" t="n">
        <f aca="false">+AS10*AT10/1000</f>
        <v>942018.032726543</v>
      </c>
    </row>
    <row r="11" customFormat="false" ht="12.75" hidden="false" customHeight="false" outlineLevel="0" collapsed="false">
      <c r="B11" s="0" t="s">
        <v>193</v>
      </c>
      <c r="C11" s="8" t="n">
        <v>15078598</v>
      </c>
      <c r="D11" s="80" t="n">
        <f aca="false">E11*C11/1000</f>
        <v>1914981.946</v>
      </c>
      <c r="E11" s="80" t="n">
        <v>127</v>
      </c>
      <c r="G11" s="8" t="n">
        <v>9736927</v>
      </c>
      <c r="H11" s="80" t="n">
        <f aca="false">I11*G11/1000</f>
        <v>1032114.262</v>
      </c>
      <c r="I11" s="80" t="n">
        <v>106</v>
      </c>
      <c r="K11" s="8" t="n">
        <v>5341672</v>
      </c>
      <c r="L11" s="80" t="n">
        <f aca="false">K11*M11/1000</f>
        <v>886717.552</v>
      </c>
      <c r="M11" s="80" t="n">
        <f aca="false">IF($AA$5=1,AK11,IF($AA$5=2,$AA$10*AJ11+(1-$AA$10)*AI11,$AA$10*AF11+(1-$AA$10)*AE11))</f>
        <v>166</v>
      </c>
      <c r="O11" s="80" t="n">
        <f aca="false">(I11-M11)*G11/1000</f>
        <v>-584215.62</v>
      </c>
      <c r="Q11" s="80" t="n">
        <f aca="false">O11+Q10*(1+$AB$2)^0.25</f>
        <v>-4253812.19508608</v>
      </c>
      <c r="S11" s="114" t="n">
        <v>37437</v>
      </c>
      <c r="T11" s="80" t="n">
        <f aca="false">XNPV($AB$2,O11:$O$45,S11:$S$45)</f>
        <v>-8039027.28892812</v>
      </c>
      <c r="U11" s="80"/>
      <c r="V11" s="80" t="n">
        <f aca="false">L11+H11</f>
        <v>1918831.814</v>
      </c>
      <c r="W11" s="80" t="n">
        <f aca="false">$V$5/$X$2</f>
        <v>1437066.25668452</v>
      </c>
      <c r="X11" s="113"/>
      <c r="AB11" s="115"/>
      <c r="AD11" s="0" t="s">
        <v>193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80" t="n">
        <v>166</v>
      </c>
      <c r="AL11" s="0" t="n">
        <f aca="false">AL10*(1+$AA$12)^0.25</f>
        <v>1.015</v>
      </c>
      <c r="AN11" s="104" t="n">
        <f aca="false">(AJ11+AK11)/2</f>
        <v>106.21408754712</v>
      </c>
      <c r="AO11" s="0" t="n">
        <f aca="false">+AO10</f>
        <v>82.7545820152566</v>
      </c>
      <c r="AQ11" s="104" t="n">
        <f aca="false">+D11</f>
        <v>1914981.946</v>
      </c>
      <c r="AS11" s="104" t="n">
        <f aca="false">+AS10</f>
        <v>106.145304813907</v>
      </c>
      <c r="AT11" s="44" t="n">
        <f aca="false">+G11</f>
        <v>9736927</v>
      </c>
      <c r="AU11" s="80" t="n">
        <f aca="false">+AS11*AT11/1000</f>
        <v>1033529.08436576</v>
      </c>
    </row>
    <row r="12" customFormat="false" ht="12.75" hidden="false" customHeight="false" outlineLevel="0" collapsed="false">
      <c r="B12" s="0" t="s">
        <v>194</v>
      </c>
      <c r="C12" s="8" t="n">
        <v>21547911</v>
      </c>
      <c r="D12" s="80" t="n">
        <f aca="false">E12*C12/1000</f>
        <v>2822776.341</v>
      </c>
      <c r="E12" s="80" t="n">
        <v>131</v>
      </c>
      <c r="G12" s="8" t="n">
        <v>12466863</v>
      </c>
      <c r="H12" s="80" t="n">
        <f aca="false">I12*G12/1000</f>
        <v>1396288.656</v>
      </c>
      <c r="I12" s="80" t="n">
        <v>112</v>
      </c>
      <c r="K12" s="8" t="n">
        <v>9081049</v>
      </c>
      <c r="L12" s="80" t="n">
        <f aca="false">K12*M12/1000</f>
        <v>1425724.693</v>
      </c>
      <c r="M12" s="80" t="n">
        <f aca="false">IF($AA$5=1,AK12,IF($AA$5=2,$AA$10*AJ12+(1-$AA$10)*AI12,$AA$10*AF12+(1-$AA$10)*AE12))</f>
        <v>157</v>
      </c>
      <c r="O12" s="80" t="n">
        <f aca="false">(I12-M12)*G12/1000</f>
        <v>-561008.835</v>
      </c>
      <c r="Q12" s="80" t="n">
        <f aca="false">O12+Q11*(1+$AB$2)^0.25</f>
        <v>-4890817.54475587</v>
      </c>
      <c r="S12" s="114" t="n">
        <v>37529</v>
      </c>
      <c r="T12" s="80" t="n">
        <f aca="false">XNPV($AB$2,O12:$O$45,S12:$S$45)</f>
        <v>-7589100.12844059</v>
      </c>
      <c r="U12" s="80"/>
      <c r="V12" s="80" t="n">
        <f aca="false">L12+H12</f>
        <v>2822013.349</v>
      </c>
      <c r="W12" s="80" t="n">
        <f aca="false">$V$5/$X$2</f>
        <v>1437066.25668452</v>
      </c>
      <c r="X12" s="113"/>
      <c r="Y12" s="0" t="s">
        <v>344</v>
      </c>
      <c r="AA12" s="110" t="n">
        <v>0.015</v>
      </c>
      <c r="AB12" s="115"/>
      <c r="AD12" s="0" t="s">
        <v>194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80" t="n">
        <v>157</v>
      </c>
      <c r="AL12" s="0" t="n">
        <f aca="false">AL11*(1+$AA$12)^0.25</f>
        <v>1.01878502527216</v>
      </c>
      <c r="AN12" s="104" t="n">
        <f aca="false">(AJ12+AK12)/2</f>
        <v>122.48662168963</v>
      </c>
      <c r="AO12" s="0" t="n">
        <f aca="false">+AO11</f>
        <v>82.7545820152566</v>
      </c>
      <c r="AQ12" s="104" t="n">
        <f aca="false">+D12</f>
        <v>2822776.341</v>
      </c>
      <c r="AS12" s="104" t="n">
        <f aca="false">+AS11</f>
        <v>106.145304813907</v>
      </c>
      <c r="AT12" s="44" t="n">
        <f aca="false">+G12</f>
        <v>12466863</v>
      </c>
      <c r="AU12" s="80" t="n">
        <f aca="false">+AS12*AT12/1000</f>
        <v>1323298.97320821</v>
      </c>
    </row>
    <row r="13" customFormat="false" ht="12.75" hidden="false" customHeight="false" outlineLevel="0" collapsed="false">
      <c r="B13" s="0" t="s">
        <v>195</v>
      </c>
      <c r="C13" s="8" t="n">
        <v>18261734</v>
      </c>
      <c r="D13" s="80" t="n">
        <f aca="false">E13*C13/1000</f>
        <v>2209669.814</v>
      </c>
      <c r="E13" s="80" t="n">
        <v>121</v>
      </c>
      <c r="G13" s="8" t="n">
        <v>11408290</v>
      </c>
      <c r="H13" s="80" t="n">
        <f aca="false">I13*G13/1000</f>
        <v>1060970.97</v>
      </c>
      <c r="I13" s="80" t="n">
        <v>93</v>
      </c>
      <c r="K13" s="8" t="n">
        <v>6853444</v>
      </c>
      <c r="L13" s="80" t="n">
        <f aca="false">K13*M13/1000</f>
        <v>1151378.592</v>
      </c>
      <c r="M13" s="80" t="n">
        <f aca="false">IF($AA$5=1,AK13,IF($AA$5=2,$AA$10*AJ13+(1-$AA$10)*AI13,$AA$10*AF13+(1-$AA$10)*AE13))</f>
        <v>168</v>
      </c>
      <c r="O13" s="80" t="n">
        <f aca="false">(I13-M13)*G13/1000</f>
        <v>-855621.75</v>
      </c>
      <c r="Q13" s="80" t="n">
        <f aca="false">O13+Q12*(1+$AB$2)^0.25</f>
        <v>-5833816.23342671</v>
      </c>
      <c r="S13" s="114" t="n">
        <v>37621</v>
      </c>
      <c r="T13" s="80" t="n">
        <f aca="false">XNPV($AB$2,O13:$O$45,S13:$S$45)</f>
        <v>-7154692.9562355</v>
      </c>
      <c r="U13" s="80"/>
      <c r="V13" s="80" t="n">
        <f aca="false">L13+H13</f>
        <v>2212349.562</v>
      </c>
      <c r="W13" s="80" t="n">
        <f aca="false">$V$5/$X$2</f>
        <v>1437066.25668452</v>
      </c>
      <c r="X13" s="113"/>
      <c r="Y13" s="0" t="s">
        <v>325</v>
      </c>
      <c r="AB13" s="115"/>
      <c r="AD13" s="0" t="s">
        <v>195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80" t="n">
        <v>168</v>
      </c>
      <c r="AL13" s="0" t="n">
        <f aca="false">AL12*(1+$AA$12)^0.25</f>
        <v>1.0225841652402</v>
      </c>
      <c r="AN13" s="104" t="n">
        <f aca="false">(AJ13+AK13)/2</f>
        <v>121.309552685878</v>
      </c>
      <c r="AO13" s="0" t="n">
        <f aca="false">+AO12</f>
        <v>82.7545820152566</v>
      </c>
      <c r="AQ13" s="104" t="n">
        <f aca="false">+D13</f>
        <v>2209669.814</v>
      </c>
      <c r="AS13" s="104" t="n">
        <f aca="false">+AS12</f>
        <v>106.145304813907</v>
      </c>
      <c r="AT13" s="44" t="n">
        <f aca="false">+G13</f>
        <v>11408290</v>
      </c>
      <c r="AU13" s="80" t="n">
        <f aca="false">+AS13*AT13/1000</f>
        <v>1210936.41945544</v>
      </c>
    </row>
    <row r="14" customFormat="false" ht="12.75" hidden="false" customHeight="false" outlineLevel="0" collapsed="false">
      <c r="A14" s="0" t="n">
        <v>2003</v>
      </c>
      <c r="B14" s="0" t="s">
        <v>191</v>
      </c>
      <c r="C14" s="8" t="n">
        <v>16026397</v>
      </c>
      <c r="D14" s="80" t="n">
        <f aca="false">E14*C14/1000</f>
        <v>1570586.906</v>
      </c>
      <c r="E14" s="80" t="n">
        <v>98</v>
      </c>
      <c r="G14" s="8" t="n">
        <v>12528699</v>
      </c>
      <c r="H14" s="80" t="n">
        <f aca="false">I14*G14/1000</f>
        <v>1089996.813</v>
      </c>
      <c r="I14" s="80" t="n">
        <v>87</v>
      </c>
      <c r="K14" s="8" t="n">
        <v>3497698</v>
      </c>
      <c r="L14" s="80" t="n">
        <f aca="false">K14*M14/1000</f>
        <v>479184.626</v>
      </c>
      <c r="M14" s="80" t="n">
        <f aca="false">IF($AA$5=1,AK14,IF($AA$5=2,$AA$10*AJ14+(1-$AA$10)*AI14,$AA$10*AF14+(1-$AA$10)*AE14))</f>
        <v>137</v>
      </c>
      <c r="O14" s="80" t="n">
        <f aca="false">(I14-M14)*G14/1000</f>
        <v>-626434.95</v>
      </c>
      <c r="Q14" s="80" t="n">
        <f aca="false">O14+Q13*(1+$AB$2)^0.25</f>
        <v>-6564475.27246304</v>
      </c>
      <c r="S14" s="114" t="n">
        <v>37711</v>
      </c>
      <c r="T14" s="80" t="n">
        <f aca="false">XNPV($AB$2,O14:$O$45,S14:$S$45)</f>
        <v>-6410052.22035474</v>
      </c>
      <c r="U14" s="80"/>
      <c r="V14" s="80" t="n">
        <f aca="false">L14+H14</f>
        <v>1569181.439</v>
      </c>
      <c r="W14" s="80" t="n">
        <f aca="false">$V$5/$X$2</f>
        <v>1437066.25668452</v>
      </c>
      <c r="X14" s="113"/>
      <c r="AB14" s="115"/>
      <c r="AC14" s="0" t="n">
        <v>2003</v>
      </c>
      <c r="AD14" s="0" t="s">
        <v>191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80" t="n">
        <v>137</v>
      </c>
      <c r="AL14" s="0" t="n">
        <f aca="false">AL13*(1+$AA$12)^0.25</f>
        <v>1.02639747253907</v>
      </c>
      <c r="AN14" s="104" t="n">
        <f aca="false">(AJ14+AK14)/2</f>
        <v>92.0239414544736</v>
      </c>
      <c r="AO14" s="0" t="n">
        <f aca="false">+AO13</f>
        <v>82.7545820152566</v>
      </c>
      <c r="AQ14" s="104" t="n">
        <f aca="false">+D14</f>
        <v>1570586.906</v>
      </c>
      <c r="AS14" s="104" t="n">
        <f aca="false">+AS13</f>
        <v>106.145304813907</v>
      </c>
      <c r="AT14" s="44" t="n">
        <f aca="false">+G14</f>
        <v>12528699</v>
      </c>
      <c r="AU14" s="80" t="n">
        <f aca="false">+AS14*AT14/1000</f>
        <v>1329862.57427669</v>
      </c>
    </row>
    <row r="15" customFormat="false" ht="12.75" hidden="false" customHeight="false" outlineLevel="0" collapsed="false">
      <c r="B15" s="0" t="s">
        <v>193</v>
      </c>
      <c r="C15" s="8" t="n">
        <v>16532781</v>
      </c>
      <c r="D15" s="80" t="n">
        <f aca="false">E15*C15/1000</f>
        <v>1521015.852</v>
      </c>
      <c r="E15" s="80" t="n">
        <v>92</v>
      </c>
      <c r="G15" s="8" t="n">
        <v>13862979</v>
      </c>
      <c r="H15" s="80" t="n">
        <f aca="false">I15*G15/1000</f>
        <v>1206079.173</v>
      </c>
      <c r="I15" s="80" t="n">
        <v>87</v>
      </c>
      <c r="K15" s="8" t="n">
        <v>2669802</v>
      </c>
      <c r="L15" s="80" t="n">
        <f aca="false">K15*M15/1000</f>
        <v>312366.834</v>
      </c>
      <c r="M15" s="80" t="n">
        <f aca="false">IF($AA$5=1,AK15,IF($AA$5=2,$AA$10*AJ15+(1-$AA$10)*AI15,$AA$10*AF15+(1-$AA$10)*AE15))</f>
        <v>117</v>
      </c>
      <c r="O15" s="80" t="n">
        <f aca="false">(I15-M15)*G15/1000</f>
        <v>-415889.37</v>
      </c>
      <c r="Q15" s="80" t="n">
        <f aca="false">O15+Q14*(1+$AB$2)^0.25</f>
        <v>-7097642.32621211</v>
      </c>
      <c r="S15" s="114" t="n">
        <v>37802</v>
      </c>
      <c r="T15" s="80" t="n">
        <f aca="false">XNPV($AB$2,O15:$O$45,S15:$S$45)</f>
        <v>-5886658.93414213</v>
      </c>
      <c r="U15" s="80"/>
      <c r="V15" s="80" t="n">
        <f aca="false">L15+H15</f>
        <v>1518446.007</v>
      </c>
      <c r="W15" s="80" t="n">
        <f aca="false">$V$5/$X$2</f>
        <v>1437066.25668452</v>
      </c>
      <c r="X15" s="113"/>
      <c r="AB15" s="115"/>
      <c r="AD15" s="0" t="s">
        <v>193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80" t="n">
        <v>117</v>
      </c>
      <c r="AL15" s="0" t="n">
        <f aca="false">AL14*(1+$AA$12)^0.25</f>
        <v>1.030225</v>
      </c>
      <c r="AN15" s="104" t="n">
        <f aca="false">(AJ15+AK15)/2</f>
        <v>74.3191907607153</v>
      </c>
      <c r="AO15" s="0" t="n">
        <f aca="false">+AO14</f>
        <v>82.7545820152566</v>
      </c>
      <c r="AQ15" s="104" t="n">
        <f aca="false">+D15</f>
        <v>1521015.852</v>
      </c>
      <c r="AS15" s="104" t="n">
        <f aca="false">+AS14</f>
        <v>106.145304813907</v>
      </c>
      <c r="AT15" s="44" t="n">
        <f aca="false">+G15</f>
        <v>13862979</v>
      </c>
      <c r="AU15" s="80" t="n">
        <f aca="false">+AS15*AT15/1000</f>
        <v>1471490.13158379</v>
      </c>
    </row>
    <row r="16" customFormat="false" ht="12.75" hidden="false" customHeight="false" outlineLevel="0" collapsed="false">
      <c r="B16" s="0" t="s">
        <v>194</v>
      </c>
      <c r="C16" s="8" t="n">
        <v>24085451</v>
      </c>
      <c r="D16" s="80" t="n">
        <f aca="false">E16*C16/1000</f>
        <v>2360374.198</v>
      </c>
      <c r="E16" s="80" t="n">
        <v>98</v>
      </c>
      <c r="G16" s="8" t="n">
        <v>18336722</v>
      </c>
      <c r="H16" s="80" t="n">
        <f aca="false">I16*G16/1000</f>
        <v>1686978.424</v>
      </c>
      <c r="I16" s="80" t="n">
        <v>92</v>
      </c>
      <c r="K16" s="8" t="n">
        <v>5748729</v>
      </c>
      <c r="L16" s="80" t="n">
        <f aca="false">K16*M16/1000</f>
        <v>689847.48</v>
      </c>
      <c r="M16" s="80" t="n">
        <f aca="false">IF($AA$5=1,AK16,IF($AA$5=2,$AA$10*AJ16+(1-$AA$10)*AI16,$AA$10*AF16+(1-$AA$10)*AE16))</f>
        <v>120</v>
      </c>
      <c r="O16" s="80" t="n">
        <f aca="false">(I16-M16)*G16/1000</f>
        <v>-513428.216</v>
      </c>
      <c r="Q16" s="80" t="n">
        <f aca="false">O16+Q15*(1+$AB$2)^0.25</f>
        <v>-7737873.52608338</v>
      </c>
      <c r="S16" s="114" t="n">
        <v>37894</v>
      </c>
      <c r="T16" s="80" t="n">
        <f aca="false">XNPV($AB$2,O16:$O$45,S16:$S$45)</f>
        <v>-5569318.15929691</v>
      </c>
      <c r="U16" s="80"/>
      <c r="V16" s="80" t="n">
        <f aca="false">L16+H16</f>
        <v>2376825.904</v>
      </c>
      <c r="W16" s="80" t="n">
        <f aca="false">$V$5/$X$2</f>
        <v>1437066.25668452</v>
      </c>
      <c r="X16" s="113"/>
      <c r="AB16" s="115"/>
      <c r="AD16" s="0" t="s">
        <v>194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80" t="n">
        <v>120</v>
      </c>
      <c r="AL16" s="0" t="n">
        <f aca="false">AL15*(1+$AA$12)^0.25</f>
        <v>1.03406680065125</v>
      </c>
      <c r="AN16" s="104" t="n">
        <f aca="false">(AJ16+AK16)/2</f>
        <v>93.8084303207324</v>
      </c>
      <c r="AO16" s="0" t="n">
        <f aca="false">+AO15</f>
        <v>82.7545820152566</v>
      </c>
      <c r="AQ16" s="104" t="n">
        <f aca="false">+D16</f>
        <v>2360374.198</v>
      </c>
      <c r="AS16" s="104" t="n">
        <f aca="false">+AS15</f>
        <v>106.145304813907</v>
      </c>
      <c r="AT16" s="44" t="n">
        <f aca="false">+G16</f>
        <v>18336722</v>
      </c>
      <c r="AU16" s="80" t="n">
        <f aca="false">+AS16*AT16/1000</f>
        <v>1946356.94597787</v>
      </c>
    </row>
    <row r="17" customFormat="false" ht="12.75" hidden="false" customHeight="false" outlineLevel="0" collapsed="false">
      <c r="B17" s="0" t="s">
        <v>195</v>
      </c>
      <c r="C17" s="8" t="n">
        <v>22311602</v>
      </c>
      <c r="D17" s="80" t="n">
        <f aca="false">E17*C17/1000</f>
        <v>1851862.966</v>
      </c>
      <c r="E17" s="80" t="n">
        <v>83</v>
      </c>
      <c r="G17" s="8" t="n">
        <v>19737558</v>
      </c>
      <c r="H17" s="80" t="n">
        <f aca="false">I17*G17/1000</f>
        <v>1598742.198</v>
      </c>
      <c r="I17" s="80" t="n">
        <v>81</v>
      </c>
      <c r="K17" s="8" t="n">
        <v>2574043</v>
      </c>
      <c r="L17" s="80" t="n">
        <f aca="false">K17*M17/1000</f>
        <v>265126.429</v>
      </c>
      <c r="M17" s="80" t="n">
        <f aca="false">IF($AA$5=1,AK17,IF($AA$5=2,$AA$10*AJ17+(1-$AA$10)*AI17,$AA$10*AF17+(1-$AA$10)*AE17))</f>
        <v>103</v>
      </c>
      <c r="O17" s="80" t="n">
        <f aca="false">(I17-M17)*G17/1000</f>
        <v>-434226.276</v>
      </c>
      <c r="Q17" s="80" t="n">
        <f aca="false">O17+Q16*(1+$AB$2)^0.25</f>
        <v>-8310340.84140742</v>
      </c>
      <c r="S17" s="114" t="n">
        <v>37986</v>
      </c>
      <c r="T17" s="80" t="n">
        <f aca="false">XNPV($AB$2,O17:$O$45,S17:$S$45)</f>
        <v>-5146965.037089</v>
      </c>
      <c r="U17" s="80"/>
      <c r="V17" s="80" t="n">
        <f aca="false">L17+H17</f>
        <v>1863868.627</v>
      </c>
      <c r="W17" s="80" t="n">
        <f aca="false">$V$5/$X$2</f>
        <v>1437066.25668452</v>
      </c>
      <c r="X17" s="113"/>
      <c r="AB17" s="115"/>
      <c r="AD17" s="0" t="s">
        <v>195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80" t="n">
        <v>103</v>
      </c>
      <c r="AL17" s="0" t="n">
        <f aca="false">AL16*(1+$AA$12)^0.25</f>
        <v>1.0379229277188</v>
      </c>
      <c r="AN17" s="104" t="n">
        <f aca="false">(AJ17+AK17)/2</f>
        <v>79.7820253239049</v>
      </c>
      <c r="AO17" s="0" t="n">
        <f aca="false">+AO16</f>
        <v>82.7545820152566</v>
      </c>
      <c r="AQ17" s="104" t="n">
        <f aca="false">+D17</f>
        <v>1851862.966</v>
      </c>
      <c r="AS17" s="104" t="n">
        <f aca="false">+AS16</f>
        <v>106.145304813907</v>
      </c>
      <c r="AT17" s="44" t="n">
        <f aca="false">+G17</f>
        <v>19737558</v>
      </c>
      <c r="AU17" s="80" t="n">
        <f aca="false">+AS17*AT17/1000</f>
        <v>2095049.11019216</v>
      </c>
    </row>
    <row r="18" customFormat="false" ht="12.75" hidden="false" customHeight="false" outlineLevel="0" collapsed="false">
      <c r="A18" s="0" t="n">
        <v>2004</v>
      </c>
      <c r="B18" s="0" t="s">
        <v>191</v>
      </c>
      <c r="C18" s="8" t="n">
        <v>21643805</v>
      </c>
      <c r="D18" s="80" t="n">
        <f aca="false">E18*C18/1000</f>
        <v>1666572.985</v>
      </c>
      <c r="E18" s="80" t="n">
        <v>77</v>
      </c>
      <c r="G18" s="8" t="n">
        <v>21398531</v>
      </c>
      <c r="H18" s="80" t="n">
        <f aca="false">I18*G18/1000</f>
        <v>1626288.356</v>
      </c>
      <c r="I18" s="80" t="n">
        <v>76</v>
      </c>
      <c r="K18" s="8" t="n">
        <v>245274</v>
      </c>
      <c r="L18" s="80" t="n">
        <f aca="false">K18*M18/1000</f>
        <v>22319.934</v>
      </c>
      <c r="M18" s="80" t="n">
        <f aca="false">IF($AA$5=1,AK18,IF($AA$5=2,$AA$10*AJ18+(1-$AA$10)*AI18,$AA$10*AF18+(1-$AA$10)*AE18))</f>
        <v>91</v>
      </c>
      <c r="O18" s="80" t="n">
        <f aca="false">(I18-M18)*G18/1000</f>
        <v>-320977.965</v>
      </c>
      <c r="Q18" s="80" t="n">
        <f aca="false">O18+Q17*(1+$AB$2)^0.25</f>
        <v>-8779787.26498078</v>
      </c>
      <c r="S18" s="114" t="n">
        <v>38077</v>
      </c>
      <c r="T18" s="80" t="n">
        <f aca="false">XNPV($AB$2,O18:$O$45,S18:$S$45)</f>
        <v>-4796701.51661693</v>
      </c>
      <c r="U18" s="80"/>
      <c r="V18" s="80" t="n">
        <f aca="false">L18+H18</f>
        <v>1648608.29</v>
      </c>
      <c r="W18" s="80" t="n">
        <f aca="false">$V$5/$X$2</f>
        <v>1437066.25668452</v>
      </c>
      <c r="X18" s="113"/>
      <c r="AB18" s="115"/>
      <c r="AC18" s="0" t="n">
        <v>2004</v>
      </c>
      <c r="AD18" s="0" t="s">
        <v>191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80" t="n">
        <v>91</v>
      </c>
      <c r="AL18" s="0" t="n">
        <f aca="false">AL17*(1+$AA$12)^0.25</f>
        <v>1.04179343462715</v>
      </c>
      <c r="AN18" s="104" t="n">
        <f aca="false">(AJ18+AK18)/2</f>
        <v>61.7506985212341</v>
      </c>
      <c r="AO18" s="0" t="n">
        <f aca="false">+AO17</f>
        <v>82.7545820152566</v>
      </c>
      <c r="AQ18" s="104" t="n">
        <f aca="false">+D18</f>
        <v>1666572.985</v>
      </c>
      <c r="AS18" s="104" t="n">
        <f aca="false">+AS17</f>
        <v>106.145304813907</v>
      </c>
      <c r="AT18" s="44" t="n">
        <f aca="false">+G18</f>
        <v>21398531</v>
      </c>
      <c r="AU18" s="80" t="n">
        <f aca="false">+AS18*AT18/1000</f>
        <v>2271353.59556483</v>
      </c>
    </row>
    <row r="19" customFormat="false" ht="12.75" hidden="false" customHeight="false" outlineLevel="0" collapsed="false">
      <c r="B19" s="0" t="s">
        <v>193</v>
      </c>
      <c r="C19" s="8" t="n">
        <v>20861843</v>
      </c>
      <c r="D19" s="80" t="n">
        <f aca="false">E19*C19/1000</f>
        <v>1606361.911</v>
      </c>
      <c r="E19" s="80" t="n">
        <v>77</v>
      </c>
      <c r="G19" s="8" t="n">
        <v>20019949</v>
      </c>
      <c r="H19" s="80" t="n">
        <f aca="false">I19*G19/1000</f>
        <v>1541536.073</v>
      </c>
      <c r="I19" s="80" t="n">
        <v>77</v>
      </c>
      <c r="K19" s="8" t="n">
        <v>841894</v>
      </c>
      <c r="L19" s="80" t="n">
        <f aca="false">K19*M19/1000</f>
        <v>76612.354</v>
      </c>
      <c r="M19" s="80" t="n">
        <f aca="false">IF($AA$5=1,AK19,IF($AA$5=2,$AA$10*AJ19+(1-$AA$10)*AI19,$AA$10*AF19+(1-$AA$10)*AE19))</f>
        <v>91</v>
      </c>
      <c r="O19" s="80" t="n">
        <f aca="false">(I19-M19)*G19/1000</f>
        <v>-280279.286</v>
      </c>
      <c r="Q19" s="80" t="n">
        <f aca="false">O19+Q18*(1+$AB$2)^0.25</f>
        <v>-9216921.90826513</v>
      </c>
      <c r="S19" s="114" t="n">
        <v>38168</v>
      </c>
      <c r="T19" s="80" t="n">
        <f aca="false">XNPV($AB$2,O19:$O$45,S19:$S$45)</f>
        <v>-4555463.6139089</v>
      </c>
      <c r="U19" s="80"/>
      <c r="V19" s="80" t="n">
        <f aca="false">L19+H19</f>
        <v>1618148.427</v>
      </c>
      <c r="W19" s="80" t="n">
        <f aca="false">$V$5/$X$2</f>
        <v>1437066.25668452</v>
      </c>
      <c r="X19" s="113"/>
      <c r="AB19" s="115"/>
      <c r="AD19" s="0" t="s">
        <v>193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80" t="n">
        <v>91</v>
      </c>
      <c r="AL19" s="0" t="n">
        <f aca="false">AL18*(1+$AA$12)^0.25</f>
        <v>1.045678375</v>
      </c>
      <c r="AN19" s="104" t="n">
        <f aca="false">(AJ19+AK19)/2</f>
        <v>58.6873254760821</v>
      </c>
      <c r="AO19" s="0" t="n">
        <f aca="false">+AO18</f>
        <v>82.7545820152566</v>
      </c>
      <c r="AQ19" s="104" t="n">
        <f aca="false">+D19</f>
        <v>1606361.911</v>
      </c>
      <c r="AS19" s="104" t="n">
        <f aca="false">+AS18</f>
        <v>106.145304813907</v>
      </c>
      <c r="AT19" s="44" t="n">
        <f aca="false">+G19</f>
        <v>20019949</v>
      </c>
      <c r="AU19" s="80" t="n">
        <f aca="false">+AS19*AT19/1000</f>
        <v>2125023.58896386</v>
      </c>
    </row>
    <row r="20" customFormat="false" ht="12.75" hidden="false" customHeight="false" outlineLevel="0" collapsed="false">
      <c r="B20" s="0" t="s">
        <v>194</v>
      </c>
      <c r="C20" s="8" t="n">
        <v>26363885</v>
      </c>
      <c r="D20" s="80" t="n">
        <f aca="false">E20*C20/1000</f>
        <v>2161838.57</v>
      </c>
      <c r="E20" s="80" t="n">
        <v>82</v>
      </c>
      <c r="G20" s="8" t="n">
        <v>21412396</v>
      </c>
      <c r="H20" s="80" t="n">
        <f aca="false">I20*G20/1000</f>
        <v>1734404.076</v>
      </c>
      <c r="I20" s="80" t="n">
        <v>81</v>
      </c>
      <c r="K20" s="8" t="n">
        <v>4951489</v>
      </c>
      <c r="L20" s="80" t="n">
        <f aca="false">K20*M20/1000</f>
        <v>420876.565</v>
      </c>
      <c r="M20" s="80" t="n">
        <f aca="false">IF($AA$5=1,AK20,IF($AA$5=2,$AA$10*AJ20+(1-$AA$10)*AI20,$AA$10*AF20+(1-$AA$10)*AE20))</f>
        <v>85</v>
      </c>
      <c r="O20" s="80" t="n">
        <f aca="false">(I20-M20)*G20/1000</f>
        <v>-85649.584</v>
      </c>
      <c r="Q20" s="80" t="n">
        <f aca="false">O20+Q19*(1+$AB$2)^0.25</f>
        <v>-9467236.48189983</v>
      </c>
      <c r="S20" s="114" t="n">
        <v>38260</v>
      </c>
      <c r="T20" s="80" t="n">
        <f aca="false">XNPV($AB$2,O20:$O$45,S20:$S$45)</f>
        <v>-4352196.05443174</v>
      </c>
      <c r="U20" s="80"/>
      <c r="V20" s="80" t="n">
        <f aca="false">L20+H20</f>
        <v>2155280.641</v>
      </c>
      <c r="W20" s="80" t="n">
        <f aca="false">$V$5/$X$2</f>
        <v>1437066.25668452</v>
      </c>
      <c r="X20" s="113"/>
      <c r="AB20" s="115"/>
      <c r="AD20" s="0" t="s">
        <v>194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80" t="n">
        <v>85</v>
      </c>
      <c r="AL20" s="0" t="n">
        <f aca="false">AL19*(1+$AA$12)^0.25</f>
        <v>1.04957780266102</v>
      </c>
      <c r="AN20" s="104" t="n">
        <f aca="false">(AJ20+AK20)/2</f>
        <v>69.7702856973581</v>
      </c>
      <c r="AO20" s="0" t="n">
        <f aca="false">+AO19</f>
        <v>82.7545820152566</v>
      </c>
      <c r="AQ20" s="104" t="n">
        <f aca="false">+D20</f>
        <v>2161838.57</v>
      </c>
      <c r="AS20" s="104" t="n">
        <f aca="false">+AS19</f>
        <v>106.145304813907</v>
      </c>
      <c r="AT20" s="44" t="n">
        <f aca="false">+G20</f>
        <v>21412396</v>
      </c>
      <c r="AU20" s="80" t="n">
        <f aca="false">+AS20*AT20/1000</f>
        <v>2272825.30021607</v>
      </c>
    </row>
    <row r="21" customFormat="false" ht="12.75" hidden="false" customHeight="false" outlineLevel="0" collapsed="false">
      <c r="B21" s="0" t="s">
        <v>195</v>
      </c>
      <c r="C21" s="8" t="n">
        <v>24659502</v>
      </c>
      <c r="D21" s="80" t="n">
        <f aca="false">E21*C21/1000</f>
        <v>1800143.646</v>
      </c>
      <c r="E21" s="80" t="n">
        <v>73</v>
      </c>
      <c r="G21" s="8" t="n">
        <v>23182863</v>
      </c>
      <c r="H21" s="80" t="n">
        <f aca="false">I21*G21/1000</f>
        <v>1715531.862</v>
      </c>
      <c r="I21" s="80" t="n">
        <v>74</v>
      </c>
      <c r="K21" s="8" t="n">
        <v>1476640</v>
      </c>
      <c r="L21" s="80" t="n">
        <f aca="false">K21*M21/1000</f>
        <v>98934.88</v>
      </c>
      <c r="M21" s="80" t="n">
        <f aca="false">IF($AA$5=1,AK21,IF($AA$5=2,$AA$10*AJ21+(1-$AA$10)*AI21,$AA$10*AF21+(1-$AA$10)*AE21))</f>
        <v>67</v>
      </c>
      <c r="O21" s="80" t="n">
        <f aca="false">(I21-M21)*G21/1000</f>
        <v>162280.041</v>
      </c>
      <c r="Q21" s="80" t="n">
        <f aca="false">O21+Q20*(1+$AB$2)^0.25</f>
        <v>-9474093.4274857</v>
      </c>
      <c r="S21" s="114" t="n">
        <v>38352</v>
      </c>
      <c r="T21" s="80" t="n">
        <f aca="false">XNPV($AB$2,O21:$O$45,S21:$S$45)</f>
        <v>-4343402.59750745</v>
      </c>
      <c r="U21" s="80"/>
      <c r="V21" s="80" t="n">
        <f aca="false">L21+H21</f>
        <v>1814466.742</v>
      </c>
      <c r="W21" s="80" t="n">
        <f aca="false">$V$5/$X$2</f>
        <v>1437066.25668452</v>
      </c>
      <c r="X21" s="113"/>
      <c r="AB21" s="115"/>
      <c r="AD21" s="0" t="s">
        <v>195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80" t="n">
        <v>67</v>
      </c>
      <c r="AL21" s="0" t="n">
        <f aca="false">AL20*(1+$AA$12)^0.25</f>
        <v>1.05349177163459</v>
      </c>
      <c r="AN21" s="104" t="n">
        <f aca="false">(AJ21+AK21)/2</f>
        <v>56.8035522952296</v>
      </c>
      <c r="AO21" s="0" t="n">
        <f aca="false">+AO20</f>
        <v>82.7545820152566</v>
      </c>
      <c r="AQ21" s="104" t="n">
        <f aca="false">+D21</f>
        <v>1800143.646</v>
      </c>
      <c r="AS21" s="104" t="n">
        <f aca="false">+AS20</f>
        <v>106.145304813907</v>
      </c>
      <c r="AT21" s="44" t="n">
        <f aca="false">+G21</f>
        <v>23182863</v>
      </c>
      <c r="AU21" s="80" t="n">
        <f aca="false">+AS21*AT21/1000</f>
        <v>2460752.05959404</v>
      </c>
    </row>
    <row r="22" customFormat="false" ht="12.75" hidden="false" customHeight="false" outlineLevel="0" collapsed="false">
      <c r="A22" s="0" t="n">
        <v>2005</v>
      </c>
      <c r="B22" s="0" t="s">
        <v>191</v>
      </c>
      <c r="C22" s="8" t="n">
        <v>21135169</v>
      </c>
      <c r="D22" s="80" t="n">
        <f aca="false">E22*C22/1000</f>
        <v>1416056.323</v>
      </c>
      <c r="E22" s="80" t="n">
        <v>67</v>
      </c>
      <c r="G22" s="8" t="n">
        <v>20750188</v>
      </c>
      <c r="H22" s="80" t="n">
        <f aca="false">I22*G22/1000</f>
        <v>1369512.408</v>
      </c>
      <c r="I22" s="80" t="n">
        <v>66</v>
      </c>
      <c r="K22" s="8" t="n">
        <v>384980</v>
      </c>
      <c r="L22" s="80" t="n">
        <f aca="false">K22*M22/1000</f>
        <v>30798.4</v>
      </c>
      <c r="M22" s="80" t="n">
        <f aca="false">IF($AA$5=1,AK22,IF($AA$5=2,$AA$10*AJ22+(1-$AA$10)*AI22,$AA$10*AF22+(1-$AA$10)*AE22))</f>
        <v>80</v>
      </c>
      <c r="O22" s="80" t="n">
        <f aca="false">(I22-M22)*G22/1000</f>
        <v>-290502.632</v>
      </c>
      <c r="Q22" s="80" t="n">
        <f aca="false">O22+Q21*(1+$AB$2)^0.25</f>
        <v>-9933855.54888597</v>
      </c>
      <c r="S22" s="114" t="n">
        <v>38442</v>
      </c>
      <c r="T22" s="80" t="n">
        <f aca="false">XNPV($AB$2,O22:$O$45,S22:$S$45)</f>
        <v>-4585066.60038838</v>
      </c>
      <c r="U22" s="80"/>
      <c r="V22" s="80" t="n">
        <f aca="false">L22+H22</f>
        <v>1400310.808</v>
      </c>
      <c r="W22" s="80" t="n">
        <f aca="false">$V$5/$X$2</f>
        <v>1437066.25668452</v>
      </c>
      <c r="X22" s="113"/>
      <c r="AB22" s="115"/>
      <c r="AC22" s="0" t="n">
        <v>2005</v>
      </c>
      <c r="AD22" s="0" t="s">
        <v>191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80" t="n">
        <v>80</v>
      </c>
      <c r="AL22" s="0" t="n">
        <f aca="false">AL21*(1+$AA$12)^0.25</f>
        <v>1.05742033614656</v>
      </c>
      <c r="AN22" s="104" t="n">
        <f aca="false">(AJ22+AK22)/2</f>
        <v>56.810589691359</v>
      </c>
      <c r="AO22" s="0" t="n">
        <f aca="false">+AO21</f>
        <v>82.7545820152566</v>
      </c>
      <c r="AQ22" s="104" t="n">
        <f aca="false">+D22</f>
        <v>1416056.323</v>
      </c>
      <c r="AS22" s="104" t="n">
        <f aca="false">+AS21</f>
        <v>106.145304813907</v>
      </c>
      <c r="AT22" s="44" t="n">
        <f aca="false">+G22</f>
        <v>20750188</v>
      </c>
      <c r="AU22" s="80" t="n">
        <f aca="false">+AS22*AT22/1000</f>
        <v>2202535.03020587</v>
      </c>
    </row>
    <row r="23" customFormat="false" ht="12.75" hidden="false" customHeight="false" outlineLevel="0" collapsed="false">
      <c r="B23" s="0" t="s">
        <v>193</v>
      </c>
      <c r="C23" s="8" t="n">
        <v>20467158</v>
      </c>
      <c r="D23" s="80" t="n">
        <f aca="false">E23*C23/1000</f>
        <v>1391766.744</v>
      </c>
      <c r="E23" s="80" t="n">
        <v>68</v>
      </c>
      <c r="G23" s="8" t="n">
        <v>19542403</v>
      </c>
      <c r="H23" s="80" t="n">
        <f aca="false">I23*G23/1000</f>
        <v>1309341.001</v>
      </c>
      <c r="I23" s="80" t="n">
        <v>67</v>
      </c>
      <c r="K23" s="8" t="n">
        <v>924755</v>
      </c>
      <c r="L23" s="80" t="n">
        <f aca="false">K23*M23/1000</f>
        <v>73055.645</v>
      </c>
      <c r="M23" s="80" t="n">
        <f aca="false">IF($AA$5=1,AK23,IF($AA$5=2,$AA$10*AJ23+(1-$AA$10)*AI23,$AA$10*AF23+(1-$AA$10)*AE23))</f>
        <v>79</v>
      </c>
      <c r="O23" s="80" t="n">
        <f aca="false">(I23-M23)*G23/1000</f>
        <v>-234508.836</v>
      </c>
      <c r="Q23" s="80" t="n">
        <f aca="false">O23+Q22*(1+$AB$2)^0.25</f>
        <v>-10345837.7580219</v>
      </c>
      <c r="S23" s="114" t="n">
        <v>38533</v>
      </c>
      <c r="T23" s="80" t="n">
        <f aca="false">XNPV($AB$2,O23:$O$45,S23:$S$45)</f>
        <v>-4371076.46841364</v>
      </c>
      <c r="U23" s="80"/>
      <c r="V23" s="80" t="n">
        <f aca="false">L23+H23</f>
        <v>1382396.646</v>
      </c>
      <c r="W23" s="80" t="n">
        <f aca="false">$V$5/$X$2</f>
        <v>1437066.25668452</v>
      </c>
      <c r="X23" s="113"/>
      <c r="AB23" s="115"/>
      <c r="AD23" s="0" t="s">
        <v>193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80" t="n">
        <v>79</v>
      </c>
      <c r="AL23" s="0" t="n">
        <f aca="false">AL22*(1+$AA$12)^0.25</f>
        <v>1.061363550625</v>
      </c>
      <c r="AN23" s="104" t="n">
        <f aca="false">(AJ23+AK23)/2</f>
        <v>52.9616312410424</v>
      </c>
      <c r="AO23" s="0" t="n">
        <f aca="false">+AO22</f>
        <v>82.7545820152566</v>
      </c>
      <c r="AQ23" s="104" t="n">
        <f aca="false">+D23</f>
        <v>1391766.744</v>
      </c>
      <c r="AS23" s="104" t="n">
        <f aca="false">+AS22</f>
        <v>106.145304813907</v>
      </c>
      <c r="AT23" s="44" t="n">
        <f aca="false">+G23</f>
        <v>19542403</v>
      </c>
      <c r="AU23" s="80" t="n">
        <f aca="false">+AS23*AT23/1000</f>
        <v>2074334.3232312</v>
      </c>
    </row>
    <row r="24" customFormat="false" ht="12.75" hidden="false" customHeight="false" outlineLevel="0" collapsed="false">
      <c r="B24" s="0" t="s">
        <v>194</v>
      </c>
      <c r="C24" s="8" t="n">
        <v>27079042</v>
      </c>
      <c r="D24" s="80" t="n">
        <f aca="false">E24*C24/1000</f>
        <v>1976770.066</v>
      </c>
      <c r="E24" s="80" t="n">
        <v>73</v>
      </c>
      <c r="G24" s="8" t="n">
        <v>20486838</v>
      </c>
      <c r="H24" s="80" t="n">
        <f aca="false">I24*G24/1000</f>
        <v>1516026.012</v>
      </c>
      <c r="I24" s="80" t="n">
        <v>74</v>
      </c>
      <c r="K24" s="8" t="n">
        <v>6592204</v>
      </c>
      <c r="L24" s="80" t="n">
        <f aca="false">K24*M24/1000</f>
        <v>468046.484</v>
      </c>
      <c r="M24" s="80" t="n">
        <f aca="false">IF($AA$5=1,AK24,IF($AA$5=2,$AA$10*AJ24+(1-$AA$10)*AI24,$AA$10*AF24+(1-$AA$10)*AE24))</f>
        <v>71</v>
      </c>
      <c r="O24" s="80" t="n">
        <f aca="false">(I24-M24)*G24/1000</f>
        <v>61460.514</v>
      </c>
      <c r="Q24" s="80" t="n">
        <f aca="false">O24+Q23*(1+$AB$2)^0.25</f>
        <v>-10469210.8885013</v>
      </c>
      <c r="S24" s="114" t="n">
        <v>38625</v>
      </c>
      <c r="T24" s="80" t="n">
        <f aca="false">XNPV($AB$2,O24:$O$45,S24:$S$45)</f>
        <v>-4211082.36460215</v>
      </c>
      <c r="U24" s="80"/>
      <c r="V24" s="80" t="n">
        <f aca="false">L24+H24</f>
        <v>1984072.496</v>
      </c>
      <c r="W24" s="80" t="n">
        <f aca="false">$V$5/$X$2</f>
        <v>1437066.25668452</v>
      </c>
      <c r="X24" s="113"/>
      <c r="AB24" s="115"/>
      <c r="AD24" s="0" t="s">
        <v>194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80" t="n">
        <v>71</v>
      </c>
      <c r="AL24" s="0" t="n">
        <f aca="false">AL23*(1+$AA$12)^0.25</f>
        <v>1.06532146970093</v>
      </c>
      <c r="AN24" s="104" t="n">
        <f aca="false">(AJ24+AK24)/2</f>
        <v>63.1466026201763</v>
      </c>
      <c r="AO24" s="0" t="n">
        <f aca="false">+AO23</f>
        <v>82.7545820152566</v>
      </c>
      <c r="AQ24" s="104" t="n">
        <f aca="false">+D24</f>
        <v>1976770.066</v>
      </c>
      <c r="AS24" s="104" t="n">
        <f aca="false">+AS23</f>
        <v>106.145304813907</v>
      </c>
      <c r="AT24" s="44" t="n">
        <f aca="false">+G24</f>
        <v>20486838</v>
      </c>
      <c r="AU24" s="80" t="n">
        <f aca="false">+AS24*AT24/1000</f>
        <v>2174581.66418312</v>
      </c>
    </row>
    <row r="25" customFormat="false" ht="12.75" hidden="false" customHeight="false" outlineLevel="0" collapsed="false">
      <c r="B25" s="0" t="s">
        <v>195</v>
      </c>
      <c r="C25" s="8" t="n">
        <v>24684859</v>
      </c>
      <c r="D25" s="80" t="n">
        <f aca="false">E25*C25/1000</f>
        <v>1629200.694</v>
      </c>
      <c r="E25" s="80" t="n">
        <v>66</v>
      </c>
      <c r="G25" s="8" t="n">
        <v>21060134</v>
      </c>
      <c r="H25" s="80" t="n">
        <f aca="false">I25*G25/1000</f>
        <v>1368908.71</v>
      </c>
      <c r="I25" s="80" t="n">
        <v>65</v>
      </c>
      <c r="K25" s="8" t="n">
        <v>3624725</v>
      </c>
      <c r="L25" s="80" t="n">
        <f aca="false">K25*M25/1000</f>
        <v>246481.3</v>
      </c>
      <c r="M25" s="80" t="n">
        <f aca="false">IF($AA$5=1,AK25,IF($AA$5=2,$AA$10*AJ25+(1-$AA$10)*AI25,$AA$10*AF25+(1-$AA$10)*AE25))</f>
        <v>68</v>
      </c>
      <c r="O25" s="80" t="n">
        <f aca="false">(I25-M25)*G25/1000</f>
        <v>-63180.402</v>
      </c>
      <c r="Q25" s="80" t="n">
        <f aca="false">O25+Q24*(1+$AB$2)^0.25</f>
        <v>-10719429.0585974</v>
      </c>
      <c r="S25" s="114" t="n">
        <v>38717</v>
      </c>
      <c r="T25" s="80" t="n">
        <f aca="false">XNPV($AB$2,O25:$O$45,S25:$S$45)</f>
        <v>-4349507.02294934</v>
      </c>
      <c r="U25" s="80"/>
      <c r="V25" s="80" t="n">
        <f aca="false">L25+H25</f>
        <v>1615390.01</v>
      </c>
      <c r="W25" s="80" t="n">
        <f aca="false">$V$5/$X$2</f>
        <v>1437066.25668452</v>
      </c>
      <c r="X25" s="113"/>
      <c r="AB25" s="115"/>
      <c r="AD25" s="0" t="s">
        <v>195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80" t="n">
        <v>68</v>
      </c>
      <c r="AL25" s="0" t="n">
        <f aca="false">AL24*(1+$AA$12)^0.25</f>
        <v>1.0692941482091</v>
      </c>
      <c r="AN25" s="104" t="n">
        <f aca="false">(AJ25+AK25)/2</f>
        <v>56.7335799352824</v>
      </c>
      <c r="AO25" s="0" t="n">
        <f aca="false">+AO24</f>
        <v>82.7545820152566</v>
      </c>
      <c r="AQ25" s="104" t="n">
        <f aca="false">+D25</f>
        <v>1629200.694</v>
      </c>
      <c r="AS25" s="104" t="n">
        <f aca="false">+AS24</f>
        <v>106.145304813907</v>
      </c>
      <c r="AT25" s="44" t="n">
        <f aca="false">+G25</f>
        <v>21060134</v>
      </c>
      <c r="AU25" s="80" t="n">
        <f aca="false">+AS25*AT25/1000</f>
        <v>2235434.34285172</v>
      </c>
    </row>
    <row r="26" customFormat="false" ht="12.75" hidden="false" customHeight="false" outlineLevel="0" collapsed="false">
      <c r="A26" s="0" t="n">
        <v>2006</v>
      </c>
      <c r="B26" s="0" t="s">
        <v>191</v>
      </c>
      <c r="C26" s="8" t="n">
        <v>21949030</v>
      </c>
      <c r="D26" s="80" t="n">
        <f aca="false">E26*C26/1000</f>
        <v>1316941.8</v>
      </c>
      <c r="E26" s="80" t="n">
        <v>60</v>
      </c>
      <c r="G26" s="8" t="n">
        <v>21151029</v>
      </c>
      <c r="H26" s="80" t="n">
        <f aca="false">I26*G26/1000</f>
        <v>1247910.711</v>
      </c>
      <c r="I26" s="80" t="n">
        <v>59</v>
      </c>
      <c r="K26" s="8" t="n">
        <v>798000</v>
      </c>
      <c r="L26" s="80" t="n">
        <f aca="false">K26*M26/1000</f>
        <v>65436</v>
      </c>
      <c r="M26" s="80" t="n">
        <f aca="false">IF($AA$5=1,AK26,IF($AA$5=2,$AA$10*AJ26+(1-$AA$10)*AI26,$AA$10*AF26+(1-$AA$10)*AE26))</f>
        <v>82</v>
      </c>
      <c r="O26" s="80" t="n">
        <f aca="false">(I26-M26)*G26/1000</f>
        <v>-486473.667</v>
      </c>
      <c r="Q26" s="80" t="n">
        <f aca="false">O26+Q25*(1+$AB$2)^0.25</f>
        <v>-11397410.7683466</v>
      </c>
      <c r="S26" s="114" t="n">
        <v>38807</v>
      </c>
      <c r="T26" s="80" t="n">
        <f aca="false">XNPV($AB$2,O26:$O$45,S26:$S$45)</f>
        <v>-4361845.8299985</v>
      </c>
      <c r="U26" s="80"/>
      <c r="V26" s="80" t="n">
        <f aca="false">L26+H26</f>
        <v>1313346.711</v>
      </c>
      <c r="W26" s="80" t="n">
        <f aca="false">$V$5/$X$2</f>
        <v>1437066.25668452</v>
      </c>
      <c r="X26" s="113"/>
      <c r="AB26" s="115"/>
      <c r="AC26" s="0" t="n">
        <v>2006</v>
      </c>
      <c r="AD26" s="0" t="s">
        <v>191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80" t="n">
        <v>82</v>
      </c>
      <c r="AL26" s="0" t="n">
        <f aca="false">AL25*(1+$AA$12)^0.25</f>
        <v>1.07328164118876</v>
      </c>
      <c r="AN26" s="104" t="n">
        <f aca="false">(AJ26+AK26)/2</f>
        <v>57.6622454959305</v>
      </c>
      <c r="AO26" s="0" t="n">
        <f aca="false">+AO25</f>
        <v>82.7545820152566</v>
      </c>
      <c r="AQ26" s="104" t="n">
        <f aca="false">+D26</f>
        <v>1316941.8</v>
      </c>
      <c r="AS26" s="104" t="n">
        <f aca="false">+AS25</f>
        <v>106.145304813907</v>
      </c>
      <c r="AT26" s="44" t="n">
        <f aca="false">+G26</f>
        <v>21151029</v>
      </c>
      <c r="AU26" s="80" t="n">
        <f aca="false">+AS26*AT26/1000</f>
        <v>2245082.42033278</v>
      </c>
    </row>
    <row r="27" customFormat="false" ht="12.75" hidden="false" customHeight="false" outlineLevel="0" collapsed="false">
      <c r="B27" s="0" t="s">
        <v>193</v>
      </c>
      <c r="C27" s="8" t="n">
        <v>21490395</v>
      </c>
      <c r="D27" s="80" t="n">
        <f aca="false">E27*C27/1000</f>
        <v>1332404.49</v>
      </c>
      <c r="E27" s="80" t="n">
        <v>62</v>
      </c>
      <c r="G27" s="8" t="n">
        <v>19575129</v>
      </c>
      <c r="H27" s="80" t="n">
        <f aca="false">I27*G27/1000</f>
        <v>1174507.74</v>
      </c>
      <c r="I27" s="80" t="n">
        <v>60</v>
      </c>
      <c r="K27" s="8" t="n">
        <v>1915266</v>
      </c>
      <c r="L27" s="80" t="n">
        <f aca="false">K27*M27/1000</f>
        <v>151306.014</v>
      </c>
      <c r="M27" s="80" t="n">
        <f aca="false">IF($AA$5=1,AK27,IF($AA$5=2,$AA$10*AJ27+(1-$AA$10)*AI27,$AA$10*AF27+(1-$AA$10)*AE27))</f>
        <v>79</v>
      </c>
      <c r="O27" s="80" t="n">
        <f aca="false">(I27-M27)*G27/1000</f>
        <v>-371927.451</v>
      </c>
      <c r="Q27" s="80" t="n">
        <f aca="false">O27+Q26*(1+$AB$2)^0.25</f>
        <v>-11972958.7495747</v>
      </c>
      <c r="S27" s="114" t="n">
        <v>38898</v>
      </c>
      <c r="T27" s="80" t="n">
        <f aca="false">XNPV($AB$2,O27:$O$45,S27:$S$45)</f>
        <v>-3944416.28829315</v>
      </c>
      <c r="U27" s="80"/>
      <c r="V27" s="80" t="n">
        <f aca="false">L27+H27</f>
        <v>1325813.754</v>
      </c>
      <c r="W27" s="80" t="n">
        <f aca="false">$V$5/$X$2</f>
        <v>1437066.25668452</v>
      </c>
      <c r="X27" s="113"/>
      <c r="AB27" s="115"/>
      <c r="AD27" s="0" t="s">
        <v>193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80" t="n">
        <v>79</v>
      </c>
      <c r="AL27" s="0" t="n">
        <f aca="false">AL26*(1+$AA$12)^0.25</f>
        <v>1.07728400388437</v>
      </c>
      <c r="AN27" s="104" t="n">
        <f aca="false">(AJ27+AK27)/2</f>
        <v>53.1307796071503</v>
      </c>
      <c r="AO27" s="0" t="n">
        <f aca="false">+AO26</f>
        <v>82.7545820152566</v>
      </c>
      <c r="AQ27" s="104" t="n">
        <f aca="false">+D27</f>
        <v>1332404.49</v>
      </c>
      <c r="AS27" s="104" t="n">
        <f aca="false">+AS26</f>
        <v>106.145304813907</v>
      </c>
      <c r="AT27" s="44" t="n">
        <f aca="false">+G27</f>
        <v>19575129</v>
      </c>
      <c r="AU27" s="80" t="n">
        <f aca="false">+AS27*AT27/1000</f>
        <v>2077808.03447654</v>
      </c>
    </row>
    <row r="28" customFormat="false" ht="12.75" hidden="false" customHeight="false" outlineLevel="0" collapsed="false">
      <c r="B28" s="0" t="s">
        <v>194</v>
      </c>
      <c r="C28" s="8" t="n">
        <v>28313503</v>
      </c>
      <c r="D28" s="80" t="n">
        <f aca="false">E28*C28/1000</f>
        <v>1925318.204</v>
      </c>
      <c r="E28" s="80" t="n">
        <v>68</v>
      </c>
      <c r="G28" s="8" t="n">
        <v>19753088</v>
      </c>
      <c r="H28" s="80" t="n">
        <f aca="false">I28*G28/1000</f>
        <v>1323456.896</v>
      </c>
      <c r="I28" s="80" t="n">
        <v>67</v>
      </c>
      <c r="K28" s="8" t="n">
        <v>8560415</v>
      </c>
      <c r="L28" s="80" t="n">
        <f aca="false">K28*M28/1000</f>
        <v>607789.465</v>
      </c>
      <c r="M28" s="80" t="n">
        <f aca="false">IF($AA$5=1,AK28,IF($AA$5=2,$AA$10*AJ28+(1-$AA$10)*AI28,$AA$10*AF28+(1-$AA$10)*AE28))</f>
        <v>71</v>
      </c>
      <c r="O28" s="80" t="n">
        <f aca="false">(I28-M28)*G28/1000</f>
        <v>-79012.352</v>
      </c>
      <c r="Q28" s="80" t="n">
        <f aca="false">O28+Q27*(1+$AB$2)^0.25</f>
        <v>-12265874.0887127</v>
      </c>
      <c r="S28" s="114" t="n">
        <v>38990</v>
      </c>
      <c r="T28" s="80" t="n">
        <f aca="false">XNPV($AB$2,O28:$O$45,S28:$S$45)</f>
        <v>-3636842.44458617</v>
      </c>
      <c r="U28" s="80"/>
      <c r="V28" s="80" t="n">
        <f aca="false">L28+H28</f>
        <v>1931246.361</v>
      </c>
      <c r="W28" s="80" t="n">
        <f aca="false">$V$5/$X$2</f>
        <v>1437066.25668452</v>
      </c>
      <c r="X28" s="113"/>
      <c r="AB28" s="115"/>
      <c r="AD28" s="0" t="s">
        <v>194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80" t="n">
        <v>71</v>
      </c>
      <c r="AL28" s="0" t="n">
        <f aca="false">AL27*(1+$AA$12)^0.25</f>
        <v>1.08130129174644</v>
      </c>
      <c r="AN28" s="104" t="n">
        <f aca="false">(AJ28+AK28)/2</f>
        <v>62.5447388370454</v>
      </c>
      <c r="AO28" s="0" t="n">
        <f aca="false">+AO27</f>
        <v>82.7545820152566</v>
      </c>
      <c r="AQ28" s="104" t="n">
        <f aca="false">+D28</f>
        <v>1925318.204</v>
      </c>
      <c r="AS28" s="104" t="n">
        <f aca="false">+AS27</f>
        <v>106.145304813907</v>
      </c>
      <c r="AT28" s="44" t="n">
        <f aca="false">+G28</f>
        <v>19753088</v>
      </c>
      <c r="AU28" s="80" t="n">
        <f aca="false">+AS28*AT28/1000</f>
        <v>2096697.54677592</v>
      </c>
    </row>
    <row r="29" customFormat="false" ht="12.75" hidden="false" customHeight="false" outlineLevel="0" collapsed="false">
      <c r="B29" s="0" t="s">
        <v>195</v>
      </c>
      <c r="C29" s="8" t="n">
        <v>25180516</v>
      </c>
      <c r="D29" s="80" t="n">
        <f aca="false">E29*C29/1000</f>
        <v>1561191.992</v>
      </c>
      <c r="E29" s="80" t="n">
        <v>62</v>
      </c>
      <c r="G29" s="8" t="n">
        <v>19795707</v>
      </c>
      <c r="H29" s="80" t="n">
        <f aca="false">I29*G29/1000</f>
        <v>1167946.713</v>
      </c>
      <c r="I29" s="80" t="n">
        <v>59</v>
      </c>
      <c r="K29" s="8" t="n">
        <v>5384808</v>
      </c>
      <c r="L29" s="80" t="n">
        <f aca="false">K29*M29/1000</f>
        <v>382321.368</v>
      </c>
      <c r="M29" s="80" t="n">
        <f aca="false">IF($AA$5=1,AK29,IF($AA$5=2,$AA$10*AJ29+(1-$AA$10)*AI29,$AA$10*AF29+(1-$AA$10)*AE29))</f>
        <v>71</v>
      </c>
      <c r="O29" s="80" t="n">
        <f aca="false">(I29-M29)*G29/1000</f>
        <v>-237548.484</v>
      </c>
      <c r="Q29" s="80" t="n">
        <f aca="false">O29+Q28*(1+$AB$2)^0.25</f>
        <v>-12722558.6411074</v>
      </c>
      <c r="S29" s="114" t="n">
        <v>39082</v>
      </c>
      <c r="T29" s="80" t="n">
        <f aca="false">XNPV($AB$2,O29:$O$45,S29:$S$45)</f>
        <v>-3621919.64220309</v>
      </c>
      <c r="U29" s="80"/>
      <c r="V29" s="80" t="n">
        <f aca="false">L29+H29</f>
        <v>1550268.081</v>
      </c>
      <c r="W29" s="80" t="n">
        <f aca="false">$V$5/$X$2</f>
        <v>1437066.25668452</v>
      </c>
      <c r="X29" s="113"/>
      <c r="AB29" s="115"/>
      <c r="AD29" s="0" t="s">
        <v>195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80" t="n">
        <v>71</v>
      </c>
      <c r="AL29" s="0" t="n">
        <f aca="false">AL28*(1+$AA$12)^0.25</f>
        <v>1.08533356043224</v>
      </c>
      <c r="AN29" s="104" t="n">
        <f aca="false">(AJ29+AK29)/2</f>
        <v>57.9218231192963</v>
      </c>
      <c r="AO29" s="0" t="n">
        <f aca="false">+AO28</f>
        <v>82.7545820152566</v>
      </c>
      <c r="AQ29" s="104" t="n">
        <f aca="false">+D29</f>
        <v>1561191.992</v>
      </c>
      <c r="AS29" s="104" t="n">
        <f aca="false">+AS28</f>
        <v>106.145304813907</v>
      </c>
      <c r="AT29" s="44" t="n">
        <f aca="false">+G29</f>
        <v>19795707</v>
      </c>
      <c r="AU29" s="80" t="n">
        <f aca="false">+AS29*AT29/1000</f>
        <v>2101221.35352178</v>
      </c>
    </row>
    <row r="30" customFormat="false" ht="12.75" hidden="false" customHeight="false" outlineLevel="0" collapsed="false">
      <c r="A30" s="0" t="n">
        <v>2007</v>
      </c>
      <c r="B30" s="0" t="s">
        <v>191</v>
      </c>
      <c r="C30" s="8" t="n">
        <v>21684137</v>
      </c>
      <c r="D30" s="80" t="n">
        <f aca="false">E30*C30/1000</f>
        <v>1322732.357</v>
      </c>
      <c r="E30" s="80" t="n">
        <v>61</v>
      </c>
      <c r="G30" s="8" t="n">
        <v>19359819</v>
      </c>
      <c r="H30" s="80" t="n">
        <f aca="false">I30*G30/1000</f>
        <v>1122869.502</v>
      </c>
      <c r="I30" s="80" t="n">
        <v>58</v>
      </c>
      <c r="K30" s="8" t="n">
        <v>2324318</v>
      </c>
      <c r="L30" s="80" t="n">
        <f aca="false">K30*M30/1000</f>
        <v>188269.758</v>
      </c>
      <c r="M30" s="80" t="n">
        <f aca="false">IF($AA$5=1,AK30,IF($AA$5=2,$AA$10*AJ30+(1-$AA$10)*AI30,$AA$10*AF30+(1-$AA$10)*AE30))</f>
        <v>81</v>
      </c>
      <c r="O30" s="80" t="n">
        <f aca="false">(I30-M30)*G30/1000</f>
        <v>-445275.837</v>
      </c>
      <c r="Q30" s="80" t="n">
        <f aca="false">O30+Q29*(1+$AB$2)^0.25</f>
        <v>-13395129.4479049</v>
      </c>
      <c r="S30" s="114" t="n">
        <v>39172</v>
      </c>
      <c r="T30" s="80" t="n">
        <f aca="false">XNPV($AB$2,O30:$O$45,S30:$S$45)</f>
        <v>-3443999.14636132</v>
      </c>
      <c r="U30" s="80"/>
      <c r="V30" s="80" t="n">
        <f aca="false">L30+H30</f>
        <v>1311139.26</v>
      </c>
      <c r="W30" s="80" t="n">
        <f aca="false">$V$5/$X$2</f>
        <v>1437066.25668452</v>
      </c>
      <c r="X30" s="113"/>
      <c r="AB30" s="115"/>
      <c r="AC30" s="0" t="n">
        <v>2007</v>
      </c>
      <c r="AD30" s="0" t="s">
        <v>191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80" t="n">
        <v>81</v>
      </c>
      <c r="AL30" s="0" t="n">
        <f aca="false">AL29*(1+$AA$12)^0.25</f>
        <v>1.08938086580659</v>
      </c>
      <c r="AN30" s="104" t="n">
        <f aca="false">(AJ30+AK30)/2</f>
        <v>57.5417053550949</v>
      </c>
      <c r="AO30" s="0" t="n">
        <f aca="false">+AO29</f>
        <v>82.7545820152566</v>
      </c>
      <c r="AQ30" s="104" t="n">
        <f aca="false">+D30</f>
        <v>1322732.357</v>
      </c>
      <c r="AS30" s="104" t="n">
        <f aca="false">+AS29</f>
        <v>106.145304813907</v>
      </c>
      <c r="AT30" s="44" t="n">
        <f aca="false">+G30</f>
        <v>19359819</v>
      </c>
      <c r="AU30" s="80" t="n">
        <f aca="false">+AS30*AT30/1000</f>
        <v>2054953.88889706</v>
      </c>
    </row>
    <row r="31" customFormat="false" ht="12.75" hidden="false" customHeight="false" outlineLevel="0" collapsed="false">
      <c r="B31" s="0" t="s">
        <v>193</v>
      </c>
      <c r="C31" s="8" t="n">
        <v>22053673</v>
      </c>
      <c r="D31" s="80" t="n">
        <f aca="false">E31*C31/1000</f>
        <v>1389381.399</v>
      </c>
      <c r="E31" s="80" t="n">
        <v>63</v>
      </c>
      <c r="G31" s="8" t="n">
        <v>18428604</v>
      </c>
      <c r="H31" s="80" t="n">
        <f aca="false">I31*G31/1000</f>
        <v>1105716.24</v>
      </c>
      <c r="I31" s="80" t="n">
        <v>60</v>
      </c>
      <c r="K31" s="8" t="n">
        <v>3625069</v>
      </c>
      <c r="L31" s="80" t="n">
        <f aca="false">K31*M31/1000</f>
        <v>279130.313</v>
      </c>
      <c r="M31" s="80" t="n">
        <f aca="false">IF($AA$5=1,AK31,IF($AA$5=2,$AA$10*AJ31+(1-$AA$10)*AI31,$AA$10*AF31+(1-$AA$10)*AE31))</f>
        <v>77</v>
      </c>
      <c r="O31" s="80" t="n">
        <f aca="false">(I31-M31)*G31/1000</f>
        <v>-313286.268</v>
      </c>
      <c r="Q31" s="80" t="n">
        <f aca="false">O31+Q30*(1+$AB$2)^0.25</f>
        <v>-13947726.5046528</v>
      </c>
      <c r="S31" s="114" t="n">
        <v>39263</v>
      </c>
      <c r="T31" s="80" t="n">
        <f aca="false">XNPV($AB$2,O31:$O$45,S31:$S$45)</f>
        <v>-3052148.946742</v>
      </c>
      <c r="U31" s="80"/>
      <c r="V31" s="80" t="n">
        <f aca="false">L31+H31</f>
        <v>1384846.553</v>
      </c>
      <c r="W31" s="80" t="n">
        <f aca="false">$V$5/$X$2</f>
        <v>1437066.25668452</v>
      </c>
      <c r="X31" s="113"/>
      <c r="AB31" s="115"/>
      <c r="AD31" s="0" t="s">
        <v>193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80" t="n">
        <v>77</v>
      </c>
      <c r="AL31" s="0" t="n">
        <f aca="false">AL30*(1+$AA$12)^0.25</f>
        <v>1.09344326394264</v>
      </c>
      <c r="AN31" s="104" t="n">
        <f aca="false">(AJ31+AK31)/2</f>
        <v>52.6744237213832</v>
      </c>
      <c r="AO31" s="0" t="n">
        <f aca="false">+AO30</f>
        <v>82.7545820152566</v>
      </c>
      <c r="AQ31" s="104" t="n">
        <f aca="false">+D31</f>
        <v>1389381.399</v>
      </c>
      <c r="AS31" s="104" t="n">
        <f aca="false">+AS30</f>
        <v>106.145304813907</v>
      </c>
      <c r="AT31" s="44" t="n">
        <f aca="false">+G31</f>
        <v>18428604</v>
      </c>
      <c r="AU31" s="80" t="n">
        <f aca="false">+AS31*AT31/1000</f>
        <v>1956109.78887478</v>
      </c>
    </row>
    <row r="32" customFormat="false" ht="12.75" hidden="false" customHeight="false" outlineLevel="0" collapsed="false">
      <c r="B32" s="0" t="s">
        <v>194</v>
      </c>
      <c r="C32" s="8" t="n">
        <v>29732503</v>
      </c>
      <c r="D32" s="80" t="n">
        <f aca="false">E32*C32/1000</f>
        <v>2021810.204</v>
      </c>
      <c r="E32" s="80" t="n">
        <v>68</v>
      </c>
      <c r="G32" s="8" t="n">
        <v>19684263</v>
      </c>
      <c r="H32" s="80" t="n">
        <f aca="false">I32*G32/1000</f>
        <v>1318845.621</v>
      </c>
      <c r="I32" s="80" t="n">
        <v>67</v>
      </c>
      <c r="K32" s="8" t="n">
        <v>10048240</v>
      </c>
      <c r="L32" s="80" t="n">
        <f aca="false">K32*M32/1000</f>
        <v>703376.8</v>
      </c>
      <c r="M32" s="80" t="n">
        <f aca="false">IF($AA$5=1,AK32,IF($AA$5=2,$AA$10*AJ32+(1-$AA$10)*AI32,$AA$10*AF32+(1-$AA$10)*AE32))</f>
        <v>70</v>
      </c>
      <c r="O32" s="80" t="n">
        <f aca="false">(I32-M32)*G32/1000</f>
        <v>-59052.789</v>
      </c>
      <c r="Q32" s="80" t="n">
        <f aca="false">O32+Q31*(1+$AB$2)^0.25</f>
        <v>-14255962.5093917</v>
      </c>
      <c r="S32" s="114" t="n">
        <v>39355</v>
      </c>
      <c r="T32" s="80" t="n">
        <f aca="false">XNPV($AB$2,O32:$O$45,S32:$S$45)</f>
        <v>-2788199.62597535</v>
      </c>
      <c r="U32" s="80"/>
      <c r="V32" s="80" t="n">
        <f aca="false">L32+H32</f>
        <v>2022222.421</v>
      </c>
      <c r="W32" s="80" t="n">
        <f aca="false">$V$5/$X$2</f>
        <v>1437066.25668452</v>
      </c>
      <c r="X32" s="113"/>
      <c r="AB32" s="115"/>
      <c r="AD32" s="0" t="s">
        <v>194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80" t="n">
        <v>70</v>
      </c>
      <c r="AL32" s="0" t="n">
        <f aca="false">AL31*(1+$AA$12)^0.25</f>
        <v>1.09752081112264</v>
      </c>
      <c r="AN32" s="104" t="n">
        <f aca="false">(AJ32+AK32)/2</f>
        <v>62.48191332954</v>
      </c>
      <c r="AO32" s="0" t="n">
        <f aca="false">+AO31</f>
        <v>82.7545820152566</v>
      </c>
      <c r="AQ32" s="104" t="n">
        <f aca="false">+D32</f>
        <v>2021810.204</v>
      </c>
      <c r="AS32" s="104" t="n">
        <f aca="false">+AS31</f>
        <v>106.145304813907</v>
      </c>
      <c r="AT32" s="44" t="n">
        <f aca="false">+G32</f>
        <v>19684263</v>
      </c>
      <c r="AU32" s="80" t="n">
        <f aca="false">+AS32*AT32/1000</f>
        <v>2089392.0961721</v>
      </c>
    </row>
    <row r="33" customFormat="false" ht="12.75" hidden="false" customHeight="false" outlineLevel="0" collapsed="false">
      <c r="B33" s="0" t="s">
        <v>195</v>
      </c>
      <c r="C33" s="8" t="n">
        <v>26183861</v>
      </c>
      <c r="D33" s="80" t="n">
        <f aca="false">E33*C33/1000</f>
        <v>1623399.382</v>
      </c>
      <c r="E33" s="80" t="n">
        <v>62</v>
      </c>
      <c r="G33" s="8" t="n">
        <v>19591520</v>
      </c>
      <c r="H33" s="80" t="n">
        <f aca="false">I33*G33/1000</f>
        <v>1155899.68</v>
      </c>
      <c r="I33" s="80" t="n">
        <v>59</v>
      </c>
      <c r="K33" s="8" t="n">
        <v>6592341</v>
      </c>
      <c r="L33" s="80" t="n">
        <f aca="false">K33*M33/1000</f>
        <v>468056.211</v>
      </c>
      <c r="M33" s="80" t="n">
        <f aca="false">IF($AA$5=1,AK33,IF($AA$5=2,$AA$10*AJ33+(1-$AA$10)*AI33,$AA$10*AF33+(1-$AA$10)*AE33))</f>
        <v>71</v>
      </c>
      <c r="O33" s="80" t="n">
        <f aca="false">(I33-M33)*G33/1000</f>
        <v>-235098.24</v>
      </c>
      <c r="Q33" s="80" t="n">
        <f aca="false">O33+Q32*(1+$AB$2)^0.25</f>
        <v>-14745750.7578572</v>
      </c>
      <c r="S33" s="114" t="n">
        <v>39447</v>
      </c>
      <c r="T33" s="80" t="n">
        <f aca="false">XNPV($AB$2,O33:$O$45,S33:$S$45)</f>
        <v>-2778308.76631668</v>
      </c>
      <c r="U33" s="80"/>
      <c r="V33" s="80" t="n">
        <f aca="false">L33+H33</f>
        <v>1623955.891</v>
      </c>
      <c r="W33" s="80" t="n">
        <f aca="false">$V$5/$X$2</f>
        <v>1437066.25668452</v>
      </c>
      <c r="X33" s="113"/>
      <c r="AB33" s="115"/>
      <c r="AD33" s="0" t="s">
        <v>195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80" t="n">
        <v>71</v>
      </c>
      <c r="AL33" s="0" t="n">
        <f aca="false">AL32*(1+$AA$12)^0.25</f>
        <v>1.10161356383873</v>
      </c>
      <c r="AN33" s="104" t="n">
        <f aca="false">(AJ33+AK33)/2</f>
        <v>58.2716999351704</v>
      </c>
      <c r="AO33" s="0" t="n">
        <f aca="false">+AO32</f>
        <v>82.7545820152566</v>
      </c>
      <c r="AQ33" s="104" t="n">
        <f aca="false">+D33</f>
        <v>1623399.382</v>
      </c>
      <c r="AS33" s="104" t="n">
        <f aca="false">+AS32</f>
        <v>106.145304813907</v>
      </c>
      <c r="AT33" s="44" t="n">
        <f aca="false">+G33</f>
        <v>19591520</v>
      </c>
      <c r="AU33" s="80" t="n">
        <f aca="false">+AS33*AT33/1000</f>
        <v>2079547.86216775</v>
      </c>
    </row>
    <row r="34" customFormat="false" ht="12.75" hidden="false" customHeight="false" outlineLevel="0" collapsed="false">
      <c r="A34" s="0" t="n">
        <v>2008</v>
      </c>
      <c r="B34" s="0" t="s">
        <v>191</v>
      </c>
      <c r="C34" s="8" t="n">
        <v>22554855</v>
      </c>
      <c r="D34" s="80" t="n">
        <f aca="false">E34*C34/1000</f>
        <v>1375846.155</v>
      </c>
      <c r="E34" s="80" t="n">
        <v>61</v>
      </c>
      <c r="G34" s="8" t="n">
        <v>19153515</v>
      </c>
      <c r="H34" s="80" t="n">
        <f aca="false">I34*G34/1000</f>
        <v>1110903.87</v>
      </c>
      <c r="I34" s="80" t="n">
        <v>58</v>
      </c>
      <c r="K34" s="8" t="n">
        <v>3401340</v>
      </c>
      <c r="L34" s="80" t="n">
        <f aca="false">K34*M34/1000</f>
        <v>268705.86</v>
      </c>
      <c r="M34" s="80" t="n">
        <f aca="false">IF($AA$5=1,AK34,IF($AA$5=2,$AA$10*AJ34+(1-$AA$10)*AI34,$AA$10*AF34+(1-$AA$10)*AE34))</f>
        <v>79</v>
      </c>
      <c r="O34" s="80" t="n">
        <f aca="false">(I34-M34)*G34/1000</f>
        <v>-402223.815</v>
      </c>
      <c r="Q34" s="80" t="n">
        <f aca="false">O34+Q33*(1+$AB$2)^0.25</f>
        <v>-15411414.8970636</v>
      </c>
      <c r="S34" s="114" t="n">
        <v>39538</v>
      </c>
      <c r="T34" s="80" t="n">
        <f aca="false">XNPV($AB$2,O34:$O$45,S34:$S$45)</f>
        <v>-2588520.68979111</v>
      </c>
      <c r="U34" s="80"/>
      <c r="V34" s="80" t="n">
        <f aca="false">L34+H34</f>
        <v>1379609.73</v>
      </c>
      <c r="W34" s="80" t="n">
        <f aca="false">$V$5/$X$2</f>
        <v>1437066.25668452</v>
      </c>
      <c r="X34" s="113"/>
      <c r="AB34" s="115"/>
      <c r="AC34" s="0" t="n">
        <v>2008</v>
      </c>
      <c r="AD34" s="0" t="s">
        <v>191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80" t="n">
        <v>79</v>
      </c>
      <c r="AL34" s="0" t="n">
        <f aca="false">AL33*(1+$AA$12)^0.25</f>
        <v>1.10572157879369</v>
      </c>
      <c r="AN34" s="104" t="n">
        <f aca="false">(AJ34+AK34)/2</f>
        <v>55.8420997097502</v>
      </c>
      <c r="AO34" s="0" t="n">
        <f aca="false">+AO33</f>
        <v>82.7545820152566</v>
      </c>
      <c r="AQ34" s="104" t="n">
        <f aca="false">+D34</f>
        <v>1375846.155</v>
      </c>
      <c r="AS34" s="104" t="n">
        <f aca="false">+AS33</f>
        <v>106.145304813907</v>
      </c>
      <c r="AT34" s="44" t="n">
        <f aca="false">+G34</f>
        <v>19153515</v>
      </c>
      <c r="AU34" s="80" t="n">
        <f aca="false">+AS34*AT34/1000</f>
        <v>2033055.68793273</v>
      </c>
    </row>
    <row r="35" customFormat="false" ht="12.75" hidden="false" customHeight="false" outlineLevel="0" collapsed="false">
      <c r="B35" s="0" t="s">
        <v>193</v>
      </c>
      <c r="C35" s="8" t="n">
        <v>23429388</v>
      </c>
      <c r="D35" s="80" t="n">
        <f aca="false">E35*C35/1000</f>
        <v>1476051.444</v>
      </c>
      <c r="E35" s="80" t="n">
        <v>63</v>
      </c>
      <c r="G35" s="8" t="n">
        <v>18763391</v>
      </c>
      <c r="H35" s="80" t="n">
        <f aca="false">I35*G35/1000</f>
        <v>1125803.46</v>
      </c>
      <c r="I35" s="80" t="n">
        <v>60</v>
      </c>
      <c r="K35" s="8" t="n">
        <v>4665997</v>
      </c>
      <c r="L35" s="80" t="n">
        <f aca="false">K35*M35/1000</f>
        <v>359281.769</v>
      </c>
      <c r="M35" s="80" t="n">
        <f aca="false">IF($AA$5=1,AK35,IF($AA$5=2,$AA$10*AJ35+(1-$AA$10)*AI35,$AA$10*AF35+(1-$AA$10)*AE35))</f>
        <v>77</v>
      </c>
      <c r="O35" s="80" t="n">
        <f aca="false">(I35-M35)*G35/1000</f>
        <v>-318977.647</v>
      </c>
      <c r="Q35" s="80" t="n">
        <f aca="false">O35+Q34*(1+$AB$2)^0.25</f>
        <v>-16005725.2960971</v>
      </c>
      <c r="S35" s="114" t="n">
        <v>39629</v>
      </c>
      <c r="T35" s="80" t="n">
        <f aca="false">XNPV($AB$2,O35:$O$45,S35:$S$45)</f>
        <v>-2225248.21907634</v>
      </c>
      <c r="U35" s="80"/>
      <c r="V35" s="80" t="n">
        <f aca="false">L35+H35</f>
        <v>1485085.229</v>
      </c>
      <c r="W35" s="80" t="n">
        <f aca="false">$V$5/$X$2</f>
        <v>1437066.25668452</v>
      </c>
      <c r="X35" s="113"/>
      <c r="AB35" s="115"/>
      <c r="AD35" s="0" t="s">
        <v>193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80" t="n">
        <v>77</v>
      </c>
      <c r="AL35" s="0" t="n">
        <f aca="false">AL34*(1+$AA$12)^0.25</f>
        <v>1.10984491290178</v>
      </c>
      <c r="AN35" s="104" t="n">
        <f aca="false">(AJ35+AK35)/2</f>
        <v>52.8554704264217</v>
      </c>
      <c r="AO35" s="0" t="n">
        <f aca="false">+AO34</f>
        <v>82.7545820152566</v>
      </c>
      <c r="AQ35" s="104" t="n">
        <f aca="false">+D35</f>
        <v>1476051.444</v>
      </c>
      <c r="AS35" s="104" t="n">
        <f aca="false">+AS34</f>
        <v>106.145304813907</v>
      </c>
      <c r="AT35" s="44" t="n">
        <f aca="false">+G35</f>
        <v>18763391</v>
      </c>
      <c r="AU35" s="80" t="n">
        <f aca="false">+AS35*AT35/1000</f>
        <v>1991645.85703751</v>
      </c>
    </row>
    <row r="36" customFormat="false" ht="12.75" hidden="false" customHeight="false" outlineLevel="0" collapsed="false">
      <c r="B36" s="0" t="s">
        <v>194</v>
      </c>
      <c r="C36" s="8" t="n">
        <v>31332995</v>
      </c>
      <c r="D36" s="80" t="n">
        <f aca="false">E36*C36/1000</f>
        <v>2130643.66</v>
      </c>
      <c r="E36" s="80" t="n">
        <v>68</v>
      </c>
      <c r="G36" s="8" t="n">
        <v>19294144</v>
      </c>
      <c r="H36" s="80" t="n">
        <f aca="false">I36*G36/1000</f>
        <v>1292707.648</v>
      </c>
      <c r="I36" s="80" t="n">
        <v>67</v>
      </c>
      <c r="K36" s="8" t="n">
        <v>12038851</v>
      </c>
      <c r="L36" s="80" t="n">
        <f aca="false">K36*M36/1000</f>
        <v>854758.421</v>
      </c>
      <c r="M36" s="80" t="n">
        <f aca="false">IF($AA$5=1,AK36,IF($AA$5=2,$AA$10*AJ36+(1-$AA$10)*AI36,$AA$10*AF36+(1-$AA$10)*AE36))</f>
        <v>71</v>
      </c>
      <c r="O36" s="80" t="n">
        <f aca="false">(I36-M36)*G36/1000</f>
        <v>-77176.576</v>
      </c>
      <c r="Q36" s="80" t="n">
        <f aca="false">O36+Q35*(1+$AB$2)^0.25</f>
        <v>-16368852.281161</v>
      </c>
      <c r="S36" s="114" t="n">
        <v>39721</v>
      </c>
      <c r="T36" s="80" t="n">
        <f aca="false">XNPV($AB$2,O36:$O$45,S36:$S$45)</f>
        <v>-1940609.48631144</v>
      </c>
      <c r="U36" s="80"/>
      <c r="V36" s="80" t="n">
        <f aca="false">L36+H36</f>
        <v>2147466.069</v>
      </c>
      <c r="W36" s="80" t="n">
        <f aca="false">$V$5/$X$2</f>
        <v>1437066.25668452</v>
      </c>
      <c r="X36" s="113"/>
      <c r="AB36" s="115"/>
      <c r="AD36" s="0" t="s">
        <v>194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80" t="n">
        <v>71</v>
      </c>
      <c r="AL36" s="0" t="n">
        <f aca="false">AL35*(1+$AA$12)^0.25</f>
        <v>1.11398362328948</v>
      </c>
      <c r="AN36" s="104" t="n">
        <f aca="false">(AJ36+AK36)/2</f>
        <v>63.2423135851996</v>
      </c>
      <c r="AO36" s="0" t="n">
        <f aca="false">+AO35</f>
        <v>82.7545820152566</v>
      </c>
      <c r="AQ36" s="104" t="n">
        <f aca="false">+D36</f>
        <v>2130643.66</v>
      </c>
      <c r="AS36" s="104" t="n">
        <f aca="false">+AS35</f>
        <v>106.145304813907</v>
      </c>
      <c r="AT36" s="44" t="n">
        <f aca="false">+G36</f>
        <v>19294144</v>
      </c>
      <c r="AU36" s="80" t="n">
        <f aca="false">+AS36*AT36/1000</f>
        <v>2047982.79600341</v>
      </c>
    </row>
    <row r="37" customFormat="false" ht="12.75" hidden="false" customHeight="false" outlineLevel="0" collapsed="false">
      <c r="B37" s="0" t="s">
        <v>195</v>
      </c>
      <c r="C37" s="8" t="n">
        <v>27099273</v>
      </c>
      <c r="D37" s="80" t="n">
        <f aca="false">E37*C37/1000</f>
        <v>1680154.926</v>
      </c>
      <c r="E37" s="80" t="n">
        <v>62</v>
      </c>
      <c r="G37" s="8" t="n">
        <v>18854008</v>
      </c>
      <c r="H37" s="80" t="n">
        <f aca="false">I37*G37/1000</f>
        <v>1112386.472</v>
      </c>
      <c r="I37" s="80" t="n">
        <v>59</v>
      </c>
      <c r="K37" s="8" t="n">
        <v>8245265</v>
      </c>
      <c r="L37" s="80" t="n">
        <f aca="false">K37*M37/1000</f>
        <v>577168.55</v>
      </c>
      <c r="M37" s="80" t="n">
        <f aca="false">IF($AA$5=1,AK37,IF($AA$5=2,$AA$10*AJ37+(1-$AA$10)*AI37,$AA$10*AF37+(1-$AA$10)*AE37))</f>
        <v>70</v>
      </c>
      <c r="O37" s="80" t="n">
        <f aca="false">(I37-M37)*G37/1000</f>
        <v>-207394.088</v>
      </c>
      <c r="Q37" s="80" t="n">
        <f aca="false">O37+Q36*(1+$AB$2)^0.25</f>
        <v>-16868684.2261848</v>
      </c>
      <c r="S37" s="114" t="n">
        <v>39813</v>
      </c>
      <c r="T37" s="80" t="n">
        <f aca="false">XNPV($AB$2,O37:$O$45,S37:$S$45)</f>
        <v>-1897000.16137608</v>
      </c>
      <c r="U37" s="80"/>
      <c r="V37" s="80" t="n">
        <f aca="false">L37+H37</f>
        <v>1689555.022</v>
      </c>
      <c r="W37" s="80" t="n">
        <f aca="false">$V$5/$X$2</f>
        <v>1437066.25668452</v>
      </c>
      <c r="X37" s="113"/>
      <c r="AB37" s="115"/>
      <c r="AD37" s="0" t="s">
        <v>195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80" t="n">
        <v>70</v>
      </c>
      <c r="AL37" s="0" t="n">
        <f aca="false">AL36*(1+$AA$12)^0.25</f>
        <v>1.11813776729631</v>
      </c>
      <c r="AN37" s="104" t="n">
        <f aca="false">(AJ37+AK37)/2</f>
        <v>57.3626795159732</v>
      </c>
      <c r="AO37" s="0" t="n">
        <f aca="false">+AO36</f>
        <v>82.7545820152566</v>
      </c>
      <c r="AQ37" s="104" t="n">
        <f aca="false">+D37</f>
        <v>1680154.926</v>
      </c>
      <c r="AS37" s="104" t="n">
        <f aca="false">+AS36</f>
        <v>106.145304813907</v>
      </c>
      <c r="AT37" s="44" t="n">
        <f aca="false">+G37</f>
        <v>18854008</v>
      </c>
      <c r="AU37" s="80" t="n">
        <f aca="false">+AS37*AT37/1000</f>
        <v>2001264.42612383</v>
      </c>
    </row>
    <row r="38" customFormat="false" ht="12.75" hidden="false" customHeight="false" outlineLevel="0" collapsed="false">
      <c r="A38" s="0" t="n">
        <v>2009</v>
      </c>
      <c r="B38" s="0" t="s">
        <v>191</v>
      </c>
      <c r="C38" s="8" t="n">
        <v>23076526</v>
      </c>
      <c r="D38" s="80" t="n">
        <f aca="false">E38*C38/1000</f>
        <v>1407668.086</v>
      </c>
      <c r="E38" s="80" t="n">
        <v>61</v>
      </c>
      <c r="G38" s="8" t="n">
        <v>18797465</v>
      </c>
      <c r="H38" s="80" t="n">
        <f aca="false">I38*G38/1000</f>
        <v>1090252.97</v>
      </c>
      <c r="I38" s="80" t="n">
        <v>58</v>
      </c>
      <c r="K38" s="8" t="n">
        <v>4279061</v>
      </c>
      <c r="L38" s="80" t="n">
        <f aca="false">K38*M38/1000</f>
        <v>329487.697</v>
      </c>
      <c r="M38" s="80" t="n">
        <f aca="false">IF($AA$5=1,AK38,IF($AA$5=2,$AA$10*AJ38+(1-$AA$10)*AI38,$AA$10*AF38+(1-$AA$10)*AE38))</f>
        <v>77</v>
      </c>
      <c r="O38" s="80" t="n">
        <f aca="false">(I38-M38)*G38/1000</f>
        <v>-357151.835</v>
      </c>
      <c r="Q38" s="80" t="n">
        <f aca="false">O38+Q37*(1+$AB$2)^0.25</f>
        <v>-17527203.6696881</v>
      </c>
      <c r="S38" s="114" t="n">
        <v>39903</v>
      </c>
      <c r="T38" s="80" t="n">
        <f aca="false">XNPV($AB$2,O38:$O$45,S38:$S$45)</f>
        <v>-1719374.62009448</v>
      </c>
      <c r="U38" s="80"/>
      <c r="V38" s="80" t="n">
        <f aca="false">L38+H38</f>
        <v>1419740.667</v>
      </c>
      <c r="W38" s="80" t="n">
        <f aca="false">$V$5/$X$2</f>
        <v>1437066.25668452</v>
      </c>
      <c r="X38" s="113"/>
      <c r="AB38" s="115"/>
      <c r="AC38" s="0" t="n">
        <v>2009</v>
      </c>
      <c r="AD38" s="0" t="s">
        <v>191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80" t="n">
        <v>77</v>
      </c>
      <c r="AL38" s="0" t="n">
        <f aca="false">AL37*(1+$AA$12)^0.25</f>
        <v>1.12230740247559</v>
      </c>
      <c r="AN38" s="104" t="n">
        <f aca="false">(AJ38+AK38)/2</f>
        <v>55.2921148831192</v>
      </c>
      <c r="AO38" s="0" t="n">
        <f aca="false">+AO37</f>
        <v>82.7545820152566</v>
      </c>
      <c r="AQ38" s="104" t="n">
        <f aca="false">+D38</f>
        <v>1407668.086</v>
      </c>
      <c r="AS38" s="104" t="n">
        <f aca="false">+AS37</f>
        <v>106.145304813907</v>
      </c>
      <c r="AT38" s="44" t="n">
        <f aca="false">+G38</f>
        <v>18797465</v>
      </c>
      <c r="AU38" s="80" t="n">
        <f aca="false">+AS38*AT38/1000</f>
        <v>1995262.65215374</v>
      </c>
    </row>
    <row r="39" customFormat="false" ht="12.75" hidden="false" customHeight="false" outlineLevel="0" collapsed="false">
      <c r="B39" s="0" t="s">
        <v>193</v>
      </c>
      <c r="C39" s="8" t="n">
        <v>24316954</v>
      </c>
      <c r="D39" s="80" t="n">
        <f aca="false">E39*C39/1000</f>
        <v>1531968.102</v>
      </c>
      <c r="E39" s="80" t="n">
        <v>63</v>
      </c>
      <c r="G39" s="8" t="n">
        <v>18709911</v>
      </c>
      <c r="H39" s="80" t="n">
        <f aca="false">I39*G39/1000</f>
        <v>1122594.66</v>
      </c>
      <c r="I39" s="80" t="n">
        <v>60</v>
      </c>
      <c r="K39" s="8" t="n">
        <v>5607044</v>
      </c>
      <c r="L39" s="80" t="n">
        <f aca="false">K39*M39/1000</f>
        <v>420528.3</v>
      </c>
      <c r="M39" s="80" t="n">
        <f aca="false">IF($AA$5=1,AK39,IF($AA$5=2,$AA$10*AJ39+(1-$AA$10)*AI39,$AA$10*AF39+(1-$AA$10)*AE39))</f>
        <v>75</v>
      </c>
      <c r="O39" s="80" t="n">
        <f aca="false">(I39-M39)*G39/1000</f>
        <v>-280648.665</v>
      </c>
      <c r="Q39" s="80" t="n">
        <f aca="false">O39+Q38*(1+$AB$2)^0.25</f>
        <v>-18120984.7274023</v>
      </c>
      <c r="S39" s="114" t="n">
        <v>39994</v>
      </c>
      <c r="T39" s="80" t="n">
        <f aca="false">XNPV($AB$2,O39:$O$45,S39:$S$45)</f>
        <v>-1386492.32017328</v>
      </c>
      <c r="U39" s="80"/>
      <c r="V39" s="80" t="n">
        <f aca="false">L39+H39</f>
        <v>1543122.96</v>
      </c>
      <c r="W39" s="80" t="n">
        <f aca="false">$V$5/$X$2</f>
        <v>1437066.25668452</v>
      </c>
      <c r="X39" s="113"/>
      <c r="AB39" s="115"/>
      <c r="AD39" s="0" t="s">
        <v>193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80" t="n">
        <v>75</v>
      </c>
      <c r="AL39" s="0" t="n">
        <f aca="false">AL38*(1+$AA$12)^0.25</f>
        <v>1.12649258659531</v>
      </c>
      <c r="AN39" s="104" t="n">
        <f aca="false">(AJ39+AK39)/2</f>
        <v>51.75303953712</v>
      </c>
      <c r="AO39" s="0" t="n">
        <f aca="false">+AO38</f>
        <v>82.7545820152566</v>
      </c>
      <c r="AQ39" s="104" t="n">
        <f aca="false">+D39</f>
        <v>1531968.102</v>
      </c>
      <c r="AS39" s="104" t="n">
        <f aca="false">+AS38</f>
        <v>106.145304813907</v>
      </c>
      <c r="AT39" s="44" t="n">
        <f aca="false">+G39</f>
        <v>18709911</v>
      </c>
      <c r="AU39" s="80" t="n">
        <f aca="false">+AS39*AT39/1000</f>
        <v>1985969.20613606</v>
      </c>
    </row>
    <row r="40" customFormat="false" ht="12.75" hidden="false" customHeight="false" outlineLevel="0" collapsed="false">
      <c r="B40" s="0" t="s">
        <v>194</v>
      </c>
      <c r="C40" s="8" t="n">
        <v>32144744</v>
      </c>
      <c r="D40" s="80" t="n">
        <f aca="false">E40*C40/1000</f>
        <v>2185842.592</v>
      </c>
      <c r="E40" s="80" t="n">
        <v>68</v>
      </c>
      <c r="G40" s="8" t="n">
        <v>19293801</v>
      </c>
      <c r="H40" s="80" t="n">
        <f aca="false">I40*G40/1000</f>
        <v>1292684.667</v>
      </c>
      <c r="I40" s="80" t="n">
        <v>67</v>
      </c>
      <c r="K40" s="8" t="n">
        <v>12850943</v>
      </c>
      <c r="L40" s="80" t="n">
        <f aca="false">K40*M40/1000</f>
        <v>912416.953</v>
      </c>
      <c r="M40" s="80" t="n">
        <f aca="false">IF($AA$5=1,AK40,IF($AA$5=2,$AA$10*AJ40+(1-$AA$10)*AI40,$AA$10*AF40+(1-$AA$10)*AE40))</f>
        <v>71</v>
      </c>
      <c r="O40" s="80" t="n">
        <f aca="false">(I40-M40)*G40/1000</f>
        <v>-77175.204</v>
      </c>
      <c r="Q40" s="80" t="n">
        <f aca="false">O40+Q39*(1+$AB$2)^0.25</f>
        <v>-18521900.5241952</v>
      </c>
      <c r="S40" s="114" t="n">
        <v>40086</v>
      </c>
      <c r="T40" s="80" t="n">
        <f aca="false">XNPV($AB$2,O40:$O$45,S40:$S$45)</f>
        <v>-1125763.94927458</v>
      </c>
      <c r="U40" s="80"/>
      <c r="V40" s="80" t="n">
        <f aca="false">L40+H40</f>
        <v>2205101.62</v>
      </c>
      <c r="W40" s="80" t="n">
        <f aca="false">$V$5/$X$2</f>
        <v>1437066.25668452</v>
      </c>
      <c r="X40" s="113"/>
      <c r="AB40" s="115"/>
      <c r="AD40" s="0" t="s">
        <v>194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80" t="n">
        <v>71</v>
      </c>
      <c r="AL40" s="0" t="n">
        <f aca="false">AL39*(1+$AA$12)^0.25</f>
        <v>1.13069337763882</v>
      </c>
      <c r="AN40" s="104" t="n">
        <f aca="false">(AJ40+AK40)/2</f>
        <v>63.1690691231508</v>
      </c>
      <c r="AO40" s="0" t="n">
        <f aca="false">+AO39</f>
        <v>82.7545820152566</v>
      </c>
      <c r="AQ40" s="104" t="n">
        <f aca="false">+D40</f>
        <v>2185842.592</v>
      </c>
      <c r="AS40" s="104" t="n">
        <f aca="false">+AS39</f>
        <v>106.145304813907</v>
      </c>
      <c r="AT40" s="44" t="n">
        <f aca="false">+G40</f>
        <v>19293801</v>
      </c>
      <c r="AU40" s="80" t="n">
        <f aca="false">+AS40*AT40/1000</f>
        <v>2047946.38816385</v>
      </c>
    </row>
    <row r="41" customFormat="false" ht="12.75" hidden="false" customHeight="false" outlineLevel="0" collapsed="false">
      <c r="B41" s="0" t="s">
        <v>195</v>
      </c>
      <c r="C41" s="8" t="n">
        <v>27451467</v>
      </c>
      <c r="D41" s="80" t="n">
        <f aca="false">E41*C41/1000</f>
        <v>1729442.421</v>
      </c>
      <c r="E41" s="80" t="n">
        <v>63</v>
      </c>
      <c r="G41" s="8" t="n">
        <v>18779557</v>
      </c>
      <c r="H41" s="80" t="n">
        <f aca="false">I41*G41/1000</f>
        <v>1107993.863</v>
      </c>
      <c r="I41" s="80" t="n">
        <v>59</v>
      </c>
      <c r="K41" s="8" t="n">
        <v>8671910</v>
      </c>
      <c r="L41" s="80" t="n">
        <f aca="false">K41*M41/1000</f>
        <v>607033.7</v>
      </c>
      <c r="M41" s="80" t="n">
        <f aca="false">IF($AA$5=1,AK41,IF($AA$5=2,$AA$10*AJ41+(1-$AA$10)*AI41,$AA$10*AF41+(1-$AA$10)*AE41))</f>
        <v>70</v>
      </c>
      <c r="O41" s="80" t="n">
        <f aca="false">(I41-M41)*G41/1000</f>
        <v>-206575.127</v>
      </c>
      <c r="Q41" s="80" t="n">
        <f aca="false">O41+Q40*(1+$AB$2)^0.25</f>
        <v>-19059378.8082564</v>
      </c>
      <c r="S41" s="114" t="n">
        <v>40178</v>
      </c>
      <c r="T41" s="80" t="n">
        <f aca="false">XNPV($AB$2,O41:$O$45,S41:$S$45)</f>
        <v>-1067477.66876703</v>
      </c>
      <c r="U41" s="80"/>
      <c r="V41" s="80" t="n">
        <f aca="false">L41+H41</f>
        <v>1715027.563</v>
      </c>
      <c r="W41" s="80" t="n">
        <f aca="false">$V$5/$X$2</f>
        <v>1437066.25668452</v>
      </c>
      <c r="X41" s="113"/>
      <c r="AB41" s="115"/>
      <c r="AD41" s="0" t="s">
        <v>195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80" t="n">
        <v>70</v>
      </c>
      <c r="AL41" s="0" t="n">
        <f aca="false">AL40*(1+$AA$12)^0.25</f>
        <v>1.13490983380575</v>
      </c>
      <c r="AN41" s="104" t="n">
        <f aca="false">(AJ41+AK41)/2</f>
        <v>56.8947039954546</v>
      </c>
      <c r="AO41" s="0" t="n">
        <f aca="false">+AO40</f>
        <v>82.7545820152566</v>
      </c>
      <c r="AQ41" s="104" t="n">
        <f aca="false">+D41</f>
        <v>1729442.421</v>
      </c>
      <c r="AS41" s="104" t="n">
        <f aca="false">+AS40</f>
        <v>106.145304813907</v>
      </c>
      <c r="AT41" s="44" t="n">
        <f aca="false">+G41</f>
        <v>18779557</v>
      </c>
      <c r="AU41" s="80" t="n">
        <f aca="false">+AS41*AT41/1000</f>
        <v>1993361.80203513</v>
      </c>
    </row>
    <row r="42" customFormat="false" ht="12.75" hidden="false" customHeight="false" outlineLevel="0" collapsed="false">
      <c r="A42" s="0" t="n">
        <v>2010</v>
      </c>
      <c r="B42" s="0" t="s">
        <v>191</v>
      </c>
      <c r="C42" s="8" t="n">
        <v>23781978</v>
      </c>
      <c r="D42" s="80" t="n">
        <f aca="false">E42*C42/1000</f>
        <v>1474482.636</v>
      </c>
      <c r="E42" s="80" t="n">
        <v>62</v>
      </c>
      <c r="G42" s="8" t="n">
        <v>18709260</v>
      </c>
      <c r="H42" s="80" t="n">
        <f aca="false">I42*G42/1000</f>
        <v>1085137.08</v>
      </c>
      <c r="I42" s="80" t="n">
        <v>58</v>
      </c>
      <c r="K42" s="8" t="n">
        <v>5072718</v>
      </c>
      <c r="L42" s="80" t="n">
        <f aca="false">K42*M42/1000</f>
        <v>385526.568</v>
      </c>
      <c r="M42" s="80" t="n">
        <f aca="false">IF($AA$5=1,AK42,IF($AA$5=2,$AA$10*AJ42+(1-$AA$10)*AI42,$AA$10*AF42+(1-$AA$10)*AE42))</f>
        <v>76</v>
      </c>
      <c r="O42" s="80" t="n">
        <f aca="false">(I42-M42)*G42/1000</f>
        <v>-336766.68</v>
      </c>
      <c r="Q42" s="80" t="n">
        <f aca="false">O42+Q41*(1+$AB$2)^0.25</f>
        <v>-19736650.9677583</v>
      </c>
      <c r="S42" s="114" t="n">
        <v>40268</v>
      </c>
      <c r="T42" s="80" t="n">
        <f aca="false">XNPV($AB$2,O42:$O$45,S42:$S$45)</f>
        <v>-876070.466372897</v>
      </c>
      <c r="U42" s="80"/>
      <c r="V42" s="80" t="n">
        <f aca="false">L42+H42</f>
        <v>1470663.648</v>
      </c>
      <c r="W42" s="80" t="n">
        <f aca="false">$V$5/$X$2</f>
        <v>1437066.25668452</v>
      </c>
      <c r="X42" s="113"/>
      <c r="AB42" s="115"/>
      <c r="AC42" s="0" t="n">
        <v>2010</v>
      </c>
      <c r="AD42" s="0" t="s">
        <v>191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80" t="n">
        <v>76</v>
      </c>
      <c r="AL42" s="0" t="n">
        <f aca="false">AL41*(1+$AA$12)^0.25</f>
        <v>1.13914201351273</v>
      </c>
      <c r="AN42" s="104" t="n">
        <f aca="false">(AJ42+AK42)/2</f>
        <v>54.8921438875993</v>
      </c>
      <c r="AO42" s="0" t="n">
        <f aca="false">+AO41</f>
        <v>82.7545820152566</v>
      </c>
      <c r="AQ42" s="104" t="n">
        <f aca="false">+D42</f>
        <v>1474482.636</v>
      </c>
      <c r="AS42" s="104" t="n">
        <f aca="false">+AS41</f>
        <v>106.145304813907</v>
      </c>
      <c r="AT42" s="44" t="n">
        <f aca="false">+G42</f>
        <v>18709260</v>
      </c>
      <c r="AU42" s="80" t="n">
        <f aca="false">+AS42*AT42/1000</f>
        <v>1985900.10554263</v>
      </c>
    </row>
    <row r="43" customFormat="false" ht="12.75" hidden="false" customHeight="false" outlineLevel="0" collapsed="false">
      <c r="B43" s="0" t="s">
        <v>193</v>
      </c>
      <c r="C43" s="8" t="n">
        <v>24950229</v>
      </c>
      <c r="D43" s="80" t="n">
        <f aca="false">E43*C43/1000</f>
        <v>1596814.656</v>
      </c>
      <c r="E43" s="80" t="n">
        <v>64</v>
      </c>
      <c r="G43" s="8" t="n">
        <v>18604505</v>
      </c>
      <c r="H43" s="80" t="n">
        <f aca="false">I43*G43/1000</f>
        <v>1116270.3</v>
      </c>
      <c r="I43" s="80" t="n">
        <v>60</v>
      </c>
      <c r="K43" s="8" t="n">
        <v>6342724</v>
      </c>
      <c r="L43" s="80" t="n">
        <f aca="false">K43*M43/1000</f>
        <v>469361.576</v>
      </c>
      <c r="M43" s="80" t="n">
        <f aca="false">IF($AA$5=1,AK43,IF($AA$5=2,$AA$10*AJ43+(1-$AA$10)*AI43,$AA$10*AF43+(1-$AA$10)*AE43))</f>
        <v>74</v>
      </c>
      <c r="O43" s="80" t="n">
        <f aca="false">(I43-M43)*G43/1000</f>
        <v>-260463.07</v>
      </c>
      <c r="Q43" s="80" t="n">
        <f aca="false">O43+Q42*(1+$AB$2)^0.25</f>
        <v>-20349719.3282637</v>
      </c>
      <c r="S43" s="114" t="n">
        <v>40359</v>
      </c>
      <c r="T43" s="80" t="n">
        <f aca="false">XNPV($AB$2,O43:$O$45,S43:$S$45)</f>
        <v>-548912.091493559</v>
      </c>
      <c r="U43" s="80"/>
      <c r="V43" s="80" t="n">
        <f aca="false">L43+H43</f>
        <v>1585631.876</v>
      </c>
      <c r="W43" s="80" t="n">
        <f aca="false">$V$5/$X$2</f>
        <v>1437066.25668452</v>
      </c>
      <c r="X43" s="113"/>
      <c r="AB43" s="115"/>
      <c r="AD43" s="0" t="s">
        <v>193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80" t="n">
        <v>74</v>
      </c>
      <c r="AL43" s="0" t="n">
        <f aca="false">AL42*(1+$AA$12)^0.25</f>
        <v>1.14338997539424</v>
      </c>
      <c r="AN43" s="104" t="n">
        <f aca="false">(AJ43+AK43)/2</f>
        <v>51.4618389557321</v>
      </c>
      <c r="AO43" s="0" t="n">
        <f aca="false">+AO42</f>
        <v>82.7545820152566</v>
      </c>
      <c r="AQ43" s="104" t="n">
        <f aca="false">+D43</f>
        <v>1596814.656</v>
      </c>
      <c r="AS43" s="104" t="n">
        <f aca="false">+AS42</f>
        <v>106.145304813907</v>
      </c>
      <c r="AT43" s="44" t="n">
        <f aca="false">+G43</f>
        <v>18604505</v>
      </c>
      <c r="AU43" s="80" t="n">
        <f aca="false">+AS43*AT43/1000</f>
        <v>1974780.85413685</v>
      </c>
    </row>
    <row r="44" customFormat="false" ht="12.75" hidden="false" customHeight="false" outlineLevel="0" collapsed="false">
      <c r="B44" s="0" t="s">
        <v>194</v>
      </c>
      <c r="C44" s="8" t="n">
        <v>33368529</v>
      </c>
      <c r="D44" s="80" t="n">
        <f aca="false">E44*C44/1000</f>
        <v>2302428.501</v>
      </c>
      <c r="E44" s="80" t="n">
        <v>69</v>
      </c>
      <c r="G44" s="8" t="n">
        <v>18922185</v>
      </c>
      <c r="H44" s="80" t="n">
        <f aca="false">I44*G44/1000</f>
        <v>1267786.395</v>
      </c>
      <c r="I44" s="80" t="n">
        <v>67</v>
      </c>
      <c r="K44" s="8" t="n">
        <v>14446344</v>
      </c>
      <c r="L44" s="80" t="n">
        <f aca="false">K44*M44/1000</f>
        <v>1025690.424</v>
      </c>
      <c r="M44" s="80" t="n">
        <f aca="false">IF($AA$5=1,AK44,IF($AA$5=2,$AA$10*AJ44+(1-$AA$10)*AI44,$AA$10*AF44+(1-$AA$10)*AE44))</f>
        <v>71</v>
      </c>
      <c r="O44" s="80" t="n">
        <f aca="false">(I44-M44)*G44/1000</f>
        <v>-75688.74</v>
      </c>
      <c r="Q44" s="80" t="n">
        <f aca="false">O44+Q43*(1+$AB$2)^0.25</f>
        <v>-20788966.1363051</v>
      </c>
      <c r="S44" s="114" t="n">
        <v>40451</v>
      </c>
      <c r="T44" s="80" t="n">
        <f aca="false">XNPV($AB$2,O44:$O$45,S44:$S$45)</f>
        <v>-293645.044741967</v>
      </c>
      <c r="U44" s="80"/>
      <c r="V44" s="80" t="n">
        <f aca="false">L44+H44</f>
        <v>2293476.819</v>
      </c>
      <c r="W44" s="80" t="n">
        <f aca="false">$V$5/$X$2</f>
        <v>1437066.25668452</v>
      </c>
      <c r="X44" s="113"/>
      <c r="AB44" s="115"/>
      <c r="AD44" s="0" t="s">
        <v>194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80" t="n">
        <v>71</v>
      </c>
      <c r="AL44" s="0" t="n">
        <f aca="false">AL43*(1+$AA$12)^0.25</f>
        <v>1.1476537783034</v>
      </c>
      <c r="AN44" s="104" t="n">
        <f aca="false">(AJ44+AK44)/2</f>
        <v>62.7534380986043</v>
      </c>
      <c r="AO44" s="0" t="n">
        <f aca="false">+AO43</f>
        <v>82.7545820152566</v>
      </c>
      <c r="AQ44" s="104" t="n">
        <f aca="false">+D44</f>
        <v>2302428.501</v>
      </c>
      <c r="AS44" s="104" t="n">
        <f aca="false">+AS43</f>
        <v>106.145304813907</v>
      </c>
      <c r="AT44" s="44" t="n">
        <f aca="false">+G44</f>
        <v>18922185</v>
      </c>
      <c r="AU44" s="80" t="n">
        <f aca="false">+AS44*AT44/1000</f>
        <v>2008501.09457013</v>
      </c>
    </row>
    <row r="45" customFormat="false" ht="12.75" hidden="false" customHeight="false" outlineLevel="0" collapsed="false">
      <c r="B45" s="0" t="s">
        <v>195</v>
      </c>
      <c r="C45" s="8" t="n">
        <v>28418492</v>
      </c>
      <c r="D45" s="80" t="n">
        <f aca="false">E45*C45/1000</f>
        <v>1790364.996</v>
      </c>
      <c r="E45" s="80" t="n">
        <v>63</v>
      </c>
      <c r="G45" s="8" t="n">
        <v>18490208</v>
      </c>
      <c r="H45" s="80" t="n">
        <f aca="false">I45*G45/1000</f>
        <v>1090922.272</v>
      </c>
      <c r="I45" s="80" t="n">
        <v>59</v>
      </c>
      <c r="K45" s="8" t="n">
        <v>9928284</v>
      </c>
      <c r="L45" s="80" t="n">
        <f aca="false">K45*M45/1000</f>
        <v>704908.164</v>
      </c>
      <c r="M45" s="80" t="n">
        <f aca="false">IF($AA$5=1,AK45,IF($AA$5=2,$AA$10*AJ45+(1-$AA$10)*AI45,$AA$10*AF45+(1-$AA$10)*AE45))</f>
        <v>71</v>
      </c>
      <c r="O45" s="80" t="n">
        <f aca="false">(I45-M45)*G45/1000</f>
        <v>-221882.496</v>
      </c>
      <c r="Q45" s="80" t="n">
        <f aca="false">O45+Q44*(1+$AB$2)^0.25</f>
        <v>-21382254.0675927</v>
      </c>
      <c r="S45" s="114" t="n">
        <v>40543</v>
      </c>
      <c r="T45" s="80" t="e">
        <f aca="false">XNPV($AB$2,O45:$O$45,S45:$S$45)</f>
        <v>#VALUE!</v>
      </c>
      <c r="U45" s="80"/>
      <c r="V45" s="80" t="n">
        <f aca="false">L45+H45</f>
        <v>1795830.436</v>
      </c>
      <c r="W45" s="80" t="n">
        <f aca="false">$V$5/$X$2</f>
        <v>1437066.25668452</v>
      </c>
      <c r="X45" s="113"/>
      <c r="AB45" s="115"/>
      <c r="AD45" s="0" t="s">
        <v>195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80" t="n">
        <v>71</v>
      </c>
      <c r="AL45" s="0" t="n">
        <f aca="false">AL44*(1+$AA$12)^0.25</f>
        <v>1.15193348131284</v>
      </c>
      <c r="AN45" s="104" t="n">
        <f aca="false">(AJ45+AK45)/2</f>
        <v>57.0936654951484</v>
      </c>
      <c r="AO45" s="0" t="n">
        <f aca="false">+AO44</f>
        <v>82.7545820152566</v>
      </c>
      <c r="AQ45" s="104" t="n">
        <f aca="false">+D45</f>
        <v>1790364.996</v>
      </c>
      <c r="AS45" s="104" t="n">
        <f aca="false">+AS44</f>
        <v>106.145304813907</v>
      </c>
      <c r="AT45" s="44" t="n">
        <f aca="false">+G45</f>
        <v>18490208</v>
      </c>
      <c r="AU45" s="80" t="n">
        <f aca="false">+AS45*AT45/1000</f>
        <v>1962648.76423253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76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A65" activeCellId="0" sqref="A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2" min="17" style="0" width="9.28"/>
    <col collapsed="false" customWidth="true" hidden="false" outlineLevel="0" max="25" min="24" style="0" width="10.28"/>
    <col collapsed="false" customWidth="true" hidden="false" outlineLevel="0" max="29" min="26" style="0" width="9.28"/>
  </cols>
  <sheetData>
    <row r="1" customFormat="false" ht="30" hidden="false" customHeight="false" outlineLevel="0" collapsed="false">
      <c r="A1" s="117" t="s">
        <v>345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customFormat="false" ht="30" hidden="false" customHeight="false" outlineLevel="0" collapsed="false">
      <c r="A2" s="117" t="s">
        <v>346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customFormat="false" ht="12.75" hidden="false" customHeight="false" outlineLevel="0" collapsed="false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customFormat="false" ht="12.75" hidden="false" customHeight="false" outlineLevel="0" collapsed="false">
      <c r="A4" s="118" t="s">
        <v>347</v>
      </c>
      <c r="B4" s="119"/>
      <c r="C4" s="119"/>
      <c r="D4" s="21"/>
      <c r="E4" s="119"/>
      <c r="F4" s="119"/>
      <c r="G4" s="119"/>
      <c r="H4" s="119"/>
      <c r="I4" s="119"/>
      <c r="J4" s="119"/>
      <c r="K4" s="119"/>
      <c r="L4" s="49"/>
      <c r="M4" s="49"/>
      <c r="N4" s="49"/>
    </row>
    <row r="5" customFormat="false" ht="12.75" hidden="false" customHeight="false" outlineLevel="0" collapsed="false">
      <c r="A5" s="118" t="s">
        <v>348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49"/>
      <c r="M5" s="49"/>
      <c r="N5" s="49"/>
    </row>
    <row r="6" customFormat="false" ht="12.75" hidden="false" customHeight="false" outlineLevel="0" collapsed="false">
      <c r="A6" s="49"/>
      <c r="B6" s="66" t="s">
        <v>349</v>
      </c>
      <c r="C6" s="66"/>
      <c r="D6" s="66"/>
      <c r="E6" s="66"/>
      <c r="F6" s="66"/>
      <c r="G6" s="66"/>
      <c r="H6" s="66"/>
      <c r="I6" s="66"/>
      <c r="J6" s="66"/>
      <c r="K6" s="66"/>
      <c r="L6" s="66" t="s">
        <v>350</v>
      </c>
      <c r="M6" s="66"/>
      <c r="N6" s="66"/>
      <c r="S6" s="71" t="s">
        <v>172</v>
      </c>
      <c r="Z6" s="71" t="s">
        <v>351</v>
      </c>
    </row>
    <row r="7" customFormat="false" ht="38.25" hidden="false" customHeight="false" outlineLevel="0" collapsed="false">
      <c r="A7" s="49" t="s">
        <v>352</v>
      </c>
      <c r="B7" s="119" t="s">
        <v>353</v>
      </c>
      <c r="C7" s="119" t="s">
        <v>354</v>
      </c>
      <c r="D7" s="119" t="s">
        <v>355</v>
      </c>
      <c r="E7" s="119" t="s">
        <v>356</v>
      </c>
      <c r="F7" s="120" t="s">
        <v>357</v>
      </c>
      <c r="G7" s="120" t="s">
        <v>358</v>
      </c>
      <c r="H7" s="120" t="s">
        <v>359</v>
      </c>
      <c r="I7" s="120" t="s">
        <v>360</v>
      </c>
      <c r="J7" s="120" t="s">
        <v>361</v>
      </c>
      <c r="K7" s="120" t="s">
        <v>362</v>
      </c>
      <c r="L7" s="119" t="s">
        <v>363</v>
      </c>
      <c r="M7" s="120" t="s">
        <v>364</v>
      </c>
      <c r="N7" s="120" t="s">
        <v>365</v>
      </c>
      <c r="Q7" s="120" t="s">
        <v>357</v>
      </c>
      <c r="R7" s="120" t="s">
        <v>358</v>
      </c>
      <c r="S7" s="120" t="s">
        <v>359</v>
      </c>
      <c r="T7" s="120" t="s">
        <v>360</v>
      </c>
      <c r="U7" s="120" t="s">
        <v>361</v>
      </c>
      <c r="V7" s="120" t="s">
        <v>362</v>
      </c>
      <c r="X7" s="120" t="s">
        <v>357</v>
      </c>
      <c r="Y7" s="120" t="s">
        <v>358</v>
      </c>
      <c r="Z7" s="120" t="s">
        <v>359</v>
      </c>
      <c r="AA7" s="120" t="s">
        <v>360</v>
      </c>
      <c r="AB7" s="120" t="s">
        <v>361</v>
      </c>
      <c r="AC7" s="120" t="s">
        <v>362</v>
      </c>
    </row>
    <row r="8" customFormat="false" ht="12.75" hidden="false" customHeight="false" outlineLevel="0" collapsed="false">
      <c r="A8" s="49"/>
      <c r="B8" s="119"/>
      <c r="C8" s="119"/>
      <c r="D8" s="119"/>
      <c r="E8" s="119"/>
      <c r="F8" s="121" t="s">
        <v>366</v>
      </c>
      <c r="G8" s="121"/>
      <c r="H8" s="121"/>
      <c r="I8" s="121"/>
      <c r="J8" s="121"/>
      <c r="K8" s="121"/>
      <c r="L8" s="49"/>
      <c r="M8" s="49"/>
      <c r="N8" s="49"/>
    </row>
    <row r="9" customFormat="false" ht="12.75" hidden="false" customHeight="false" outlineLevel="0" collapsed="false">
      <c r="A9" s="118" t="s">
        <v>367</v>
      </c>
      <c r="B9" s="122"/>
      <c r="C9" s="119"/>
      <c r="D9" s="119"/>
      <c r="E9" s="119"/>
      <c r="F9" s="119"/>
      <c r="G9" s="119"/>
      <c r="H9" s="119"/>
      <c r="I9" s="119"/>
      <c r="J9" s="119"/>
      <c r="K9" s="119"/>
      <c r="L9" s="123"/>
      <c r="M9" s="49"/>
      <c r="N9" s="49"/>
    </row>
    <row r="10" customFormat="false" ht="12.75" hidden="false" customHeight="false" outlineLevel="0" collapsed="false">
      <c r="A10" s="119"/>
      <c r="B10" s="122"/>
      <c r="C10" s="119"/>
      <c r="D10" s="119"/>
      <c r="E10" s="119"/>
      <c r="F10" s="124"/>
      <c r="G10" s="124"/>
      <c r="H10" s="124"/>
      <c r="I10" s="124"/>
      <c r="J10" s="124"/>
      <c r="K10" s="124"/>
      <c r="L10" s="122"/>
      <c r="M10" s="122"/>
      <c r="N10" s="119"/>
    </row>
    <row r="11" customFormat="false" ht="12.75" hidden="false" customHeight="false" outlineLevel="0" collapsed="false">
      <c r="A11" s="1" t="n">
        <v>1</v>
      </c>
      <c r="B11" s="125" t="n">
        <v>36931</v>
      </c>
      <c r="C11" s="1" t="s">
        <v>368</v>
      </c>
      <c r="D11" s="1" t="s">
        <v>369</v>
      </c>
      <c r="E11" s="1" t="s">
        <v>198</v>
      </c>
      <c r="F11" s="126" t="n">
        <v>50</v>
      </c>
      <c r="G11" s="126" t="n">
        <v>50</v>
      </c>
      <c r="H11" s="126" t="n">
        <v>50</v>
      </c>
      <c r="I11" s="126" t="n">
        <v>50</v>
      </c>
      <c r="J11" s="126" t="n">
        <v>50</v>
      </c>
      <c r="K11" s="126"/>
      <c r="L11" s="125" t="n">
        <v>36928</v>
      </c>
      <c r="M11" s="125" t="n">
        <v>36929</v>
      </c>
      <c r="N11" s="125" t="n">
        <v>36935</v>
      </c>
      <c r="Q11" s="8" t="n">
        <f aca="false">IF($D11="Peak",+F11,0)</f>
        <v>50</v>
      </c>
      <c r="R11" s="8" t="n">
        <f aca="false">IF($D11="Peak",+G11,0)</f>
        <v>50</v>
      </c>
      <c r="S11" s="8" t="n">
        <f aca="false">IF($D11="Peak",+H11,0)</f>
        <v>50</v>
      </c>
      <c r="T11" s="8" t="n">
        <f aca="false">IF($D11="Peak",+I11,0)</f>
        <v>50</v>
      </c>
      <c r="U11" s="8" t="n">
        <f aca="false">IF($D11="Peak",+J11,0)</f>
        <v>50</v>
      </c>
      <c r="V11" s="8" t="n">
        <f aca="false">IF($D11="Peak",+K11,0)</f>
        <v>0</v>
      </c>
      <c r="W11" s="8"/>
      <c r="X11" s="8" t="n">
        <f aca="false">IF($D11="Peak",+F11,0)</f>
        <v>50</v>
      </c>
      <c r="Y11" s="8" t="n">
        <f aca="false">IF($F11="Peak",+N11,0)</f>
        <v>0</v>
      </c>
      <c r="Z11" s="8" t="n">
        <f aca="false">IF($F11="Peak",+O11,0)</f>
        <v>0</v>
      </c>
      <c r="AA11" s="8" t="n">
        <f aca="false">IF($F11="Peak",+P11,0)</f>
        <v>0</v>
      </c>
      <c r="AB11" s="8" t="n">
        <f aca="false">IF($F11="Peak",+Q11,0)</f>
        <v>0</v>
      </c>
      <c r="AC11" s="8" t="n">
        <f aca="false">IF($F11="Peak",+R11,0)</f>
        <v>0</v>
      </c>
      <c r="AD11" s="8"/>
    </row>
    <row r="12" customFormat="false" ht="12.75" hidden="false" customHeight="false" outlineLevel="0" collapsed="false">
      <c r="A12" s="1" t="n">
        <v>2</v>
      </c>
      <c r="B12" s="125" t="n">
        <v>36931</v>
      </c>
      <c r="C12" s="1" t="s">
        <v>368</v>
      </c>
      <c r="D12" s="1" t="s">
        <v>369</v>
      </c>
      <c r="E12" s="1" t="s">
        <v>331</v>
      </c>
      <c r="F12" s="126" t="n">
        <v>50</v>
      </c>
      <c r="G12" s="126" t="n">
        <v>50</v>
      </c>
      <c r="H12" s="126" t="n">
        <v>50</v>
      </c>
      <c r="I12" s="126" t="n">
        <v>50</v>
      </c>
      <c r="J12" s="126" t="n">
        <v>50</v>
      </c>
      <c r="K12" s="126"/>
      <c r="L12" s="125" t="n">
        <v>36928</v>
      </c>
      <c r="M12" s="125" t="n">
        <v>36929</v>
      </c>
      <c r="N12" s="125" t="n">
        <v>36935</v>
      </c>
      <c r="Q12" s="8" t="n">
        <f aca="false">IF($D12="Peak",+F12,0)</f>
        <v>50</v>
      </c>
      <c r="R12" s="8" t="n">
        <f aca="false">IF($D12="Peak",+G12,0)</f>
        <v>50</v>
      </c>
      <c r="S12" s="8" t="n">
        <f aca="false">IF($D12="Peak",+H12,0)</f>
        <v>50</v>
      </c>
      <c r="T12" s="8" t="n">
        <f aca="false">IF($D12="Peak",+I12,0)</f>
        <v>50</v>
      </c>
      <c r="U12" s="8" t="n">
        <f aca="false">IF($D12="Peak",+J12,0)</f>
        <v>50</v>
      </c>
      <c r="V12" s="8" t="n">
        <f aca="false">IF($D12="Peak",+K12,0)</f>
        <v>0</v>
      </c>
      <c r="W12" s="8"/>
      <c r="X12" s="8" t="n">
        <f aca="false">IF($F12="Peak",+M12,0)</f>
        <v>0</v>
      </c>
      <c r="Y12" s="8" t="n">
        <f aca="false">IF($F12="Peak",+N12,0)</f>
        <v>0</v>
      </c>
      <c r="Z12" s="8" t="n">
        <f aca="false">IF($F12="Peak",+O12,0)</f>
        <v>0</v>
      </c>
      <c r="AA12" s="8" t="n">
        <f aca="false">IF($F12="Peak",+P12,0)</f>
        <v>0</v>
      </c>
      <c r="AB12" s="8" t="n">
        <f aca="false">IF($F12="Peak",+Q12,0)</f>
        <v>0</v>
      </c>
      <c r="AC12" s="8" t="n">
        <f aca="false">IF($F12="Peak",+R12,0)</f>
        <v>0</v>
      </c>
      <c r="AD12" s="8"/>
    </row>
    <row r="13" customFormat="false" ht="12.75" hidden="false" customHeight="false" outlineLevel="0" collapsed="false">
      <c r="A13" s="1" t="n">
        <v>3</v>
      </c>
      <c r="B13" s="122" t="n">
        <v>36935</v>
      </c>
      <c r="C13" s="119" t="s">
        <v>370</v>
      </c>
      <c r="D13" s="119" t="s">
        <v>371</v>
      </c>
      <c r="E13" s="119" t="s">
        <v>331</v>
      </c>
      <c r="F13" s="124" t="n">
        <v>12</v>
      </c>
      <c r="G13" s="124" t="s">
        <v>372</v>
      </c>
      <c r="H13" s="124"/>
      <c r="I13" s="124"/>
      <c r="J13" s="124"/>
      <c r="K13" s="124"/>
      <c r="L13" s="122"/>
      <c r="M13" s="122"/>
      <c r="N13" s="122" t="s">
        <v>373</v>
      </c>
      <c r="Q13" s="8" t="n">
        <f aca="false">IF($D13="Peak",+F13,0)</f>
        <v>0</v>
      </c>
      <c r="R13" s="8" t="n">
        <f aca="false">IF($D13="Peak",+G13,0)</f>
        <v>0</v>
      </c>
      <c r="S13" s="8" t="n">
        <f aca="false">IF($D13="Peak",+H13,0)</f>
        <v>0</v>
      </c>
      <c r="T13" s="8" t="n">
        <f aca="false">IF($D13="Peak",+I13,0)</f>
        <v>0</v>
      </c>
      <c r="U13" s="8" t="n">
        <f aca="false">IF($D13="Peak",+J13,0)</f>
        <v>0</v>
      </c>
      <c r="V13" s="8" t="n">
        <f aca="false">IF($D13="Peak",+K13,0)</f>
        <v>0</v>
      </c>
      <c r="W13" s="8"/>
      <c r="X13" s="8" t="n">
        <f aca="false">IF($F13="Peak",+M13,0)</f>
        <v>0</v>
      </c>
      <c r="Y13" s="8" t="n">
        <f aca="false">IF($F13="Peak",+N13,0)</f>
        <v>0</v>
      </c>
      <c r="Z13" s="8" t="n">
        <f aca="false">IF($F13="Peak",+O13,0)</f>
        <v>0</v>
      </c>
      <c r="AA13" s="8" t="n">
        <f aca="false">IF($F13="Peak",+P13,0)</f>
        <v>0</v>
      </c>
      <c r="AB13" s="8" t="n">
        <f aca="false">IF($F13="Peak",+Q13,0)</f>
        <v>0</v>
      </c>
      <c r="AC13" s="8" t="n">
        <f aca="false">IF($F13="Peak",+R13,0)</f>
        <v>0</v>
      </c>
      <c r="AD13" s="8"/>
    </row>
    <row r="14" customFormat="false" ht="12.75" hidden="false" customHeight="false" outlineLevel="0" collapsed="false">
      <c r="A14" s="1" t="n">
        <v>4</v>
      </c>
      <c r="B14" s="125" t="n">
        <v>36937</v>
      </c>
      <c r="C14" s="1" t="s">
        <v>368</v>
      </c>
      <c r="D14" s="1" t="s">
        <v>371</v>
      </c>
      <c r="E14" s="1" t="s">
        <v>198</v>
      </c>
      <c r="F14" s="126" t="n">
        <v>50</v>
      </c>
      <c r="G14" s="126" t="n">
        <v>50</v>
      </c>
      <c r="H14" s="126" t="n">
        <v>50</v>
      </c>
      <c r="I14" s="126" t="n">
        <v>50</v>
      </c>
      <c r="J14" s="126" t="n">
        <v>50</v>
      </c>
      <c r="K14" s="126"/>
      <c r="L14" s="125" t="n">
        <v>36928</v>
      </c>
      <c r="M14" s="125" t="n">
        <v>36929</v>
      </c>
      <c r="N14" s="125" t="n">
        <v>36942</v>
      </c>
      <c r="Q14" s="8" t="n">
        <f aca="false">IF($D14="Peak",+F14,0)</f>
        <v>0</v>
      </c>
      <c r="R14" s="8" t="n">
        <f aca="false">IF($D14="Peak",+G14,0)</f>
        <v>0</v>
      </c>
      <c r="S14" s="8" t="n">
        <f aca="false">IF($D14="Peak",+H14,0)</f>
        <v>0</v>
      </c>
      <c r="T14" s="8" t="n">
        <f aca="false">IF($D14="Peak",+I14,0)</f>
        <v>0</v>
      </c>
      <c r="U14" s="8" t="n">
        <f aca="false">IF($D14="Peak",+J14,0)</f>
        <v>0</v>
      </c>
      <c r="V14" s="8" t="n">
        <f aca="false">IF($D14="Peak",+K14,0)</f>
        <v>0</v>
      </c>
      <c r="W14" s="8"/>
      <c r="X14" s="8" t="n">
        <f aca="false">IF($F14="Peak",+M14,0)</f>
        <v>0</v>
      </c>
      <c r="Y14" s="8" t="n">
        <f aca="false">IF($F14="Peak",+N14,0)</f>
        <v>0</v>
      </c>
      <c r="Z14" s="8" t="n">
        <f aca="false">IF($F14="Peak",+O14,0)</f>
        <v>0</v>
      </c>
      <c r="AA14" s="8" t="n">
        <f aca="false">IF($F14="Peak",+P14,0)</f>
        <v>0</v>
      </c>
      <c r="AB14" s="8" t="n">
        <f aca="false">IF($F14="Peak",+Q14,0)</f>
        <v>0</v>
      </c>
      <c r="AC14" s="8" t="n">
        <f aca="false">IF($F14="Peak",+R14,0)</f>
        <v>0</v>
      </c>
      <c r="AD14" s="8"/>
    </row>
    <row r="15" customFormat="false" ht="12.75" hidden="false" customHeight="false" outlineLevel="0" collapsed="false">
      <c r="A15" s="1" t="n">
        <v>5</v>
      </c>
      <c r="B15" s="125" t="s">
        <v>374</v>
      </c>
      <c r="C15" s="1" t="s">
        <v>375</v>
      </c>
      <c r="D15" s="1" t="s">
        <v>376</v>
      </c>
      <c r="E15" s="1" t="s">
        <v>331</v>
      </c>
      <c r="F15" s="126" t="s">
        <v>377</v>
      </c>
      <c r="G15" s="126"/>
      <c r="H15" s="126"/>
      <c r="I15" s="126"/>
      <c r="J15" s="126"/>
      <c r="K15" s="126"/>
      <c r="L15" s="125" t="n">
        <v>36931</v>
      </c>
      <c r="M15" s="125" t="n">
        <v>36936</v>
      </c>
      <c r="N15" s="125" t="n">
        <v>36942</v>
      </c>
      <c r="Q15" s="8" t="n">
        <f aca="false">IF($D15="Peak",+F15,0)</f>
        <v>0</v>
      </c>
      <c r="R15" s="8" t="n">
        <f aca="false">IF($D15="Peak",+G15,0)</f>
        <v>0</v>
      </c>
      <c r="S15" s="8" t="n">
        <f aca="false">IF($D15="Peak",+H15,0)</f>
        <v>0</v>
      </c>
      <c r="T15" s="8" t="n">
        <f aca="false">IF($D15="Peak",+I15,0)</f>
        <v>0</v>
      </c>
      <c r="U15" s="8" t="n">
        <f aca="false">IF($D15="Peak",+J15,0)</f>
        <v>0</v>
      </c>
      <c r="V15" s="8" t="n">
        <f aca="false">IF($D15="Peak",+K15,0)</f>
        <v>0</v>
      </c>
      <c r="W15" s="8"/>
      <c r="X15" s="8" t="n">
        <f aca="false">IF($F15="Peak",+M15,0)</f>
        <v>0</v>
      </c>
      <c r="Y15" s="8" t="n">
        <f aca="false">IF($F15="Peak",+N15,0)</f>
        <v>0</v>
      </c>
      <c r="Z15" s="8" t="n">
        <f aca="false">IF($F15="Peak",+O15,0)</f>
        <v>0</v>
      </c>
      <c r="AA15" s="8" t="n">
        <f aca="false">IF($F15="Peak",+P15,0)</f>
        <v>0</v>
      </c>
      <c r="AB15" s="8" t="n">
        <f aca="false">IF($F15="Peak",+Q15,0)</f>
        <v>0</v>
      </c>
      <c r="AC15" s="8" t="n">
        <f aca="false">IF($F15="Peak",+R15,0)</f>
        <v>0</v>
      </c>
      <c r="AD15" s="8"/>
    </row>
    <row r="16" customFormat="false" ht="12.75" hidden="false" customHeight="false" outlineLevel="0" collapsed="false">
      <c r="A16" s="1" t="n">
        <v>6</v>
      </c>
      <c r="B16" s="125" t="n">
        <v>36945</v>
      </c>
      <c r="C16" s="125" t="n">
        <v>38806</v>
      </c>
      <c r="D16" s="1" t="s">
        <v>369</v>
      </c>
      <c r="E16" s="1" t="s">
        <v>331</v>
      </c>
      <c r="F16" s="126" t="n">
        <v>200</v>
      </c>
      <c r="G16" s="126" t="n">
        <v>200</v>
      </c>
      <c r="H16" s="126" t="n">
        <v>200</v>
      </c>
      <c r="I16" s="126" t="n">
        <v>200</v>
      </c>
      <c r="J16" s="126" t="n">
        <v>200</v>
      </c>
      <c r="K16" s="126"/>
      <c r="L16" s="125" t="n">
        <v>36928</v>
      </c>
      <c r="M16" s="125" t="n">
        <v>36929</v>
      </c>
      <c r="N16" s="125" t="n">
        <v>36944</v>
      </c>
      <c r="Q16" s="8" t="n">
        <f aca="false">IF($D16="Peak",+F16,0)</f>
        <v>200</v>
      </c>
      <c r="R16" s="8" t="n">
        <f aca="false">IF($D16="Peak",+G16,0)</f>
        <v>200</v>
      </c>
      <c r="S16" s="8" t="n">
        <f aca="false">IF($D16="Peak",+H16,0)</f>
        <v>200</v>
      </c>
      <c r="T16" s="8" t="n">
        <f aca="false">IF($D16="Peak",+I16,0)</f>
        <v>200</v>
      </c>
      <c r="U16" s="8" t="n">
        <f aca="false">IF($D16="Peak",+J16,0)</f>
        <v>200</v>
      </c>
      <c r="V16" s="8" t="n">
        <f aca="false">IF($D16="Peak",+K16,0)</f>
        <v>0</v>
      </c>
      <c r="W16" s="8"/>
      <c r="X16" s="8" t="n">
        <f aca="false">IF($F16="Peak",+M16,0)</f>
        <v>0</v>
      </c>
      <c r="Y16" s="8" t="n">
        <f aca="false">IF($F16="Peak",+N16,0)</f>
        <v>0</v>
      </c>
      <c r="Z16" s="8" t="n">
        <f aca="false">IF($F16="Peak",+O16,0)</f>
        <v>0</v>
      </c>
      <c r="AA16" s="8" t="n">
        <f aca="false">IF($F16="Peak",+P16,0)</f>
        <v>0</v>
      </c>
      <c r="AB16" s="8" t="n">
        <f aca="false">IF($F16="Peak",+Q16,0)</f>
        <v>0</v>
      </c>
      <c r="AC16" s="8" t="n">
        <f aca="false">IF($F16="Peak",+R16,0)</f>
        <v>0</v>
      </c>
      <c r="AD16" s="8"/>
    </row>
    <row r="17" customFormat="false" ht="12.75" hidden="false" customHeight="false" outlineLevel="0" collapsed="false">
      <c r="A17" s="1" t="n">
        <v>7</v>
      </c>
      <c r="B17" s="125" t="n">
        <v>36951</v>
      </c>
      <c r="C17" s="1" t="s">
        <v>378</v>
      </c>
      <c r="D17" s="1" t="s">
        <v>369</v>
      </c>
      <c r="E17" s="1" t="s">
        <v>198</v>
      </c>
      <c r="F17" s="1" t="n">
        <v>1000</v>
      </c>
      <c r="G17" s="1"/>
      <c r="H17" s="1"/>
      <c r="I17" s="1"/>
      <c r="J17" s="1"/>
      <c r="K17" s="1"/>
      <c r="L17" s="125" t="n">
        <v>36944</v>
      </c>
      <c r="M17" s="125" t="n">
        <v>36945</v>
      </c>
      <c r="N17" s="125" t="n">
        <v>36952</v>
      </c>
      <c r="Q17" s="8" t="n">
        <f aca="false">IF($D17="Peak",+F17,0)</f>
        <v>1000</v>
      </c>
      <c r="R17" s="8" t="n">
        <f aca="false">IF($D17="Peak",+G17,0)</f>
        <v>0</v>
      </c>
      <c r="S17" s="8" t="n">
        <f aca="false">IF($D17="Peak",+H17,0)</f>
        <v>0</v>
      </c>
      <c r="T17" s="8" t="n">
        <f aca="false">IF($D17="Peak",+I17,0)</f>
        <v>0</v>
      </c>
      <c r="U17" s="8" t="n">
        <f aca="false">IF($D17="Peak",+J17,0)</f>
        <v>0</v>
      </c>
      <c r="V17" s="8" t="n">
        <f aca="false">IF($D17="Peak",+K17,0)</f>
        <v>0</v>
      </c>
      <c r="W17" s="8"/>
      <c r="X17" s="8" t="n">
        <f aca="false">IF($F17="Peak",+M17,0)</f>
        <v>0</v>
      </c>
      <c r="Y17" s="8" t="n">
        <f aca="false">IF($F17="Peak",+N17,0)</f>
        <v>0</v>
      </c>
      <c r="Z17" s="8" t="n">
        <f aca="false">IF($F17="Peak",+O17,0)</f>
        <v>0</v>
      </c>
      <c r="AA17" s="8" t="n">
        <f aca="false">IF($F17="Peak",+P17,0)</f>
        <v>0</v>
      </c>
      <c r="AB17" s="8" t="n">
        <f aca="false">IF($F17="Peak",+Q17,0)</f>
        <v>0</v>
      </c>
      <c r="AC17" s="8" t="n">
        <f aca="false">IF($F17="Peak",+R17,0)</f>
        <v>0</v>
      </c>
      <c r="AD17" s="8"/>
    </row>
    <row r="18" customFormat="false" ht="12.75" hidden="false" customHeight="false" outlineLevel="0" collapsed="false">
      <c r="A18" s="1" t="n">
        <v>8</v>
      </c>
      <c r="B18" s="125" t="n">
        <v>36951</v>
      </c>
      <c r="C18" s="1" t="s">
        <v>375</v>
      </c>
      <c r="D18" s="1" t="s">
        <v>379</v>
      </c>
      <c r="E18" s="1" t="s">
        <v>198</v>
      </c>
      <c r="F18" s="1" t="s">
        <v>380</v>
      </c>
      <c r="G18" s="1"/>
      <c r="H18" s="1"/>
      <c r="I18" s="1"/>
      <c r="J18" s="1"/>
      <c r="K18" s="1"/>
      <c r="L18" s="125" t="n">
        <v>36944</v>
      </c>
      <c r="M18" s="125" t="n">
        <v>36945</v>
      </c>
      <c r="N18" s="125" t="n">
        <v>36952</v>
      </c>
      <c r="Q18" s="8" t="n">
        <f aca="false">IF($D18="Peak",+F18,0)</f>
        <v>0</v>
      </c>
      <c r="R18" s="8" t="n">
        <f aca="false">IF($D18="Peak",+G18,0)</f>
        <v>0</v>
      </c>
      <c r="S18" s="8" t="n">
        <f aca="false">IF($D18="Peak",+H18,0)</f>
        <v>0</v>
      </c>
      <c r="T18" s="8" t="n">
        <f aca="false">IF($D18="Peak",+I18,0)</f>
        <v>0</v>
      </c>
      <c r="U18" s="8" t="n">
        <f aca="false">IF($D18="Peak",+J18,0)</f>
        <v>0</v>
      </c>
      <c r="V18" s="8" t="n">
        <f aca="false">IF($D18="Peak",+K18,0)</f>
        <v>0</v>
      </c>
      <c r="W18" s="8"/>
      <c r="X18" s="8" t="n">
        <f aca="false">IF($F18="Peak",+M18,0)</f>
        <v>0</v>
      </c>
      <c r="Y18" s="8" t="n">
        <f aca="false">IF($F18="Peak",+N18,0)</f>
        <v>0</v>
      </c>
      <c r="Z18" s="8" t="n">
        <f aca="false">IF($F18="Peak",+O18,0)</f>
        <v>0</v>
      </c>
      <c r="AA18" s="8" t="n">
        <f aca="false">IF($F18="Peak",+P18,0)</f>
        <v>0</v>
      </c>
      <c r="AB18" s="8" t="n">
        <f aca="false">IF($F18="Peak",+Q18,0)</f>
        <v>0</v>
      </c>
      <c r="AC18" s="8" t="n">
        <f aca="false">IF($F18="Peak",+R18,0)</f>
        <v>0</v>
      </c>
      <c r="AD18" s="8"/>
    </row>
    <row r="19" customFormat="false" ht="12.75" hidden="false" customHeight="false" outlineLevel="0" collapsed="false">
      <c r="A19" s="1" t="n">
        <v>9</v>
      </c>
      <c r="B19" s="125" t="n">
        <v>36982</v>
      </c>
      <c r="C19" s="1" t="s">
        <v>381</v>
      </c>
      <c r="D19" s="1" t="s">
        <v>369</v>
      </c>
      <c r="E19" s="1" t="s">
        <v>198</v>
      </c>
      <c r="F19" s="126" t="n">
        <v>175</v>
      </c>
      <c r="G19" s="126" t="n">
        <v>200</v>
      </c>
      <c r="H19" s="126" t="n">
        <v>250</v>
      </c>
      <c r="I19" s="126" t="n">
        <v>250</v>
      </c>
      <c r="J19" s="126" t="n">
        <v>300</v>
      </c>
      <c r="K19" s="126" t="n">
        <v>300</v>
      </c>
      <c r="L19" s="125" t="n">
        <v>36927</v>
      </c>
      <c r="M19" s="125" t="n">
        <v>36928</v>
      </c>
      <c r="N19" s="125" t="n">
        <v>36938</v>
      </c>
      <c r="Q19" s="8" t="n">
        <f aca="false">IF($D19="Peak",+F19,0)</f>
        <v>175</v>
      </c>
      <c r="R19" s="8" t="n">
        <f aca="false">IF($D19="Peak",+G19,0)</f>
        <v>200</v>
      </c>
      <c r="S19" s="8" t="n">
        <f aca="false">IF($D19="Peak",+H19,0)</f>
        <v>250</v>
      </c>
      <c r="T19" s="8" t="n">
        <f aca="false">IF($D19="Peak",+I19,0)</f>
        <v>250</v>
      </c>
      <c r="U19" s="8" t="n">
        <f aca="false">IF($D19="Peak",+J19,0)</f>
        <v>300</v>
      </c>
      <c r="V19" s="8" t="n">
        <f aca="false">IF($D19="Peak",+K19,0)</f>
        <v>300</v>
      </c>
      <c r="W19" s="8"/>
      <c r="X19" s="8" t="n">
        <f aca="false">IF($F19="Peak",+M19,0)</f>
        <v>0</v>
      </c>
      <c r="Y19" s="8" t="n">
        <f aca="false">IF($F19="Peak",+N19,0)</f>
        <v>0</v>
      </c>
      <c r="Z19" s="8" t="n">
        <f aca="false">IF($F19="Peak",+O19,0)</f>
        <v>0</v>
      </c>
      <c r="AA19" s="8" t="n">
        <f aca="false">IF($F19="Peak",+P19,0)</f>
        <v>0</v>
      </c>
      <c r="AB19" s="8" t="n">
        <f aca="false">IF($F19="Peak",+Q19,0)</f>
        <v>0</v>
      </c>
      <c r="AC19" s="8" t="n">
        <f aca="false">IF($F19="Peak",+R19,0)</f>
        <v>0</v>
      </c>
      <c r="AD19" s="8"/>
    </row>
    <row r="20" customFormat="false" ht="12.75" hidden="false" customHeight="false" outlineLevel="0" collapsed="false">
      <c r="A20" s="1" t="n">
        <v>10</v>
      </c>
      <c r="B20" s="125" t="n">
        <v>37043</v>
      </c>
      <c r="C20" s="1" t="s">
        <v>382</v>
      </c>
      <c r="D20" s="1" t="s">
        <v>369</v>
      </c>
      <c r="E20" s="1" t="s">
        <v>198</v>
      </c>
      <c r="F20" s="126" t="n">
        <v>140</v>
      </c>
      <c r="G20" s="126" t="n">
        <v>160</v>
      </c>
      <c r="H20" s="126" t="n">
        <v>240</v>
      </c>
      <c r="I20" s="126" t="n">
        <v>320</v>
      </c>
      <c r="J20" s="126" t="n">
        <v>400</v>
      </c>
      <c r="K20" s="126"/>
      <c r="L20" s="125" t="n">
        <v>36931</v>
      </c>
      <c r="M20" s="125" t="n">
        <v>36931</v>
      </c>
      <c r="N20" s="125" t="n">
        <v>36943</v>
      </c>
      <c r="Q20" s="8" t="n">
        <f aca="false">IF($D20="Peak",+F20,0)</f>
        <v>140</v>
      </c>
      <c r="R20" s="8" t="n">
        <f aca="false">IF($D20="Peak",+G20,0)</f>
        <v>160</v>
      </c>
      <c r="S20" s="8" t="n">
        <f aca="false">IF($D20="Peak",+H20,0)</f>
        <v>240</v>
      </c>
      <c r="T20" s="8" t="n">
        <f aca="false">IF($D20="Peak",+I20,0)</f>
        <v>320</v>
      </c>
      <c r="U20" s="8" t="n">
        <f aca="false">IF($D20="Peak",+J20,0)</f>
        <v>400</v>
      </c>
      <c r="V20" s="8" t="n">
        <f aca="false">IF($D20="Peak",+K20,0)</f>
        <v>0</v>
      </c>
      <c r="W20" s="8"/>
      <c r="X20" s="8" t="n">
        <f aca="false">IF($F20="Peak",+M20,0)</f>
        <v>0</v>
      </c>
      <c r="Y20" s="8" t="n">
        <f aca="false">IF($F20="Peak",+N20,0)</f>
        <v>0</v>
      </c>
      <c r="Z20" s="8" t="n">
        <f aca="false">IF($F20="Peak",+O20,0)</f>
        <v>0</v>
      </c>
      <c r="AA20" s="8" t="n">
        <f aca="false">IF($F20="Peak",+P20,0)</f>
        <v>0</v>
      </c>
      <c r="AB20" s="8" t="n">
        <f aca="false">IF($F20="Peak",+Q20,0)</f>
        <v>0</v>
      </c>
      <c r="AC20" s="8" t="n">
        <f aca="false">IF($F20="Peak",+R20,0)</f>
        <v>0</v>
      </c>
      <c r="AD20" s="8"/>
    </row>
    <row r="21" customFormat="false" ht="12.75" hidden="false" customHeight="false" outlineLevel="0" collapsed="false">
      <c r="A21" s="1" t="n">
        <v>11</v>
      </c>
      <c r="B21" s="125" t="n">
        <v>37043</v>
      </c>
      <c r="C21" s="1" t="s">
        <v>383</v>
      </c>
      <c r="D21" s="1" t="s">
        <v>371</v>
      </c>
      <c r="E21" s="1" t="s">
        <v>198</v>
      </c>
      <c r="F21" s="126" t="n">
        <v>35</v>
      </c>
      <c r="G21" s="126" t="n">
        <v>40</v>
      </c>
      <c r="H21" s="126" t="n">
        <v>60</v>
      </c>
      <c r="I21" s="126" t="n">
        <v>80</v>
      </c>
      <c r="J21" s="126" t="n">
        <v>100</v>
      </c>
      <c r="K21" s="126" t="n">
        <v>600</v>
      </c>
      <c r="L21" s="125" t="n">
        <v>36931</v>
      </c>
      <c r="M21" s="125" t="n">
        <v>36931</v>
      </c>
      <c r="N21" s="125" t="n">
        <v>36943</v>
      </c>
      <c r="Q21" s="8" t="n">
        <f aca="false">IF($D21="Peak",+F21,0)</f>
        <v>0</v>
      </c>
      <c r="R21" s="8" t="n">
        <f aca="false">IF($D21="Peak",+G21,0)</f>
        <v>0</v>
      </c>
      <c r="S21" s="8" t="n">
        <f aca="false">IF($D21="Peak",+H21,0)</f>
        <v>0</v>
      </c>
      <c r="T21" s="8" t="n">
        <f aca="false">IF($D21="Peak",+I21,0)</f>
        <v>0</v>
      </c>
      <c r="U21" s="8" t="n">
        <f aca="false">IF($D21="Peak",+J21,0)</f>
        <v>0</v>
      </c>
      <c r="V21" s="8" t="n">
        <f aca="false">IF($D21="Peak",+K21,0)</f>
        <v>0</v>
      </c>
      <c r="W21" s="8"/>
      <c r="X21" s="8" t="n">
        <f aca="false">IF($F21="Peak",+M21,0)</f>
        <v>0</v>
      </c>
      <c r="Y21" s="8" t="n">
        <f aca="false">IF($F21="Peak",+N21,0)</f>
        <v>0</v>
      </c>
      <c r="Z21" s="8" t="n">
        <f aca="false">IF($F21="Peak",+O21,0)</f>
        <v>0</v>
      </c>
      <c r="AA21" s="8" t="n">
        <f aca="false">IF($F21="Peak",+P21,0)</f>
        <v>0</v>
      </c>
      <c r="AB21" s="8" t="n">
        <f aca="false">IF($F21="Peak",+Q21,0)</f>
        <v>0</v>
      </c>
      <c r="AC21" s="8" t="n">
        <f aca="false">IF($F21="Peak",+R21,0)</f>
        <v>0</v>
      </c>
      <c r="AD21" s="8"/>
    </row>
    <row r="22" customFormat="false" ht="12.75" hidden="false" customHeight="false" outlineLevel="0" collapsed="false">
      <c r="A22" s="1" t="n">
        <v>12</v>
      </c>
      <c r="B22" s="125" t="n">
        <v>37073</v>
      </c>
      <c r="C22" s="1" t="s">
        <v>383</v>
      </c>
      <c r="D22" s="1" t="s">
        <v>371</v>
      </c>
      <c r="E22" s="1" t="s">
        <v>331</v>
      </c>
      <c r="F22" s="126" t="n">
        <v>200</v>
      </c>
      <c r="G22" s="126" t="n">
        <v>1000</v>
      </c>
      <c r="H22" s="126" t="n">
        <v>1000</v>
      </c>
      <c r="I22" s="126" t="n">
        <v>1000</v>
      </c>
      <c r="J22" s="126" t="n">
        <v>1000</v>
      </c>
      <c r="K22" s="126" t="n">
        <v>1000</v>
      </c>
      <c r="L22" s="125"/>
      <c r="M22" s="125" t="n">
        <v>36943</v>
      </c>
      <c r="N22" s="125" t="n">
        <v>36949</v>
      </c>
      <c r="Q22" s="8" t="n">
        <f aca="false">IF($D22="Peak",+F22,0)</f>
        <v>0</v>
      </c>
      <c r="R22" s="8" t="n">
        <f aca="false">IF($D22="Peak",+G22,0)</f>
        <v>0</v>
      </c>
      <c r="S22" s="8" t="n">
        <f aca="false">IF($D22="Peak",+H22,0)</f>
        <v>0</v>
      </c>
      <c r="T22" s="8" t="n">
        <f aca="false">IF($D22="Peak",+I22,0)</f>
        <v>0</v>
      </c>
      <c r="U22" s="8" t="n">
        <f aca="false">IF($D22="Peak",+J22,0)</f>
        <v>0</v>
      </c>
      <c r="V22" s="8" t="n">
        <f aca="false">IF($D22="Peak",+K22,0)</f>
        <v>0</v>
      </c>
      <c r="W22" s="8"/>
      <c r="X22" s="8" t="n">
        <f aca="false">IF($F22="Peak",+M22,0)</f>
        <v>0</v>
      </c>
      <c r="Y22" s="8" t="n">
        <f aca="false">IF($F22="Peak",+N22,0)</f>
        <v>0</v>
      </c>
      <c r="Z22" s="8" t="n">
        <f aca="false">IF($F22="Peak",+O22,0)</f>
        <v>0</v>
      </c>
      <c r="AA22" s="8" t="n">
        <f aca="false">IF($F22="Peak",+P22,0)</f>
        <v>0</v>
      </c>
      <c r="AB22" s="8" t="n">
        <f aca="false">IF($F22="Peak",+Q22,0)</f>
        <v>0</v>
      </c>
      <c r="AC22" s="8" t="n">
        <f aca="false">IF($F22="Peak",+R22,0)</f>
        <v>0</v>
      </c>
      <c r="AD22" s="8"/>
    </row>
    <row r="23" customFormat="false" ht="12.75" hidden="false" customHeight="false" outlineLevel="0" collapsed="false">
      <c r="A23" s="1" t="n">
        <v>13</v>
      </c>
      <c r="B23" s="125" t="n">
        <v>37104</v>
      </c>
      <c r="C23" s="1" t="s">
        <v>384</v>
      </c>
      <c r="D23" s="1" t="s">
        <v>369</v>
      </c>
      <c r="E23" s="1" t="s">
        <v>331</v>
      </c>
      <c r="F23" s="126" t="s">
        <v>372</v>
      </c>
      <c r="G23" s="126" t="n">
        <v>450</v>
      </c>
      <c r="H23" s="126" t="n">
        <v>495</v>
      </c>
      <c r="I23" s="126" t="n">
        <v>495</v>
      </c>
      <c r="J23" s="126" t="n">
        <v>495</v>
      </c>
      <c r="K23" s="126" t="n">
        <v>495</v>
      </c>
      <c r="L23" s="125"/>
      <c r="M23" s="125" t="n">
        <v>36943</v>
      </c>
      <c r="N23" s="125" t="n">
        <v>36949</v>
      </c>
      <c r="Q23" s="8" t="str">
        <f aca="false">IF($D23="Peak",+F23,0)</f>
        <v>*</v>
      </c>
      <c r="R23" s="8" t="n">
        <f aca="false">IF($D23="Peak",+G23,0)</f>
        <v>450</v>
      </c>
      <c r="S23" s="8" t="n">
        <f aca="false">IF($D23="Peak",+H23,0)</f>
        <v>495</v>
      </c>
      <c r="T23" s="8" t="n">
        <f aca="false">IF($D23="Peak",+I23,0)</f>
        <v>495</v>
      </c>
      <c r="U23" s="8" t="n">
        <f aca="false">IF($D23="Peak",+J23,0)</f>
        <v>495</v>
      </c>
      <c r="V23" s="8" t="n">
        <f aca="false">IF($D23="Peak",+K23,0)</f>
        <v>495</v>
      </c>
      <c r="W23" s="8"/>
      <c r="X23" s="8" t="n">
        <f aca="false">IF($F23="Peak",+M23,0)</f>
        <v>0</v>
      </c>
      <c r="Y23" s="8" t="n">
        <f aca="false">IF($F23="Peak",+N23,0)</f>
        <v>0</v>
      </c>
      <c r="Z23" s="8" t="n">
        <f aca="false">IF($F23="Peak",+O23,0)</f>
        <v>0</v>
      </c>
      <c r="AA23" s="8" t="n">
        <f aca="false">IF($F23="Peak",+P23,0)</f>
        <v>0</v>
      </c>
      <c r="AB23" s="8" t="n">
        <f aca="false">IF($F23="Peak",+Q23,0)</f>
        <v>0</v>
      </c>
      <c r="AC23" s="8" t="n">
        <f aca="false">IF($F23="Peak",+R23,0)</f>
        <v>0</v>
      </c>
      <c r="AD23" s="8"/>
    </row>
    <row r="24" customFormat="false" ht="12.75" hidden="false" customHeight="false" outlineLevel="0" collapsed="false">
      <c r="A24" s="1" t="n">
        <v>14</v>
      </c>
      <c r="B24" s="122" t="n">
        <v>37165</v>
      </c>
      <c r="C24" s="119" t="s">
        <v>381</v>
      </c>
      <c r="D24" s="119" t="s">
        <v>371</v>
      </c>
      <c r="E24" s="119" t="s">
        <v>331</v>
      </c>
      <c r="F24" s="124" t="s">
        <v>372</v>
      </c>
      <c r="G24" s="124" t="n">
        <v>350</v>
      </c>
      <c r="H24" s="124" t="n">
        <v>600</v>
      </c>
      <c r="I24" s="124" t="n">
        <v>1000</v>
      </c>
      <c r="J24" s="124" t="n">
        <v>1000</v>
      </c>
      <c r="K24" s="124" t="n">
        <v>1000</v>
      </c>
      <c r="L24" s="122" t="n">
        <v>36915</v>
      </c>
      <c r="M24" s="122" t="n">
        <v>36928</v>
      </c>
      <c r="N24" s="122" t="n">
        <v>36928</v>
      </c>
      <c r="Q24" s="8" t="n">
        <f aca="false">IF($D24="Peak",+F24,0)</f>
        <v>0</v>
      </c>
      <c r="R24" s="8" t="n">
        <f aca="false">IF($D24="Peak",+G24,0)</f>
        <v>0</v>
      </c>
      <c r="S24" s="8" t="n">
        <f aca="false">IF($D24="Peak",+H24,0)</f>
        <v>0</v>
      </c>
      <c r="T24" s="8" t="n">
        <f aca="false">IF($D24="Peak",+I24,0)</f>
        <v>0</v>
      </c>
      <c r="U24" s="8" t="n">
        <f aca="false">IF($D24="Peak",+J24,0)</f>
        <v>0</v>
      </c>
      <c r="V24" s="8" t="n">
        <f aca="false">IF($D24="Peak",+K24,0)</f>
        <v>0</v>
      </c>
      <c r="W24" s="8"/>
      <c r="X24" s="8" t="n">
        <f aca="false">IF($F24="Peak",+M24,0)</f>
        <v>0</v>
      </c>
      <c r="Y24" s="8" t="n">
        <f aca="false">IF($F24="Peak",+N24,0)</f>
        <v>0</v>
      </c>
      <c r="Z24" s="8" t="n">
        <f aca="false">IF($F24="Peak",+O24,0)</f>
        <v>0</v>
      </c>
      <c r="AA24" s="8" t="n">
        <f aca="false">IF($F24="Peak",+P24,0)</f>
        <v>0</v>
      </c>
      <c r="AB24" s="8" t="n">
        <f aca="false">IF($F24="Peak",+Q24,0)</f>
        <v>0</v>
      </c>
      <c r="AC24" s="8" t="n">
        <f aca="false">IF($F24="Peak",+R24,0)</f>
        <v>0</v>
      </c>
      <c r="AD24" s="8"/>
    </row>
    <row r="25" customFormat="false" ht="12.75" hidden="false" customHeight="false" outlineLevel="0" collapsed="false">
      <c r="A25" s="1" t="n">
        <v>15</v>
      </c>
      <c r="B25" s="125" t="n">
        <v>37257</v>
      </c>
      <c r="C25" s="1" t="s">
        <v>385</v>
      </c>
      <c r="D25" s="1" t="s">
        <v>371</v>
      </c>
      <c r="E25" s="1" t="s">
        <v>198</v>
      </c>
      <c r="F25" s="126"/>
      <c r="G25" s="126" t="n">
        <v>200</v>
      </c>
      <c r="H25" s="126" t="n">
        <v>200</v>
      </c>
      <c r="I25" s="126" t="n">
        <v>200</v>
      </c>
      <c r="J25" s="126"/>
      <c r="K25" s="126"/>
      <c r="L25" s="125" t="n">
        <v>36944</v>
      </c>
      <c r="M25" s="125" t="n">
        <v>36945</v>
      </c>
      <c r="N25" s="125" t="n">
        <v>36952</v>
      </c>
      <c r="Q25" s="8" t="n">
        <f aca="false">IF($D25="Peak",+F25,0)</f>
        <v>0</v>
      </c>
      <c r="R25" s="8" t="n">
        <f aca="false">IF($D25="Peak",+G25,0)</f>
        <v>0</v>
      </c>
      <c r="S25" s="8" t="n">
        <f aca="false">IF($D25="Peak",+H25,0)</f>
        <v>0</v>
      </c>
      <c r="T25" s="8" t="n">
        <f aca="false">IF($D25="Peak",+I25,0)</f>
        <v>0</v>
      </c>
      <c r="U25" s="8" t="n">
        <f aca="false">IF($D25="Peak",+J25,0)</f>
        <v>0</v>
      </c>
      <c r="V25" s="8" t="n">
        <f aca="false">IF($D25="Peak",+K25,0)</f>
        <v>0</v>
      </c>
      <c r="W25" s="8"/>
      <c r="X25" s="8" t="n">
        <f aca="false">IF($F25="Peak",+M25,0)</f>
        <v>0</v>
      </c>
      <c r="Y25" s="8" t="n">
        <f aca="false">IF($F25="Peak",+N25,0)</f>
        <v>0</v>
      </c>
      <c r="Z25" s="8" t="n">
        <f aca="false">IF($F25="Peak",+O25,0)</f>
        <v>0</v>
      </c>
      <c r="AA25" s="8" t="n">
        <f aca="false">IF($F25="Peak",+P25,0)</f>
        <v>0</v>
      </c>
      <c r="AB25" s="8" t="n">
        <f aca="false">IF($F25="Peak",+Q25,0)</f>
        <v>0</v>
      </c>
      <c r="AC25" s="8" t="n">
        <f aca="false">IF($F25="Peak",+R25,0)</f>
        <v>0</v>
      </c>
      <c r="AD25" s="8"/>
    </row>
    <row r="26" customFormat="false" ht="12.75" hidden="false" customHeight="false" outlineLevel="0" collapsed="false">
      <c r="A26" s="1" t="n">
        <v>16</v>
      </c>
      <c r="B26" s="125" t="n">
        <v>37257</v>
      </c>
      <c r="C26" s="1" t="s">
        <v>385</v>
      </c>
      <c r="D26" s="1" t="s">
        <v>369</v>
      </c>
      <c r="E26" s="1" t="s">
        <v>198</v>
      </c>
      <c r="F26" s="126"/>
      <c r="G26" s="126" t="n">
        <v>600</v>
      </c>
      <c r="H26" s="126" t="n">
        <v>600</v>
      </c>
      <c r="I26" s="126" t="n">
        <v>600</v>
      </c>
      <c r="J26" s="126"/>
      <c r="K26" s="126"/>
      <c r="L26" s="125" t="n">
        <v>36944</v>
      </c>
      <c r="M26" s="125" t="n">
        <v>36945</v>
      </c>
      <c r="N26" s="125" t="n">
        <v>36952</v>
      </c>
      <c r="Q26" s="8" t="n">
        <f aca="false">IF($D26="Peak",+F26,0)</f>
        <v>0</v>
      </c>
      <c r="R26" s="8" t="n">
        <f aca="false">IF($D26="Peak",+G26,0)</f>
        <v>600</v>
      </c>
      <c r="S26" s="8" t="n">
        <f aca="false">IF($D26="Peak",+H26,0)</f>
        <v>600</v>
      </c>
      <c r="T26" s="8" t="n">
        <f aca="false">IF($D26="Peak",+I26,0)</f>
        <v>600</v>
      </c>
      <c r="U26" s="8" t="n">
        <f aca="false">IF($D26="Peak",+J26,0)</f>
        <v>0</v>
      </c>
      <c r="V26" s="8" t="n">
        <f aca="false">IF($D26="Peak",+K26,0)</f>
        <v>0</v>
      </c>
      <c r="W26" s="8"/>
      <c r="X26" s="8" t="n">
        <f aca="false">IF($F26="Peak",+M26,0)</f>
        <v>0</v>
      </c>
      <c r="Y26" s="8" t="n">
        <f aca="false">IF($F26="Peak",+N26,0)</f>
        <v>0</v>
      </c>
      <c r="Z26" s="8" t="n">
        <f aca="false">IF($F26="Peak",+O26,0)</f>
        <v>0</v>
      </c>
      <c r="AA26" s="8" t="n">
        <f aca="false">IF($F26="Peak",+P26,0)</f>
        <v>0</v>
      </c>
      <c r="AB26" s="8" t="n">
        <f aca="false">IF($F26="Peak",+Q26,0)</f>
        <v>0</v>
      </c>
      <c r="AC26" s="8" t="n">
        <f aca="false">IF($F26="Peak",+R26,0)</f>
        <v>0</v>
      </c>
      <c r="AD26" s="8"/>
    </row>
    <row r="27" customFormat="false" ht="12.75" hidden="false" customHeight="false" outlineLevel="0" collapsed="false">
      <c r="A27" s="1" t="n">
        <v>17</v>
      </c>
      <c r="B27" s="125" t="n">
        <v>37257</v>
      </c>
      <c r="C27" s="1" t="s">
        <v>385</v>
      </c>
      <c r="D27" s="1" t="s">
        <v>369</v>
      </c>
      <c r="E27" s="1" t="s">
        <v>198</v>
      </c>
      <c r="F27" s="126"/>
      <c r="G27" s="126" t="n">
        <v>500</v>
      </c>
      <c r="H27" s="126" t="n">
        <v>500</v>
      </c>
      <c r="I27" s="126" t="n">
        <v>500</v>
      </c>
      <c r="J27" s="126"/>
      <c r="K27" s="126"/>
      <c r="L27" s="125" t="n">
        <v>36944</v>
      </c>
      <c r="M27" s="125" t="n">
        <v>36945</v>
      </c>
      <c r="N27" s="125" t="n">
        <v>36952</v>
      </c>
      <c r="Q27" s="8" t="n">
        <f aca="false">IF($D27="Peak",+F27,0)</f>
        <v>0</v>
      </c>
      <c r="R27" s="8" t="n">
        <f aca="false">IF($D27="Peak",+G27,0)</f>
        <v>500</v>
      </c>
      <c r="S27" s="8" t="n">
        <f aca="false">IF($D27="Peak",+H27,0)</f>
        <v>500</v>
      </c>
      <c r="T27" s="8" t="n">
        <f aca="false">IF($D27="Peak",+I27,0)</f>
        <v>500</v>
      </c>
      <c r="U27" s="8" t="n">
        <f aca="false">IF($D27="Peak",+J27,0)</f>
        <v>0</v>
      </c>
      <c r="V27" s="8" t="n">
        <f aca="false">IF($D27="Peak",+K27,0)</f>
        <v>0</v>
      </c>
      <c r="W27" s="8"/>
      <c r="X27" s="8" t="n">
        <f aca="false">IF($F27="Peak",+M27,0)</f>
        <v>0</v>
      </c>
      <c r="Y27" s="8" t="n">
        <f aca="false">IF($F27="Peak",+N27,0)</f>
        <v>0</v>
      </c>
      <c r="Z27" s="8" t="n">
        <f aca="false">IF($F27="Peak",+O27,0)</f>
        <v>0</v>
      </c>
      <c r="AA27" s="8" t="n">
        <f aca="false">IF($F27="Peak",+P27,0)</f>
        <v>0</v>
      </c>
      <c r="AB27" s="8" t="n">
        <f aca="false">IF($F27="Peak",+Q27,0)</f>
        <v>0</v>
      </c>
      <c r="AC27" s="8" t="n">
        <f aca="false">IF($F27="Peak",+R27,0)</f>
        <v>0</v>
      </c>
      <c r="AD27" s="8"/>
    </row>
    <row r="28" customFormat="false" ht="12.75" hidden="false" customHeight="false" outlineLevel="0" collapsed="false">
      <c r="A28" s="1" t="n">
        <v>18</v>
      </c>
      <c r="B28" s="125" t="n">
        <v>37257</v>
      </c>
      <c r="C28" s="1" t="s">
        <v>385</v>
      </c>
      <c r="D28" s="1" t="s">
        <v>379</v>
      </c>
      <c r="E28" s="1" t="s">
        <v>198</v>
      </c>
      <c r="F28" s="126"/>
      <c r="G28" s="127" t="s">
        <v>380</v>
      </c>
      <c r="H28" s="127" t="s">
        <v>380</v>
      </c>
      <c r="I28" s="127" t="s">
        <v>380</v>
      </c>
      <c r="J28" s="126"/>
      <c r="K28" s="126"/>
      <c r="L28" s="125" t="n">
        <v>36944</v>
      </c>
      <c r="M28" s="125" t="n">
        <v>36945</v>
      </c>
      <c r="N28" s="125" t="n">
        <v>36952</v>
      </c>
      <c r="Q28" s="8" t="n">
        <f aca="false">IF($D28="Peak",+F28,0)</f>
        <v>0</v>
      </c>
      <c r="R28" s="8" t="n">
        <f aca="false">IF($D28="Peak",+G28,0)</f>
        <v>0</v>
      </c>
      <c r="S28" s="8" t="n">
        <f aca="false">IF($D28="Peak",+H28,0)</f>
        <v>0</v>
      </c>
      <c r="T28" s="8" t="n">
        <f aca="false">IF($D28="Peak",+I28,0)</f>
        <v>0</v>
      </c>
      <c r="U28" s="8" t="n">
        <f aca="false">IF($D28="Peak",+J28,0)</f>
        <v>0</v>
      </c>
      <c r="V28" s="8" t="n">
        <f aca="false">IF($D28="Peak",+K28,0)</f>
        <v>0</v>
      </c>
      <c r="W28" s="8"/>
      <c r="X28" s="8" t="n">
        <f aca="false">IF($F28="Peak",+M28,0)</f>
        <v>0</v>
      </c>
      <c r="Y28" s="8" t="n">
        <f aca="false">IF($F28="Peak",+N28,0)</f>
        <v>0</v>
      </c>
      <c r="Z28" s="8" t="n">
        <f aca="false">IF($F28="Peak",+O28,0)</f>
        <v>0</v>
      </c>
      <c r="AA28" s="8" t="n">
        <f aca="false">IF($F28="Peak",+P28,0)</f>
        <v>0</v>
      </c>
      <c r="AB28" s="8" t="n">
        <f aca="false">IF($F28="Peak",+Q28,0)</f>
        <v>0</v>
      </c>
      <c r="AC28" s="8" t="n">
        <f aca="false">IF($F28="Peak",+R28,0)</f>
        <v>0</v>
      </c>
      <c r="AD28" s="8"/>
    </row>
    <row r="29" customFormat="false" ht="12.75" hidden="false" customHeight="false" outlineLevel="0" collapsed="false">
      <c r="A29" s="1" t="n">
        <v>19</v>
      </c>
      <c r="B29" s="125" t="n">
        <v>37622</v>
      </c>
      <c r="C29" s="1" t="s">
        <v>386</v>
      </c>
      <c r="D29" s="1" t="s">
        <v>369</v>
      </c>
      <c r="E29" s="1" t="s">
        <v>198</v>
      </c>
      <c r="F29" s="128"/>
      <c r="G29" s="128"/>
      <c r="H29" s="128" t="n">
        <v>500</v>
      </c>
      <c r="I29" s="128" t="n">
        <v>500</v>
      </c>
      <c r="J29" s="128" t="n">
        <v>500</v>
      </c>
      <c r="K29" s="128" t="n">
        <v>500</v>
      </c>
      <c r="L29" s="125"/>
      <c r="M29" s="1"/>
      <c r="N29" s="125" t="n">
        <v>36943</v>
      </c>
      <c r="Q29" s="8" t="n">
        <f aca="false">IF($D29="Peak",+F29,0)</f>
        <v>0</v>
      </c>
      <c r="R29" s="8" t="n">
        <f aca="false">IF($D29="Peak",+G29,0)</f>
        <v>0</v>
      </c>
      <c r="S29" s="8" t="n">
        <f aca="false">IF($D29="Peak",+H29,0)</f>
        <v>500</v>
      </c>
      <c r="T29" s="8" t="n">
        <f aca="false">IF($D29="Peak",+I29,0)</f>
        <v>500</v>
      </c>
      <c r="U29" s="8" t="n">
        <f aca="false">IF($D29="Peak",+J29,0)</f>
        <v>500</v>
      </c>
      <c r="V29" s="8" t="n">
        <f aca="false">IF($D29="Peak",+K29,0)</f>
        <v>500</v>
      </c>
      <c r="W29" s="8"/>
      <c r="X29" s="8" t="n">
        <f aca="false">IF($F29="Peak",+M29,0)</f>
        <v>0</v>
      </c>
      <c r="Y29" s="8" t="n">
        <f aca="false">IF($F29="Peak",+N29,0)</f>
        <v>0</v>
      </c>
      <c r="Z29" s="8" t="n">
        <f aca="false">IF($F29="Peak",+O29,0)</f>
        <v>0</v>
      </c>
      <c r="AA29" s="8" t="n">
        <f aca="false">IF($F29="Peak",+P29,0)</f>
        <v>0</v>
      </c>
      <c r="AB29" s="8" t="n">
        <f aca="false">IF($F29="Peak",+Q29,0)</f>
        <v>0</v>
      </c>
      <c r="AC29" s="8" t="n">
        <f aca="false">IF($F29="Peak",+R29,0)</f>
        <v>0</v>
      </c>
      <c r="AD29" s="8"/>
    </row>
    <row r="30" customFormat="false" ht="12.75" hidden="false" customHeight="false" outlineLevel="0" collapsed="false">
      <c r="A30" s="1"/>
      <c r="B30" s="125"/>
      <c r="C30" s="1"/>
      <c r="D30" s="1"/>
      <c r="E30" s="1"/>
      <c r="F30" s="128"/>
      <c r="G30" s="128"/>
      <c r="H30" s="128"/>
      <c r="I30" s="128"/>
      <c r="J30" s="128"/>
      <c r="K30" s="128"/>
      <c r="L30" s="125"/>
      <c r="M30" s="1"/>
      <c r="N30" s="125"/>
      <c r="Q30" s="8" t="n">
        <f aca="false">IF($D30="Peak",+F30,0)</f>
        <v>0</v>
      </c>
      <c r="R30" s="8" t="n">
        <f aca="false">IF($D30="Peak",+G30,0)</f>
        <v>0</v>
      </c>
      <c r="S30" s="8" t="n">
        <f aca="false">IF($D30="Peak",+H30,0)</f>
        <v>0</v>
      </c>
      <c r="T30" s="8" t="n">
        <f aca="false">IF($D30="Peak",+I30,0)</f>
        <v>0</v>
      </c>
      <c r="U30" s="8" t="n">
        <f aca="false">IF($D30="Peak",+J30,0)</f>
        <v>0</v>
      </c>
      <c r="V30" s="8" t="n">
        <f aca="false">IF($D30="Peak",+K30,0)</f>
        <v>0</v>
      </c>
      <c r="W30" s="8"/>
      <c r="X30" s="8" t="n">
        <f aca="false">IF($F30="Peak",+M30,0)</f>
        <v>0</v>
      </c>
      <c r="Y30" s="8" t="n">
        <f aca="false">IF($F30="Peak",+N30,0)</f>
        <v>0</v>
      </c>
      <c r="Z30" s="8" t="n">
        <f aca="false">IF($F30="Peak",+O30,0)</f>
        <v>0</v>
      </c>
      <c r="AA30" s="8" t="n">
        <f aca="false">IF($F30="Peak",+P30,0)</f>
        <v>0</v>
      </c>
      <c r="AB30" s="8" t="n">
        <f aca="false">IF($F30="Peak",+Q30,0)</f>
        <v>0</v>
      </c>
      <c r="AC30" s="8" t="n">
        <f aca="false">IF($F30="Peak",+R30,0)</f>
        <v>0</v>
      </c>
      <c r="AD30" s="8"/>
    </row>
    <row r="31" customFormat="false" ht="12.75" hidden="false" customHeight="false" outlineLevel="0" collapsed="false">
      <c r="A31" s="1" t="n">
        <v>20</v>
      </c>
      <c r="B31" s="125" t="n">
        <v>37803</v>
      </c>
      <c r="C31" s="1" t="s">
        <v>387</v>
      </c>
      <c r="D31" s="1" t="s">
        <v>371</v>
      </c>
      <c r="E31" s="1" t="s">
        <v>198</v>
      </c>
      <c r="F31" s="1"/>
      <c r="G31" s="1"/>
      <c r="H31" s="1" t="n">
        <v>730</v>
      </c>
      <c r="I31" s="1" t="n">
        <v>730</v>
      </c>
      <c r="J31" s="1" t="n">
        <v>730</v>
      </c>
      <c r="K31" s="1" t="n">
        <v>730</v>
      </c>
      <c r="L31" s="125" t="n">
        <v>36949</v>
      </c>
      <c r="M31" s="125" t="n">
        <v>36950</v>
      </c>
      <c r="N31" s="125" t="n">
        <v>36965</v>
      </c>
      <c r="Q31" s="8" t="n">
        <f aca="false">IF($D31="Peak",+F31,0)</f>
        <v>0</v>
      </c>
      <c r="R31" s="8" t="n">
        <f aca="false">IF($D31="Peak",+G31,0)</f>
        <v>0</v>
      </c>
      <c r="S31" s="8" t="n">
        <f aca="false">IF($D31="Peak",+H31,0)</f>
        <v>0</v>
      </c>
      <c r="T31" s="8" t="n">
        <f aca="false">IF($D31="Peak",+I31,0)</f>
        <v>0</v>
      </c>
      <c r="U31" s="8" t="n">
        <f aca="false">IF($D31="Peak",+J31,0)</f>
        <v>0</v>
      </c>
      <c r="V31" s="8" t="n">
        <f aca="false">IF($D31="Peak",+K31,0)</f>
        <v>0</v>
      </c>
      <c r="W31" s="8"/>
      <c r="X31" s="8" t="n">
        <f aca="false">IF($F31="Peak",+M31,0)</f>
        <v>0</v>
      </c>
      <c r="Y31" s="8" t="n">
        <f aca="false">IF($F31="Peak",+N31,0)</f>
        <v>0</v>
      </c>
      <c r="Z31" s="8" t="n">
        <f aca="false">IF($F31="Peak",+O31,0)</f>
        <v>0</v>
      </c>
      <c r="AA31" s="8" t="n">
        <f aca="false">IF($F31="Peak",+P31,0)</f>
        <v>0</v>
      </c>
      <c r="AB31" s="8" t="n">
        <f aca="false">IF($F31="Peak",+Q31,0)</f>
        <v>0</v>
      </c>
      <c r="AC31" s="8" t="n">
        <f aca="false">IF($F31="Peak",+R31,0)</f>
        <v>0</v>
      </c>
      <c r="AD31" s="8"/>
    </row>
    <row r="32" customFormat="false" ht="12.75" hidden="false" customHeight="false" outlineLevel="0" collapsed="false">
      <c r="A32" s="1" t="n">
        <v>21</v>
      </c>
      <c r="B32" s="125" t="n">
        <v>36982</v>
      </c>
      <c r="C32" s="1" t="s">
        <v>388</v>
      </c>
      <c r="D32" s="1" t="s">
        <v>369</v>
      </c>
      <c r="E32" s="1" t="s">
        <v>198</v>
      </c>
      <c r="F32" s="1" t="n">
        <v>200</v>
      </c>
      <c r="G32" s="1" t="n">
        <v>200</v>
      </c>
      <c r="H32" s="1" t="s">
        <v>372</v>
      </c>
      <c r="I32" s="1"/>
      <c r="J32" s="1"/>
      <c r="K32" s="1"/>
      <c r="L32" s="125" t="n">
        <v>36949</v>
      </c>
      <c r="M32" s="125" t="n">
        <v>36950</v>
      </c>
      <c r="N32" s="125" t="n">
        <v>36965</v>
      </c>
      <c r="Q32" s="8" t="n">
        <f aca="false">IF($D32="Peak",+F32,0)</f>
        <v>200</v>
      </c>
      <c r="R32" s="8" t="n">
        <f aca="false">IF($D32="Peak",+G32,0)</f>
        <v>200</v>
      </c>
      <c r="S32" s="8" t="str">
        <f aca="false">IF($D32="Peak",+H32,0)</f>
        <v>*</v>
      </c>
      <c r="T32" s="8" t="n">
        <f aca="false">IF($D32="Peak",+I32,0)</f>
        <v>0</v>
      </c>
      <c r="U32" s="8" t="n">
        <f aca="false">IF($D32="Peak",+J32,0)</f>
        <v>0</v>
      </c>
      <c r="V32" s="8" t="n">
        <f aca="false">IF($D32="Peak",+K32,0)</f>
        <v>0</v>
      </c>
      <c r="W32" s="8"/>
      <c r="X32" s="8" t="n">
        <f aca="false">IF($F32="Peak",+M32,0)</f>
        <v>0</v>
      </c>
      <c r="Y32" s="8" t="n">
        <f aca="false">IF($F32="Peak",+N32,0)</f>
        <v>0</v>
      </c>
      <c r="Z32" s="8" t="n">
        <f aca="false">IF($F32="Peak",+O32,0)</f>
        <v>0</v>
      </c>
      <c r="AA32" s="8" t="n">
        <f aca="false">IF($F32="Peak",+P32,0)</f>
        <v>0</v>
      </c>
      <c r="AB32" s="8" t="n">
        <f aca="false">IF($F32="Peak",+Q32,0)</f>
        <v>0</v>
      </c>
      <c r="AC32" s="8" t="n">
        <f aca="false">IF($F32="Peak",+R32,0)</f>
        <v>0</v>
      </c>
      <c r="AD32" s="8"/>
    </row>
    <row r="33" customFormat="false" ht="12.75" hidden="false" customHeight="false" outlineLevel="0" collapsed="false">
      <c r="A33" s="1" t="n">
        <v>22</v>
      </c>
      <c r="B33" s="122" t="n">
        <v>36965</v>
      </c>
      <c r="C33" s="119" t="s">
        <v>389</v>
      </c>
      <c r="D33" s="119" t="s">
        <v>369</v>
      </c>
      <c r="E33" s="119" t="s">
        <v>198</v>
      </c>
      <c r="F33" s="124" t="n">
        <v>250</v>
      </c>
      <c r="G33" s="1"/>
      <c r="H33" s="1"/>
      <c r="I33" s="1"/>
      <c r="J33" s="1"/>
      <c r="K33" s="1"/>
      <c r="L33" s="122" t="n">
        <v>36934</v>
      </c>
      <c r="M33" s="122" t="n">
        <v>36948</v>
      </c>
      <c r="N33" s="122" t="n">
        <v>36976</v>
      </c>
      <c r="Q33" s="8" t="n">
        <f aca="false">IF($D33="Peak",+F33,0)</f>
        <v>250</v>
      </c>
      <c r="R33" s="8" t="n">
        <f aca="false">IF($D33="Peak",+G33,0)</f>
        <v>0</v>
      </c>
      <c r="S33" s="8" t="n">
        <f aca="false">IF($D33="Peak",+H33,0)</f>
        <v>0</v>
      </c>
      <c r="T33" s="8" t="n">
        <f aca="false">IF($D33="Peak",+I33,0)</f>
        <v>0</v>
      </c>
      <c r="U33" s="8" t="n">
        <f aca="false">IF($D33="Peak",+J33,0)</f>
        <v>0</v>
      </c>
      <c r="V33" s="8" t="n">
        <f aca="false">IF($D33="Peak",+K33,0)</f>
        <v>0</v>
      </c>
      <c r="W33" s="8"/>
      <c r="X33" s="8" t="n">
        <f aca="false">IF($F33="Peak",+M33,0)</f>
        <v>0</v>
      </c>
      <c r="Y33" s="8" t="n">
        <f aca="false">IF($F33="Peak",+N33,0)</f>
        <v>0</v>
      </c>
      <c r="Z33" s="8" t="n">
        <f aca="false">IF($F33="Peak",+O33,0)</f>
        <v>0</v>
      </c>
      <c r="AA33" s="8" t="n">
        <f aca="false">IF($F33="Peak",+P33,0)</f>
        <v>0</v>
      </c>
      <c r="AB33" s="8" t="n">
        <f aca="false">IF($F33="Peak",+Q33,0)</f>
        <v>0</v>
      </c>
      <c r="AC33" s="8" t="n">
        <f aca="false">IF($F33="Peak",+R33,0)</f>
        <v>0</v>
      </c>
      <c r="AD33" s="8"/>
    </row>
    <row r="34" customFormat="false" ht="12.75" hidden="false" customHeight="false" outlineLevel="0" collapsed="false">
      <c r="A34" s="1" t="n">
        <v>23</v>
      </c>
      <c r="B34" s="122" t="n">
        <v>37165</v>
      </c>
      <c r="C34" s="119" t="s">
        <v>390</v>
      </c>
      <c r="D34" s="119" t="s">
        <v>371</v>
      </c>
      <c r="E34" s="119" t="s">
        <v>198</v>
      </c>
      <c r="F34" s="124" t="s">
        <v>372</v>
      </c>
      <c r="G34" s="124" t="n">
        <v>250</v>
      </c>
      <c r="H34" s="124" t="n">
        <v>250</v>
      </c>
      <c r="I34" s="124" t="n">
        <v>500</v>
      </c>
      <c r="J34" s="124" t="n">
        <v>1000</v>
      </c>
      <c r="K34" s="124" t="n">
        <v>1000</v>
      </c>
      <c r="L34" s="122" t="n">
        <v>36934</v>
      </c>
      <c r="M34" s="122" t="n">
        <v>36948</v>
      </c>
      <c r="N34" s="122" t="n">
        <v>36976</v>
      </c>
      <c r="Q34" s="8" t="n">
        <f aca="false">IF($D34="Peak",+F34,0)</f>
        <v>0</v>
      </c>
      <c r="R34" s="8" t="n">
        <f aca="false">IF($D34="Peak",+G34,0)</f>
        <v>0</v>
      </c>
      <c r="S34" s="8" t="n">
        <f aca="false">IF($D34="Peak",+H34,0)</f>
        <v>0</v>
      </c>
      <c r="T34" s="8" t="n">
        <f aca="false">IF($D34="Peak",+I34,0)</f>
        <v>0</v>
      </c>
      <c r="U34" s="8" t="n">
        <f aca="false">IF($D34="Peak",+J34,0)</f>
        <v>0</v>
      </c>
      <c r="V34" s="8" t="n">
        <f aca="false">IF($D34="Peak",+K34,0)</f>
        <v>0</v>
      </c>
      <c r="W34" s="8"/>
      <c r="X34" s="8" t="n">
        <f aca="false">IF($F34="Peak",+M34,0)</f>
        <v>0</v>
      </c>
      <c r="Y34" s="8" t="n">
        <f aca="false">IF($F34="Peak",+N34,0)</f>
        <v>0</v>
      </c>
      <c r="Z34" s="8" t="n">
        <f aca="false">IF($F34="Peak",+O34,0)</f>
        <v>0</v>
      </c>
      <c r="AA34" s="8" t="n">
        <f aca="false">IF($F34="Peak",+P34,0)</f>
        <v>0</v>
      </c>
      <c r="AB34" s="8" t="n">
        <f aca="false">IF($F34="Peak",+Q34,0)</f>
        <v>0</v>
      </c>
      <c r="AC34" s="8" t="n">
        <f aca="false">IF($F34="Peak",+R34,0)</f>
        <v>0</v>
      </c>
      <c r="AD34" s="8"/>
    </row>
    <row r="35" customFormat="false" ht="12.75" hidden="false" customHeight="false" outlineLevel="0" collapsed="false">
      <c r="A35" s="1" t="n">
        <v>24</v>
      </c>
      <c r="B35" s="125" t="n">
        <v>37043</v>
      </c>
      <c r="C35" s="1" t="s">
        <v>391</v>
      </c>
      <c r="D35" s="1" t="s">
        <v>371</v>
      </c>
      <c r="E35" s="1" t="s">
        <v>198</v>
      </c>
      <c r="F35" s="126" t="n">
        <v>16</v>
      </c>
      <c r="G35" s="126" t="n">
        <v>16</v>
      </c>
      <c r="H35" s="126" t="n">
        <v>16</v>
      </c>
      <c r="I35" s="126"/>
      <c r="J35" s="126"/>
      <c r="K35" s="126"/>
      <c r="L35" s="125" t="n">
        <v>36928</v>
      </c>
      <c r="M35" s="125" t="n">
        <v>36929</v>
      </c>
      <c r="N35" s="125" t="n">
        <v>36963</v>
      </c>
      <c r="Q35" s="8" t="n">
        <f aca="false">IF($D35="Peak",+F35,0)</f>
        <v>0</v>
      </c>
      <c r="R35" s="8" t="n">
        <f aca="false">IF($D35="Peak",+G35,0)</f>
        <v>0</v>
      </c>
      <c r="S35" s="8" t="n">
        <f aca="false">IF($D35="Peak",+H35,0)</f>
        <v>0</v>
      </c>
      <c r="T35" s="8" t="n">
        <f aca="false">IF($D35="Peak",+I35,0)</f>
        <v>0</v>
      </c>
      <c r="U35" s="8" t="n">
        <f aca="false">IF($D35="Peak",+J35,0)</f>
        <v>0</v>
      </c>
      <c r="V35" s="8" t="n">
        <f aca="false">IF($D35="Peak",+K35,0)</f>
        <v>0</v>
      </c>
      <c r="W35" s="8"/>
      <c r="X35" s="8" t="n">
        <f aca="false">IF($F35="Peak",+M35,0)</f>
        <v>0</v>
      </c>
      <c r="Y35" s="8" t="n">
        <f aca="false">IF($F35="Peak",+N35,0)</f>
        <v>0</v>
      </c>
      <c r="Z35" s="8" t="n">
        <f aca="false">IF($F35="Peak",+O35,0)</f>
        <v>0</v>
      </c>
      <c r="AA35" s="8" t="n">
        <f aca="false">IF($F35="Peak",+P35,0)</f>
        <v>0</v>
      </c>
      <c r="AB35" s="8" t="n">
        <f aca="false">IF($F35="Peak",+Q35,0)</f>
        <v>0</v>
      </c>
      <c r="AC35" s="8" t="n">
        <f aca="false">IF($F35="Peak",+R35,0)</f>
        <v>0</v>
      </c>
      <c r="AD35" s="8"/>
    </row>
    <row r="36" customFormat="false" ht="12.75" hidden="false" customHeight="false" outlineLevel="0" collapsed="false">
      <c r="A36" s="1"/>
      <c r="B36" s="125"/>
      <c r="C36" s="1"/>
      <c r="D36" s="1"/>
      <c r="E36" s="1"/>
      <c r="F36" s="126"/>
      <c r="G36" s="126"/>
      <c r="H36" s="126"/>
      <c r="I36" s="126"/>
      <c r="J36" s="126"/>
      <c r="K36" s="126"/>
      <c r="L36" s="125"/>
      <c r="M36" s="125"/>
      <c r="N36" s="125"/>
      <c r="Q36" s="8" t="n">
        <f aca="false">IF($D36="Peak",+F36,0)</f>
        <v>0</v>
      </c>
      <c r="R36" s="8" t="n">
        <f aca="false">IF($D36="Peak",+G36,0)</f>
        <v>0</v>
      </c>
      <c r="S36" s="8" t="n">
        <f aca="false">IF($D36="Peak",+H36,0)</f>
        <v>0</v>
      </c>
      <c r="T36" s="8" t="n">
        <f aca="false">IF($D36="Peak",+I36,0)</f>
        <v>0</v>
      </c>
      <c r="U36" s="8" t="n">
        <f aca="false">IF($D36="Peak",+J36,0)</f>
        <v>0</v>
      </c>
      <c r="V36" s="8" t="n">
        <f aca="false">IF($D36="Peak",+K36,0)</f>
        <v>0</v>
      </c>
      <c r="W36" s="8"/>
      <c r="X36" s="8" t="n">
        <f aca="false">IF($F36="Peak",+M36,0)</f>
        <v>0</v>
      </c>
      <c r="Y36" s="8" t="n">
        <f aca="false">IF($F36="Peak",+N36,0)</f>
        <v>0</v>
      </c>
      <c r="Z36" s="8" t="n">
        <f aca="false">IF($F36="Peak",+O36,0)</f>
        <v>0</v>
      </c>
      <c r="AA36" s="8" t="n">
        <f aca="false">IF($F36="Peak",+P36,0)</f>
        <v>0</v>
      </c>
      <c r="AB36" s="8" t="n">
        <f aca="false">IF($F36="Peak",+Q36,0)</f>
        <v>0</v>
      </c>
      <c r="AC36" s="8" t="n">
        <f aca="false">IF($F36="Peak",+R36,0)</f>
        <v>0</v>
      </c>
      <c r="AD36" s="8"/>
    </row>
    <row r="37" customFormat="false" ht="12.75" hidden="false" customHeight="false" outlineLevel="0" collapsed="false">
      <c r="A37" s="1" t="n">
        <v>25</v>
      </c>
      <c r="B37" s="125" t="n">
        <v>36951</v>
      </c>
      <c r="C37" s="1" t="s">
        <v>392</v>
      </c>
      <c r="D37" s="1" t="s">
        <v>371</v>
      </c>
      <c r="E37" s="1" t="s">
        <v>198</v>
      </c>
      <c r="F37" s="126" t="s">
        <v>372</v>
      </c>
      <c r="G37" s="126"/>
      <c r="H37" s="126"/>
      <c r="I37" s="126"/>
      <c r="J37" s="126"/>
      <c r="K37" s="126"/>
      <c r="L37" s="125" t="n">
        <v>36934</v>
      </c>
      <c r="M37" s="125" t="n">
        <v>36937</v>
      </c>
      <c r="N37" s="125"/>
      <c r="Q37" s="8" t="n">
        <f aca="false">IF($D37="Peak",+F37,0)</f>
        <v>0</v>
      </c>
      <c r="R37" s="8" t="n">
        <f aca="false">IF($D37="Peak",+G37,0)</f>
        <v>0</v>
      </c>
      <c r="S37" s="8" t="n">
        <f aca="false">IF($D37="Peak",+H37,0)</f>
        <v>0</v>
      </c>
      <c r="T37" s="8" t="n">
        <f aca="false">IF($D37="Peak",+I37,0)</f>
        <v>0</v>
      </c>
      <c r="U37" s="8" t="n">
        <f aca="false">IF($D37="Peak",+J37,0)</f>
        <v>0</v>
      </c>
      <c r="V37" s="8" t="n">
        <f aca="false">IF($D37="Peak",+K37,0)</f>
        <v>0</v>
      </c>
      <c r="W37" s="8"/>
      <c r="X37" s="8" t="n">
        <f aca="false">IF($F37="Peak",+M37,0)</f>
        <v>0</v>
      </c>
      <c r="Y37" s="8" t="n">
        <f aca="false">IF($F37="Peak",+N37,0)</f>
        <v>0</v>
      </c>
      <c r="Z37" s="8" t="n">
        <f aca="false">IF($F37="Peak",+O37,0)</f>
        <v>0</v>
      </c>
      <c r="AA37" s="8" t="n">
        <f aca="false">IF($F37="Peak",+P37,0)</f>
        <v>0</v>
      </c>
      <c r="AB37" s="8" t="n">
        <f aca="false">IF($F37="Peak",+Q37,0)</f>
        <v>0</v>
      </c>
      <c r="AC37" s="8" t="n">
        <f aca="false">IF($F37="Peak",+R37,0)</f>
        <v>0</v>
      </c>
      <c r="AD37" s="8"/>
    </row>
    <row r="38" customFormat="false" ht="12.75" hidden="false" customHeight="false" outlineLevel="0" collapsed="false">
      <c r="A38" s="1" t="n">
        <v>26</v>
      </c>
      <c r="B38" s="125" t="n">
        <v>36951</v>
      </c>
      <c r="C38" s="1" t="s">
        <v>375</v>
      </c>
      <c r="D38" s="1" t="s">
        <v>369</v>
      </c>
      <c r="E38" s="1" t="s">
        <v>331</v>
      </c>
      <c r="F38" s="1" t="n">
        <v>500</v>
      </c>
      <c r="G38" s="1"/>
      <c r="H38" s="1"/>
      <c r="I38" s="1"/>
      <c r="J38" s="1"/>
      <c r="K38" s="1"/>
      <c r="L38" s="125"/>
      <c r="M38" s="125" t="s">
        <v>393</v>
      </c>
      <c r="N38" s="1"/>
      <c r="Q38" s="8" t="n">
        <f aca="false">IF($D38="Peak",+F38,0)</f>
        <v>500</v>
      </c>
      <c r="R38" s="8" t="n">
        <f aca="false">IF($D38="Peak",+G38,0)</f>
        <v>0</v>
      </c>
      <c r="S38" s="8" t="n">
        <f aca="false">IF($D38="Peak",+H38,0)</f>
        <v>0</v>
      </c>
      <c r="T38" s="8" t="n">
        <f aca="false">IF($D38="Peak",+I38,0)</f>
        <v>0</v>
      </c>
      <c r="U38" s="8" t="n">
        <f aca="false">IF($D38="Peak",+J38,0)</f>
        <v>0</v>
      </c>
      <c r="V38" s="8" t="n">
        <f aca="false">IF($D38="Peak",+K38,0)</f>
        <v>0</v>
      </c>
      <c r="W38" s="8"/>
      <c r="X38" s="8" t="n">
        <f aca="false">IF($F38="Peak",+M38,0)</f>
        <v>0</v>
      </c>
      <c r="Y38" s="8" t="n">
        <f aca="false">IF($F38="Peak",+N38,0)</f>
        <v>0</v>
      </c>
      <c r="Z38" s="8" t="n">
        <f aca="false">IF($F38="Peak",+O38,0)</f>
        <v>0</v>
      </c>
      <c r="AA38" s="8" t="n">
        <f aca="false">IF($F38="Peak",+P38,0)</f>
        <v>0</v>
      </c>
      <c r="AB38" s="8" t="n">
        <f aca="false">IF($F38="Peak",+Q38,0)</f>
        <v>0</v>
      </c>
      <c r="AC38" s="8" t="n">
        <f aca="false">IF($F38="Peak",+R38,0)</f>
        <v>0</v>
      </c>
      <c r="AD38" s="8"/>
    </row>
    <row r="39" customFormat="false" ht="12.75" hidden="false" customHeight="false" outlineLevel="0" collapsed="false">
      <c r="A39" s="1" t="n">
        <v>27</v>
      </c>
      <c r="B39" s="125" t="n">
        <v>36982</v>
      </c>
      <c r="C39" s="1" t="s">
        <v>394</v>
      </c>
      <c r="D39" s="1" t="s">
        <v>369</v>
      </c>
      <c r="E39" s="1" t="s">
        <v>331</v>
      </c>
      <c r="F39" s="128" t="n">
        <v>400</v>
      </c>
      <c r="G39" s="128" t="n">
        <v>400</v>
      </c>
      <c r="H39" s="128"/>
      <c r="I39" s="128"/>
      <c r="J39" s="128"/>
      <c r="K39" s="128"/>
      <c r="L39" s="125" t="n">
        <v>36945</v>
      </c>
      <c r="M39" s="125" t="n">
        <v>36948</v>
      </c>
      <c r="N39" s="1"/>
      <c r="Q39" s="8" t="n">
        <f aca="false">IF($D39="Peak",+F39,0)</f>
        <v>400</v>
      </c>
      <c r="R39" s="8" t="n">
        <f aca="false">IF($D39="Peak",+G39,0)</f>
        <v>400</v>
      </c>
      <c r="S39" s="8" t="n">
        <f aca="false">IF($D39="Peak",+H39,0)</f>
        <v>0</v>
      </c>
      <c r="T39" s="8" t="n">
        <f aca="false">IF($D39="Peak",+I39,0)</f>
        <v>0</v>
      </c>
      <c r="U39" s="8" t="n">
        <f aca="false">IF($D39="Peak",+J39,0)</f>
        <v>0</v>
      </c>
      <c r="V39" s="8" t="n">
        <f aca="false">IF($D39="Peak",+K39,0)</f>
        <v>0</v>
      </c>
      <c r="W39" s="8"/>
      <c r="X39" s="8" t="n">
        <f aca="false">IF($F39="Peak",+M39,0)</f>
        <v>0</v>
      </c>
      <c r="Y39" s="8" t="n">
        <f aca="false">IF($F39="Peak",+N39,0)</f>
        <v>0</v>
      </c>
      <c r="Z39" s="8" t="n">
        <f aca="false">IF($F39="Peak",+O39,0)</f>
        <v>0</v>
      </c>
      <c r="AA39" s="8" t="n">
        <f aca="false">IF($F39="Peak",+P39,0)</f>
        <v>0</v>
      </c>
      <c r="AB39" s="8" t="n">
        <f aca="false">IF($F39="Peak",+Q39,0)</f>
        <v>0</v>
      </c>
      <c r="AC39" s="8" t="n">
        <f aca="false">IF($F39="Peak",+R39,0)</f>
        <v>0</v>
      </c>
      <c r="AD39" s="8"/>
    </row>
    <row r="40" customFormat="false" ht="12.75" hidden="false" customHeight="false" outlineLevel="0" collapsed="false">
      <c r="A40" s="1" t="n">
        <v>28</v>
      </c>
      <c r="B40" s="125" t="n">
        <v>36982</v>
      </c>
      <c r="C40" s="1" t="s">
        <v>375</v>
      </c>
      <c r="D40" s="1" t="s">
        <v>369</v>
      </c>
      <c r="E40" s="1" t="s">
        <v>198</v>
      </c>
      <c r="F40" s="1" t="n">
        <v>925</v>
      </c>
      <c r="G40" s="1"/>
      <c r="H40" s="1"/>
      <c r="I40" s="1"/>
      <c r="J40" s="1"/>
      <c r="K40" s="1"/>
      <c r="L40" s="125"/>
      <c r="M40" s="1" t="s">
        <v>393</v>
      </c>
      <c r="N40" s="1"/>
      <c r="Q40" s="8" t="n">
        <f aca="false">IF($D40="Peak",+F40,0)</f>
        <v>925</v>
      </c>
      <c r="R40" s="8" t="n">
        <f aca="false">IF($D40="Peak",+G40,0)</f>
        <v>0</v>
      </c>
      <c r="S40" s="8" t="n">
        <f aca="false">IF($D40="Peak",+H40,0)</f>
        <v>0</v>
      </c>
      <c r="T40" s="8" t="n">
        <f aca="false">IF($D40="Peak",+I40,0)</f>
        <v>0</v>
      </c>
      <c r="U40" s="8" t="n">
        <f aca="false">IF($D40="Peak",+J40,0)</f>
        <v>0</v>
      </c>
      <c r="V40" s="8" t="n">
        <f aca="false">IF($D40="Peak",+K40,0)</f>
        <v>0</v>
      </c>
      <c r="W40" s="8"/>
      <c r="X40" s="8" t="n">
        <f aca="false">IF($F40="Peak",+M40,0)</f>
        <v>0</v>
      </c>
      <c r="Y40" s="8" t="n">
        <f aca="false">IF($F40="Peak",+N40,0)</f>
        <v>0</v>
      </c>
      <c r="Z40" s="8" t="n">
        <f aca="false">IF($F40="Peak",+O40,0)</f>
        <v>0</v>
      </c>
      <c r="AA40" s="8" t="n">
        <f aca="false">IF($F40="Peak",+P40,0)</f>
        <v>0</v>
      </c>
      <c r="AB40" s="8" t="n">
        <f aca="false">IF($F40="Peak",+Q40,0)</f>
        <v>0</v>
      </c>
      <c r="AC40" s="8" t="n">
        <f aca="false">IF($F40="Peak",+R40,0)</f>
        <v>0</v>
      </c>
      <c r="AD40" s="8"/>
    </row>
    <row r="41" customFormat="false" ht="12.75" hidden="false" customHeight="false" outlineLevel="0" collapsed="false">
      <c r="A41" s="1" t="n">
        <v>29</v>
      </c>
      <c r="B41" s="125" t="n">
        <v>37012</v>
      </c>
      <c r="C41" s="1" t="s">
        <v>382</v>
      </c>
      <c r="D41" s="1" t="s">
        <v>371</v>
      </c>
      <c r="E41" s="1" t="s">
        <v>331</v>
      </c>
      <c r="F41" s="126" t="n">
        <v>13</v>
      </c>
      <c r="G41" s="126" t="n">
        <v>13</v>
      </c>
      <c r="H41" s="126" t="n">
        <v>13</v>
      </c>
      <c r="I41" s="126"/>
      <c r="J41" s="126"/>
      <c r="K41" s="126"/>
      <c r="L41" s="125" t="n">
        <v>36928</v>
      </c>
      <c r="M41" s="125" t="n">
        <v>36937</v>
      </c>
      <c r="N41" s="1"/>
      <c r="Q41" s="8" t="n">
        <f aca="false">IF($D41="Peak",+F41,0)</f>
        <v>0</v>
      </c>
      <c r="R41" s="8" t="n">
        <f aca="false">IF($D41="Peak",+G41,0)</f>
        <v>0</v>
      </c>
      <c r="S41" s="8" t="n">
        <f aca="false">IF($D41="Peak",+H41,0)</f>
        <v>0</v>
      </c>
      <c r="T41" s="8" t="n">
        <f aca="false">IF($D41="Peak",+I41,0)</f>
        <v>0</v>
      </c>
      <c r="U41" s="8" t="n">
        <f aca="false">IF($D41="Peak",+J41,0)</f>
        <v>0</v>
      </c>
      <c r="V41" s="8" t="n">
        <f aca="false">IF($D41="Peak",+K41,0)</f>
        <v>0</v>
      </c>
      <c r="W41" s="8"/>
      <c r="X41" s="8" t="n">
        <f aca="false">IF($F41="Peak",+M41,0)</f>
        <v>0</v>
      </c>
      <c r="Y41" s="8" t="n">
        <f aca="false">IF($F41="Peak",+N41,0)</f>
        <v>0</v>
      </c>
      <c r="Z41" s="8" t="n">
        <f aca="false">IF($F41="Peak",+O41,0)</f>
        <v>0</v>
      </c>
      <c r="AA41" s="8" t="n">
        <f aca="false">IF($F41="Peak",+P41,0)</f>
        <v>0</v>
      </c>
      <c r="AB41" s="8" t="n">
        <f aca="false">IF($F41="Peak",+Q41,0)</f>
        <v>0</v>
      </c>
      <c r="AC41" s="8" t="n">
        <f aca="false">IF($F41="Peak",+R41,0)</f>
        <v>0</v>
      </c>
      <c r="AD41" s="8"/>
    </row>
    <row r="42" customFormat="false" ht="12.75" hidden="false" customHeight="false" outlineLevel="0" collapsed="false">
      <c r="A42" s="1" t="n">
        <v>30</v>
      </c>
      <c r="B42" s="125" t="n">
        <v>37043</v>
      </c>
      <c r="C42" s="1" t="s">
        <v>395</v>
      </c>
      <c r="D42" s="1" t="s">
        <v>369</v>
      </c>
      <c r="E42" s="1" t="s">
        <v>198</v>
      </c>
      <c r="F42" s="126" t="n">
        <v>250</v>
      </c>
      <c r="G42" s="126" t="n">
        <v>300</v>
      </c>
      <c r="H42" s="126" t="n">
        <v>350</v>
      </c>
      <c r="I42" s="126" t="n">
        <v>700</v>
      </c>
      <c r="J42" s="126" t="n">
        <v>700</v>
      </c>
      <c r="K42" s="126" t="n">
        <v>700</v>
      </c>
      <c r="L42" s="125"/>
      <c r="M42" s="125" t="n">
        <v>36950</v>
      </c>
      <c r="N42" s="1"/>
      <c r="Q42" s="8" t="n">
        <f aca="false">IF($D42="Peak",+F42,0)</f>
        <v>250</v>
      </c>
      <c r="R42" s="8" t="n">
        <f aca="false">IF($D42="Peak",+G42,0)</f>
        <v>300</v>
      </c>
      <c r="S42" s="8" t="n">
        <f aca="false">IF($D42="Peak",+H42,0)</f>
        <v>350</v>
      </c>
      <c r="T42" s="8" t="n">
        <f aca="false">IF($D42="Peak",+I42,0)</f>
        <v>700</v>
      </c>
      <c r="U42" s="8" t="n">
        <f aca="false">IF($D42="Peak",+J42,0)</f>
        <v>700</v>
      </c>
      <c r="V42" s="8" t="n">
        <f aca="false">IF($D42="Peak",+K42,0)</f>
        <v>700</v>
      </c>
      <c r="W42" s="8"/>
      <c r="X42" s="8" t="n">
        <f aca="false">IF($F42="Peak",+M42,0)</f>
        <v>0</v>
      </c>
      <c r="Y42" s="8" t="n">
        <f aca="false">IF($F42="Peak",+N42,0)</f>
        <v>0</v>
      </c>
      <c r="Z42" s="8" t="n">
        <f aca="false">IF($F42="Peak",+O42,0)</f>
        <v>0</v>
      </c>
      <c r="AA42" s="8" t="n">
        <f aca="false">IF($F42="Peak",+P42,0)</f>
        <v>0</v>
      </c>
      <c r="AB42" s="8" t="n">
        <f aca="false">IF($F42="Peak",+Q42,0)</f>
        <v>0</v>
      </c>
      <c r="AC42" s="8" t="n">
        <f aca="false">IF($F42="Peak",+R42,0)</f>
        <v>0</v>
      </c>
      <c r="AD42" s="8"/>
    </row>
    <row r="43" customFormat="false" ht="12.75" hidden="false" customHeight="false" outlineLevel="0" collapsed="false">
      <c r="A43" s="1" t="n">
        <v>31</v>
      </c>
      <c r="B43" s="125" t="n">
        <v>37073</v>
      </c>
      <c r="C43" s="1" t="s">
        <v>368</v>
      </c>
      <c r="D43" s="1" t="s">
        <v>369</v>
      </c>
      <c r="E43" s="1" t="s">
        <v>198</v>
      </c>
      <c r="F43" s="126" t="n">
        <v>450</v>
      </c>
      <c r="G43" s="126" t="n">
        <v>450</v>
      </c>
      <c r="H43" s="126" t="n">
        <v>450</v>
      </c>
      <c r="I43" s="126" t="n">
        <v>450</v>
      </c>
      <c r="J43" s="126" t="n">
        <v>450</v>
      </c>
      <c r="K43" s="126"/>
      <c r="L43" s="125" t="n">
        <v>36938</v>
      </c>
      <c r="M43" s="125" t="n">
        <v>36952</v>
      </c>
      <c r="N43" s="125"/>
      <c r="Q43" s="8" t="n">
        <f aca="false">IF($D43="Peak",+F43,0)</f>
        <v>450</v>
      </c>
      <c r="R43" s="8" t="n">
        <f aca="false">IF($D43="Peak",+G43,0)</f>
        <v>450</v>
      </c>
      <c r="S43" s="8" t="n">
        <f aca="false">IF($D43="Peak",+H43,0)</f>
        <v>450</v>
      </c>
      <c r="T43" s="8" t="n">
        <f aca="false">IF($D43="Peak",+I43,0)</f>
        <v>450</v>
      </c>
      <c r="U43" s="8" t="n">
        <f aca="false">IF($D43="Peak",+J43,0)</f>
        <v>450</v>
      </c>
      <c r="V43" s="8" t="n">
        <f aca="false">IF($D43="Peak",+K43,0)</f>
        <v>0</v>
      </c>
      <c r="W43" s="8"/>
      <c r="X43" s="8" t="n">
        <f aca="false">IF($F43="Peak",+M43,0)</f>
        <v>0</v>
      </c>
      <c r="Y43" s="8" t="n">
        <f aca="false">IF($F43="Peak",+N43,0)</f>
        <v>0</v>
      </c>
      <c r="Z43" s="8" t="n">
        <f aca="false">IF($F43="Peak",+O43,0)</f>
        <v>0</v>
      </c>
      <c r="AA43" s="8" t="n">
        <f aca="false">IF($F43="Peak",+P43,0)</f>
        <v>0</v>
      </c>
      <c r="AB43" s="8" t="n">
        <f aca="false">IF($F43="Peak",+Q43,0)</f>
        <v>0</v>
      </c>
      <c r="AC43" s="8" t="n">
        <f aca="false">IF($F43="Peak",+R43,0)</f>
        <v>0</v>
      </c>
      <c r="AD43" s="8"/>
    </row>
    <row r="44" customFormat="false" ht="12.75" hidden="false" customHeight="false" outlineLevel="0" collapsed="false">
      <c r="A44" s="1" t="n">
        <v>32</v>
      </c>
      <c r="B44" s="125" t="n">
        <v>37073</v>
      </c>
      <c r="C44" s="1" t="s">
        <v>368</v>
      </c>
      <c r="D44" s="1" t="s">
        <v>371</v>
      </c>
      <c r="E44" s="1" t="s">
        <v>198</v>
      </c>
      <c r="F44" s="126" t="n">
        <v>90</v>
      </c>
      <c r="G44" s="126" t="n">
        <v>90</v>
      </c>
      <c r="H44" s="126" t="n">
        <v>90</v>
      </c>
      <c r="I44" s="126" t="n">
        <v>90</v>
      </c>
      <c r="J44" s="126" t="n">
        <v>90</v>
      </c>
      <c r="K44" s="126"/>
      <c r="L44" s="125" t="n">
        <v>36938</v>
      </c>
      <c r="M44" s="125" t="n">
        <v>36952</v>
      </c>
      <c r="N44" s="125"/>
      <c r="Q44" s="8" t="n">
        <f aca="false">IF($D44="Peak",+F44,0)</f>
        <v>0</v>
      </c>
      <c r="R44" s="8" t="n">
        <f aca="false">IF($D44="Peak",+G44,0)</f>
        <v>0</v>
      </c>
      <c r="S44" s="8" t="n">
        <f aca="false">IF($D44="Peak",+H44,0)</f>
        <v>0</v>
      </c>
      <c r="T44" s="8" t="n">
        <f aca="false">IF($D44="Peak",+I44,0)</f>
        <v>0</v>
      </c>
      <c r="U44" s="8" t="n">
        <f aca="false">IF($D44="Peak",+J44,0)</f>
        <v>0</v>
      </c>
      <c r="V44" s="8" t="n">
        <f aca="false">IF($D44="Peak",+K44,0)</f>
        <v>0</v>
      </c>
      <c r="W44" s="8"/>
      <c r="X44" s="8" t="n">
        <f aca="false">IF($F44="Peak",+M44,0)</f>
        <v>0</v>
      </c>
      <c r="Y44" s="8" t="n">
        <f aca="false">IF($F44="Peak",+N44,0)</f>
        <v>0</v>
      </c>
      <c r="Z44" s="8" t="n">
        <f aca="false">IF($F44="Peak",+O44,0)</f>
        <v>0</v>
      </c>
      <c r="AA44" s="8" t="n">
        <f aca="false">IF($F44="Peak",+P44,0)</f>
        <v>0</v>
      </c>
      <c r="AB44" s="8" t="n">
        <f aca="false">IF($F44="Peak",+Q44,0)</f>
        <v>0</v>
      </c>
      <c r="AC44" s="8" t="n">
        <f aca="false">IF($F44="Peak",+R44,0)</f>
        <v>0</v>
      </c>
      <c r="AD44" s="8"/>
    </row>
    <row r="45" customFormat="false" ht="12.75" hidden="false" customHeight="false" outlineLevel="0" collapsed="false">
      <c r="A45" s="1" t="n">
        <v>33</v>
      </c>
      <c r="B45" s="125" t="n">
        <v>37073</v>
      </c>
      <c r="C45" s="1" t="s">
        <v>381</v>
      </c>
      <c r="D45" s="1" t="s">
        <v>371</v>
      </c>
      <c r="E45" s="1" t="s">
        <v>331</v>
      </c>
      <c r="F45" s="126" t="n">
        <v>100</v>
      </c>
      <c r="G45" s="126" t="n">
        <v>200</v>
      </c>
      <c r="H45" s="126" t="n">
        <v>200</v>
      </c>
      <c r="I45" s="126" t="n">
        <v>400</v>
      </c>
      <c r="J45" s="126" t="n">
        <v>400</v>
      </c>
      <c r="K45" s="126" t="n">
        <v>400</v>
      </c>
      <c r="L45" s="125" t="n">
        <v>36931</v>
      </c>
      <c r="M45" s="125" t="n">
        <v>36934</v>
      </c>
      <c r="N45" s="1"/>
      <c r="Q45" s="8" t="n">
        <f aca="false">IF($D45="Peak",+F45,0)</f>
        <v>0</v>
      </c>
      <c r="R45" s="8" t="n">
        <f aca="false">IF($D45="Peak",+G45,0)</f>
        <v>0</v>
      </c>
      <c r="S45" s="8" t="n">
        <f aca="false">IF($D45="Peak",+H45,0)</f>
        <v>0</v>
      </c>
      <c r="T45" s="8" t="n">
        <f aca="false">IF($D45="Peak",+I45,0)</f>
        <v>0</v>
      </c>
      <c r="U45" s="8" t="n">
        <f aca="false">IF($D45="Peak",+J45,0)</f>
        <v>0</v>
      </c>
      <c r="V45" s="8" t="n">
        <f aca="false">IF($D45="Peak",+K45,0)</f>
        <v>0</v>
      </c>
      <c r="W45" s="8"/>
      <c r="X45" s="8" t="n">
        <f aca="false">IF($F45="Peak",+M45,0)</f>
        <v>0</v>
      </c>
      <c r="Y45" s="8" t="n">
        <f aca="false">IF($F45="Peak",+N45,0)</f>
        <v>0</v>
      </c>
      <c r="Z45" s="8" t="n">
        <f aca="false">IF($F45="Peak",+O45,0)</f>
        <v>0</v>
      </c>
      <c r="AA45" s="8" t="n">
        <f aca="false">IF($F45="Peak",+P45,0)</f>
        <v>0</v>
      </c>
      <c r="AB45" s="8" t="n">
        <f aca="false">IF($F45="Peak",+Q45,0)</f>
        <v>0</v>
      </c>
      <c r="AC45" s="8" t="n">
        <f aca="false">IF($F45="Peak",+R45,0)</f>
        <v>0</v>
      </c>
      <c r="AD45" s="8"/>
    </row>
    <row r="46" customFormat="false" ht="12.75" hidden="false" customHeight="false" outlineLevel="0" collapsed="false">
      <c r="A46" s="1" t="n">
        <v>34</v>
      </c>
      <c r="B46" s="125" t="n">
        <v>37087</v>
      </c>
      <c r="C46" s="1" t="s">
        <v>396</v>
      </c>
      <c r="D46" s="1" t="s">
        <v>397</v>
      </c>
      <c r="E46" s="1" t="s">
        <v>198</v>
      </c>
      <c r="F46" s="126" t="n">
        <v>325</v>
      </c>
      <c r="G46" s="126" t="n">
        <v>325</v>
      </c>
      <c r="H46" s="126"/>
      <c r="I46" s="126"/>
      <c r="J46" s="126"/>
      <c r="K46" s="126"/>
      <c r="L46" s="125" t="n">
        <v>36937</v>
      </c>
      <c r="M46" s="125" t="n">
        <v>36952</v>
      </c>
      <c r="N46" s="1"/>
      <c r="Q46" s="8" t="n">
        <f aca="false">IF($D46="Peak",+F46,0)</f>
        <v>0</v>
      </c>
      <c r="R46" s="8" t="n">
        <f aca="false">IF($D46="Peak",+G46,0)</f>
        <v>0</v>
      </c>
      <c r="S46" s="8" t="n">
        <f aca="false">IF($D46="Peak",+H46,0)</f>
        <v>0</v>
      </c>
      <c r="T46" s="8" t="n">
        <f aca="false">IF($D46="Peak",+I46,0)</f>
        <v>0</v>
      </c>
      <c r="U46" s="8" t="n">
        <f aca="false">IF($D46="Peak",+J46,0)</f>
        <v>0</v>
      </c>
      <c r="V46" s="8" t="n">
        <f aca="false">IF($D46="Peak",+K46,0)</f>
        <v>0</v>
      </c>
      <c r="W46" s="8"/>
      <c r="X46" s="8" t="n">
        <f aca="false">IF($F46="Peak",+M46,0)</f>
        <v>0</v>
      </c>
      <c r="Y46" s="8" t="n">
        <f aca="false">IF($F46="Peak",+N46,0)</f>
        <v>0</v>
      </c>
      <c r="Z46" s="8" t="n">
        <f aca="false">IF($F46="Peak",+O46,0)</f>
        <v>0</v>
      </c>
      <c r="AA46" s="8" t="n">
        <f aca="false">IF($F46="Peak",+P46,0)</f>
        <v>0</v>
      </c>
      <c r="AB46" s="8" t="n">
        <f aca="false">IF($F46="Peak",+Q46,0)</f>
        <v>0</v>
      </c>
      <c r="AC46" s="8" t="n">
        <f aca="false">IF($F46="Peak",+R46,0)</f>
        <v>0</v>
      </c>
      <c r="AD46" s="8"/>
    </row>
    <row r="47" customFormat="false" ht="12.75" hidden="false" customHeight="false" outlineLevel="0" collapsed="false">
      <c r="A47" s="1" t="n">
        <v>35</v>
      </c>
      <c r="B47" s="125" t="n">
        <v>37773</v>
      </c>
      <c r="C47" s="1" t="s">
        <v>386</v>
      </c>
      <c r="D47" s="1" t="s">
        <v>371</v>
      </c>
      <c r="E47" s="1" t="s">
        <v>198</v>
      </c>
      <c r="F47" s="126"/>
      <c r="G47" s="126"/>
      <c r="H47" s="126" t="n">
        <v>542</v>
      </c>
      <c r="I47" s="126" t="n">
        <v>542</v>
      </c>
      <c r="J47" s="126" t="n">
        <v>542</v>
      </c>
      <c r="K47" s="126" t="n">
        <v>542</v>
      </c>
      <c r="L47" s="125" t="n">
        <v>36937</v>
      </c>
      <c r="M47" s="125" t="n">
        <v>36952</v>
      </c>
      <c r="N47" s="1"/>
      <c r="Q47" s="8" t="n">
        <f aca="false">IF($D47="Peak",+F47,0)</f>
        <v>0</v>
      </c>
      <c r="R47" s="8" t="n">
        <f aca="false">IF($D47="Peak",+G47,0)</f>
        <v>0</v>
      </c>
      <c r="S47" s="8" t="n">
        <f aca="false">IF($D47="Peak",+H47,0)</f>
        <v>0</v>
      </c>
      <c r="T47" s="8" t="n">
        <f aca="false">IF($D47="Peak",+I47,0)</f>
        <v>0</v>
      </c>
      <c r="U47" s="8" t="n">
        <f aca="false">IF($D47="Peak",+J47,0)</f>
        <v>0</v>
      </c>
      <c r="V47" s="8" t="n">
        <f aca="false">IF($D47="Peak",+K47,0)</f>
        <v>0</v>
      </c>
      <c r="W47" s="8"/>
      <c r="X47" s="8" t="n">
        <f aca="false">IF($F47="Peak",+M47,0)</f>
        <v>0</v>
      </c>
      <c r="Y47" s="8" t="n">
        <f aca="false">IF($F47="Peak",+N47,0)</f>
        <v>0</v>
      </c>
      <c r="Z47" s="8" t="n">
        <f aca="false">IF($F47="Peak",+O47,0)</f>
        <v>0</v>
      </c>
      <c r="AA47" s="8" t="n">
        <f aca="false">IF($F47="Peak",+P47,0)</f>
        <v>0</v>
      </c>
      <c r="AB47" s="8" t="n">
        <f aca="false">IF($F47="Peak",+Q47,0)</f>
        <v>0</v>
      </c>
      <c r="AC47" s="8" t="n">
        <f aca="false">IF($F47="Peak",+R47,0)</f>
        <v>0</v>
      </c>
      <c r="AD47" s="8"/>
    </row>
    <row r="48" customFormat="false" ht="12.75" hidden="false" customHeight="false" outlineLevel="0" collapsed="false">
      <c r="A48" s="1" t="n">
        <v>36</v>
      </c>
      <c r="B48" s="125" t="n">
        <v>37257</v>
      </c>
      <c r="C48" s="1" t="s">
        <v>398</v>
      </c>
      <c r="D48" s="1" t="s">
        <v>371</v>
      </c>
      <c r="E48" s="1" t="s">
        <v>198</v>
      </c>
      <c r="F48" s="126"/>
      <c r="G48" s="126" t="n">
        <v>300</v>
      </c>
      <c r="H48" s="126" t="n">
        <v>300</v>
      </c>
      <c r="I48" s="126" t="n">
        <v>300</v>
      </c>
      <c r="J48" s="126" t="n">
        <v>300</v>
      </c>
      <c r="K48" s="126" t="n">
        <v>300</v>
      </c>
      <c r="L48" s="125" t="n">
        <v>36915</v>
      </c>
      <c r="M48" s="125" t="n">
        <v>36950</v>
      </c>
      <c r="N48" s="1"/>
      <c r="Q48" s="8" t="n">
        <f aca="false">IF($D48="Peak",+F48,0)</f>
        <v>0</v>
      </c>
      <c r="R48" s="8" t="n">
        <f aca="false">IF($D48="Peak",+G48,0)</f>
        <v>0</v>
      </c>
      <c r="S48" s="8" t="n">
        <f aca="false">IF($D48="Peak",+H48,0)</f>
        <v>0</v>
      </c>
      <c r="T48" s="8" t="n">
        <f aca="false">IF($D48="Peak",+I48,0)</f>
        <v>0</v>
      </c>
      <c r="U48" s="8" t="n">
        <f aca="false">IF($D48="Peak",+J48,0)</f>
        <v>0</v>
      </c>
      <c r="V48" s="8" t="n">
        <f aca="false">IF($D48="Peak",+K48,0)</f>
        <v>0</v>
      </c>
      <c r="W48" s="8"/>
      <c r="X48" s="8" t="n">
        <f aca="false">IF($F48="Peak",+M48,0)</f>
        <v>0</v>
      </c>
      <c r="Y48" s="8" t="n">
        <f aca="false">IF($F48="Peak",+N48,0)</f>
        <v>0</v>
      </c>
      <c r="Z48" s="8" t="n">
        <f aca="false">IF($F48="Peak",+O48,0)</f>
        <v>0</v>
      </c>
      <c r="AA48" s="8" t="n">
        <f aca="false">IF($F48="Peak",+P48,0)</f>
        <v>0</v>
      </c>
      <c r="AB48" s="8" t="n">
        <f aca="false">IF($F48="Peak",+Q48,0)</f>
        <v>0</v>
      </c>
      <c r="AC48" s="8" t="n">
        <f aca="false">IF($F48="Peak",+R48,0)</f>
        <v>0</v>
      </c>
      <c r="AD48" s="8"/>
    </row>
    <row r="49" customFormat="false" ht="12.75" hidden="false" customHeight="false" outlineLevel="0" collapsed="false">
      <c r="A49" s="1" t="n">
        <v>37</v>
      </c>
      <c r="B49" s="125" t="n">
        <v>37257</v>
      </c>
      <c r="C49" s="1" t="s">
        <v>398</v>
      </c>
      <c r="D49" s="1" t="s">
        <v>371</v>
      </c>
      <c r="E49" s="1" t="s">
        <v>331</v>
      </c>
      <c r="F49" s="124"/>
      <c r="G49" s="124" t="n">
        <v>250</v>
      </c>
      <c r="H49" s="124" t="n">
        <v>500</v>
      </c>
      <c r="I49" s="124" t="n">
        <v>500</v>
      </c>
      <c r="J49" s="124" t="n">
        <v>500</v>
      </c>
      <c r="K49" s="124" t="n">
        <v>500</v>
      </c>
      <c r="L49" s="125" t="n">
        <v>36915</v>
      </c>
      <c r="M49" s="125" t="n">
        <v>36950</v>
      </c>
      <c r="N49" s="1"/>
      <c r="Q49" s="8" t="n">
        <f aca="false">IF($D49="Peak",+F49,0)</f>
        <v>0</v>
      </c>
      <c r="R49" s="8" t="n">
        <f aca="false">IF($D49="Peak",+G49,0)</f>
        <v>0</v>
      </c>
      <c r="S49" s="8" t="n">
        <f aca="false">IF($D49="Peak",+H49,0)</f>
        <v>0</v>
      </c>
      <c r="T49" s="8" t="n">
        <f aca="false">IF($D49="Peak",+I49,0)</f>
        <v>0</v>
      </c>
      <c r="U49" s="8" t="n">
        <f aca="false">IF($D49="Peak",+J49,0)</f>
        <v>0</v>
      </c>
      <c r="V49" s="8" t="n">
        <f aca="false">IF($D49="Peak",+K49,0)</f>
        <v>0</v>
      </c>
      <c r="W49" s="8"/>
      <c r="X49" s="8" t="n">
        <f aca="false">IF($F49="Peak",+M49,0)</f>
        <v>0</v>
      </c>
      <c r="Y49" s="8" t="n">
        <f aca="false">IF($F49="Peak",+N49,0)</f>
        <v>0</v>
      </c>
      <c r="Z49" s="8" t="n">
        <f aca="false">IF($F49="Peak",+O49,0)</f>
        <v>0</v>
      </c>
      <c r="AA49" s="8" t="n">
        <f aca="false">IF($F49="Peak",+P49,0)</f>
        <v>0</v>
      </c>
      <c r="AB49" s="8" t="n">
        <f aca="false">IF($F49="Peak",+Q49,0)</f>
        <v>0</v>
      </c>
      <c r="AC49" s="8" t="n">
        <f aca="false">IF($F49="Peak",+R49,0)</f>
        <v>0</v>
      </c>
      <c r="AD49" s="8"/>
    </row>
    <row r="50" customFormat="false" ht="12.75" hidden="false" customHeight="false" outlineLevel="0" collapsed="false">
      <c r="A50" s="1" t="n">
        <v>38</v>
      </c>
      <c r="B50" s="125" t="n">
        <v>37347</v>
      </c>
      <c r="C50" s="1" t="s">
        <v>383</v>
      </c>
      <c r="D50" s="1" t="s">
        <v>371</v>
      </c>
      <c r="E50" s="1" t="s">
        <v>198</v>
      </c>
      <c r="F50" s="128"/>
      <c r="G50" s="128" t="n">
        <v>150</v>
      </c>
      <c r="H50" s="128" t="n">
        <v>1000</v>
      </c>
      <c r="I50" s="128" t="n">
        <v>1200</v>
      </c>
      <c r="J50" s="128" t="n">
        <v>1200</v>
      </c>
      <c r="K50" s="128" t="n">
        <v>1200</v>
      </c>
      <c r="L50" s="125"/>
      <c r="M50" s="125" t="n">
        <v>36950</v>
      </c>
      <c r="N50" s="1"/>
      <c r="Q50" s="8" t="n">
        <f aca="false">IF($D50="Peak",+F50,0)</f>
        <v>0</v>
      </c>
      <c r="R50" s="8" t="n">
        <f aca="false">IF($D50="Peak",+G50,0)</f>
        <v>0</v>
      </c>
      <c r="S50" s="8" t="n">
        <f aca="false">IF($D50="Peak",+H50,0)</f>
        <v>0</v>
      </c>
      <c r="T50" s="8" t="n">
        <f aca="false">IF($D50="Peak",+I50,0)</f>
        <v>0</v>
      </c>
      <c r="U50" s="8" t="n">
        <f aca="false">IF($D50="Peak",+J50,0)</f>
        <v>0</v>
      </c>
      <c r="V50" s="8" t="n">
        <f aca="false">IF($D50="Peak",+K50,0)</f>
        <v>0</v>
      </c>
      <c r="W50" s="8"/>
      <c r="X50" s="8" t="n">
        <f aca="false">IF($F50="Peak",+M50,0)</f>
        <v>0</v>
      </c>
      <c r="Y50" s="8" t="n">
        <f aca="false">IF($F50="Peak",+N50,0)</f>
        <v>0</v>
      </c>
      <c r="Z50" s="8" t="n">
        <f aca="false">IF($F50="Peak",+O50,0)</f>
        <v>0</v>
      </c>
      <c r="AA50" s="8" t="n">
        <f aca="false">IF($F50="Peak",+P50,0)</f>
        <v>0</v>
      </c>
      <c r="AB50" s="8" t="n">
        <f aca="false">IF($F50="Peak",+Q50,0)</f>
        <v>0</v>
      </c>
      <c r="AC50" s="8" t="n">
        <f aca="false">IF($F50="Peak",+R50,0)</f>
        <v>0</v>
      </c>
      <c r="AD50" s="8"/>
    </row>
    <row r="51" customFormat="false" ht="12.75" hidden="false" customHeight="false" outlineLevel="0" collapsed="false">
      <c r="A51" s="1" t="n">
        <v>39</v>
      </c>
      <c r="B51" s="125" t="n">
        <v>36982</v>
      </c>
      <c r="C51" s="1" t="s">
        <v>399</v>
      </c>
      <c r="D51" s="1" t="s">
        <v>369</v>
      </c>
      <c r="E51" s="1" t="s">
        <v>331</v>
      </c>
      <c r="F51" s="126"/>
      <c r="G51" s="126" t="n">
        <v>150</v>
      </c>
      <c r="H51" s="126" t="n">
        <v>375</v>
      </c>
      <c r="I51" s="126" t="n">
        <v>550</v>
      </c>
      <c r="J51" s="126" t="n">
        <v>550</v>
      </c>
      <c r="K51" s="126" t="n">
        <v>550</v>
      </c>
      <c r="L51" s="125"/>
      <c r="M51" s="125" t="n">
        <v>36966</v>
      </c>
      <c r="N51" s="1"/>
      <c r="Q51" s="8" t="n">
        <f aca="false">IF($D51="Peak",+F51,0)</f>
        <v>0</v>
      </c>
      <c r="R51" s="8" t="n">
        <f aca="false">IF($D51="Peak",+G51,0)</f>
        <v>150</v>
      </c>
      <c r="S51" s="8" t="n">
        <f aca="false">IF($D51="Peak",+H51,0)</f>
        <v>375</v>
      </c>
      <c r="T51" s="8" t="n">
        <f aca="false">IF($D51="Peak",+I51,0)</f>
        <v>550</v>
      </c>
      <c r="U51" s="8" t="n">
        <f aca="false">IF($D51="Peak",+J51,0)</f>
        <v>550</v>
      </c>
      <c r="V51" s="8" t="n">
        <f aca="false">IF($D51="Peak",+K51,0)</f>
        <v>550</v>
      </c>
      <c r="W51" s="8"/>
      <c r="X51" s="8" t="n">
        <f aca="false">IF($F51="Peak",+M51,0)</f>
        <v>0</v>
      </c>
      <c r="Y51" s="8" t="n">
        <f aca="false">IF($F51="Peak",+N51,0)</f>
        <v>0</v>
      </c>
      <c r="Z51" s="8" t="n">
        <f aca="false">IF($F51="Peak",+O51,0)</f>
        <v>0</v>
      </c>
      <c r="AA51" s="8" t="n">
        <f aca="false">IF($F51="Peak",+P51,0)</f>
        <v>0</v>
      </c>
      <c r="AB51" s="8" t="n">
        <f aca="false">IF($F51="Peak",+Q51,0)</f>
        <v>0</v>
      </c>
      <c r="AC51" s="8" t="n">
        <f aca="false">IF($F51="Peak",+R51,0)</f>
        <v>0</v>
      </c>
      <c r="AD51" s="8"/>
    </row>
    <row r="52" customFormat="false" ht="12.75" hidden="false" customHeight="false" outlineLevel="0" collapsed="false">
      <c r="A52" s="1" t="n">
        <v>40</v>
      </c>
      <c r="B52" s="125" t="n">
        <v>36982</v>
      </c>
      <c r="C52" s="1" t="s">
        <v>399</v>
      </c>
      <c r="D52" s="1" t="s">
        <v>369</v>
      </c>
      <c r="E52" s="1" t="s">
        <v>198</v>
      </c>
      <c r="F52" s="126" t="n">
        <v>150</v>
      </c>
      <c r="G52" s="126" t="n">
        <v>150</v>
      </c>
      <c r="H52" s="126" t="n">
        <v>200</v>
      </c>
      <c r="I52" s="126" t="n">
        <v>200</v>
      </c>
      <c r="J52" s="126" t="n">
        <v>200</v>
      </c>
      <c r="K52" s="126" t="n">
        <v>200</v>
      </c>
      <c r="L52" s="125"/>
      <c r="M52" s="125" t="n">
        <v>36966</v>
      </c>
      <c r="N52" s="1"/>
      <c r="Q52" s="8" t="n">
        <f aca="false">IF($D52="Peak",+F52,0)</f>
        <v>150</v>
      </c>
      <c r="R52" s="8" t="n">
        <f aca="false">IF($D52="Peak",+G52,0)</f>
        <v>150</v>
      </c>
      <c r="S52" s="8" t="n">
        <f aca="false">IF($D52="Peak",+H52,0)</f>
        <v>200</v>
      </c>
      <c r="T52" s="8" t="n">
        <f aca="false">IF($D52="Peak",+I52,0)</f>
        <v>200</v>
      </c>
      <c r="U52" s="8" t="n">
        <f aca="false">IF($D52="Peak",+J52,0)</f>
        <v>200</v>
      </c>
      <c r="V52" s="8" t="n">
        <f aca="false">IF($D52="Peak",+K52,0)</f>
        <v>200</v>
      </c>
      <c r="W52" s="8"/>
      <c r="X52" s="8" t="n">
        <f aca="false">IF($F52="Peak",+M52,0)</f>
        <v>0</v>
      </c>
      <c r="Y52" s="8" t="n">
        <f aca="false">IF($F52="Peak",+N52,0)</f>
        <v>0</v>
      </c>
      <c r="Z52" s="8" t="n">
        <f aca="false">IF($F52="Peak",+O52,0)</f>
        <v>0</v>
      </c>
      <c r="AA52" s="8" t="n">
        <f aca="false">IF($F52="Peak",+P52,0)</f>
        <v>0</v>
      </c>
      <c r="AB52" s="8" t="n">
        <f aca="false">IF($F52="Peak",+Q52,0)</f>
        <v>0</v>
      </c>
      <c r="AC52" s="8" t="n">
        <f aca="false">IF($F52="Peak",+R52,0)</f>
        <v>0</v>
      </c>
      <c r="AD52" s="8"/>
    </row>
    <row r="53" customFormat="false" ht="12.75" hidden="false" customHeight="false" outlineLevel="0" collapsed="false">
      <c r="A53" s="1" t="n">
        <v>41</v>
      </c>
      <c r="B53" s="125" t="n">
        <v>37438</v>
      </c>
      <c r="C53" s="1" t="s">
        <v>381</v>
      </c>
      <c r="D53" s="1" t="s">
        <v>371</v>
      </c>
      <c r="E53" s="1" t="s">
        <v>331</v>
      </c>
      <c r="F53" s="126"/>
      <c r="G53" s="126" t="n">
        <v>50</v>
      </c>
      <c r="H53" s="126" t="n">
        <v>50</v>
      </c>
      <c r="I53" s="126" t="n">
        <v>50</v>
      </c>
      <c r="J53" s="126" t="n">
        <v>50</v>
      </c>
      <c r="K53" s="126" t="n">
        <v>50</v>
      </c>
      <c r="L53" s="125"/>
      <c r="M53" s="125" t="n">
        <v>36966</v>
      </c>
      <c r="N53" s="1"/>
      <c r="Q53" s="8" t="n">
        <f aca="false">IF($D53="Peak",+F53,0)</f>
        <v>0</v>
      </c>
      <c r="R53" s="8" t="n">
        <f aca="false">IF($D53="Peak",+G53,0)</f>
        <v>0</v>
      </c>
      <c r="S53" s="8" t="n">
        <f aca="false">IF($D53="Peak",+H53,0)</f>
        <v>0</v>
      </c>
      <c r="T53" s="8" t="n">
        <f aca="false">IF($D53="Peak",+I53,0)</f>
        <v>0</v>
      </c>
      <c r="U53" s="8" t="n">
        <f aca="false">IF($D53="Peak",+J53,0)</f>
        <v>0</v>
      </c>
      <c r="V53" s="8" t="n">
        <f aca="false">IF($D53="Peak",+K53,0)</f>
        <v>0</v>
      </c>
      <c r="W53" s="8"/>
      <c r="X53" s="8" t="n">
        <f aca="false">IF($F53="Peak",+M53,0)</f>
        <v>0</v>
      </c>
      <c r="Y53" s="8" t="n">
        <f aca="false">IF($F53="Peak",+N53,0)</f>
        <v>0</v>
      </c>
      <c r="Z53" s="8" t="n">
        <f aca="false">IF($F53="Peak",+O53,0)</f>
        <v>0</v>
      </c>
      <c r="AA53" s="8" t="n">
        <f aca="false">IF($F53="Peak",+P53,0)</f>
        <v>0</v>
      </c>
      <c r="AB53" s="8" t="n">
        <f aca="false">IF($F53="Peak",+Q53,0)</f>
        <v>0</v>
      </c>
      <c r="AC53" s="8" t="n">
        <f aca="false">IF($F53="Peak",+R53,0)</f>
        <v>0</v>
      </c>
      <c r="AD53" s="8"/>
    </row>
    <row r="54" customFormat="false" ht="12.75" hidden="false" customHeight="false" outlineLevel="0" collapsed="false">
      <c r="A54" s="1" t="n">
        <v>42</v>
      </c>
      <c r="B54" s="125" t="n">
        <v>37438</v>
      </c>
      <c r="C54" s="1" t="s">
        <v>381</v>
      </c>
      <c r="D54" s="1" t="s">
        <v>371</v>
      </c>
      <c r="E54" s="1" t="s">
        <v>198</v>
      </c>
      <c r="F54" s="126"/>
      <c r="G54" s="126" t="n">
        <v>50</v>
      </c>
      <c r="H54" s="126" t="n">
        <v>50</v>
      </c>
      <c r="I54" s="126" t="n">
        <v>50</v>
      </c>
      <c r="J54" s="126" t="n">
        <v>50</v>
      </c>
      <c r="K54" s="126" t="n">
        <v>50</v>
      </c>
      <c r="L54" s="125"/>
      <c r="M54" s="125" t="n">
        <v>36966</v>
      </c>
      <c r="N54" s="1"/>
      <c r="Q54" s="8" t="n">
        <f aca="false">IF($D54="Peak",+F54,0)</f>
        <v>0</v>
      </c>
      <c r="R54" s="8" t="n">
        <f aca="false">IF($D54="Peak",+G54,0)</f>
        <v>0</v>
      </c>
      <c r="S54" s="8" t="n">
        <f aca="false">IF($D54="Peak",+H54,0)</f>
        <v>0</v>
      </c>
      <c r="T54" s="8" t="n">
        <f aca="false">IF($D54="Peak",+I54,0)</f>
        <v>0</v>
      </c>
      <c r="U54" s="8" t="n">
        <f aca="false">IF($D54="Peak",+J54,0)</f>
        <v>0</v>
      </c>
      <c r="V54" s="8" t="n">
        <f aca="false">IF($D54="Peak",+K54,0)</f>
        <v>0</v>
      </c>
      <c r="W54" s="8"/>
      <c r="X54" s="8" t="n">
        <f aca="false">IF($F54="Peak",+M54,0)</f>
        <v>0</v>
      </c>
      <c r="Y54" s="8" t="n">
        <f aca="false">IF($F54="Peak",+N54,0)</f>
        <v>0</v>
      </c>
      <c r="Z54" s="8" t="n">
        <f aca="false">IF($F54="Peak",+O54,0)</f>
        <v>0</v>
      </c>
      <c r="AA54" s="8" t="n">
        <f aca="false">IF($F54="Peak",+P54,0)</f>
        <v>0</v>
      </c>
      <c r="AB54" s="8" t="n">
        <f aca="false">IF($F54="Peak",+Q54,0)</f>
        <v>0</v>
      </c>
      <c r="AC54" s="8" t="n">
        <f aca="false">IF($F54="Peak",+R54,0)</f>
        <v>0</v>
      </c>
      <c r="AD54" s="8"/>
    </row>
    <row r="55" customFormat="false" ht="12.75" hidden="false" customHeight="false" outlineLevel="0" collapsed="false">
      <c r="A55" s="1" t="n">
        <v>43</v>
      </c>
      <c r="B55" s="122" t="n">
        <v>37104</v>
      </c>
      <c r="C55" s="119" t="s">
        <v>381</v>
      </c>
      <c r="D55" s="119" t="s">
        <v>400</v>
      </c>
      <c r="E55" s="119" t="s">
        <v>198</v>
      </c>
      <c r="F55" s="119" t="s">
        <v>372</v>
      </c>
      <c r="G55" s="119" t="n">
        <v>80</v>
      </c>
      <c r="H55" s="119" t="n">
        <v>80</v>
      </c>
      <c r="I55" s="119" t="n">
        <v>80</v>
      </c>
      <c r="J55" s="119" t="n">
        <v>80</v>
      </c>
      <c r="K55" s="119" t="n">
        <v>80</v>
      </c>
      <c r="L55" s="122"/>
      <c r="M55" s="122" t="n">
        <v>36948</v>
      </c>
      <c r="N55" s="119"/>
      <c r="Q55" s="8" t="n">
        <f aca="false">IF($D55="Peak",+F55,0)</f>
        <v>0</v>
      </c>
      <c r="R55" s="8" t="n">
        <f aca="false">IF($D55="Peak",+G55,0)</f>
        <v>0</v>
      </c>
      <c r="S55" s="8" t="n">
        <f aca="false">IF($D55="Peak",+H55,0)</f>
        <v>0</v>
      </c>
      <c r="T55" s="8" t="n">
        <f aca="false">IF($D55="Peak",+I55,0)</f>
        <v>0</v>
      </c>
      <c r="U55" s="8" t="n">
        <f aca="false">IF($D55="Peak",+J55,0)</f>
        <v>0</v>
      </c>
      <c r="V55" s="8" t="n">
        <f aca="false">IF($D55="Peak",+K55,0)</f>
        <v>0</v>
      </c>
      <c r="W55" s="8"/>
      <c r="X55" s="8" t="n">
        <f aca="false">IF($F55="Peak",+M55,0)</f>
        <v>0</v>
      </c>
      <c r="Y55" s="8" t="n">
        <f aca="false">IF($F55="Peak",+N55,0)</f>
        <v>0</v>
      </c>
      <c r="Z55" s="8" t="n">
        <f aca="false">IF($F55="Peak",+O55,0)</f>
        <v>0</v>
      </c>
      <c r="AA55" s="8" t="n">
        <f aca="false">IF($F55="Peak",+P55,0)</f>
        <v>0</v>
      </c>
      <c r="AB55" s="8" t="n">
        <f aca="false">IF($F55="Peak",+Q55,0)</f>
        <v>0</v>
      </c>
      <c r="AC55" s="8" t="n">
        <f aca="false">IF($F55="Peak",+R55,0)</f>
        <v>0</v>
      </c>
      <c r="AD55" s="8"/>
    </row>
    <row r="56" customFormat="false" ht="12.75" hidden="false" customHeight="false" outlineLevel="0" collapsed="false">
      <c r="A56" s="1" t="n">
        <v>44</v>
      </c>
      <c r="B56" s="125" t="n">
        <v>37135</v>
      </c>
      <c r="C56" s="1" t="s">
        <v>381</v>
      </c>
      <c r="D56" s="1" t="s">
        <v>397</v>
      </c>
      <c r="E56" s="1" t="s">
        <v>331</v>
      </c>
      <c r="F56" s="1" t="s">
        <v>372</v>
      </c>
      <c r="G56" s="1" t="n">
        <v>96</v>
      </c>
      <c r="H56" s="1" t="n">
        <v>96</v>
      </c>
      <c r="I56" s="1" t="n">
        <v>96</v>
      </c>
      <c r="J56" s="1" t="n">
        <v>96</v>
      </c>
      <c r="K56" s="1" t="n">
        <v>96</v>
      </c>
      <c r="L56" s="125"/>
      <c r="M56" s="125" t="n">
        <v>36950</v>
      </c>
      <c r="N56" s="1"/>
      <c r="Q56" s="8" t="n">
        <f aca="false">IF($D56="Peak",+F56,0)</f>
        <v>0</v>
      </c>
      <c r="R56" s="8" t="n">
        <f aca="false">IF($D56="Peak",+G56,0)</f>
        <v>0</v>
      </c>
      <c r="S56" s="8" t="n">
        <f aca="false">IF($D56="Peak",+H56,0)</f>
        <v>0</v>
      </c>
      <c r="T56" s="8" t="n">
        <f aca="false">IF($D56="Peak",+I56,0)</f>
        <v>0</v>
      </c>
      <c r="U56" s="8" t="n">
        <f aca="false">IF($D56="Peak",+J56,0)</f>
        <v>0</v>
      </c>
      <c r="V56" s="8" t="n">
        <f aca="false">IF($D56="Peak",+K56,0)</f>
        <v>0</v>
      </c>
      <c r="W56" s="8"/>
      <c r="X56" s="8" t="n">
        <f aca="false">IF($F56="Peak",+M56,0)</f>
        <v>0</v>
      </c>
      <c r="Y56" s="8" t="n">
        <f aca="false">IF($F56="Peak",+N56,0)</f>
        <v>0</v>
      </c>
      <c r="Z56" s="8" t="n">
        <f aca="false">IF($F56="Peak",+O56,0)</f>
        <v>0</v>
      </c>
      <c r="AA56" s="8" t="n">
        <f aca="false">IF($F56="Peak",+P56,0)</f>
        <v>0</v>
      </c>
      <c r="AB56" s="8" t="n">
        <f aca="false">IF($F56="Peak",+Q56,0)</f>
        <v>0</v>
      </c>
      <c r="AC56" s="8" t="n">
        <f aca="false">IF($F56="Peak",+R56,0)</f>
        <v>0</v>
      </c>
      <c r="AD56" s="8"/>
    </row>
    <row r="57" customFormat="false" ht="12.75" hidden="false" customHeight="false" outlineLevel="0" collapsed="false">
      <c r="A57" s="1" t="n">
        <v>45</v>
      </c>
      <c r="B57" s="125" t="n">
        <v>37135</v>
      </c>
      <c r="C57" s="1" t="s">
        <v>381</v>
      </c>
      <c r="D57" s="1" t="s">
        <v>397</v>
      </c>
      <c r="E57" s="1" t="s">
        <v>198</v>
      </c>
      <c r="F57" s="1" t="s">
        <v>372</v>
      </c>
      <c r="G57" s="1" t="n">
        <v>144</v>
      </c>
      <c r="H57" s="1" t="n">
        <v>144</v>
      </c>
      <c r="I57" s="1" t="n">
        <v>144</v>
      </c>
      <c r="J57" s="1" t="n">
        <v>144</v>
      </c>
      <c r="K57" s="1" t="n">
        <v>144</v>
      </c>
      <c r="L57" s="125"/>
      <c r="M57" s="125" t="n">
        <v>36950</v>
      </c>
      <c r="N57" s="1"/>
      <c r="Q57" s="8" t="n">
        <f aca="false">IF($D57="Peak",+F57,0)</f>
        <v>0</v>
      </c>
      <c r="R57" s="8" t="n">
        <f aca="false">IF($D57="Peak",+G57,0)</f>
        <v>0</v>
      </c>
      <c r="S57" s="8" t="n">
        <f aca="false">IF($D57="Peak",+H57,0)</f>
        <v>0</v>
      </c>
      <c r="T57" s="8" t="n">
        <f aca="false">IF($D57="Peak",+I57,0)</f>
        <v>0</v>
      </c>
      <c r="U57" s="8" t="n">
        <f aca="false">IF($D57="Peak",+J57,0)</f>
        <v>0</v>
      </c>
      <c r="V57" s="8" t="n">
        <f aca="false">IF($D57="Peak",+K57,0)</f>
        <v>0</v>
      </c>
      <c r="W57" s="8"/>
      <c r="X57" s="8" t="n">
        <f aca="false">IF($F57="Peak",+M57,0)</f>
        <v>0</v>
      </c>
      <c r="Y57" s="8" t="n">
        <f aca="false">IF($F57="Peak",+N57,0)</f>
        <v>0</v>
      </c>
      <c r="Z57" s="8" t="n">
        <f aca="false">IF($F57="Peak",+O57,0)</f>
        <v>0</v>
      </c>
      <c r="AA57" s="8" t="n">
        <f aca="false">IF($F57="Peak",+P57,0)</f>
        <v>0</v>
      </c>
      <c r="AB57" s="8" t="n">
        <f aca="false">IF($F57="Peak",+Q57,0)</f>
        <v>0</v>
      </c>
      <c r="AC57" s="8" t="n">
        <f aca="false">IF($F57="Peak",+R57,0)</f>
        <v>0</v>
      </c>
      <c r="AD57" s="8"/>
    </row>
    <row r="58" customFormat="false" ht="12.75" hidden="false" customHeight="false" outlineLevel="0" collapsed="false">
      <c r="A58" s="1" t="n">
        <v>46</v>
      </c>
      <c r="B58" s="125" t="n">
        <v>37196</v>
      </c>
      <c r="C58" s="1" t="s">
        <v>381</v>
      </c>
      <c r="D58" s="1" t="s">
        <v>369</v>
      </c>
      <c r="E58" s="1" t="s">
        <v>331</v>
      </c>
      <c r="F58" s="1" t="s">
        <v>372</v>
      </c>
      <c r="G58" s="1" t="s">
        <v>372</v>
      </c>
      <c r="H58" s="1" t="s">
        <v>372</v>
      </c>
      <c r="I58" s="1" t="s">
        <v>372</v>
      </c>
      <c r="J58" s="1" t="s">
        <v>372</v>
      </c>
      <c r="K58" s="1" t="s">
        <v>372</v>
      </c>
      <c r="L58" s="125"/>
      <c r="M58" s="125" t="n">
        <v>36950</v>
      </c>
      <c r="N58" s="1"/>
      <c r="Q58" s="8" t="str">
        <f aca="false">IF($D58="Peak",+F58,0)</f>
        <v>*</v>
      </c>
      <c r="R58" s="8" t="str">
        <f aca="false">IF($D58="Peak",+G58,0)</f>
        <v>*</v>
      </c>
      <c r="S58" s="8" t="str">
        <f aca="false">IF($D58="Peak",+H58,0)</f>
        <v>*</v>
      </c>
      <c r="T58" s="8" t="str">
        <f aca="false">IF($D58="Peak",+I58,0)</f>
        <v>*</v>
      </c>
      <c r="U58" s="8" t="str">
        <f aca="false">IF($D58="Peak",+J58,0)</f>
        <v>*</v>
      </c>
      <c r="V58" s="8" t="str">
        <f aca="false">IF($D58="Peak",+K58,0)</f>
        <v>*</v>
      </c>
      <c r="W58" s="8"/>
      <c r="X58" s="8" t="n">
        <f aca="false">IF($F58="Peak",+M58,0)</f>
        <v>0</v>
      </c>
      <c r="Y58" s="8" t="n">
        <f aca="false">IF($F58="Peak",+N58,0)</f>
        <v>0</v>
      </c>
      <c r="Z58" s="8" t="n">
        <f aca="false">IF($F58="Peak",+O58,0)</f>
        <v>0</v>
      </c>
      <c r="AA58" s="8" t="n">
        <f aca="false">IF($F58="Peak",+P58,0)</f>
        <v>0</v>
      </c>
      <c r="AB58" s="8" t="n">
        <f aca="false">IF($F58="Peak",+Q58,0)</f>
        <v>0</v>
      </c>
      <c r="AC58" s="8" t="n">
        <f aca="false">IF($F58="Peak",+R58,0)</f>
        <v>0</v>
      </c>
      <c r="AD58" s="8"/>
    </row>
    <row r="59" customFormat="false" ht="12.75" hidden="false" customHeight="false" outlineLevel="0" collapsed="false">
      <c r="A59" s="1" t="n">
        <v>47</v>
      </c>
      <c r="B59" s="125" t="n">
        <v>37196</v>
      </c>
      <c r="C59" s="1" t="s">
        <v>381</v>
      </c>
      <c r="D59" s="1" t="s">
        <v>369</v>
      </c>
      <c r="E59" s="1" t="s">
        <v>198</v>
      </c>
      <c r="F59" s="1" t="s">
        <v>372</v>
      </c>
      <c r="G59" s="1" t="s">
        <v>372</v>
      </c>
      <c r="H59" s="1" t="s">
        <v>372</v>
      </c>
      <c r="I59" s="1" t="s">
        <v>372</v>
      </c>
      <c r="J59" s="1" t="s">
        <v>372</v>
      </c>
      <c r="K59" s="1" t="s">
        <v>372</v>
      </c>
      <c r="L59" s="125"/>
      <c r="M59" s="125" t="n">
        <v>36950</v>
      </c>
      <c r="N59" s="1"/>
      <c r="Q59" s="8" t="str">
        <f aca="false">IF($D59="Peak",+F59,0)</f>
        <v>*</v>
      </c>
      <c r="R59" s="8" t="str">
        <f aca="false">IF($D59="Peak",+G59,0)</f>
        <v>*</v>
      </c>
      <c r="S59" s="8" t="str">
        <f aca="false">IF($D59="Peak",+H59,0)</f>
        <v>*</v>
      </c>
      <c r="T59" s="8" t="str">
        <f aca="false">IF($D59="Peak",+I59,0)</f>
        <v>*</v>
      </c>
      <c r="U59" s="8" t="str">
        <f aca="false">IF($D59="Peak",+J59,0)</f>
        <v>*</v>
      </c>
      <c r="V59" s="8" t="str">
        <f aca="false">IF($D59="Peak",+K59,0)</f>
        <v>*</v>
      </c>
      <c r="W59" s="8"/>
      <c r="X59" s="8" t="n">
        <f aca="false">IF($F59="Peak",+M59,0)</f>
        <v>0</v>
      </c>
      <c r="Y59" s="8" t="n">
        <f aca="false">IF($F59="Peak",+N59,0)</f>
        <v>0</v>
      </c>
      <c r="Z59" s="8" t="n">
        <f aca="false">IF($F59="Peak",+O59,0)</f>
        <v>0</v>
      </c>
      <c r="AA59" s="8" t="n">
        <f aca="false">IF($F59="Peak",+P59,0)</f>
        <v>0</v>
      </c>
      <c r="AB59" s="8" t="n">
        <f aca="false">IF($F59="Peak",+Q59,0)</f>
        <v>0</v>
      </c>
      <c r="AC59" s="8" t="n">
        <f aca="false">IF($F59="Peak",+R59,0)</f>
        <v>0</v>
      </c>
      <c r="AD59" s="8"/>
    </row>
    <row r="60" customFormat="false" ht="12.75" hidden="false" customHeight="false" outlineLevel="0" collapsed="false">
      <c r="A60" s="1" t="n">
        <v>48</v>
      </c>
      <c r="B60" s="125" t="n">
        <v>37104</v>
      </c>
      <c r="C60" s="1" t="s">
        <v>401</v>
      </c>
      <c r="D60" s="1" t="s">
        <v>369</v>
      </c>
      <c r="E60" s="1" t="s">
        <v>198</v>
      </c>
      <c r="F60" s="128" t="s">
        <v>372</v>
      </c>
      <c r="G60" s="128" t="n">
        <v>95</v>
      </c>
      <c r="H60" s="128" t="n">
        <v>95</v>
      </c>
      <c r="I60" s="128" t="n">
        <v>95</v>
      </c>
      <c r="J60" s="128" t="n">
        <v>95</v>
      </c>
      <c r="K60" s="128" t="n">
        <v>95</v>
      </c>
      <c r="L60" s="125" t="n">
        <v>36951</v>
      </c>
      <c r="M60" s="125" t="n">
        <v>36977</v>
      </c>
      <c r="N60" s="1"/>
      <c r="Q60" s="8" t="str">
        <f aca="false">IF($D60="Peak",+F60,0)</f>
        <v>*</v>
      </c>
      <c r="R60" s="8" t="n">
        <f aca="false">IF($D60="Peak",+G60,0)</f>
        <v>95</v>
      </c>
      <c r="S60" s="8" t="n">
        <f aca="false">IF($D60="Peak",+H60,0)</f>
        <v>95</v>
      </c>
      <c r="T60" s="8" t="n">
        <f aca="false">IF($D60="Peak",+I60,0)</f>
        <v>95</v>
      </c>
      <c r="U60" s="8" t="n">
        <f aca="false">IF($D60="Peak",+J60,0)</f>
        <v>95</v>
      </c>
      <c r="V60" s="8" t="n">
        <f aca="false">IF($D60="Peak",+K60,0)</f>
        <v>95</v>
      </c>
      <c r="W60" s="8"/>
      <c r="X60" s="8" t="n">
        <f aca="false">IF($F60="Peak",+M60,0)</f>
        <v>0</v>
      </c>
      <c r="Y60" s="8" t="n">
        <f aca="false">IF($F60="Peak",+N60,0)</f>
        <v>0</v>
      </c>
      <c r="Z60" s="8" t="n">
        <f aca="false">IF($F60="Peak",+O60,0)</f>
        <v>0</v>
      </c>
      <c r="AA60" s="8" t="n">
        <f aca="false">IF($F60="Peak",+P60,0)</f>
        <v>0</v>
      </c>
      <c r="AB60" s="8" t="n">
        <f aca="false">IF($F60="Peak",+Q60,0)</f>
        <v>0</v>
      </c>
      <c r="AC60" s="8" t="n">
        <f aca="false">IF($F60="Peak",+R60,0)</f>
        <v>0</v>
      </c>
      <c r="AD60" s="8"/>
    </row>
    <row r="61" customFormat="false" ht="12.75" hidden="false" customHeight="false" outlineLevel="0" collapsed="false">
      <c r="A61" s="119" t="n">
        <v>49</v>
      </c>
      <c r="B61" s="122" t="n">
        <v>37057</v>
      </c>
      <c r="C61" s="119" t="s">
        <v>402</v>
      </c>
      <c r="D61" s="119" t="s">
        <v>369</v>
      </c>
      <c r="E61" s="119" t="s">
        <v>331</v>
      </c>
      <c r="F61" s="124" t="n">
        <v>49</v>
      </c>
      <c r="G61" s="124" t="n">
        <v>94</v>
      </c>
      <c r="H61" s="124" t="n">
        <v>94</v>
      </c>
      <c r="I61" s="124" t="n">
        <v>94</v>
      </c>
      <c r="J61" s="124" t="n">
        <v>94</v>
      </c>
      <c r="K61" s="124" t="n">
        <v>94</v>
      </c>
      <c r="L61" s="122"/>
      <c r="M61" s="122" t="n">
        <v>36990</v>
      </c>
      <c r="N61" s="119"/>
      <c r="Q61" s="8" t="n">
        <f aca="false">IF($D61="Peak",+F61,0)</f>
        <v>49</v>
      </c>
      <c r="R61" s="8" t="n">
        <f aca="false">IF($D61="Peak",+G61,0)</f>
        <v>94</v>
      </c>
      <c r="S61" s="8" t="n">
        <f aca="false">IF($D61="Peak",+H61,0)</f>
        <v>94</v>
      </c>
      <c r="T61" s="8" t="n">
        <f aca="false">IF($D61="Peak",+I61,0)</f>
        <v>94</v>
      </c>
      <c r="U61" s="8" t="n">
        <f aca="false">IF($D61="Peak",+J61,0)</f>
        <v>94</v>
      </c>
      <c r="V61" s="8" t="n">
        <f aca="false">IF($D61="Peak",+K61,0)</f>
        <v>94</v>
      </c>
      <c r="W61" s="8"/>
      <c r="X61" s="8" t="n">
        <f aca="false">IF($F61="Peak",+M61,0)</f>
        <v>0</v>
      </c>
      <c r="Y61" s="8" t="n">
        <f aca="false">IF($F61="Peak",+N61,0)</f>
        <v>0</v>
      </c>
      <c r="Z61" s="8" t="n">
        <f aca="false">IF($F61="Peak",+O61,0)</f>
        <v>0</v>
      </c>
      <c r="AA61" s="8" t="n">
        <f aca="false">IF($F61="Peak",+P61,0)</f>
        <v>0</v>
      </c>
      <c r="AB61" s="8" t="n">
        <f aca="false">IF($F61="Peak",+Q61,0)</f>
        <v>0</v>
      </c>
      <c r="AC61" s="8" t="n">
        <f aca="false">IF($F61="Peak",+R61,0)</f>
        <v>0</v>
      </c>
      <c r="AD61" s="8"/>
    </row>
    <row r="62" customFormat="false" ht="12.75" hidden="false" customHeight="false" outlineLevel="0" collapsed="false">
      <c r="A62" s="119"/>
      <c r="B62" s="122"/>
      <c r="C62" s="119"/>
      <c r="D62" s="119"/>
      <c r="E62" s="119"/>
      <c r="F62" s="124"/>
      <c r="G62" s="124"/>
      <c r="H62" s="124"/>
      <c r="I62" s="124"/>
      <c r="J62" s="124"/>
      <c r="K62" s="124"/>
      <c r="L62" s="122"/>
      <c r="M62" s="122"/>
      <c r="N62" s="119"/>
      <c r="Q62" s="8" t="n">
        <f aca="false">IF($D62="Peak",+F62,0)</f>
        <v>0</v>
      </c>
      <c r="R62" s="8" t="n">
        <f aca="false">IF($D62="Peak",+G62,0)</f>
        <v>0</v>
      </c>
      <c r="S62" s="8" t="n">
        <f aca="false">IF($D62="Peak",+H62,0)</f>
        <v>0</v>
      </c>
      <c r="T62" s="8" t="n">
        <f aca="false">IF($D62="Peak",+I62,0)</f>
        <v>0</v>
      </c>
      <c r="U62" s="8" t="n">
        <f aca="false">IF($D62="Peak",+J62,0)</f>
        <v>0</v>
      </c>
      <c r="V62" s="8" t="n">
        <f aca="false">IF($D62="Peak",+K62,0)</f>
        <v>0</v>
      </c>
      <c r="W62" s="8"/>
      <c r="X62" s="8" t="n">
        <f aca="false">IF($F62="Peak",+M62,0)</f>
        <v>0</v>
      </c>
      <c r="Y62" s="8" t="n">
        <f aca="false">IF($F62="Peak",+N62,0)</f>
        <v>0</v>
      </c>
      <c r="Z62" s="8" t="n">
        <f aca="false">IF($F62="Peak",+O62,0)</f>
        <v>0</v>
      </c>
      <c r="AA62" s="8" t="n">
        <f aca="false">IF($F62="Peak",+P62,0)</f>
        <v>0</v>
      </c>
      <c r="AB62" s="8" t="n">
        <f aca="false">IF($F62="Peak",+Q62,0)</f>
        <v>0</v>
      </c>
      <c r="AC62" s="8" t="n">
        <f aca="false">IF($F62="Peak",+R62,0)</f>
        <v>0</v>
      </c>
      <c r="AD62" s="8"/>
    </row>
    <row r="63" customFormat="false" ht="12.75" hidden="false" customHeight="false" outlineLevel="0" collapsed="false">
      <c r="A63" s="119"/>
      <c r="C63" s="119"/>
      <c r="D63" s="129" t="s">
        <v>331</v>
      </c>
      <c r="E63" s="119"/>
      <c r="F63" s="124" t="n">
        <v>1524</v>
      </c>
      <c r="G63" s="124" t="n">
        <v>3303</v>
      </c>
      <c r="H63" s="124" t="n">
        <v>3673</v>
      </c>
      <c r="I63" s="124" t="n">
        <v>4435</v>
      </c>
      <c r="J63" s="124" t="n">
        <v>4435</v>
      </c>
      <c r="K63" s="124" t="n">
        <v>4185</v>
      </c>
      <c r="L63" s="122"/>
      <c r="M63" s="119"/>
      <c r="N63" s="119"/>
      <c r="Q63" s="8" t="n">
        <f aca="false">IF($D63="Peak",+F63,0)</f>
        <v>0</v>
      </c>
      <c r="R63" s="8" t="n">
        <f aca="false">IF($D63="Peak",+G63,0)</f>
        <v>0</v>
      </c>
      <c r="S63" s="8" t="n">
        <f aca="false">IF($D63="Peak",+H63,0)</f>
        <v>0</v>
      </c>
      <c r="T63" s="8" t="n">
        <f aca="false">IF($D63="Peak",+I63,0)</f>
        <v>0</v>
      </c>
      <c r="U63" s="8" t="n">
        <f aca="false">IF($D63="Peak",+J63,0)</f>
        <v>0</v>
      </c>
      <c r="V63" s="8" t="n">
        <f aca="false">IF($D63="Peak",+K63,0)</f>
        <v>0</v>
      </c>
      <c r="W63" s="8"/>
      <c r="X63" s="8" t="n">
        <f aca="false">IF($F63="Peak",+M63,0)</f>
        <v>0</v>
      </c>
      <c r="Y63" s="8" t="n">
        <f aca="false">IF($F63="Peak",+N63,0)</f>
        <v>0</v>
      </c>
      <c r="Z63" s="8" t="n">
        <f aca="false">IF($F63="Peak",+O63,0)</f>
        <v>0</v>
      </c>
      <c r="AA63" s="8" t="n">
        <f aca="false">IF($F63="Peak",+P63,0)</f>
        <v>0</v>
      </c>
      <c r="AB63" s="8" t="n">
        <f aca="false">IF($F63="Peak",+Q63,0)</f>
        <v>0</v>
      </c>
      <c r="AC63" s="8" t="n">
        <f aca="false">IF($F63="Peak",+R63,0)</f>
        <v>0</v>
      </c>
      <c r="AD63" s="8"/>
    </row>
    <row r="64" customFormat="false" ht="12.75" hidden="false" customHeight="false" outlineLevel="0" collapsed="false">
      <c r="A64" s="119"/>
      <c r="C64" s="119"/>
      <c r="D64" s="129" t="s">
        <v>198</v>
      </c>
      <c r="E64" s="119"/>
      <c r="F64" s="130" t="n">
        <v>4106</v>
      </c>
      <c r="G64" s="130" t="n">
        <v>4400</v>
      </c>
      <c r="H64" s="130" t="n">
        <v>6747</v>
      </c>
      <c r="I64" s="130" t="n">
        <v>7631</v>
      </c>
      <c r="J64" s="130" t="n">
        <v>6981</v>
      </c>
      <c r="K64" s="130" t="n">
        <v>6441</v>
      </c>
      <c r="L64" s="122"/>
      <c r="M64" s="119"/>
      <c r="N64" s="119"/>
      <c r="Q64" s="8" t="n">
        <f aca="false">IF($D64="Peak",+F64,0)</f>
        <v>0</v>
      </c>
      <c r="R64" s="8" t="n">
        <f aca="false">IF($D64="Peak",+G64,0)</f>
        <v>0</v>
      </c>
      <c r="S64" s="8" t="n">
        <f aca="false">IF($D64="Peak",+H64,0)</f>
        <v>0</v>
      </c>
      <c r="T64" s="8" t="n">
        <f aca="false">IF($D64="Peak",+I64,0)</f>
        <v>0</v>
      </c>
      <c r="U64" s="8" t="n">
        <f aca="false">IF($D64="Peak",+J64,0)</f>
        <v>0</v>
      </c>
      <c r="V64" s="8" t="n">
        <f aca="false">IF($D64="Peak",+K64,0)</f>
        <v>0</v>
      </c>
      <c r="W64" s="8"/>
      <c r="X64" s="8" t="n">
        <f aca="false">IF($F64="Peak",+M64,0)</f>
        <v>0</v>
      </c>
      <c r="Y64" s="8" t="n">
        <f aca="false">IF($F64="Peak",+N64,0)</f>
        <v>0</v>
      </c>
      <c r="Z64" s="8" t="n">
        <f aca="false">IF($F64="Peak",+O64,0)</f>
        <v>0</v>
      </c>
      <c r="AA64" s="8" t="n">
        <f aca="false">IF($F64="Peak",+P64,0)</f>
        <v>0</v>
      </c>
      <c r="AB64" s="8" t="n">
        <f aca="false">IF($F64="Peak",+Q64,0)</f>
        <v>0</v>
      </c>
      <c r="AC64" s="8" t="n">
        <f aca="false">IF($F64="Peak",+R64,0)</f>
        <v>0</v>
      </c>
      <c r="AD64" s="8"/>
    </row>
    <row r="65" customFormat="false" ht="12.75" hidden="false" customHeight="false" outlineLevel="0" collapsed="false">
      <c r="A65" s="119"/>
      <c r="C65" s="119"/>
      <c r="D65" s="129" t="s">
        <v>62</v>
      </c>
      <c r="E65" s="119"/>
      <c r="F65" s="124" t="n">
        <v>5630</v>
      </c>
      <c r="G65" s="124" t="n">
        <v>7703</v>
      </c>
      <c r="H65" s="124" t="n">
        <v>10420</v>
      </c>
      <c r="I65" s="124" t="n">
        <v>12066</v>
      </c>
      <c r="J65" s="124" t="n">
        <v>11416</v>
      </c>
      <c r="K65" s="124" t="n">
        <v>10626</v>
      </c>
      <c r="L65" s="122"/>
      <c r="M65" s="119"/>
      <c r="N65" s="119"/>
      <c r="Q65" s="44" t="n">
        <f aca="false">SUM(Q11:Q61)</f>
        <v>4789</v>
      </c>
      <c r="R65" s="44" t="n">
        <f aca="false">SUM(R11:R61)</f>
        <v>4049</v>
      </c>
      <c r="S65" s="44" t="n">
        <f aca="false">SUM(S11:S61)</f>
        <v>4449</v>
      </c>
      <c r="T65" s="44" t="n">
        <f aca="false">SUM(T11:T61)</f>
        <v>5054</v>
      </c>
      <c r="U65" s="44" t="n">
        <f aca="false">SUM(U11:U61)</f>
        <v>4084</v>
      </c>
      <c r="V65" s="44" t="n">
        <f aca="false">SUM(V11:V61)</f>
        <v>2934</v>
      </c>
      <c r="AB65" s="8" t="n">
        <f aca="false">IF($F65="Peak",+Q65,0)</f>
        <v>0</v>
      </c>
    </row>
    <row r="66" customFormat="false" ht="12.75" hidden="false" customHeight="false" outlineLevel="0" collapsed="false">
      <c r="A66" s="119"/>
      <c r="B66" s="129"/>
      <c r="C66" s="119"/>
      <c r="D66" s="119"/>
      <c r="E66" s="119"/>
      <c r="F66" s="124"/>
      <c r="G66" s="124"/>
      <c r="H66" s="124"/>
      <c r="I66" s="124"/>
      <c r="J66" s="124"/>
      <c r="K66" s="124"/>
      <c r="L66" s="122"/>
      <c r="M66" s="119"/>
      <c r="N66" s="119"/>
      <c r="Q66" s="11" t="n">
        <f aca="false">+Q65/F65</f>
        <v>0.850621669626998</v>
      </c>
      <c r="R66" s="11" t="n">
        <f aca="false">+R65/G65</f>
        <v>0.52563936128781</v>
      </c>
      <c r="S66" s="11" t="n">
        <f aca="false">+S65/H65</f>
        <v>0.426967370441459</v>
      </c>
      <c r="T66" s="11" t="n">
        <f aca="false">+T65/I65</f>
        <v>0.418862920603348</v>
      </c>
      <c r="U66" s="11" t="n">
        <f aca="false">+U65/J65</f>
        <v>0.357743517869657</v>
      </c>
      <c r="V66" s="11" t="n">
        <f aca="false">+V65/K65</f>
        <v>0.276115189158667</v>
      </c>
    </row>
    <row r="67" customFormat="false" ht="25.5" hidden="false" customHeight="false" outlineLevel="0" collapsed="false">
      <c r="A67" s="49"/>
      <c r="B67" s="119"/>
      <c r="C67" s="119"/>
      <c r="D67" s="119"/>
      <c r="E67" s="119"/>
      <c r="F67" s="131" t="s">
        <v>357</v>
      </c>
      <c r="G67" s="131" t="s">
        <v>358</v>
      </c>
      <c r="H67" s="131" t="s">
        <v>359</v>
      </c>
      <c r="I67" s="131" t="s">
        <v>360</v>
      </c>
      <c r="J67" s="131" t="s">
        <v>361</v>
      </c>
      <c r="K67" s="131" t="s">
        <v>362</v>
      </c>
      <c r="L67" s="122"/>
      <c r="M67" s="119"/>
      <c r="N67" s="1"/>
    </row>
    <row r="68" customFormat="false" ht="12.7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</row>
    <row r="69" customFormat="false" ht="12.75" hidden="false" customHeight="false" outlineLevel="0" collapsed="false">
      <c r="E69" s="70" t="s">
        <v>403</v>
      </c>
      <c r="F69" s="124" t="n">
        <v>3252</v>
      </c>
      <c r="G69" s="124" t="n">
        <v>3387</v>
      </c>
      <c r="H69" s="124" t="n">
        <v>4629</v>
      </c>
      <c r="I69" s="124" t="n">
        <v>5541</v>
      </c>
      <c r="J69" s="124" t="n">
        <v>5541</v>
      </c>
      <c r="K69" s="124" t="n">
        <v>5001</v>
      </c>
    </row>
    <row r="70" customFormat="false" ht="12.75" hidden="false" customHeight="false" outlineLevel="0" collapsed="false">
      <c r="E70" s="70" t="s">
        <v>404</v>
      </c>
      <c r="F70" s="124" t="n">
        <v>466</v>
      </c>
      <c r="G70" s="124" t="n">
        <v>466</v>
      </c>
      <c r="H70" s="124" t="n">
        <v>996</v>
      </c>
      <c r="I70" s="124" t="n">
        <v>1230</v>
      </c>
      <c r="J70" s="124" t="n">
        <v>1730</v>
      </c>
      <c r="K70" s="124" t="n">
        <v>1730</v>
      </c>
    </row>
    <row r="71" customFormat="false" ht="12.75" hidden="false" customHeight="false" outlineLevel="0" collapsed="false">
      <c r="E71" s="70" t="s">
        <v>405</v>
      </c>
      <c r="F71" s="130" t="n">
        <v>1912</v>
      </c>
      <c r="G71" s="130" t="n">
        <v>3850</v>
      </c>
      <c r="H71" s="130" t="n">
        <v>4795</v>
      </c>
      <c r="I71" s="130" t="n">
        <v>5295</v>
      </c>
      <c r="J71" s="130" t="n">
        <v>4145</v>
      </c>
      <c r="K71" s="130" t="n">
        <v>3895</v>
      </c>
    </row>
    <row r="72" customFormat="false" ht="12.75" hidden="false" customHeight="false" outlineLevel="0" collapsed="false">
      <c r="F72" s="126" t="n">
        <v>5630</v>
      </c>
      <c r="G72" s="126" t="n">
        <v>7703</v>
      </c>
      <c r="H72" s="126" t="n">
        <v>10420</v>
      </c>
      <c r="I72" s="126" t="n">
        <v>12066</v>
      </c>
      <c r="J72" s="126" t="n">
        <v>11416</v>
      </c>
      <c r="K72" s="126" t="n">
        <v>10626</v>
      </c>
    </row>
    <row r="74" customFormat="false" ht="12.75" hidden="false" customHeight="false" outlineLevel="0" collapsed="false">
      <c r="A74" s="1" t="s">
        <v>406</v>
      </c>
      <c r="B74" s="0" t="s">
        <v>407</v>
      </c>
    </row>
    <row r="75" customFormat="false" ht="12.75" hidden="false" customHeight="false" outlineLevel="0" collapsed="false">
      <c r="B75" s="0" t="s">
        <v>408</v>
      </c>
      <c r="F75" s="132"/>
      <c r="G75" s="132"/>
      <c r="H75" s="132"/>
      <c r="I75" s="132"/>
      <c r="J75" s="132"/>
    </row>
    <row r="76" customFormat="false" ht="12.75" hidden="false" customHeight="false" outlineLevel="0" collapsed="false">
      <c r="B76" s="0" t="s">
        <v>409</v>
      </c>
    </row>
  </sheetData>
  <mergeCells count="5">
    <mergeCell ref="A1:P1"/>
    <mergeCell ref="A2:P2"/>
    <mergeCell ref="B6:K6"/>
    <mergeCell ref="L6:N6"/>
    <mergeCell ref="F8:K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6"/>
  <sheetViews>
    <sheetView showFormulas="false" showGridLines="true" showRowColHeaders="true" showZeros="true" rightToLeft="false" tabSelected="false" showOutlineSymbols="true" defaultGridColor="true" view="normal" topLeftCell="C122" colorId="64" zoomScale="80" zoomScaleNormal="80" zoomScalePageLayoutView="100" workbookViewId="0">
      <selection pane="topLeft" activeCell="D147" activeCellId="0" sqref="D1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67</v>
      </c>
      <c r="D5" s="1" t="s">
        <v>68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67</v>
      </c>
      <c r="D6" s="1" t="s">
        <v>69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67</v>
      </c>
      <c r="D7" s="1" t="s">
        <v>70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67</v>
      </c>
      <c r="D8" s="1" t="s">
        <v>71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67</v>
      </c>
      <c r="D9" s="1" t="s">
        <v>72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73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74</v>
      </c>
      <c r="C14" s="1" t="s">
        <v>75</v>
      </c>
      <c r="D14" s="1" t="s">
        <v>68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74</v>
      </c>
      <c r="C15" s="1" t="s">
        <v>75</v>
      </c>
      <c r="D15" s="1" t="s">
        <v>69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74</v>
      </c>
      <c r="C16" s="1" t="s">
        <v>75</v>
      </c>
      <c r="D16" s="1" t="s">
        <v>70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74</v>
      </c>
      <c r="C17" s="1" t="s">
        <v>75</v>
      </c>
      <c r="D17" s="1" t="s">
        <v>71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74</v>
      </c>
      <c r="C18" s="1" t="s">
        <v>75</v>
      </c>
      <c r="D18" s="1" t="s">
        <v>72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76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77</v>
      </c>
      <c r="B23" s="1" t="s">
        <v>78</v>
      </c>
      <c r="C23" s="1" t="s">
        <v>79</v>
      </c>
      <c r="D23" s="1" t="s">
        <v>80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77</v>
      </c>
      <c r="B24" s="1" t="s">
        <v>78</v>
      </c>
      <c r="C24" s="1" t="s">
        <v>79</v>
      </c>
      <c r="D24" s="1" t="s">
        <v>81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77</v>
      </c>
      <c r="B25" s="1" t="s">
        <v>78</v>
      </c>
      <c r="C25" s="1" t="s">
        <v>79</v>
      </c>
      <c r="D25" s="1" t="s">
        <v>82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77</v>
      </c>
      <c r="B26" s="1" t="s">
        <v>78</v>
      </c>
      <c r="C26" s="1" t="s">
        <v>79</v>
      </c>
      <c r="D26" s="1" t="s">
        <v>83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77</v>
      </c>
      <c r="B27" s="1" t="s">
        <v>78</v>
      </c>
      <c r="C27" s="1" t="s">
        <v>79</v>
      </c>
      <c r="D27" s="1" t="s">
        <v>84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77</v>
      </c>
      <c r="B28" s="1" t="s">
        <v>78</v>
      </c>
      <c r="C28" s="1" t="s">
        <v>79</v>
      </c>
      <c r="D28" s="1" t="s">
        <v>72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85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77</v>
      </c>
      <c r="B33" s="1" t="s">
        <v>86</v>
      </c>
      <c r="C33" s="1" t="s">
        <v>87</v>
      </c>
      <c r="D33" s="1" t="s">
        <v>80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77</v>
      </c>
      <c r="B34" s="1" t="s">
        <v>86</v>
      </c>
      <c r="C34" s="1" t="s">
        <v>87</v>
      </c>
      <c r="D34" s="1" t="s">
        <v>88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77</v>
      </c>
      <c r="B35" s="1" t="s">
        <v>86</v>
      </c>
      <c r="C35" s="1" t="s">
        <v>87</v>
      </c>
      <c r="D35" s="1" t="s">
        <v>89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77</v>
      </c>
      <c r="B36" s="1" t="s">
        <v>86</v>
      </c>
      <c r="C36" s="1" t="s">
        <v>87</v>
      </c>
      <c r="D36" s="1" t="s">
        <v>90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77</v>
      </c>
      <c r="B37" s="1" t="s">
        <v>86</v>
      </c>
      <c r="C37" s="1" t="s">
        <v>87</v>
      </c>
      <c r="D37" s="1" t="s">
        <v>91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92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77</v>
      </c>
      <c r="B42" s="1" t="s">
        <v>93</v>
      </c>
      <c r="C42" s="1" t="s">
        <v>94</v>
      </c>
      <c r="D42" s="1" t="s">
        <v>80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77</v>
      </c>
      <c r="B43" s="1" t="s">
        <v>93</v>
      </c>
      <c r="C43" s="1" t="s">
        <v>94</v>
      </c>
      <c r="D43" s="1" t="s">
        <v>95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77</v>
      </c>
      <c r="B44" s="1" t="s">
        <v>93</v>
      </c>
      <c r="C44" s="1" t="s">
        <v>94</v>
      </c>
      <c r="D44" s="1" t="s">
        <v>96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97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98</v>
      </c>
      <c r="C49" s="1" t="s">
        <v>99</v>
      </c>
      <c r="D49" s="1" t="s">
        <v>80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98</v>
      </c>
      <c r="C50" s="1" t="s">
        <v>99</v>
      </c>
      <c r="D50" s="1" t="s">
        <v>95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98</v>
      </c>
      <c r="C51" s="1" t="s">
        <v>99</v>
      </c>
      <c r="D51" s="1" t="s">
        <v>96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100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101</v>
      </c>
      <c r="C56" s="1" t="s">
        <v>102</v>
      </c>
      <c r="D56" s="1" t="s">
        <v>80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101</v>
      </c>
      <c r="C57" s="1" t="s">
        <v>102</v>
      </c>
      <c r="D57" s="1" t="s">
        <v>95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101</v>
      </c>
      <c r="C58" s="1" t="s">
        <v>102</v>
      </c>
      <c r="D58" s="1" t="s">
        <v>96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103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104</v>
      </c>
      <c r="C63" s="1" t="s">
        <v>102</v>
      </c>
      <c r="D63" s="1" t="s">
        <v>80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104</v>
      </c>
      <c r="C64" s="1" t="s">
        <v>102</v>
      </c>
      <c r="D64" s="1" t="s">
        <v>95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104</v>
      </c>
      <c r="C65" s="1" t="s">
        <v>102</v>
      </c>
      <c r="D65" s="1" t="s">
        <v>96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105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106</v>
      </c>
      <c r="B70" s="1" t="s">
        <v>107</v>
      </c>
      <c r="C70" s="1" t="s">
        <v>108</v>
      </c>
      <c r="D70" s="1" t="s">
        <v>80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106</v>
      </c>
      <c r="B71" s="1" t="s">
        <v>107</v>
      </c>
      <c r="C71" s="1" t="s">
        <v>108</v>
      </c>
      <c r="D71" s="1" t="s">
        <v>81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106</v>
      </c>
      <c r="B72" s="1" t="s">
        <v>107</v>
      </c>
      <c r="C72" s="1" t="s">
        <v>108</v>
      </c>
      <c r="D72" s="1" t="s">
        <v>82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106</v>
      </c>
      <c r="B73" s="1" t="s">
        <v>107</v>
      </c>
      <c r="C73" s="1" t="s">
        <v>108</v>
      </c>
      <c r="D73" s="1" t="s">
        <v>83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106</v>
      </c>
      <c r="B74" s="1" t="s">
        <v>107</v>
      </c>
      <c r="C74" s="1" t="s">
        <v>108</v>
      </c>
      <c r="D74" s="1" t="s">
        <v>84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109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106</v>
      </c>
      <c r="B79" s="1" t="s">
        <v>110</v>
      </c>
      <c r="C79" s="1" t="s">
        <v>108</v>
      </c>
      <c r="D79" s="1" t="s">
        <v>80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106</v>
      </c>
      <c r="B80" s="1" t="s">
        <v>110</v>
      </c>
      <c r="C80" s="1" t="s">
        <v>108</v>
      </c>
      <c r="D80" s="1" t="s">
        <v>88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106</v>
      </c>
      <c r="B81" s="1" t="s">
        <v>110</v>
      </c>
      <c r="C81" s="1" t="s">
        <v>108</v>
      </c>
      <c r="D81" s="1" t="s">
        <v>89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106</v>
      </c>
      <c r="B82" s="1" t="s">
        <v>110</v>
      </c>
      <c r="C82" s="1" t="s">
        <v>108</v>
      </c>
      <c r="D82" s="1" t="s">
        <v>90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106</v>
      </c>
      <c r="B83" s="1" t="s">
        <v>110</v>
      </c>
      <c r="C83" s="1" t="s">
        <v>108</v>
      </c>
      <c r="D83" s="1" t="s">
        <v>91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111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106</v>
      </c>
      <c r="B88" s="1" t="s">
        <v>112</v>
      </c>
      <c r="C88" s="1" t="s">
        <v>108</v>
      </c>
      <c r="D88" s="1" t="s">
        <v>80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106</v>
      </c>
      <c r="B89" s="1" t="s">
        <v>112</v>
      </c>
      <c r="C89" s="1" t="s">
        <v>108</v>
      </c>
      <c r="D89" s="1" t="s">
        <v>95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106</v>
      </c>
      <c r="B90" s="1" t="s">
        <v>112</v>
      </c>
      <c r="C90" s="1" t="s">
        <v>108</v>
      </c>
      <c r="D90" s="1" t="s">
        <v>96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113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106</v>
      </c>
      <c r="B95" s="1" t="s">
        <v>114</v>
      </c>
      <c r="C95" s="1" t="s">
        <v>108</v>
      </c>
      <c r="D95" s="1" t="s">
        <v>80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106</v>
      </c>
      <c r="B96" s="1" t="s">
        <v>114</v>
      </c>
      <c r="C96" s="1" t="s">
        <v>108</v>
      </c>
      <c r="D96" s="1" t="s">
        <v>95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106</v>
      </c>
      <c r="B97" s="1" t="s">
        <v>114</v>
      </c>
      <c r="C97" s="1" t="s">
        <v>108</v>
      </c>
      <c r="D97" s="1" t="s">
        <v>96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115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116</v>
      </c>
      <c r="B102" s="1" t="s">
        <v>117</v>
      </c>
      <c r="D102" s="1" t="s">
        <v>80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116</v>
      </c>
      <c r="B103" s="1" t="s">
        <v>117</v>
      </c>
      <c r="D103" s="1" t="s">
        <v>81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116</v>
      </c>
      <c r="B104" s="1" t="s">
        <v>117</v>
      </c>
      <c r="D104" s="1" t="s">
        <v>82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116</v>
      </c>
      <c r="B105" s="1" t="s">
        <v>117</v>
      </c>
      <c r="D105" s="1" t="s">
        <v>83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116</v>
      </c>
      <c r="B106" s="1" t="s">
        <v>117</v>
      </c>
      <c r="D106" s="1" t="s">
        <v>84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118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119</v>
      </c>
      <c r="D111" s="1" t="s">
        <v>80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119</v>
      </c>
      <c r="D112" s="1" t="s">
        <v>81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119</v>
      </c>
      <c r="D113" s="1" t="s">
        <v>82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119</v>
      </c>
      <c r="D114" s="1" t="s">
        <v>83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119</v>
      </c>
      <c r="D115" s="1" t="s">
        <v>84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D134" s="28" t="s">
        <v>63</v>
      </c>
      <c r="K134" s="12"/>
    </row>
    <row r="135" customFormat="false" ht="12.75" hidden="false" customHeight="false" outlineLevel="0" collapsed="false">
      <c r="D135" s="1" t="s">
        <v>64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65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  <row r="141" customFormat="false" ht="12.75" hidden="false" customHeight="false" outlineLevel="0" collapsed="false">
      <c r="D141" s="28" t="s">
        <v>66</v>
      </c>
    </row>
    <row r="142" customFormat="false" ht="12.75" hidden="false" customHeight="false" outlineLevel="0" collapsed="false">
      <c r="D142" s="1" t="s">
        <v>64</v>
      </c>
      <c r="E142" s="2" t="n">
        <f aca="false">+E11+E20+E76+E85+E92+E99</f>
        <v>28034.1</v>
      </c>
      <c r="F142" s="3" t="n">
        <f aca="false">+G142/E142*100</f>
        <v>13.4118805312102</v>
      </c>
      <c r="G142" s="2" t="n">
        <f aca="false">+G11+G20+G76+G85+G92+G99</f>
        <v>3759.9</v>
      </c>
      <c r="H142" s="2" t="n">
        <f aca="false">+H11+H20+H76+H85+H92+H99</f>
        <v>645.3</v>
      </c>
      <c r="I142" s="2" t="n">
        <f aca="false">+I11+I20+I76+I85+I92+I99</f>
        <v>4405.3</v>
      </c>
      <c r="J142" s="9" t="n">
        <f aca="false">I142/E142*100</f>
        <v>15.7140767850582</v>
      </c>
      <c r="K142" s="12" t="n">
        <f aca="false">(J142-F142)/F142</f>
        <v>0.17165350142291</v>
      </c>
    </row>
    <row r="143" customFormat="false" ht="12.75" hidden="false" customHeight="false" outlineLevel="0" collapsed="false">
      <c r="D143" s="1" t="s">
        <v>65</v>
      </c>
      <c r="E143" s="2" t="n">
        <f aca="false">+E53+E60+E67+E108+E117+E46+E39+E30</f>
        <v>55745.9</v>
      </c>
      <c r="F143" s="3" t="n">
        <f aca="false">+G143/E143*100</f>
        <v>10.271786804052</v>
      </c>
      <c r="G143" s="2" t="n">
        <f aca="false">+G53+G60+G67+G108+G117+G46+G39+G30</f>
        <v>5726.1</v>
      </c>
      <c r="H143" s="2" t="n">
        <f aca="false">+H53+H60+H67+H108+H117+H46+H39+H30</f>
        <v>2315.7</v>
      </c>
      <c r="I143" s="2" t="n">
        <f aca="false">+I53+I60+I67+I108+I117+I46+I39+I30</f>
        <v>8041.8</v>
      </c>
      <c r="J143" s="9" t="n">
        <f aca="false">I143/E143*100</f>
        <v>14.4258142751306</v>
      </c>
      <c r="K143" s="12" t="n">
        <f aca="false">(J143-F143)/F143</f>
        <v>0.40441137947294</v>
      </c>
    </row>
    <row r="144" customFormat="false" ht="12.75" hidden="false" customHeight="false" outlineLevel="0" collapsed="false">
      <c r="G144" s="2"/>
      <c r="H144" s="2"/>
      <c r="I144" s="2"/>
      <c r="J144" s="3"/>
      <c r="K144" s="11"/>
    </row>
    <row r="145" customFormat="false" ht="12.75" hidden="false" customHeight="false" outlineLevel="0" collapsed="false">
      <c r="D145" s="1" t="s">
        <v>62</v>
      </c>
      <c r="E145" s="2" t="n">
        <f aca="false">E142+E143</f>
        <v>83780</v>
      </c>
      <c r="F145" s="3" t="n">
        <f aca="false">+G145/E145*100</f>
        <v>11.3225113392218</v>
      </c>
      <c r="G145" s="2" t="n">
        <f aca="false">G142+G143</f>
        <v>9486</v>
      </c>
      <c r="H145" s="2" t="n">
        <f aca="false">H142+H143</f>
        <v>2961</v>
      </c>
      <c r="I145" s="2" t="n">
        <f aca="false">I142+I143</f>
        <v>12447.1</v>
      </c>
      <c r="J145" s="9" t="n">
        <f aca="false">I145/E145*100</f>
        <v>14.8568870852232</v>
      </c>
      <c r="K145" s="12" t="n">
        <f aca="false">(J145-F145)/F145</f>
        <v>0.312154754374868</v>
      </c>
    </row>
    <row r="146" customFormat="false" ht="12.75" hidden="false" customHeight="false" outlineLevel="0" collapsed="false">
      <c r="E146" s="2" t="n">
        <f aca="false">E138-E145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D58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120</v>
      </c>
    </row>
    <row r="7" customFormat="false" ht="12.75" hidden="false" customHeight="false" outlineLevel="0" collapsed="false">
      <c r="A7" s="1" t="s">
        <v>16</v>
      </c>
      <c r="B7" s="1" t="s">
        <v>121</v>
      </c>
      <c r="D7" s="1" t="s">
        <v>122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121</v>
      </c>
      <c r="D8" s="1" t="s">
        <v>123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121</v>
      </c>
      <c r="D9" s="1" t="s">
        <v>124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121</v>
      </c>
      <c r="D10" s="1" t="s">
        <v>125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126</v>
      </c>
      <c r="C15" s="1" t="s">
        <v>75</v>
      </c>
      <c r="D15" s="1" t="s">
        <v>127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126</v>
      </c>
      <c r="C16" s="1" t="s">
        <v>75</v>
      </c>
      <c r="D16" s="1" t="s">
        <v>123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126</v>
      </c>
      <c r="C17" s="1" t="s">
        <v>75</v>
      </c>
      <c r="D17" s="1" t="s">
        <v>124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126</v>
      </c>
      <c r="C18" s="1" t="s">
        <v>75</v>
      </c>
      <c r="D18" s="1" t="s">
        <v>125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126</v>
      </c>
      <c r="D20" s="1" t="s">
        <v>128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129</v>
      </c>
    </row>
    <row r="24" customFormat="false" ht="12.75" hidden="false" customHeight="false" outlineLevel="0" collapsed="false">
      <c r="D24" s="1" t="s">
        <v>130</v>
      </c>
    </row>
    <row r="25" customFormat="false" ht="12.75" hidden="false" customHeight="false" outlineLevel="0" collapsed="false">
      <c r="A25" s="1" t="s">
        <v>131</v>
      </c>
      <c r="C25" s="1" t="s">
        <v>132</v>
      </c>
      <c r="D25" s="1" t="s">
        <v>80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131</v>
      </c>
      <c r="D26" s="1" t="s">
        <v>133</v>
      </c>
    </row>
    <row r="27" customFormat="false" ht="12.75" hidden="false" customHeight="false" outlineLevel="0" collapsed="false">
      <c r="A27" s="1" t="s">
        <v>131</v>
      </c>
      <c r="B27" s="1" t="s">
        <v>134</v>
      </c>
      <c r="D27" s="1" t="s">
        <v>135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131</v>
      </c>
      <c r="B28" s="1" t="s">
        <v>134</v>
      </c>
      <c r="D28" s="1" t="s">
        <v>136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131</v>
      </c>
      <c r="B29" s="1" t="s">
        <v>134</v>
      </c>
      <c r="D29" s="1" t="s">
        <v>137</v>
      </c>
    </row>
    <row r="30" customFormat="false" ht="12.75" hidden="false" customHeight="false" outlineLevel="0" collapsed="false">
      <c r="A30" s="1" t="s">
        <v>131</v>
      </c>
      <c r="B30" s="1" t="s">
        <v>134</v>
      </c>
      <c r="D30" s="1" t="s">
        <v>135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131</v>
      </c>
      <c r="B31" s="1" t="s">
        <v>134</v>
      </c>
      <c r="D31" s="1" t="s">
        <v>136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138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139</v>
      </c>
    </row>
    <row r="38" customFormat="false" ht="12.75" hidden="false" customHeight="false" outlineLevel="0" collapsed="false">
      <c r="A38" s="1" t="s">
        <v>33</v>
      </c>
      <c r="C38" s="1" t="s">
        <v>140</v>
      </c>
      <c r="D38" s="1" t="s">
        <v>80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140</v>
      </c>
      <c r="D39" s="1" t="s">
        <v>141</v>
      </c>
    </row>
    <row r="40" customFormat="false" ht="12.75" hidden="false" customHeight="false" outlineLevel="0" collapsed="false">
      <c r="A40" s="1" t="s">
        <v>33</v>
      </c>
      <c r="C40" s="1" t="s">
        <v>140</v>
      </c>
      <c r="D40" s="1" t="s">
        <v>142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140</v>
      </c>
      <c r="D41" s="1" t="s">
        <v>137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140</v>
      </c>
      <c r="D42" s="1" t="s">
        <v>143</v>
      </c>
    </row>
    <row r="43" customFormat="false" ht="12.75" hidden="false" customHeight="false" outlineLevel="0" collapsed="false">
      <c r="A43" s="1" t="s">
        <v>33</v>
      </c>
      <c r="C43" s="1" t="s">
        <v>140</v>
      </c>
      <c r="D43" s="1" t="s">
        <v>142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140</v>
      </c>
      <c r="D44" s="1" t="s">
        <v>137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140</v>
      </c>
      <c r="D45" s="1" t="s">
        <v>144</v>
      </c>
    </row>
    <row r="46" customFormat="false" ht="12.75" hidden="false" customHeight="false" outlineLevel="0" collapsed="false">
      <c r="A46" s="1" t="s">
        <v>33</v>
      </c>
      <c r="C46" s="1" t="s">
        <v>140</v>
      </c>
      <c r="D46" s="1" t="s">
        <v>142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140</v>
      </c>
      <c r="D47" s="1" t="s">
        <v>137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140</v>
      </c>
      <c r="D49" s="1" t="s">
        <v>141</v>
      </c>
    </row>
    <row r="50" customFormat="false" ht="12.75" hidden="false" customHeight="false" outlineLevel="0" collapsed="false">
      <c r="A50" s="1" t="s">
        <v>33</v>
      </c>
      <c r="C50" s="1" t="s">
        <v>140</v>
      </c>
      <c r="D50" s="1" t="s">
        <v>142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140</v>
      </c>
      <c r="D51" s="1" t="s">
        <v>137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140</v>
      </c>
      <c r="D52" s="1" t="s">
        <v>143</v>
      </c>
    </row>
    <row r="53" customFormat="false" ht="12.75" hidden="false" customHeight="false" outlineLevel="0" collapsed="false">
      <c r="A53" s="1" t="s">
        <v>33</v>
      </c>
      <c r="C53" s="1" t="s">
        <v>140</v>
      </c>
      <c r="D53" s="1" t="s">
        <v>142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140</v>
      </c>
      <c r="D54" s="1" t="s">
        <v>137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140</v>
      </c>
      <c r="D55" s="1" t="s">
        <v>144</v>
      </c>
    </row>
    <row r="56" customFormat="false" ht="12.75" hidden="false" customHeight="false" outlineLevel="0" collapsed="false">
      <c r="A56" s="1" t="s">
        <v>33</v>
      </c>
      <c r="C56" s="1" t="s">
        <v>140</v>
      </c>
      <c r="D56" s="1" t="s">
        <v>142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140</v>
      </c>
      <c r="D57" s="1" t="s">
        <v>137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145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146</v>
      </c>
    </row>
    <row r="63" customFormat="false" ht="12.75" hidden="false" customHeight="false" outlineLevel="0" collapsed="false">
      <c r="A63" s="1" t="s">
        <v>33</v>
      </c>
      <c r="B63" s="1" t="s">
        <v>147</v>
      </c>
      <c r="C63" s="1" t="s">
        <v>148</v>
      </c>
      <c r="D63" s="1" t="s">
        <v>80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147</v>
      </c>
      <c r="C64" s="1" t="s">
        <v>148</v>
      </c>
      <c r="D64" s="1" t="s">
        <v>141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147</v>
      </c>
      <c r="C65" s="1" t="s">
        <v>148</v>
      </c>
      <c r="D65" s="1" t="s">
        <v>149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150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151</v>
      </c>
    </row>
    <row r="71" customFormat="false" ht="12.75" hidden="false" customHeight="false" outlineLevel="0" collapsed="false">
      <c r="D71" s="1" t="s">
        <v>152</v>
      </c>
    </row>
    <row r="72" customFormat="false" ht="12.75" hidden="false" customHeight="false" outlineLevel="0" collapsed="false">
      <c r="A72" s="1" t="s">
        <v>61</v>
      </c>
      <c r="C72" s="1" t="s">
        <v>153</v>
      </c>
      <c r="D72" s="1" t="s">
        <v>154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153</v>
      </c>
      <c r="D73" s="1" t="s">
        <v>155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153</v>
      </c>
      <c r="D74" s="1" t="s">
        <v>156</v>
      </c>
    </row>
    <row r="75" customFormat="false" ht="12.75" hidden="false" customHeight="false" outlineLevel="0" collapsed="false">
      <c r="A75" s="1" t="s">
        <v>61</v>
      </c>
      <c r="C75" s="1" t="s">
        <v>153</v>
      </c>
      <c r="D75" s="1" t="s">
        <v>135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153</v>
      </c>
      <c r="D76" s="1" t="s">
        <v>136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157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158</v>
      </c>
    </row>
    <row r="82" customFormat="false" ht="12.75" hidden="false" customHeight="false" outlineLevel="0" collapsed="false">
      <c r="A82" s="1" t="s">
        <v>158</v>
      </c>
      <c r="D82" s="1" t="s">
        <v>80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158</v>
      </c>
      <c r="D83" s="1" t="s">
        <v>135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158</v>
      </c>
      <c r="D84" s="1" t="s">
        <v>136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159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64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65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160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161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162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163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164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165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166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166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3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12" min="9" style="8" width="13.99"/>
    <col collapsed="false" customWidth="true" hidden="false" outlineLevel="0" max="13" min="13" style="2" width="13.99"/>
    <col collapsed="false" customWidth="true" hidden="false" outlineLevel="0" max="14" min="14" style="2" width="15.99"/>
    <col collapsed="false" customWidth="true" hidden="false" outlineLevel="0" max="16" min="15" style="2" width="13.99"/>
    <col collapsed="false" customWidth="true" hidden="false" outlineLevel="0" max="17" min="17" style="2" width="16.28"/>
    <col collapsed="false" customWidth="true" hidden="false" outlineLevel="0" max="24" min="18" style="8" width="13.99"/>
    <col collapsed="false" customWidth="true" hidden="false" outlineLevel="0" max="25" min="25" style="2" width="13.99"/>
    <col collapsed="false" customWidth="true" hidden="false" outlineLevel="0" max="26" min="26" style="2" width="15.41"/>
    <col collapsed="false" customWidth="true" hidden="false" outlineLevel="0" max="29" min="27" style="2" width="13.99"/>
    <col collapsed="false" customWidth="true" hidden="false" outlineLevel="0" max="45" min="30" style="8" width="13.99"/>
    <col collapsed="false" customWidth="true" hidden="false" outlineLevel="0" max="46" min="46" style="8" width="7.99"/>
    <col collapsed="false" customWidth="true" hidden="false" outlineLevel="0" max="47" min="47" style="38" width="14.41"/>
    <col collapsed="false" customWidth="true" hidden="false" outlineLevel="0" max="48" min="48" style="2" width="15.99"/>
    <col collapsed="false" customWidth="true" hidden="false" outlineLevel="0" max="49" min="49" style="1" width="25.85"/>
    <col collapsed="false" customWidth="true" hidden="false" outlineLevel="0" max="50" min="50" style="0" width="11.99"/>
  </cols>
  <sheetData>
    <row r="1" customFormat="false" ht="12.75" hidden="false" customHeight="false" outlineLevel="0" collapsed="false">
      <c r="L1" s="39"/>
      <c r="M1" s="29" t="s">
        <v>167</v>
      </c>
      <c r="N1" s="29" t="s">
        <v>167</v>
      </c>
      <c r="O1" s="29"/>
      <c r="P1" s="29"/>
      <c r="Q1" s="29" t="s">
        <v>168</v>
      </c>
      <c r="R1" s="29" t="s">
        <v>169</v>
      </c>
      <c r="S1" s="2"/>
      <c r="T1" s="2"/>
      <c r="U1" s="2"/>
      <c r="V1" s="2"/>
      <c r="W1" s="2"/>
      <c r="Y1" s="2" t="s">
        <v>167</v>
      </c>
      <c r="Z1" s="2" t="s">
        <v>170</v>
      </c>
      <c r="AC1" s="2" t="s">
        <v>168</v>
      </c>
      <c r="AD1" s="2" t="s">
        <v>169</v>
      </c>
      <c r="AF1" s="8" t="s">
        <v>171</v>
      </c>
      <c r="AI1" s="2"/>
    </row>
    <row r="2" customFormat="false" ht="12.75" hidden="false" customHeight="false" outlineLevel="0" collapsed="false">
      <c r="L2" s="39"/>
      <c r="M2" s="29" t="s">
        <v>172</v>
      </c>
      <c r="N2" s="29" t="s">
        <v>173</v>
      </c>
      <c r="O2" s="29" t="s">
        <v>167</v>
      </c>
      <c r="P2" s="29"/>
      <c r="Q2" s="29" t="s">
        <v>174</v>
      </c>
      <c r="R2" s="29" t="s">
        <v>167</v>
      </c>
      <c r="S2" s="2"/>
      <c r="T2" s="2"/>
      <c r="U2" s="2"/>
      <c r="V2" s="2"/>
      <c r="W2" s="2"/>
      <c r="Y2" s="2" t="s">
        <v>175</v>
      </c>
      <c r="Z2" s="2" t="s">
        <v>176</v>
      </c>
      <c r="AA2" s="2" t="s">
        <v>167</v>
      </c>
      <c r="AC2" s="2" t="s">
        <v>173</v>
      </c>
      <c r="AD2" s="2" t="s">
        <v>167</v>
      </c>
      <c r="AE2" s="2"/>
      <c r="AF2" s="2" t="s">
        <v>177</v>
      </c>
      <c r="AI2" s="2"/>
    </row>
    <row r="3" customFormat="false" ht="12.75" hidden="false" customHeight="false" outlineLevel="0" collapsed="false">
      <c r="D3" s="40" t="s">
        <v>167</v>
      </c>
      <c r="H3" s="40" t="s">
        <v>178</v>
      </c>
      <c r="K3" s="39" t="s">
        <v>179</v>
      </c>
      <c r="L3" s="39"/>
      <c r="M3" s="29" t="s">
        <v>180</v>
      </c>
      <c r="N3" s="29" t="s">
        <v>180</v>
      </c>
      <c r="O3" s="29" t="s">
        <v>181</v>
      </c>
      <c r="P3" s="29"/>
      <c r="Q3" s="29" t="s">
        <v>180</v>
      </c>
      <c r="R3" s="29" t="s">
        <v>181</v>
      </c>
      <c r="S3" s="2"/>
      <c r="T3" s="2"/>
      <c r="U3" s="2"/>
      <c r="V3" s="2"/>
      <c r="W3" s="2"/>
      <c r="Y3" s="2" t="s">
        <v>180</v>
      </c>
      <c r="Z3" s="2" t="s">
        <v>182</v>
      </c>
      <c r="AA3" s="2" t="s">
        <v>181</v>
      </c>
      <c r="AC3" s="2" t="s">
        <v>180</v>
      </c>
      <c r="AD3" s="2" t="s">
        <v>181</v>
      </c>
      <c r="AE3" s="2"/>
      <c r="AF3" s="2" t="s">
        <v>183</v>
      </c>
      <c r="AH3" s="2"/>
      <c r="AI3" s="2"/>
      <c r="AV3" s="41" t="s">
        <v>184</v>
      </c>
    </row>
    <row r="5" customFormat="false" ht="12.75" hidden="false" customHeight="false" outlineLevel="0" collapsed="false">
      <c r="C5" s="2" t="s">
        <v>185</v>
      </c>
      <c r="D5" s="2" t="s">
        <v>186</v>
      </c>
      <c r="E5" s="2" t="s">
        <v>187</v>
      </c>
      <c r="G5" s="2" t="s">
        <v>185</v>
      </c>
      <c r="H5" s="2" t="s">
        <v>186</v>
      </c>
      <c r="I5" s="2" t="s">
        <v>187</v>
      </c>
      <c r="J5" s="2"/>
      <c r="K5" s="2"/>
      <c r="L5" s="2"/>
      <c r="R5" s="2"/>
      <c r="S5" s="2"/>
      <c r="T5" s="2"/>
      <c r="U5" s="2"/>
      <c r="V5" s="2"/>
      <c r="W5" s="2"/>
      <c r="X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U5" s="38" t="s">
        <v>188</v>
      </c>
      <c r="AV5" s="2" t="s">
        <v>189</v>
      </c>
      <c r="AW5" s="1" t="s">
        <v>190</v>
      </c>
    </row>
    <row r="6" customFormat="false" ht="12.75" hidden="false" customHeight="false" outlineLevel="0" collapsed="false">
      <c r="A6" s="1" t="s">
        <v>191</v>
      </c>
      <c r="B6" s="42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  <c r="J6" s="2"/>
      <c r="K6" s="2"/>
      <c r="L6" s="2"/>
      <c r="N6" s="2" t="s">
        <v>192</v>
      </c>
      <c r="O6" s="2" t="n">
        <f aca="false">SUM(NPV(0.0735/4,O8:O45))</f>
        <v>-11956199.2539482</v>
      </c>
      <c r="R6" s="2" t="n">
        <f aca="false">SUM(NPV(0.0735/4,R8:R45))</f>
        <v>-8086921.06205896</v>
      </c>
      <c r="S6" s="2"/>
      <c r="T6" s="2" t="n">
        <f aca="false">SUM(NPV(0.0735/4,T8:T45))</f>
        <v>0</v>
      </c>
      <c r="U6" s="2" t="n">
        <f aca="false">SUM(NPV(0.0735/4,U8:U45))</f>
        <v>0</v>
      </c>
      <c r="V6" s="2"/>
      <c r="W6" s="2"/>
      <c r="X6" s="2"/>
      <c r="Z6" s="2" t="s">
        <v>192</v>
      </c>
      <c r="AA6" s="2" t="n">
        <f aca="false">SUM(NPV(0.0735/4,AA8:AA45))</f>
        <v>-16102319.2228822</v>
      </c>
      <c r="AD6" s="2" t="n">
        <f aca="false">SUM(NPV(0.0735/4,AD8:AD45))</f>
        <v>-10169482.851804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customFormat="false" ht="12.75" hidden="false" customHeight="false" outlineLevel="0" collapsed="false">
      <c r="A7" s="1" t="s">
        <v>193</v>
      </c>
      <c r="B7" s="42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J7" s="2"/>
      <c r="K7" s="5" t="n">
        <f aca="false">+C7/(C7+G7)</f>
        <v>0.39505053272345</v>
      </c>
      <c r="L7" s="2"/>
      <c r="R7" s="2"/>
      <c r="S7" s="2"/>
      <c r="T7" s="2"/>
      <c r="U7" s="2"/>
      <c r="V7" s="2"/>
      <c r="W7" s="2"/>
      <c r="X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U7" s="38" t="n">
        <f aca="false">+E7-I7</f>
        <v>-210.939981286553</v>
      </c>
      <c r="AV7" s="2" t="n">
        <f aca="false">+(C7*(E7-I7))/1000</f>
        <v>-1441781.10029303</v>
      </c>
      <c r="AW7" s="43" t="n">
        <f aca="false">(AW6*1.01625)+AV7</f>
        <v>-1441781.10029303</v>
      </c>
      <c r="AX7" s="44"/>
    </row>
    <row r="8" customFormat="false" ht="12.75" hidden="false" customHeight="false" outlineLevel="0" collapsed="false">
      <c r="A8" s="1" t="s">
        <v>194</v>
      </c>
      <c r="B8" s="42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J8" s="2"/>
      <c r="K8" s="5" t="n">
        <f aca="false">+C8/(C8+G8)</f>
        <v>0.387804058456096</v>
      </c>
      <c r="L8" s="2"/>
      <c r="M8" s="2" t="n">
        <v>97.6666666666667</v>
      </c>
      <c r="N8" s="2" t="n">
        <f aca="false">+M8*C8/1000</f>
        <v>804888.677666667</v>
      </c>
      <c r="O8" s="2" t="n">
        <f aca="false">+N8-D8</f>
        <v>-334468.322333333</v>
      </c>
      <c r="Q8" s="2" t="n">
        <f aca="false">+M8*G8/1000</f>
        <v>1270614.81466667</v>
      </c>
      <c r="R8" s="2" t="n">
        <f aca="false">+Q8-H8</f>
        <v>-1262858.18533333</v>
      </c>
      <c r="S8" s="2"/>
      <c r="T8" s="2"/>
      <c r="U8" s="2"/>
      <c r="V8" s="2"/>
      <c r="W8" s="2"/>
      <c r="X8" s="2"/>
      <c r="Y8" s="2" t="n">
        <v>70.647311827957</v>
      </c>
      <c r="Z8" s="2" t="n">
        <f aca="false">+Y8*C8/1000</f>
        <v>582217.283937634</v>
      </c>
      <c r="AA8" s="2" t="n">
        <f aca="false">+Z8-D8</f>
        <v>-557139.716062366</v>
      </c>
      <c r="AC8" s="2" t="n">
        <f aca="false">+Y8*G8/1000</f>
        <v>919100.897866667</v>
      </c>
      <c r="AD8" s="2" t="n">
        <f aca="false">+AC8-H8</f>
        <v>-1614372.10213333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U8" s="38" t="n">
        <f aca="false">+E8-I8</f>
        <v>-56.4854491471431</v>
      </c>
      <c r="AV8" s="2" t="n">
        <f aca="false">+(C8*(E8-I8))/1000</f>
        <v>-465506.810287902</v>
      </c>
      <c r="AW8" s="43" t="n">
        <f aca="false">(AW7*1.01625)+AV8</f>
        <v>-1930716.85346069</v>
      </c>
    </row>
    <row r="9" customFormat="false" ht="12.75" hidden="false" customHeight="false" outlineLevel="0" collapsed="false">
      <c r="A9" s="1" t="s">
        <v>195</v>
      </c>
      <c r="B9" s="42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J9" s="2"/>
      <c r="K9" s="5" t="n">
        <f aca="false">+C9/(C9+G9)</f>
        <v>0.43348054133523</v>
      </c>
      <c r="L9" s="2"/>
      <c r="M9" s="2" t="n">
        <v>71.6666666666667</v>
      </c>
      <c r="N9" s="2" t="n">
        <f aca="false">+M9*C9/1000</f>
        <v>543486.603333333</v>
      </c>
      <c r="O9" s="2" t="n">
        <f aca="false">+N9-D9</f>
        <v>-400098.396666667</v>
      </c>
      <c r="Q9" s="2" t="n">
        <f aca="false">+M9*G9/1000</f>
        <v>710287.33</v>
      </c>
      <c r="R9" s="2" t="n">
        <f aca="false">+Q9-H9</f>
        <v>-1435220.67</v>
      </c>
      <c r="S9" s="2"/>
      <c r="T9" s="2"/>
      <c r="U9" s="2"/>
      <c r="V9" s="2"/>
      <c r="W9" s="2"/>
      <c r="X9" s="2"/>
      <c r="Y9" s="2" t="n">
        <v>56.2231182795699</v>
      </c>
      <c r="Z9" s="2" t="n">
        <f aca="false">+Y9*C9/1000</f>
        <v>426369.92905914</v>
      </c>
      <c r="AA9" s="2" t="n">
        <f aca="false">+Z9-D9</f>
        <v>-517215.07094086</v>
      </c>
      <c r="AC9" s="2" t="n">
        <f aca="false">+Y9*G9/1000</f>
        <v>557226.538145161</v>
      </c>
      <c r="AD9" s="2" t="n">
        <f aca="false">+AC9-H9</f>
        <v>-1588281.46185484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U9" s="38" t="n">
        <f aca="false">+E9-I9</f>
        <v>-92.0522563704793</v>
      </c>
      <c r="AV9" s="2" t="n">
        <f aca="false">+(C9*(E9-I9))/1000</f>
        <v>-698081.415962246</v>
      </c>
      <c r="AW9" s="43" t="n">
        <f aca="false">(AW8*1.01625)+AV9</f>
        <v>-2660172.41829167</v>
      </c>
    </row>
    <row r="10" customFormat="false" ht="12.75" hidden="false" customHeight="false" outlineLevel="0" collapsed="false">
      <c r="A10" s="1" t="s">
        <v>191</v>
      </c>
      <c r="B10" s="42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J10" s="2"/>
      <c r="K10" s="5" t="n">
        <f aca="false">+C10/(C10+G10)</f>
        <v>0.652198550976417</v>
      </c>
      <c r="L10" s="2"/>
      <c r="M10" s="2" t="n">
        <v>51.5</v>
      </c>
      <c r="N10" s="2" t="n">
        <f aca="false">+M10*C10/1000</f>
        <v>457052.0455</v>
      </c>
      <c r="O10" s="2" t="n">
        <f aca="false">+N10-D10</f>
        <v>-430723.9545</v>
      </c>
      <c r="Q10" s="2" t="n">
        <f aca="false">+M10*G10/1000</f>
        <v>243734.6165</v>
      </c>
      <c r="R10" s="2" t="n">
        <f aca="false">+Q10-H10</f>
        <v>-704368.3835</v>
      </c>
      <c r="S10" s="2"/>
      <c r="T10" s="2"/>
      <c r="U10" s="2"/>
      <c r="V10" s="2"/>
      <c r="W10" s="2"/>
      <c r="X10" s="2"/>
      <c r="Y10" s="2" t="n">
        <v>53.2081413210445</v>
      </c>
      <c r="Z10" s="2" t="n">
        <f aca="false">+Y10*C10/1000</f>
        <v>472211.452971582</v>
      </c>
      <c r="AA10" s="2" t="n">
        <f aca="false">+Z10-D10</f>
        <v>-415564.547028418</v>
      </c>
      <c r="AC10" s="2" t="n">
        <f aca="false">+Y10*G10/1000</f>
        <v>251818.755719662</v>
      </c>
      <c r="AD10" s="2" t="n">
        <f aca="false">+AC10-H10</f>
        <v>-696284.244280338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U10" s="38" t="n">
        <f aca="false">+E10-I10</f>
        <v>-100.296403160115</v>
      </c>
      <c r="AV10" s="2" t="n">
        <f aca="false">+(C10*(E10-I10))/1000</f>
        <v>-890110.217876181</v>
      </c>
      <c r="AW10" s="43" t="n">
        <f aca="false">(AW9*1.01625)+AV10</f>
        <v>-3593510.43796509</v>
      </c>
    </row>
    <row r="11" customFormat="false" ht="12.75" hidden="false" customHeight="false" outlineLevel="0" collapsed="false">
      <c r="A11" s="1" t="s">
        <v>193</v>
      </c>
      <c r="B11" s="42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J11" s="2"/>
      <c r="K11" s="5" t="n">
        <f aca="false">+C11/(C11+G11)</f>
        <v>0.645744806928018</v>
      </c>
      <c r="L11" s="2"/>
      <c r="M11" s="2" t="n">
        <v>50.5</v>
      </c>
      <c r="N11" s="2" t="n">
        <f aca="false">+M11*C11/1000</f>
        <v>491714.8135</v>
      </c>
      <c r="O11" s="2" t="n">
        <f aca="false">+N11-D11</f>
        <v>-544498.1865</v>
      </c>
      <c r="Q11" s="2" t="n">
        <f aca="false">+M11*G11/1000</f>
        <v>269754.436</v>
      </c>
      <c r="R11" s="2" t="n">
        <f aca="false">+Q11-H11</f>
        <v>-615571.564</v>
      </c>
      <c r="S11" s="2"/>
      <c r="T11" s="2"/>
      <c r="U11" s="2"/>
      <c r="V11" s="2"/>
      <c r="W11" s="2"/>
      <c r="X11" s="2"/>
      <c r="Y11" s="2" t="n">
        <v>45.0820788530466</v>
      </c>
      <c r="Z11" s="2" t="n">
        <f aca="false">+Y11*C11/1000</f>
        <v>438960.910800358</v>
      </c>
      <c r="AA11" s="2" t="n">
        <f aca="false">+Z11-D11</f>
        <v>-597252.089199642</v>
      </c>
      <c r="AC11" s="2" t="n">
        <f aca="false">+Y11*G11/1000</f>
        <v>240813.678311111</v>
      </c>
      <c r="AD11" s="2" t="n">
        <f aca="false">+AC11-H11</f>
        <v>-644512.321688889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U11" s="38" t="n">
        <f aca="false">+E11-I11</f>
        <v>-59.3185435052836</v>
      </c>
      <c r="AV11" s="2" t="n">
        <f aca="false">+(C11*(E11-I11))/1000</f>
        <v>-577580.32785727</v>
      </c>
      <c r="AW11" s="43" t="n">
        <f aca="false">(AW10*1.01625)+AV11</f>
        <v>-4229485.3104393</v>
      </c>
    </row>
    <row r="12" customFormat="false" ht="12.75" hidden="false" customHeight="false" outlineLevel="0" collapsed="false">
      <c r="A12" s="1" t="s">
        <v>194</v>
      </c>
      <c r="B12" s="42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J12" s="2"/>
      <c r="K12" s="5" t="n">
        <f aca="false">+C12/(C12+G12)</f>
        <v>0.578545222628653</v>
      </c>
      <c r="L12" s="2"/>
      <c r="M12" s="2" t="n">
        <v>83.5</v>
      </c>
      <c r="N12" s="2" t="n">
        <f aca="false">+M12*C12/1000</f>
        <v>1040899.5605</v>
      </c>
      <c r="O12" s="2" t="n">
        <f aca="false">+N12-D12</f>
        <v>-358925.4395</v>
      </c>
      <c r="Q12" s="2" t="n">
        <f aca="false">+M12*G12/1000</f>
        <v>758267.5915</v>
      </c>
      <c r="R12" s="2" t="n">
        <f aca="false">+Q12-H12</f>
        <v>-665588.4085</v>
      </c>
      <c r="S12" s="2"/>
      <c r="T12" s="2"/>
      <c r="U12" s="2"/>
      <c r="V12" s="2"/>
      <c r="W12" s="2"/>
      <c r="X12" s="2"/>
      <c r="Y12" s="2" t="n">
        <v>56.7161290322581</v>
      </c>
      <c r="Z12" s="2" t="n">
        <f aca="false">+Y12*C12/1000</f>
        <v>707015.494406452</v>
      </c>
      <c r="AA12" s="2" t="n">
        <f aca="false">+Z12-D12</f>
        <v>-692809.505593548</v>
      </c>
      <c r="AC12" s="2" t="n">
        <f aca="false">+Y12*G12/1000</f>
        <v>515041.946832258</v>
      </c>
      <c r="AD12" s="2" t="n">
        <f aca="false">+AC12-H12</f>
        <v>-908814.053167742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U12" s="38" t="n">
        <f aca="false">+E12-I12</f>
        <v>-44.5015537983098</v>
      </c>
      <c r="AV12" s="2" t="n">
        <f aca="false">+(C12*(E12-I12))/1000</f>
        <v>-554750.27293686</v>
      </c>
      <c r="AW12" s="43" t="n">
        <f aca="false">(AW11*1.01625)+AV12</f>
        <v>-4852964.7196708</v>
      </c>
    </row>
    <row r="13" customFormat="false" ht="12.75" hidden="false" customHeight="false" outlineLevel="0" collapsed="false">
      <c r="A13" s="1" t="s">
        <v>195</v>
      </c>
      <c r="B13" s="42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J13" s="2" t="n">
        <f aca="false">SUM(H10:H13)+SUM(D10:D13)</f>
        <v>8794741</v>
      </c>
      <c r="K13" s="5" t="n">
        <f aca="false">+C13/(C13+G13)</f>
        <v>0.624730667379813</v>
      </c>
      <c r="L13" s="2"/>
      <c r="M13" s="2" t="n">
        <v>46.5</v>
      </c>
      <c r="N13" s="2" t="n">
        <f aca="false">+M13*C13/1000</f>
        <v>530531.985</v>
      </c>
      <c r="O13" s="2" t="n">
        <f aca="false">+N13-D13</f>
        <v>-529201.015</v>
      </c>
      <c r="Q13" s="2" t="n">
        <f aca="false">+M13*G13/1000</f>
        <v>318685.146</v>
      </c>
      <c r="R13" s="2" t="n">
        <f aca="false">+Q13-H13</f>
        <v>-835223.854</v>
      </c>
      <c r="S13" s="2"/>
      <c r="T13" s="2"/>
      <c r="U13" s="2"/>
      <c r="V13" s="2"/>
      <c r="W13" s="2"/>
      <c r="X13" s="2"/>
      <c r="Y13" s="2" t="n">
        <v>37.3808243727599</v>
      </c>
      <c r="Z13" s="2" t="n">
        <f aca="false">+Y13*C13/1000</f>
        <v>426488.665707885</v>
      </c>
      <c r="AA13" s="2" t="n">
        <f aca="false">+Z13-D13</f>
        <v>-633244.334292115</v>
      </c>
      <c r="AC13" s="2" t="n">
        <f aca="false">+Y13*G13/1000</f>
        <v>256187.386512545</v>
      </c>
      <c r="AD13" s="2" t="n">
        <f aca="false">+AC13-H13</f>
        <v>-897721.613487455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U13" s="38" t="n">
        <f aca="false">+E13-I13</f>
        <v>-75.4858736845513</v>
      </c>
      <c r="AV13" s="2" t="n">
        <f aca="false">+(C13*(E13-I13))/1000</f>
        <v>-861240.223770414</v>
      </c>
      <c r="AW13" s="43" t="n">
        <f aca="false">(AW12*1.01625)+AV13</f>
        <v>-5793065.62013586</v>
      </c>
    </row>
    <row r="14" customFormat="false" ht="12.75" hidden="false" customHeight="false" outlineLevel="0" collapsed="false">
      <c r="A14" s="1" t="s">
        <v>191</v>
      </c>
      <c r="B14" s="42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J14" s="2"/>
      <c r="K14" s="5" t="n">
        <f aca="false">+C14/(C14+G14)</f>
        <v>0.781753803898533</v>
      </c>
      <c r="L14" s="2"/>
      <c r="M14" s="2" t="n">
        <v>41.1666666666667</v>
      </c>
      <c r="N14" s="2" t="n">
        <f aca="false">+M14*C14/1000</f>
        <v>515764.363833333</v>
      </c>
      <c r="O14" s="2" t="n">
        <f aca="false">+N14-D14</f>
        <v>-569465.636166667</v>
      </c>
      <c r="Q14" s="2" t="n">
        <f aca="false">+M14*G14/1000</f>
        <v>143988.567666667</v>
      </c>
      <c r="R14" s="2" t="n">
        <f aca="false">+Q14-H14</f>
        <v>-335498.432333333</v>
      </c>
      <c r="S14" s="2"/>
      <c r="T14" s="2"/>
      <c r="U14" s="2"/>
      <c r="V14" s="2"/>
      <c r="W14" s="2"/>
      <c r="X14" s="2"/>
      <c r="Y14" s="2" t="n">
        <v>34.6605222734255</v>
      </c>
      <c r="Z14" s="2" t="n">
        <f aca="false">+Y14*C14/1000</f>
        <v>434250.904141321</v>
      </c>
      <c r="AA14" s="2" t="n">
        <f aca="false">+Z14-D14</f>
        <v>-650979.095858679</v>
      </c>
      <c r="AC14" s="2" t="n">
        <f aca="false">+Y14*G14/1000</f>
        <v>121232.039434716</v>
      </c>
      <c r="AD14" s="2" t="n">
        <f aca="false">+AC14-H14</f>
        <v>-358254.960565284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U14" s="38" t="n">
        <f aca="false">+E14-I14</f>
        <v>-50.4668518013644</v>
      </c>
      <c r="AV14" s="2" t="n">
        <f aca="false">+(C14*(E14-I14))/1000</f>
        <v>-632283.491028385</v>
      </c>
      <c r="AW14" s="43" t="n">
        <f aca="false">(AW13*1.01625)+AV14</f>
        <v>-6519486.42749145</v>
      </c>
    </row>
    <row r="15" customFormat="false" ht="12.75" hidden="false" customHeight="false" outlineLevel="0" collapsed="false">
      <c r="A15" s="1" t="s">
        <v>193</v>
      </c>
      <c r="B15" s="42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J15" s="2"/>
      <c r="K15" s="5" t="n">
        <f aca="false">+C15/(C15+G15)</f>
        <v>0.838709761217768</v>
      </c>
      <c r="L15" s="2"/>
      <c r="M15" s="2" t="n">
        <v>37.8333333333333</v>
      </c>
      <c r="N15" s="2" t="n">
        <f aca="false">+M15*C15/1000</f>
        <v>525239.372166667</v>
      </c>
      <c r="O15" s="2" t="n">
        <f aca="false">+N15-D15</f>
        <v>-686240.627833333</v>
      </c>
      <c r="Q15" s="2" t="n">
        <f aca="false">+M15*G15/1000</f>
        <v>101007.509</v>
      </c>
      <c r="R15" s="2" t="n">
        <f aca="false">+Q15-H15</f>
        <v>-212155.491</v>
      </c>
      <c r="S15" s="2"/>
      <c r="T15" s="2"/>
      <c r="U15" s="2"/>
      <c r="V15" s="2"/>
      <c r="W15" s="2"/>
      <c r="X15" s="2"/>
      <c r="Y15" s="2" t="n">
        <v>34.9718637992832</v>
      </c>
      <c r="Z15" s="2" t="n">
        <f aca="false">+Y15*C15/1000</f>
        <v>485513.650716308</v>
      </c>
      <c r="AA15" s="2" t="n">
        <f aca="false">+Z15-D15</f>
        <v>-725966.349283692</v>
      </c>
      <c r="AC15" s="2" t="n">
        <f aca="false">+Y15*G15/1000</f>
        <v>93367.9519150538</v>
      </c>
      <c r="AD15" s="2" t="n">
        <f aca="false">+AC15-H15</f>
        <v>-219795.048084946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U15" s="38" t="n">
        <f aca="false">+E15-I15</f>
        <v>-30.0345198796757</v>
      </c>
      <c r="AV15" s="2" t="n">
        <f aca="false">+(C15*(E15-I15))/1000</f>
        <v>-416968.60876462</v>
      </c>
      <c r="AW15" s="43" t="n">
        <f aca="false">(AW14*1.01625)+AV15</f>
        <v>-7042396.69070281</v>
      </c>
    </row>
    <row r="16" customFormat="false" ht="12.75" hidden="false" customHeight="false" outlineLevel="0" collapsed="false">
      <c r="A16" s="1" t="s">
        <v>194</v>
      </c>
      <c r="B16" s="42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J16" s="2"/>
      <c r="K16" s="5" t="n">
        <f aca="false">+C16/(C16+G16)</f>
        <v>0.76131943719883</v>
      </c>
      <c r="L16" s="2"/>
      <c r="M16" s="2" t="n">
        <v>68.5</v>
      </c>
      <c r="N16" s="2" t="n">
        <f aca="false">+M16*C16/1000</f>
        <v>1256065.457</v>
      </c>
      <c r="O16" s="2" t="n">
        <f aca="false">+N16-D16</f>
        <v>-425663.543</v>
      </c>
      <c r="Q16" s="2" t="n">
        <f aca="false">+M16*G16/1000</f>
        <v>393787.9365</v>
      </c>
      <c r="R16" s="2" t="n">
        <f aca="false">+Q16-H16</f>
        <v>-296139.0635</v>
      </c>
      <c r="S16" s="2"/>
      <c r="T16" s="2"/>
      <c r="U16" s="2"/>
      <c r="V16" s="2"/>
      <c r="W16" s="2"/>
      <c r="X16" s="2"/>
      <c r="Y16" s="2" t="n">
        <v>47.4829749103943</v>
      </c>
      <c r="Z16" s="2" t="n">
        <f aca="false">+Y16*C16/1000</f>
        <v>870682.110664874</v>
      </c>
      <c r="AA16" s="2" t="n">
        <f aca="false">+Z16-D16</f>
        <v>-811046.889335126</v>
      </c>
      <c r="AC16" s="2" t="n">
        <f aca="false">+Y16*G16/1000</f>
        <v>272966.754873656</v>
      </c>
      <c r="AD16" s="2" t="n">
        <f aca="false">+AC16-H16</f>
        <v>-416960.245126344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U16" s="38" t="n">
        <f aca="false">+E16-I16</f>
        <v>-28.3001119261849</v>
      </c>
      <c r="AV16" s="2" t="n">
        <f aca="false">+(C16*(E16-I16))/1000</f>
        <v>-518931.284959336</v>
      </c>
      <c r="AW16" s="43" t="n">
        <f aca="false">(AW15*1.01625)+AV16</f>
        <v>-7675766.92188607</v>
      </c>
    </row>
    <row r="17" customFormat="false" ht="12.75" hidden="false" customHeight="false" outlineLevel="0" collapsed="false">
      <c r="A17" s="1" t="s">
        <v>195</v>
      </c>
      <c r="B17" s="42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J17" s="2"/>
      <c r="K17" s="5" t="n">
        <f aca="false">+C17/(C17+G17)</f>
        <v>0.884632079965933</v>
      </c>
      <c r="L17" s="2"/>
      <c r="M17" s="2" t="n">
        <v>36.1666666666667</v>
      </c>
      <c r="N17" s="2" t="n">
        <f aca="false">+M17*C17/1000</f>
        <v>713841.681</v>
      </c>
      <c r="O17" s="2" t="n">
        <f aca="false">+N17-D17</f>
        <v>-879199.319</v>
      </c>
      <c r="Q17" s="2" t="n">
        <f aca="false">+M17*G17/1000</f>
        <v>93094.5551666667</v>
      </c>
      <c r="R17" s="2" t="n">
        <f aca="false">+Q17-H17</f>
        <v>-171610.444833333</v>
      </c>
      <c r="S17" s="2"/>
      <c r="T17" s="2"/>
      <c r="U17" s="2"/>
      <c r="V17" s="2"/>
      <c r="W17" s="2"/>
      <c r="X17" s="2"/>
      <c r="Y17" s="2" t="n">
        <v>35.0956989247312</v>
      </c>
      <c r="Z17" s="2" t="n">
        <f aca="false">+Y17*C17/1000</f>
        <v>692703.393077419</v>
      </c>
      <c r="AA17" s="2" t="n">
        <f aca="false">+Z17-D17</f>
        <v>-900337.606922581</v>
      </c>
      <c r="AC17" s="2" t="n">
        <f aca="false">+Y17*G17/1000</f>
        <v>90337.8381473118</v>
      </c>
      <c r="AD17" s="2" t="n">
        <f aca="false">+AC17-H17</f>
        <v>-174367.161852688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U17" s="38" t="n">
        <f aca="false">+E17-I17</f>
        <v>-22.1251276263367</v>
      </c>
      <c r="AV17" s="2" t="n">
        <f aca="false">+(C17*(E17-I17))/1000</f>
        <v>-436695.989782222</v>
      </c>
      <c r="AW17" s="43" t="n">
        <f aca="false">(AW16*1.01625)+AV17</f>
        <v>-8237194.12414894</v>
      </c>
    </row>
    <row r="18" customFormat="false" ht="12.75" hidden="false" customHeight="false" outlineLevel="0" collapsed="false">
      <c r="A18" s="1" t="s">
        <v>191</v>
      </c>
      <c r="B18" s="42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J18" s="2"/>
      <c r="K18" s="5" t="n">
        <f aca="false">+C18/(C18+G18)</f>
        <v>0.988667704222987</v>
      </c>
      <c r="L18" s="2"/>
      <c r="M18" s="2" t="n">
        <v>35.8333333333333</v>
      </c>
      <c r="N18" s="2" t="n">
        <f aca="false">+M18*C18/1000</f>
        <v>766780.694166667</v>
      </c>
      <c r="O18" s="2" t="n">
        <f aca="false">+N18-D18</f>
        <v>-868326.305833333</v>
      </c>
      <c r="Q18" s="2" t="n">
        <f aca="false">+M18*G18/1000</f>
        <v>8788.985</v>
      </c>
      <c r="R18" s="2" t="n">
        <f aca="false">+Q18-H18</f>
        <v>-13549.015</v>
      </c>
      <c r="S18" s="2"/>
      <c r="T18" s="2"/>
      <c r="U18" s="2"/>
      <c r="V18" s="2"/>
      <c r="W18" s="2"/>
      <c r="X18" s="2"/>
      <c r="Y18" s="2" t="n">
        <v>33.677048572488</v>
      </c>
      <c r="Z18" s="2" t="n">
        <f aca="false">+Y18*C18/1000</f>
        <v>720639.367866889</v>
      </c>
      <c r="AA18" s="2" t="n">
        <f aca="false">+Z18-D18</f>
        <v>-914467.632133111</v>
      </c>
      <c r="AC18" s="2" t="n">
        <f aca="false">+Y18*G18/1000</f>
        <v>8260.10441156841</v>
      </c>
      <c r="AD18" s="2" t="n">
        <f aca="false">+AC18-H18</f>
        <v>-14077.8955884316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U18" s="38" t="n">
        <f aca="false">+E18-I18</f>
        <v>-14.6615419428334</v>
      </c>
      <c r="AV18" s="2" t="n">
        <f aca="false">+(C18*(E18-I18))/1000</f>
        <v>-313735.459771521</v>
      </c>
      <c r="AW18" s="43" t="n">
        <f aca="false">(AW17*1.01625)+AV18</f>
        <v>-8684783.98843788</v>
      </c>
    </row>
    <row r="19" customFormat="false" ht="12.75" hidden="false" customHeight="false" outlineLevel="0" collapsed="false">
      <c r="A19" s="1" t="s">
        <v>193</v>
      </c>
      <c r="B19" s="42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J19" s="2"/>
      <c r="K19" s="5" t="n">
        <f aca="false">+C19/(C19+G19)</f>
        <v>0.959653513388183</v>
      </c>
      <c r="L19" s="2"/>
      <c r="M19" s="2" t="n">
        <v>39.5</v>
      </c>
      <c r="N19" s="2" t="n">
        <f aca="false">+M19*C19/1000</f>
        <v>790787.9855</v>
      </c>
      <c r="O19" s="2" t="n">
        <f aca="false">+N19-D19</f>
        <v>-744216.0145</v>
      </c>
      <c r="Q19" s="2" t="n">
        <f aca="false">+M19*G19/1000</f>
        <v>33246.913</v>
      </c>
      <c r="R19" s="2" t="n">
        <f aca="false">+Q19-H19</f>
        <v>-43397.087</v>
      </c>
      <c r="S19" s="2"/>
      <c r="T19" s="2"/>
      <c r="U19" s="2"/>
      <c r="V19" s="2"/>
      <c r="W19" s="2"/>
      <c r="X19" s="2"/>
      <c r="Y19" s="2" t="n">
        <v>34.6731182795699</v>
      </c>
      <c r="Z19" s="2" t="n">
        <f aca="false">+Y19*C19/1000</f>
        <v>694154.059627957</v>
      </c>
      <c r="AA19" s="2" t="n">
        <f aca="false">+Z19-D19</f>
        <v>-840849.940372043</v>
      </c>
      <c r="AC19" s="2" t="n">
        <f aca="false">+Y19*G19/1000</f>
        <v>29184.1556172043</v>
      </c>
      <c r="AD19" s="2" t="n">
        <f aca="false">+AC19-H19</f>
        <v>-47459.8443827957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U19" s="38" t="n">
        <f aca="false">+E19-I19</f>
        <v>-14.3854992508845</v>
      </c>
      <c r="AV19" s="2" t="n">
        <f aca="false">+(C19*(E19-I19))/1000</f>
        <v>-287996.961342245</v>
      </c>
      <c r="AW19" s="43" t="n">
        <f aca="false">(AW18*1.01625)+AV19</f>
        <v>-9113908.68959224</v>
      </c>
    </row>
    <row r="20" customFormat="false" ht="12.75" hidden="false" customHeight="false" outlineLevel="0" collapsed="false">
      <c r="A20" s="1" t="s">
        <v>194</v>
      </c>
      <c r="B20" s="42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J20" s="2"/>
      <c r="K20" s="5" t="n">
        <f aca="false">+C20/(C20+G20)</f>
        <v>0.81218667127398</v>
      </c>
      <c r="L20" s="2"/>
      <c r="M20" s="2" t="n">
        <v>65.8333333333333</v>
      </c>
      <c r="N20" s="2" t="n">
        <f aca="false">+M20*C20/1000</f>
        <v>1409649.40333333</v>
      </c>
      <c r="O20" s="2" t="n">
        <f aca="false">+N20-D20</f>
        <v>-322866.596666667</v>
      </c>
      <c r="Q20" s="2" t="n">
        <f aca="false">+M20*G20/1000</f>
        <v>325973.025833333</v>
      </c>
      <c r="R20" s="2" t="n">
        <f aca="false">+Q20-H20</f>
        <v>-95918.9741666667</v>
      </c>
      <c r="S20" s="2"/>
      <c r="T20" s="2"/>
      <c r="U20" s="2"/>
      <c r="V20" s="2"/>
      <c r="W20" s="2"/>
      <c r="X20" s="2"/>
      <c r="Y20" s="2" t="n">
        <v>41.0636200716846</v>
      </c>
      <c r="Z20" s="2" t="n">
        <f aca="false">+Y20*C20/1000</f>
        <v>879270.494168459</v>
      </c>
      <c r="AA20" s="2" t="n">
        <f aca="false">+Z20-D20</f>
        <v>-853245.505831541</v>
      </c>
      <c r="AC20" s="2" t="n">
        <f aca="false">+Y20*G20/1000</f>
        <v>203326.063085125</v>
      </c>
      <c r="AD20" s="2" t="n">
        <f aca="false">+AC20-H20</f>
        <v>-218565.936914875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U20" s="38" t="n">
        <f aca="false">+E20-I20</f>
        <v>-4.2932534689763</v>
      </c>
      <c r="AV20" s="2" t="n">
        <f aca="false">+(C20*(E20-I20))/1000</f>
        <v>-91928.8434060943</v>
      </c>
      <c r="AW20" s="43" t="n">
        <f aca="false">(AW19*1.01625)+AV20</f>
        <v>-9353938.54920421</v>
      </c>
    </row>
    <row r="21" customFormat="false" ht="12.75" hidden="false" customHeight="false" outlineLevel="0" collapsed="false">
      <c r="A21" s="1" t="s">
        <v>195</v>
      </c>
      <c r="B21" s="42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J21" s="2"/>
      <c r="K21" s="5" t="n">
        <f aca="false">+C21/(C21+G21)</f>
        <v>0.940118825590281</v>
      </c>
      <c r="L21" s="2"/>
      <c r="M21" s="2" t="n">
        <v>35.5</v>
      </c>
      <c r="N21" s="2" t="n">
        <f aca="false">+M21*C21/1000</f>
        <v>822991.6365</v>
      </c>
      <c r="O21" s="2" t="n">
        <f aca="false">+N21-D21</f>
        <v>-881618.3635</v>
      </c>
      <c r="Q21" s="2" t="n">
        <f aca="false">+M21*G21/1000</f>
        <v>52420.72</v>
      </c>
      <c r="R21" s="2" t="n">
        <f aca="false">+Q21-H21</f>
        <v>-46262.28</v>
      </c>
      <c r="S21" s="2"/>
      <c r="T21" s="2"/>
      <c r="U21" s="2"/>
      <c r="V21" s="2"/>
      <c r="W21" s="2"/>
      <c r="X21" s="2"/>
      <c r="Y21" s="2" t="n">
        <v>33.8772401433692</v>
      </c>
      <c r="Z21" s="2" t="n">
        <f aca="false">+Y21*C21/1000</f>
        <v>785371.417061828</v>
      </c>
      <c r="AA21" s="2" t="n">
        <f aca="false">+Z21-D21</f>
        <v>-919238.582938172</v>
      </c>
      <c r="AC21" s="2" t="n">
        <f aca="false">+Y21*G21/1000</f>
        <v>50024.4878853047</v>
      </c>
      <c r="AD21" s="2" t="n">
        <f aca="false">+AC21-H21</f>
        <v>-48658.5121146953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U21" s="38" t="n">
        <f aca="false">+E21-I21</f>
        <v>6.69945853228177</v>
      </c>
      <c r="AV21" s="2" t="n">
        <f aca="false">+(C21*(E21-I21))/1000</f>
        <v>155312.629328069</v>
      </c>
      <c r="AW21" s="43" t="n">
        <f aca="false">(AW20*1.01625)+AV21</f>
        <v>-9350627.42130071</v>
      </c>
    </row>
    <row r="22" customFormat="false" ht="12.75" hidden="false" customHeight="false" outlineLevel="0" collapsed="false">
      <c r="A22" s="1" t="s">
        <v>191</v>
      </c>
      <c r="B22" s="42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J22" s="2"/>
      <c r="K22" s="5" t="n">
        <f aca="false">+C22/(C22+G22)</f>
        <v>0.981784862083897</v>
      </c>
      <c r="L22" s="2"/>
      <c r="M22" s="2" t="n">
        <v>35.8333333333333</v>
      </c>
      <c r="N22" s="2" t="n">
        <f aca="false">+M22*C22/1000</f>
        <v>743548.403333333</v>
      </c>
      <c r="O22" s="2" t="n">
        <f aca="false">+N22-D22</f>
        <v>-632997.596666667</v>
      </c>
      <c r="Q22" s="2" t="n">
        <f aca="false">+M22*G22/1000</f>
        <v>13795.1166666667</v>
      </c>
      <c r="R22" s="2" t="n">
        <f aca="false">+Q22-H22</f>
        <v>-17166.8833333333</v>
      </c>
      <c r="S22" s="2"/>
      <c r="T22" s="2"/>
      <c r="U22" s="2"/>
      <c r="V22" s="2"/>
      <c r="W22" s="2"/>
      <c r="X22" s="2"/>
      <c r="Y22" s="2" t="n">
        <v>33.6551459293395</v>
      </c>
      <c r="Z22" s="2" t="n">
        <f aca="false">+Y22*C22/1000</f>
        <v>698350.605201229</v>
      </c>
      <c r="AA22" s="2" t="n">
        <f aca="false">+Z22-D22</f>
        <v>-678195.394798771</v>
      </c>
      <c r="AC22" s="2" t="n">
        <f aca="false">+Y22*G22/1000</f>
        <v>12956.5580798771</v>
      </c>
      <c r="AD22" s="2" t="n">
        <f aca="false">+AC22-H22</f>
        <v>-18005.4419201229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U22" s="38" t="n">
        <f aca="false">+E22-I22</f>
        <v>-14.0859919225806</v>
      </c>
      <c r="AV22" s="2" t="n">
        <f aca="false">+(C22*(E22-I22))/1000</f>
        <v>-292286.980560029</v>
      </c>
      <c r="AW22" s="43" t="n">
        <f aca="false">(AW21*1.01625)+AV22</f>
        <v>-9794862.09745688</v>
      </c>
    </row>
    <row r="23" customFormat="false" ht="12.75" hidden="false" customHeight="false" outlineLevel="0" collapsed="false">
      <c r="A23" s="1" t="s">
        <v>193</v>
      </c>
      <c r="B23" s="42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J23" s="2"/>
      <c r="K23" s="5" t="n">
        <f aca="false">+C23/(C23+G23)</f>
        <v>0.954817615616198</v>
      </c>
      <c r="L23" s="2"/>
      <c r="M23" s="2" t="n">
        <v>39.5</v>
      </c>
      <c r="N23" s="2" t="n">
        <f aca="false">+M23*C23/1000</f>
        <v>771924.9185</v>
      </c>
      <c r="O23" s="2" t="n">
        <f aca="false">+N23-D23</f>
        <v>-546976.0815</v>
      </c>
      <c r="Q23" s="2" t="n">
        <f aca="false">+M23*G23/1000</f>
        <v>36527.8225</v>
      </c>
      <c r="R23" s="2" t="n">
        <f aca="false">+Q23-H23</f>
        <v>-36178.1775</v>
      </c>
      <c r="S23" s="2"/>
      <c r="T23" s="2"/>
      <c r="U23" s="2"/>
      <c r="V23" s="2"/>
      <c r="W23" s="2"/>
      <c r="X23" s="2"/>
      <c r="Y23" s="2" t="n">
        <v>34.6731182795699</v>
      </c>
      <c r="Z23" s="2" t="n">
        <f aca="false">+Y23*C23/1000</f>
        <v>677596.050686022</v>
      </c>
      <c r="AA23" s="2" t="n">
        <f aca="false">+Z23-D23</f>
        <v>-641304.949313978</v>
      </c>
      <c r="AC23" s="2" t="n">
        <f aca="false">+Y23*G23/1000</f>
        <v>32064.1394946237</v>
      </c>
      <c r="AD23" s="2" t="n">
        <f aca="false">+AC23-H23</f>
        <v>-40641.8605053763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U23" s="38" t="n">
        <f aca="false">+E23-I23</f>
        <v>-11.132712658007</v>
      </c>
      <c r="AV23" s="2" t="n">
        <f aca="false">+(C23*(E23-I23))/1000</f>
        <v>-217559.957245973</v>
      </c>
      <c r="AW23" s="43" t="n">
        <f aca="false">(AW22*1.01625)+AV23</f>
        <v>-10171588.5637865</v>
      </c>
    </row>
    <row r="24" customFormat="false" ht="12.75" hidden="false" customHeight="false" outlineLevel="0" collapsed="false">
      <c r="A24" s="1" t="s">
        <v>194</v>
      </c>
      <c r="B24" s="42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J24" s="2"/>
      <c r="K24" s="5" t="n">
        <f aca="false">+C24/(C24+G24)</f>
        <v>0.756556971254744</v>
      </c>
      <c r="L24" s="2"/>
      <c r="M24" s="2" t="n">
        <v>65.8333333333333</v>
      </c>
      <c r="N24" s="2" t="n">
        <f aca="false">+M24*C24/1000</f>
        <v>1348716.835</v>
      </c>
      <c r="O24" s="2" t="n">
        <f aca="false">+N24-D24</f>
        <v>-160390.165</v>
      </c>
      <c r="Q24" s="2" t="n">
        <f aca="false">+M24*G24/1000</f>
        <v>433986.763333333</v>
      </c>
      <c r="R24" s="2" t="n">
        <f aca="false">+Q24-H24</f>
        <v>-31886.2366666667</v>
      </c>
      <c r="S24" s="2"/>
      <c r="T24" s="2"/>
      <c r="U24" s="2"/>
      <c r="V24" s="2"/>
      <c r="W24" s="2"/>
      <c r="X24" s="2"/>
      <c r="Y24" s="2" t="n">
        <v>41.1012544802867</v>
      </c>
      <c r="Z24" s="2" t="n">
        <f aca="false">+Y24*C24/1000</f>
        <v>842034.742134409</v>
      </c>
      <c r="AA24" s="2" t="n">
        <f aca="false">+Z24-D24</f>
        <v>-667072.257865591</v>
      </c>
      <c r="AC24" s="2" t="n">
        <f aca="false">+Y24*G24/1000</f>
        <v>270947.854189964</v>
      </c>
      <c r="AD24" s="2" t="n">
        <f aca="false">+AC24-H24</f>
        <v>-194925.145810036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U24" s="38" t="n">
        <f aca="false">+E24-I24</f>
        <v>2.99197558998742</v>
      </c>
      <c r="AV24" s="2" t="n">
        <f aca="false">+(C24*(E24-I24))/1000</f>
        <v>61296.1192120267</v>
      </c>
      <c r="AW24" s="43" t="n">
        <f aca="false">(AW23*1.01625)+AV24</f>
        <v>-10275580.758736</v>
      </c>
    </row>
    <row r="25" customFormat="false" ht="12.75" hidden="false" customHeight="false" outlineLevel="0" collapsed="false">
      <c r="A25" s="1" t="s">
        <v>195</v>
      </c>
      <c r="B25" s="42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J25" s="2"/>
      <c r="K25" s="5" t="n">
        <f aca="false">+C25/(C25+G25)</f>
        <v>0.853159987666934</v>
      </c>
      <c r="L25" s="2"/>
      <c r="M25" s="2" t="n">
        <v>35.5</v>
      </c>
      <c r="N25" s="2" t="n">
        <f aca="false">+M25*C25/1000</f>
        <v>747634.757</v>
      </c>
      <c r="O25" s="2" t="n">
        <f aca="false">+N25-D25</f>
        <v>-624088.243</v>
      </c>
      <c r="Q25" s="2" t="n">
        <f aca="false">+M25*G25/1000</f>
        <v>128677.7375</v>
      </c>
      <c r="R25" s="2" t="n">
        <f aca="false">+Q25-H25</f>
        <v>-116922.2625</v>
      </c>
      <c r="S25" s="2"/>
      <c r="T25" s="2"/>
      <c r="U25" s="2"/>
      <c r="V25" s="2"/>
      <c r="W25" s="2"/>
      <c r="X25" s="2"/>
      <c r="Y25" s="2" t="n">
        <v>33.8772401433692</v>
      </c>
      <c r="Z25" s="2" t="n">
        <f aca="false">+Y25*C25/1000</f>
        <v>713459.216969534</v>
      </c>
      <c r="AA25" s="2" t="n">
        <f aca="false">+Z25-D25</f>
        <v>-658263.783030466</v>
      </c>
      <c r="AC25" s="2" t="n">
        <f aca="false">+Y25*G25/1000</f>
        <v>122795.679278674</v>
      </c>
      <c r="AD25" s="2" t="n">
        <f aca="false">+AC25-H25</f>
        <v>-122804.320721326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U25" s="38" t="n">
        <f aca="false">+E25-I25</f>
        <v>-2.62323316031052</v>
      </c>
      <c r="AV25" s="2" t="n">
        <f aca="false">+(C25*(E25-I25))/1000</f>
        <v>-55245.641869383</v>
      </c>
      <c r="AW25" s="43" t="n">
        <f aca="false">(AW24*1.01625)+AV25</f>
        <v>-10497804.5879349</v>
      </c>
    </row>
    <row r="26" customFormat="false" ht="12.75" hidden="false" customHeight="false" outlineLevel="0" collapsed="false">
      <c r="A26" s="1" t="s">
        <v>191</v>
      </c>
      <c r="B26" s="42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J26" s="2"/>
      <c r="K26" s="5" t="n">
        <f aca="false">+C26/(C26+G26)</f>
        <v>0.963643038605489</v>
      </c>
      <c r="L26" s="2"/>
      <c r="M26" s="2" t="n">
        <v>36.0833333333333</v>
      </c>
      <c r="N26" s="2" t="n">
        <f aca="false">+M26*C26/1000</f>
        <v>763199.62975</v>
      </c>
      <c r="O26" s="2" t="n">
        <f aca="false">+N26-D26</f>
        <v>-488799.37025</v>
      </c>
      <c r="Q26" s="2" t="n">
        <f aca="false">+M26*G26/1000</f>
        <v>28794.5</v>
      </c>
      <c r="R26" s="2" t="n">
        <f aca="false">+Q26-H26</f>
        <v>-36881.5</v>
      </c>
      <c r="S26" s="2"/>
      <c r="T26" s="2"/>
      <c r="U26" s="2"/>
      <c r="V26" s="2"/>
      <c r="W26" s="2"/>
      <c r="X26" s="2"/>
      <c r="Y26" s="2" t="n">
        <v>33.793509984639</v>
      </c>
      <c r="Z26" s="2" t="n">
        <f aca="false">+Y26*C26/1000</f>
        <v>714767.509696889</v>
      </c>
      <c r="AA26" s="2" t="n">
        <f aca="false">+Z26-D26</f>
        <v>-537231.490303111</v>
      </c>
      <c r="AC26" s="2" t="n">
        <f aca="false">+Y26*G26/1000</f>
        <v>26967.2209677419</v>
      </c>
      <c r="AD26" s="2" t="n">
        <f aca="false">+AC26-H26</f>
        <v>-38708.7790322581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U26" s="38" t="n">
        <f aca="false">+E26-I26</f>
        <v>-23.1074615674407</v>
      </c>
      <c r="AV26" s="2" t="n">
        <f aca="false">+(C26*(E26-I26))/1000</f>
        <v>-488746.589729323</v>
      </c>
      <c r="AW26" s="43" t="n">
        <f aca="false">(AW25*1.01625)+AV26</f>
        <v>-11157140.5022181</v>
      </c>
    </row>
    <row r="27" customFormat="false" ht="12.75" hidden="false" customHeight="false" outlineLevel="0" collapsed="false">
      <c r="A27" s="1" t="s">
        <v>193</v>
      </c>
      <c r="B27" s="42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J27" s="2"/>
      <c r="K27" s="5" t="n">
        <f aca="false">+C27/(C27+G27)</f>
        <v>0.910878045750206</v>
      </c>
      <c r="L27" s="2"/>
      <c r="M27" s="2" t="n">
        <v>39.75</v>
      </c>
      <c r="N27" s="2" t="n">
        <f aca="false">+M27*C27/1000</f>
        <v>778111.37775</v>
      </c>
      <c r="O27" s="2" t="n">
        <f aca="false">+N27-D27</f>
        <v>-396130.62225</v>
      </c>
      <c r="Q27" s="2" t="n">
        <f aca="false">+M27*G27/1000</f>
        <v>76131.8235</v>
      </c>
      <c r="R27" s="2" t="n">
        <f aca="false">+Q27-H27</f>
        <v>-74497.1765</v>
      </c>
      <c r="S27" s="2"/>
      <c r="T27" s="2"/>
      <c r="U27" s="2"/>
      <c r="V27" s="2"/>
      <c r="W27" s="2"/>
      <c r="X27" s="2"/>
      <c r="Y27" s="2" t="n">
        <v>34.8216218637993</v>
      </c>
      <c r="Z27" s="2" t="n">
        <f aca="false">+Y27*C27/1000</f>
        <v>681637.739973091</v>
      </c>
      <c r="AA27" s="2" t="n">
        <f aca="false">+Z27-D27</f>
        <v>-492604.260026909</v>
      </c>
      <c r="AC27" s="2" t="n">
        <f aca="false">+Y27*G27/1000</f>
        <v>66692.6684205914</v>
      </c>
      <c r="AD27" s="2" t="n">
        <f aca="false">+AC27-H27</f>
        <v>-83936.3315794086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U27" s="38" t="n">
        <f aca="false">+E27-I27</f>
        <v>-18.6600923745729</v>
      </c>
      <c r="AV27" s="2" t="n">
        <f aca="false">+(C27*(E27-I27))/1000</f>
        <v>-365273.715384182</v>
      </c>
      <c r="AW27" s="43" t="n">
        <f aca="false">(AW26*1.01625)+AV27</f>
        <v>-11703717.7507634</v>
      </c>
    </row>
    <row r="28" customFormat="false" ht="12.75" hidden="false" customHeight="false" outlineLevel="0" collapsed="false">
      <c r="A28" s="1" t="s">
        <v>194</v>
      </c>
      <c r="B28" s="42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J28" s="2"/>
      <c r="K28" s="5" t="n">
        <f aca="false">+C28/(C28+G28)</f>
        <v>0.697656075806379</v>
      </c>
      <c r="L28" s="2"/>
      <c r="M28" s="2" t="n">
        <v>66.0833333333333</v>
      </c>
      <c r="N28" s="2" t="n">
        <f aca="false">+M28*C28/1000</f>
        <v>1305349.7665</v>
      </c>
      <c r="O28" s="2" t="n">
        <f aca="false">+N28-D28</f>
        <v>-17315.2335000001</v>
      </c>
      <c r="Q28" s="2" t="n">
        <f aca="false">+M28*G28/1000</f>
        <v>565700.757916667</v>
      </c>
      <c r="R28" s="2" t="n">
        <f aca="false">+Q28-H28</f>
        <v>-43369.2420833333</v>
      </c>
      <c r="S28" s="2"/>
      <c r="T28" s="2"/>
      <c r="U28" s="2"/>
      <c r="V28" s="2"/>
      <c r="W28" s="2"/>
      <c r="X28" s="2"/>
      <c r="Y28" s="2" t="n">
        <v>41.239023297491</v>
      </c>
      <c r="Z28" s="2" t="n">
        <f aca="false">+Y28*C28/1000</f>
        <v>814597.973751344</v>
      </c>
      <c r="AA28" s="2" t="n">
        <f aca="false">+Z28-D28</f>
        <v>-508067.026248656</v>
      </c>
      <c r="AC28" s="2" t="n">
        <f aca="false">+Y28*G28/1000</f>
        <v>353023.153621192</v>
      </c>
      <c r="AD28" s="2" t="n">
        <f aca="false">+AC28-H28</f>
        <v>-256046.846378808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U28" s="38" t="n">
        <f aca="false">+E28-I28</f>
        <v>-4.18967091016222</v>
      </c>
      <c r="AV28" s="2" t="n">
        <f aca="false">+(C28*(E28-I28))/1000</f>
        <v>-82758.9298001326</v>
      </c>
      <c r="AW28" s="43" t="n">
        <f aca="false">(AW27*1.01625)+AV28</f>
        <v>-11976662.0940134</v>
      </c>
    </row>
    <row r="29" customFormat="false" ht="12.75" hidden="false" customHeight="false" outlineLevel="0" collapsed="false">
      <c r="A29" s="1" t="s">
        <v>195</v>
      </c>
      <c r="B29" s="42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G29" s="2" t="n">
        <v>5384808</v>
      </c>
      <c r="H29" s="2" t="n">
        <v>383442</v>
      </c>
      <c r="I29" s="2" t="n">
        <f aca="false">+H29/G29*1000</f>
        <v>71.2081099270392</v>
      </c>
      <c r="J29" s="2"/>
      <c r="K29" s="5" t="n">
        <f aca="false">+C29/(C29+G29)</f>
        <v>0.786151792368028</v>
      </c>
      <c r="L29" s="2"/>
      <c r="M29" s="2" t="n">
        <v>35.75</v>
      </c>
      <c r="N29" s="2" t="n">
        <f aca="false">+M29*C29/1000</f>
        <v>707696.52525</v>
      </c>
      <c r="O29" s="2" t="n">
        <f aca="false">+N29-D29</f>
        <v>-468347.47475</v>
      </c>
      <c r="Q29" s="2" t="n">
        <f aca="false">+M29*G29/1000</f>
        <v>192506.886</v>
      </c>
      <c r="R29" s="2" t="n">
        <f aca="false">+Q29-H29</f>
        <v>-190935.114</v>
      </c>
      <c r="S29" s="2"/>
      <c r="T29" s="2"/>
      <c r="U29" s="2"/>
      <c r="V29" s="2"/>
      <c r="W29" s="2"/>
      <c r="X29" s="2"/>
      <c r="Y29" s="2" t="n">
        <v>34.1486111111111</v>
      </c>
      <c r="Z29" s="2" t="n">
        <f aca="false">+Y29*C29/1000</f>
        <v>675995.9000125</v>
      </c>
      <c r="AA29" s="2" t="n">
        <f aca="false">+Z29-D29</f>
        <v>-500048.0999875</v>
      </c>
      <c r="AC29" s="2" t="n">
        <f aca="false">+Y29*G29/1000</f>
        <v>183883.7143</v>
      </c>
      <c r="AD29" s="2" t="n">
        <f aca="false">+AC29-H29</f>
        <v>-199558.2857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U29" s="38" t="n">
        <f aca="false">+E29-I29</f>
        <v>-11.7990673502825</v>
      </c>
      <c r="AV29" s="2" t="n">
        <f aca="false">+(C29*(E29-I29))/1000</f>
        <v>-233570.880139459</v>
      </c>
      <c r="AW29" s="43" t="n">
        <f aca="false">(AW28*1.01625)+AV29</f>
        <v>-12404853.7331806</v>
      </c>
    </row>
    <row r="30" customFormat="false" ht="12.75" hidden="false" customHeight="false" outlineLevel="0" collapsed="false">
      <c r="A30" s="1" t="s">
        <v>191</v>
      </c>
      <c r="B30" s="42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G30" s="2" t="n">
        <v>2324318</v>
      </c>
      <c r="H30" s="2" t="n">
        <v>187660</v>
      </c>
      <c r="I30" s="2" t="n">
        <f aca="false">+H30/G30*1000</f>
        <v>80.7376615420093</v>
      </c>
      <c r="J30" s="2"/>
      <c r="K30" s="5" t="n">
        <f aca="false">+C30/(C30+G30)</f>
        <v>0.892987875721042</v>
      </c>
      <c r="L30" s="2"/>
      <c r="M30" s="2" t="n">
        <v>36.9333333333333</v>
      </c>
      <c r="N30" s="2" t="n">
        <f aca="false">+M30*C30/1000</f>
        <v>716352.2484</v>
      </c>
      <c r="O30" s="2" t="n">
        <f aca="false">+N30-D30</f>
        <v>-411252.7516</v>
      </c>
      <c r="Q30" s="2" t="n">
        <f aca="false">+M30*G30/1000</f>
        <v>85844.8114666667</v>
      </c>
      <c r="R30" s="2" t="n">
        <f aca="false">+Q30-H30</f>
        <v>-101815.188533333</v>
      </c>
      <c r="S30" s="2"/>
      <c r="T30" s="2"/>
      <c r="U30" s="2"/>
      <c r="V30" s="2"/>
      <c r="W30" s="2"/>
      <c r="X30" s="2"/>
      <c r="Y30" s="2" t="n">
        <v>34.8848694316436</v>
      </c>
      <c r="Z30" s="2" t="n">
        <f aca="false">+Y30*C30/1000</f>
        <v>676620.613334792</v>
      </c>
      <c r="AA30" s="2" t="n">
        <f aca="false">+Z30-D30</f>
        <v>-450984.386665208</v>
      </c>
      <c r="AC30" s="2" t="n">
        <f aca="false">+Y30*G30/1000</f>
        <v>81083.529947619</v>
      </c>
      <c r="AD30" s="2" t="n">
        <f aca="false">+AC30-H30</f>
        <v>-106576.470052381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U30" s="38" t="n">
        <f aca="false">+E30-I30</f>
        <v>-22.601163155424</v>
      </c>
      <c r="AV30" s="2" t="n">
        <f aca="false">+(C30*(E30-I30))/1000</f>
        <v>-438368.069752074</v>
      </c>
      <c r="AW30" s="43" t="n">
        <f aca="false">(AW29*1.01625)+AV30</f>
        <v>-13044800.6760969</v>
      </c>
    </row>
    <row r="31" customFormat="false" ht="12.75" hidden="false" customHeight="false" outlineLevel="0" collapsed="false">
      <c r="A31" s="1" t="s">
        <v>193</v>
      </c>
      <c r="B31" s="42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G31" s="2" t="n">
        <v>3625069</v>
      </c>
      <c r="H31" s="2" t="n">
        <v>280524</v>
      </c>
      <c r="I31" s="2" t="n">
        <f aca="false">+H31/G31*1000</f>
        <v>77.38445806135</v>
      </c>
      <c r="J31" s="2"/>
      <c r="K31" s="5" t="n">
        <f aca="false">+C31/(C31+G31)</f>
        <v>0.835625158675383</v>
      </c>
      <c r="L31" s="2"/>
      <c r="M31" s="2" t="n">
        <v>40.6</v>
      </c>
      <c r="N31" s="2" t="n">
        <f aca="false">+M31*C31/1000</f>
        <v>748201.3224</v>
      </c>
      <c r="O31" s="2" t="n">
        <f aca="false">+N31-D31</f>
        <v>-355837.6776</v>
      </c>
      <c r="Q31" s="2" t="n">
        <f aca="false">+M31*G31/1000</f>
        <v>147177.8014</v>
      </c>
      <c r="R31" s="2" t="n">
        <f aca="false">+Q31-H31</f>
        <v>-133346.1986</v>
      </c>
      <c r="S31" s="2"/>
      <c r="T31" s="2"/>
      <c r="U31" s="2"/>
      <c r="V31" s="2"/>
      <c r="W31" s="2"/>
      <c r="X31" s="2"/>
      <c r="Y31" s="2" t="n">
        <v>36.0024014336918</v>
      </c>
      <c r="Z31" s="2" t="n">
        <f aca="false">+Y31*C31/1000</f>
        <v>663473.999070538</v>
      </c>
      <c r="AA31" s="2" t="n">
        <f aca="false">+Z31-D31</f>
        <v>-440565.000929463</v>
      </c>
      <c r="AC31" s="2" t="n">
        <f aca="false">+Y31*G31/1000</f>
        <v>130511.189362832</v>
      </c>
      <c r="AD31" s="2" t="n">
        <f aca="false">+AC31-H31</f>
        <v>-150012.810637168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U31" s="38" t="n">
        <f aca="false">+E31-I31</f>
        <v>-17.4754709237459</v>
      </c>
      <c r="AV31" s="2" t="n">
        <f aca="false">+(C31*(E31-I31))/1000</f>
        <v>-322048.533367227</v>
      </c>
      <c r="AW31" s="43" t="n">
        <f aca="false">(AW30*1.01625)+AV31</f>
        <v>-13578827.2204507</v>
      </c>
    </row>
    <row r="32" customFormat="false" ht="12.75" hidden="false" customHeight="false" outlineLevel="0" collapsed="false">
      <c r="A32" s="1" t="s">
        <v>194</v>
      </c>
      <c r="B32" s="42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G32" s="2" t="n">
        <v>10048240</v>
      </c>
      <c r="H32" s="2" t="n">
        <v>707982</v>
      </c>
      <c r="I32" s="2" t="n">
        <f aca="false">+H32/G32*1000</f>
        <v>70.4583091168205</v>
      </c>
      <c r="J32" s="2"/>
      <c r="K32" s="5" t="n">
        <f aca="false">+C32/(C32+G32)</f>
        <v>0.662045270793381</v>
      </c>
      <c r="L32" s="2"/>
      <c r="M32" s="2" t="n">
        <v>66.9333333333333</v>
      </c>
      <c r="N32" s="2" t="n">
        <f aca="false">+M32*C32/1000</f>
        <v>1317533.3368</v>
      </c>
      <c r="O32" s="2" t="n">
        <f aca="false">+N32-D32</f>
        <v>-1617.6632000003</v>
      </c>
      <c r="Q32" s="2" t="n">
        <f aca="false">+M32*G32/1000</f>
        <v>672562.197333333</v>
      </c>
      <c r="R32" s="2" t="n">
        <f aca="false">+Q32-H32</f>
        <v>-35419.8026666668</v>
      </c>
      <c r="S32" s="2"/>
      <c r="T32" s="2"/>
      <c r="U32" s="2"/>
      <c r="V32" s="2"/>
      <c r="W32" s="2"/>
      <c r="X32" s="2"/>
      <c r="Y32" s="2" t="n">
        <v>42.4108602150538</v>
      </c>
      <c r="Z32" s="2" t="n">
        <f aca="false">+Y32*C32/1000</f>
        <v>834826.526529355</v>
      </c>
      <c r="AA32" s="2" t="n">
        <f aca="false">+Z32-D32</f>
        <v>-484324.473470645</v>
      </c>
      <c r="AC32" s="2" t="n">
        <f aca="false">+Y32*G32/1000</f>
        <v>426154.502047312</v>
      </c>
      <c r="AD32" s="2" t="n">
        <f aca="false">+AC32-H32</f>
        <v>-281827.497952688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U32" s="38" t="n">
        <f aca="false">+E32-I32</f>
        <v>-3.44279525175983</v>
      </c>
      <c r="AV32" s="2" t="n">
        <f aca="false">+(C32*(E32-I32))/1000</f>
        <v>-67768.8871907918</v>
      </c>
      <c r="AW32" s="43" t="n">
        <f aca="false">(AW31*1.01625)+AV32</f>
        <v>-13867252.0499738</v>
      </c>
    </row>
    <row r="33" customFormat="false" ht="12.75" hidden="false" customHeight="false" outlineLevel="0" collapsed="false">
      <c r="A33" s="1" t="s">
        <v>195</v>
      </c>
      <c r="B33" s="42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G33" s="2" t="n">
        <v>6592341</v>
      </c>
      <c r="H33" s="2" t="n">
        <v>465106</v>
      </c>
      <c r="I33" s="2" t="n">
        <f aca="false">+H33/G33*1000</f>
        <v>70.5524790055612</v>
      </c>
      <c r="J33" s="2"/>
      <c r="K33" s="5" t="n">
        <f aca="false">+C33/(C33+G33)</f>
        <v>0.748228842186414</v>
      </c>
      <c r="L33" s="2"/>
      <c r="M33" s="2" t="n">
        <v>36.6</v>
      </c>
      <c r="N33" s="2" t="n">
        <f aca="false">+M33*C33/1000</f>
        <v>717049.632</v>
      </c>
      <c r="O33" s="2" t="n">
        <f aca="false">+N33-D33</f>
        <v>-448005.368</v>
      </c>
      <c r="Q33" s="2" t="n">
        <f aca="false">+M33*G33/1000</f>
        <v>241279.6806</v>
      </c>
      <c r="R33" s="2" t="n">
        <f aca="false">+Q33-H33</f>
        <v>-223826.3194</v>
      </c>
      <c r="S33" s="2"/>
      <c r="T33" s="2"/>
      <c r="U33" s="2"/>
      <c r="V33" s="2"/>
      <c r="W33" s="2"/>
      <c r="X33" s="2"/>
      <c r="Y33" s="2" t="n">
        <v>35.2268817204301</v>
      </c>
      <c r="Z33" s="2" t="n">
        <f aca="false">+Y33*C33/1000</f>
        <v>690148.157763441</v>
      </c>
      <c r="AA33" s="2" t="n">
        <f aca="false">+Z33-D33</f>
        <v>-474906.842236559</v>
      </c>
      <c r="AC33" s="2" t="n">
        <f aca="false">+Y33*G33/1000</f>
        <v>232227.616667742</v>
      </c>
      <c r="AD33" s="2" t="n">
        <f aca="false">+AC33-H33</f>
        <v>-232878.383332258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U33" s="38" t="n">
        <f aca="false">+E33-I33</f>
        <v>-11.0851686590439</v>
      </c>
      <c r="AV33" s="2" t="n">
        <f aca="false">+(C33*(E33-I33))/1000</f>
        <v>-217175.303487032</v>
      </c>
      <c r="AW33" s="43" t="n">
        <f aca="false">(AW32*1.01625)+AV33</f>
        <v>-14309770.1992729</v>
      </c>
    </row>
    <row r="34" customFormat="false" ht="12.75" hidden="false" customHeight="false" outlineLevel="0" collapsed="false">
      <c r="A34" s="1" t="s">
        <v>191</v>
      </c>
      <c r="B34" s="42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G34" s="2" t="n">
        <v>3401340</v>
      </c>
      <c r="H34" s="2" t="n">
        <v>268581</v>
      </c>
      <c r="I34" s="2" t="n">
        <f aca="false">+H34/G34*1000</f>
        <v>78.9632909382773</v>
      </c>
      <c r="J34" s="2"/>
      <c r="K34" s="5" t="n">
        <f aca="false">+C34/(C34+G34)</f>
        <v>0.849196991069107</v>
      </c>
      <c r="L34" s="2"/>
      <c r="M34" s="2" t="n">
        <v>37.2833333333333</v>
      </c>
      <c r="N34" s="2" t="n">
        <f aca="false">+M34*C34/1000</f>
        <v>714106.88425</v>
      </c>
      <c r="O34" s="2" t="n">
        <f aca="false">+N34-D34</f>
        <v>-398890.11575</v>
      </c>
      <c r="Q34" s="2" t="n">
        <f aca="false">+M34*G34/1000</f>
        <v>126813.293</v>
      </c>
      <c r="R34" s="2" t="n">
        <f aca="false">+Q34-H34</f>
        <v>-141767.707</v>
      </c>
      <c r="S34" s="2"/>
      <c r="T34" s="2"/>
      <c r="U34" s="2"/>
      <c r="V34" s="2"/>
      <c r="W34" s="2"/>
      <c r="X34" s="2"/>
      <c r="Y34" s="2" t="n">
        <v>35.1847608453838</v>
      </c>
      <c r="Z34" s="2" t="n">
        <f aca="false">+Y34*C34/1000</f>
        <v>673911.84462347</v>
      </c>
      <c r="AA34" s="2" t="n">
        <f aca="false">+Z34-D34</f>
        <v>-439085.15537653</v>
      </c>
      <c r="AC34" s="2" t="n">
        <f aca="false">+Y34*G34/1000</f>
        <v>119675.334453838</v>
      </c>
      <c r="AD34" s="2" t="n">
        <f aca="false">+AC34-H34</f>
        <v>-148905.665546162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U34" s="38" t="n">
        <f aca="false">+E34-I34</f>
        <v>-20.8540091693696</v>
      </c>
      <c r="AV34" s="2" t="n">
        <f aca="false">+(C34*(E34-I34))/1000</f>
        <v>-399427.577435658</v>
      </c>
      <c r="AW34" s="43" t="n">
        <f aca="false">(AW33*1.01625)+AV34</f>
        <v>-14941731.5424467</v>
      </c>
    </row>
    <row r="35" customFormat="false" ht="12.75" hidden="false" customHeight="false" outlineLevel="0" collapsed="false">
      <c r="A35" s="1" t="s">
        <v>193</v>
      </c>
      <c r="B35" s="42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G35" s="2" t="n">
        <v>4665997</v>
      </c>
      <c r="H35" s="2" t="n">
        <v>357049</v>
      </c>
      <c r="I35" s="2" t="n">
        <f aca="false">+H35/G35*1000</f>
        <v>76.5214808324995</v>
      </c>
      <c r="J35" s="2"/>
      <c r="K35" s="5" t="n">
        <f aca="false">+C35/(C35+G35)</f>
        <v>0.800848532620656</v>
      </c>
      <c r="L35" s="2"/>
      <c r="M35" s="2" t="n">
        <v>40.95</v>
      </c>
      <c r="N35" s="2" t="n">
        <f aca="false">+M35*C35/1000</f>
        <v>768360.86145</v>
      </c>
      <c r="O35" s="2" t="n">
        <f aca="false">+N35-D35</f>
        <v>-352783.13855</v>
      </c>
      <c r="Q35" s="2" t="n">
        <f aca="false">+M35*G35/1000</f>
        <v>191072.57715</v>
      </c>
      <c r="R35" s="2" t="n">
        <f aca="false">+Q35-H35</f>
        <v>-165976.42285</v>
      </c>
      <c r="S35" s="2"/>
      <c r="T35" s="2"/>
      <c r="U35" s="2"/>
      <c r="V35" s="2"/>
      <c r="W35" s="2"/>
      <c r="X35" s="2"/>
      <c r="Y35" s="2" t="n">
        <v>36.0276254480287</v>
      </c>
      <c r="Z35" s="2" t="n">
        <f aca="false">+Y35*C35/1000</f>
        <v>676000.423082912</v>
      </c>
      <c r="AA35" s="2" t="n">
        <f aca="false">+Z35-D35</f>
        <v>-445143.576917088</v>
      </c>
      <c r="AC35" s="2" t="n">
        <f aca="false">+Y35*G35/1000</f>
        <v>168104.792257625</v>
      </c>
      <c r="AD35" s="2" t="n">
        <f aca="false">+AC35-H35</f>
        <v>-188944.207742375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U35" s="38" t="n">
        <f aca="false">+E35-I35</f>
        <v>-16.7698080138709</v>
      </c>
      <c r="AV35" s="2" t="n">
        <f aca="false">+(C35*(E35-I35))/1000</f>
        <v>-314658.464759193</v>
      </c>
      <c r="AW35" s="43" t="n">
        <f aca="false">(AW34*1.01625)+AV35</f>
        <v>-15499193.1447707</v>
      </c>
    </row>
    <row r="36" customFormat="false" ht="12.75" hidden="false" customHeight="false" outlineLevel="0" collapsed="false">
      <c r="A36" s="1" t="s">
        <v>194</v>
      </c>
      <c r="B36" s="42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G36" s="2" t="n">
        <v>12038851</v>
      </c>
      <c r="H36" s="2" t="n">
        <v>856304</v>
      </c>
      <c r="I36" s="2" t="n">
        <f aca="false">+H36/G36*1000</f>
        <v>71.1283826006319</v>
      </c>
      <c r="J36" s="2"/>
      <c r="K36" s="5" t="n">
        <f aca="false">+C36/(C36+G36)</f>
        <v>0.61577720227511</v>
      </c>
      <c r="L36" s="2"/>
      <c r="M36" s="2" t="n">
        <v>67.2833333333334</v>
      </c>
      <c r="N36" s="2" t="n">
        <f aca="false">+M36*C36/1000</f>
        <v>1298174.32213333</v>
      </c>
      <c r="O36" s="2" t="n">
        <f aca="false">+N36-D36</f>
        <v>9203.32213333366</v>
      </c>
      <c r="Q36" s="2" t="n">
        <f aca="false">+M36*G36/1000</f>
        <v>810014.024783334</v>
      </c>
      <c r="R36" s="2" t="n">
        <f aca="false">+Q36-H36</f>
        <v>-46289.9752166665</v>
      </c>
      <c r="S36" s="2"/>
      <c r="T36" s="2"/>
      <c r="U36" s="2"/>
      <c r="V36" s="2"/>
      <c r="W36" s="2"/>
      <c r="X36" s="2"/>
      <c r="Y36" s="2" t="n">
        <v>42.5606182795699</v>
      </c>
      <c r="Z36" s="2" t="n">
        <f aca="false">+Y36*C36/1000</f>
        <v>821170.697815054</v>
      </c>
      <c r="AA36" s="2" t="n">
        <f aca="false">+Z36-D36</f>
        <v>-467800.302184946</v>
      </c>
      <c r="AC36" s="2" t="n">
        <f aca="false">+Y36*G36/1000</f>
        <v>512380.941935618</v>
      </c>
      <c r="AD36" s="2" t="n">
        <f aca="false">+AC36-H36</f>
        <v>-343923.058064382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U36" s="38" t="n">
        <f aca="false">+E36-I36</f>
        <v>-4.3220500678178</v>
      </c>
      <c r="AV36" s="2" t="n">
        <f aca="false">+(C36*(E36-I36))/1000</f>
        <v>-83390.2563836864</v>
      </c>
      <c r="AW36" s="43" t="n">
        <f aca="false">(AW35*1.01625)+AV36</f>
        <v>-15834445.2897569</v>
      </c>
    </row>
    <row r="37" customFormat="false" ht="12.75" hidden="false" customHeight="false" outlineLevel="0" collapsed="false">
      <c r="A37" s="1" t="s">
        <v>195</v>
      </c>
      <c r="B37" s="42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G37" s="2" t="n">
        <v>8245265</v>
      </c>
      <c r="H37" s="2" t="n">
        <v>579362</v>
      </c>
      <c r="I37" s="2" t="n">
        <f aca="false">+H37/G37*1000</f>
        <v>70.2660254097352</v>
      </c>
      <c r="J37" s="2"/>
      <c r="K37" s="5" t="n">
        <f aca="false">+C37/(C37+G37)</f>
        <v>0.695738494220011</v>
      </c>
      <c r="L37" s="2"/>
      <c r="M37" s="2" t="n">
        <v>36.95</v>
      </c>
      <c r="N37" s="2" t="n">
        <f aca="false">+M37*C37/1000</f>
        <v>696655.5217</v>
      </c>
      <c r="O37" s="2" t="n">
        <f aca="false">+N37-D37</f>
        <v>-407286.4783</v>
      </c>
      <c r="Q37" s="2" t="n">
        <f aca="false">+M37*G37/1000</f>
        <v>304662.54175</v>
      </c>
      <c r="R37" s="2" t="n">
        <f aca="false">+Q37-H37</f>
        <v>-274699.45825</v>
      </c>
      <c r="S37" s="2"/>
      <c r="T37" s="2"/>
      <c r="U37" s="2"/>
      <c r="V37" s="2"/>
      <c r="W37" s="2"/>
      <c r="X37" s="2"/>
      <c r="Y37" s="2" t="n">
        <v>35.4108602150538</v>
      </c>
      <c r="Z37" s="2" t="n">
        <f aca="false">+Y37*C37/1000</f>
        <v>667636.570959785</v>
      </c>
      <c r="AA37" s="2" t="n">
        <f aca="false">+Z37-D37</f>
        <v>-436305.429040215</v>
      </c>
      <c r="AC37" s="2" t="n">
        <f aca="false">+Y37*G37/1000</f>
        <v>291971.926351075</v>
      </c>
      <c r="AD37" s="2" t="n">
        <f aca="false">+AC37-H37</f>
        <v>-287390.073648925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U37" s="38" t="n">
        <f aca="false">+E37-I37</f>
        <v>-11.713906565602</v>
      </c>
      <c r="AV37" s="2" t="n">
        <f aca="false">+(C37*(E37-I37))/1000</f>
        <v>-220854.064671299</v>
      </c>
      <c r="AW37" s="43" t="n">
        <f aca="false">(AW36*1.01625)+AV37</f>
        <v>-16312609.0903867</v>
      </c>
    </row>
    <row r="38" customFormat="false" ht="12.75" hidden="false" customHeight="false" outlineLevel="0" collapsed="false">
      <c r="A38" s="1" t="s">
        <v>191</v>
      </c>
      <c r="B38" s="42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G38" s="2" t="n">
        <v>4279061</v>
      </c>
      <c r="H38" s="2" t="n">
        <v>327387</v>
      </c>
      <c r="I38" s="2" t="n">
        <f aca="false">+H38/G38*1000</f>
        <v>76.5090752387031</v>
      </c>
      <c r="J38" s="2"/>
      <c r="K38" s="5" t="n">
        <f aca="false">+C38/(C38+G38)</f>
        <v>0.814570832715462</v>
      </c>
      <c r="L38" s="2"/>
      <c r="M38" s="2" t="n">
        <v>37.7833333333333</v>
      </c>
      <c r="N38" s="2" t="n">
        <f aca="false">+M38*C38/1000</f>
        <v>710230.885916667</v>
      </c>
      <c r="O38" s="2" t="n">
        <f aca="false">+N38-D38</f>
        <v>-380845.114083333</v>
      </c>
      <c r="Q38" s="2" t="n">
        <f aca="false">+M38*G38/1000</f>
        <v>161677.188116667</v>
      </c>
      <c r="R38" s="2" t="n">
        <f aca="false">+Q38-H38</f>
        <v>-165709.811883333</v>
      </c>
      <c r="S38" s="2"/>
      <c r="T38" s="2"/>
      <c r="U38" s="2"/>
      <c r="V38" s="2"/>
      <c r="W38" s="2"/>
      <c r="X38" s="2"/>
      <c r="Y38" s="2" t="n">
        <v>36.3488095238095</v>
      </c>
      <c r="Z38" s="2" t="n">
        <f aca="false">+Y38*C38/1000</f>
        <v>683265.474815476</v>
      </c>
      <c r="AA38" s="2" t="n">
        <f aca="false">+Z38-D38</f>
        <v>-407810.525184524</v>
      </c>
      <c r="AC38" s="2" t="n">
        <f aca="false">+Y38*G38/1000</f>
        <v>155538.773229762</v>
      </c>
      <c r="AD38" s="2" t="n">
        <f aca="false">+AC38-H38</f>
        <v>-171848.226770238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U38" s="38" t="n">
        <f aca="false">+E38-I38</f>
        <v>-18.4652911433477</v>
      </c>
      <c r="AV38" s="2" t="n">
        <f aca="false">+(C38*(E38-I38))/1000</f>
        <v>-347100.663981887</v>
      </c>
      <c r="AW38" s="43" t="n">
        <f aca="false">(AW37*1.01625)+AV38</f>
        <v>-16924789.6520874</v>
      </c>
    </row>
    <row r="39" customFormat="false" ht="12.75" hidden="false" customHeight="false" outlineLevel="0" collapsed="false">
      <c r="A39" s="1" t="s">
        <v>193</v>
      </c>
      <c r="B39" s="42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G39" s="2" t="n">
        <v>5607044</v>
      </c>
      <c r="H39" s="2" t="n">
        <v>423239</v>
      </c>
      <c r="I39" s="2" t="n">
        <f aca="false">+H39/G39*1000</f>
        <v>75.4834454660959</v>
      </c>
      <c r="J39" s="2"/>
      <c r="K39" s="5" t="n">
        <f aca="false">+C39/(C39+G39)</f>
        <v>0.769418333833327</v>
      </c>
      <c r="L39" s="2"/>
      <c r="M39" s="2" t="n">
        <v>41.45</v>
      </c>
      <c r="N39" s="2" t="n">
        <f aca="false">+M39*C39/1000</f>
        <v>775525.81095</v>
      </c>
      <c r="O39" s="2" t="n">
        <f aca="false">+N39-D39</f>
        <v>-341719.18905</v>
      </c>
      <c r="Q39" s="2" t="n">
        <f aca="false">+M39*G39/1000</f>
        <v>232411.9738</v>
      </c>
      <c r="R39" s="2" t="n">
        <f aca="false">+Q39-H39</f>
        <v>-190827.0262</v>
      </c>
      <c r="S39" s="2"/>
      <c r="T39" s="2"/>
      <c r="U39" s="2"/>
      <c r="V39" s="2"/>
      <c r="W39" s="2"/>
      <c r="X39" s="2"/>
      <c r="Y39" s="2" t="n">
        <v>37.3195698924731</v>
      </c>
      <c r="Z39" s="2" t="n">
        <f aca="false">+Y39*C39/1000</f>
        <v>698245.831246452</v>
      </c>
      <c r="AA39" s="2" t="n">
        <f aca="false">+Z39-D39</f>
        <v>-418999.168753548</v>
      </c>
      <c r="AC39" s="2" t="n">
        <f aca="false">+Y39*G39/1000</f>
        <v>209252.470448172</v>
      </c>
      <c r="AD39" s="2" t="n">
        <f aca="false">+AC39-H39</f>
        <v>-213986.529551828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U39" s="38" t="n">
        <f aca="false">+E39-I39</f>
        <v>-15.7693719998993</v>
      </c>
      <c r="AV39" s="2" t="n">
        <f aca="false">+(C39*(E39-I39))/1000</f>
        <v>-295043.546644007</v>
      </c>
      <c r="AW39" s="43" t="n">
        <f aca="false">(AW38*1.01625)+AV39</f>
        <v>-17494861.0305778</v>
      </c>
    </row>
    <row r="40" customFormat="false" ht="12.75" hidden="false" customHeight="false" outlineLevel="0" collapsed="false">
      <c r="A40" s="1" t="s">
        <v>194</v>
      </c>
      <c r="B40" s="42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G40" s="2" t="n">
        <v>12850943</v>
      </c>
      <c r="H40" s="2" t="n">
        <v>910213</v>
      </c>
      <c r="I40" s="2" t="n">
        <f aca="false">+H40/G40*1000</f>
        <v>70.8284987335171</v>
      </c>
      <c r="J40" s="2"/>
      <c r="K40" s="5" t="n">
        <f aca="false">+C40/(C40+G40)</f>
        <v>0.600216352632953</v>
      </c>
      <c r="L40" s="2"/>
      <c r="M40" s="2" t="n">
        <v>67.7833333333334</v>
      </c>
      <c r="N40" s="2" t="n">
        <f aca="false">+M40*C40/1000</f>
        <v>1307798.14445</v>
      </c>
      <c r="O40" s="2" t="n">
        <f aca="false">+N40-D40</f>
        <v>19753.1444500003</v>
      </c>
      <c r="Q40" s="2" t="n">
        <f aca="false">+M40*G40/1000</f>
        <v>871079.753016667</v>
      </c>
      <c r="R40" s="2" t="n">
        <f aca="false">+Q40-H40</f>
        <v>-39133.2469833333</v>
      </c>
      <c r="S40" s="2"/>
      <c r="T40" s="2"/>
      <c r="U40" s="2"/>
      <c r="V40" s="2"/>
      <c r="W40" s="2"/>
      <c r="X40" s="2"/>
      <c r="Y40" s="2" t="n">
        <v>43.7035394265233</v>
      </c>
      <c r="Z40" s="2" t="n">
        <f aca="false">+Y40*C40/1000</f>
        <v>843207.392690995</v>
      </c>
      <c r="AA40" s="2" t="n">
        <f aca="false">+Z40-D40</f>
        <v>-444837.607309005</v>
      </c>
      <c r="AC40" s="2" t="n">
        <f aca="false">+Y40*G40/1000</f>
        <v>561631.694068504</v>
      </c>
      <c r="AD40" s="2" t="n">
        <f aca="false">+AC40-H40</f>
        <v>-348581.305931496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U40" s="38" t="n">
        <f aca="false">+E40-I40</f>
        <v>-4.06897322581644</v>
      </c>
      <c r="AV40" s="2" t="n">
        <f aca="false">+(C40*(E40-I40))/1000</f>
        <v>-78505.9596932304</v>
      </c>
      <c r="AW40" s="43" t="n">
        <f aca="false">(AW39*1.01625)+AV40</f>
        <v>-17857658.482018</v>
      </c>
    </row>
    <row r="41" customFormat="false" ht="12.75" hidden="false" customHeight="false" outlineLevel="0" collapsed="false">
      <c r="A41" s="1" t="s">
        <v>195</v>
      </c>
      <c r="B41" s="42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G41" s="2" t="n">
        <v>8671910</v>
      </c>
      <c r="H41" s="2" t="n">
        <v>606170</v>
      </c>
      <c r="I41" s="2" t="n">
        <f aca="false">+H41/G41*1000</f>
        <v>69.900402564141</v>
      </c>
      <c r="J41" s="2"/>
      <c r="K41" s="5" t="n">
        <f aca="false">+C41/(C41+G41)</f>
        <v>0.684100306916202</v>
      </c>
      <c r="L41" s="2"/>
      <c r="M41" s="2" t="n">
        <v>37.45</v>
      </c>
      <c r="N41" s="2" t="n">
        <f aca="false">+M41*C41/1000</f>
        <v>703294.40965</v>
      </c>
      <c r="O41" s="2" t="n">
        <f aca="false">+N41-D41</f>
        <v>-406840.59035</v>
      </c>
      <c r="Q41" s="2" t="n">
        <f aca="false">+M41*G41/1000</f>
        <v>324763.0295</v>
      </c>
      <c r="R41" s="2" t="n">
        <f aca="false">+Q41-H41</f>
        <v>-281406.9705</v>
      </c>
      <c r="S41" s="2"/>
      <c r="T41" s="2"/>
      <c r="U41" s="2"/>
      <c r="V41" s="2"/>
      <c r="W41" s="2"/>
      <c r="X41" s="2"/>
      <c r="Y41" s="2" t="n">
        <v>36.5536559139785</v>
      </c>
      <c r="Z41" s="2" t="n">
        <f aca="false">+Y41*C41/1000</f>
        <v>686461.464794946</v>
      </c>
      <c r="AA41" s="2" t="n">
        <f aca="false">+Z41-D41</f>
        <v>-423673.535205054</v>
      </c>
      <c r="AC41" s="2" t="n">
        <f aca="false">+Y41*G41/1000</f>
        <v>316990.014256989</v>
      </c>
      <c r="AD41" s="2" t="n">
        <f aca="false">+AC41-H41</f>
        <v>-289179.985743011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U41" s="38" t="n">
        <f aca="false">+E41-I41</f>
        <v>-10.786388319822</v>
      </c>
      <c r="AV41" s="2" t="n">
        <f aca="false">+(C41*(E41-I41))/1000</f>
        <v>-202563.594276232</v>
      </c>
      <c r="AW41" s="43" t="n">
        <f aca="false">(AW40*1.01625)+AV41</f>
        <v>-18350409.026627</v>
      </c>
    </row>
    <row r="42" customFormat="false" ht="12.75" hidden="false" customHeight="false" outlineLevel="0" collapsed="false">
      <c r="A42" s="1" t="s">
        <v>191</v>
      </c>
      <c r="B42" s="42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G42" s="2" t="n">
        <v>5072718</v>
      </c>
      <c r="H42" s="2" t="n">
        <v>383169</v>
      </c>
      <c r="I42" s="2" t="n">
        <f aca="false">+H42/G42*1000</f>
        <v>75.5352456020619</v>
      </c>
      <c r="J42" s="2"/>
      <c r="K42" s="5" t="n">
        <f aca="false">+C42/(C42+G42)</f>
        <v>0.767113987535935</v>
      </c>
      <c r="L42" s="2"/>
      <c r="M42" s="2" t="n">
        <v>38.2833333333333</v>
      </c>
      <c r="N42" s="2" t="n">
        <f aca="false">+M42*C42/1000</f>
        <v>639686.170333333</v>
      </c>
      <c r="O42" s="2" t="n">
        <f aca="false">+N42-D42</f>
        <v>-451638.829666667</v>
      </c>
      <c r="Q42" s="2" t="n">
        <f aca="false">+M42*G42/1000</f>
        <v>194200.5541</v>
      </c>
      <c r="R42" s="2" t="n">
        <f aca="false">+Q42-H42</f>
        <v>-188968.4459</v>
      </c>
      <c r="S42" s="2"/>
      <c r="T42" s="2"/>
      <c r="U42" s="2"/>
      <c r="V42" s="2"/>
      <c r="W42" s="2"/>
      <c r="X42" s="2"/>
      <c r="Y42" s="2" t="n">
        <v>36.5116359447005</v>
      </c>
      <c r="Z42" s="2" t="n">
        <f aca="false">+Y42*C42/1000</f>
        <v>610082.418025345</v>
      </c>
      <c r="AA42" s="2" t="n">
        <f aca="false">+Z42-D42</f>
        <v>-481242.581974655</v>
      </c>
      <c r="AC42" s="2" t="n">
        <f aca="false">+Y42*G42/1000</f>
        <v>185213.232866129</v>
      </c>
      <c r="AD42" s="2" t="n">
        <f aca="false">+AC42-H42</f>
        <v>-197955.767133871</v>
      </c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U42" s="38" t="n">
        <f aca="false">+E42-I42</f>
        <v>-10.2226584497882</v>
      </c>
      <c r="AV42" s="2" t="n">
        <f aca="false">+(C42*(E42-I42))/1000</f>
        <v>-170813.057928708</v>
      </c>
      <c r="AW42" s="43" t="n">
        <f aca="false">(AW41*1.01625)+AV42</f>
        <v>-18819416.2312384</v>
      </c>
    </row>
    <row r="43" customFormat="false" ht="12.75" hidden="false" customHeight="false" outlineLevel="0" collapsed="false">
      <c r="A43" s="1" t="s">
        <v>193</v>
      </c>
      <c r="B43" s="42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G43" s="2" t="n">
        <v>6342724</v>
      </c>
      <c r="H43" s="2" t="n">
        <v>470407</v>
      </c>
      <c r="I43" s="2" t="n">
        <f aca="false">+H43/G43*1000</f>
        <v>74.1648225588879</v>
      </c>
      <c r="J43" s="2"/>
      <c r="K43" s="5" t="n">
        <f aca="false">+C43/(C43+G43)</f>
        <v>0.745784938486937</v>
      </c>
      <c r="L43" s="2"/>
      <c r="M43" s="2" t="n">
        <v>41.95</v>
      </c>
      <c r="N43" s="2" t="n">
        <f aca="false">+M43*C43/1000</f>
        <v>780584.83475</v>
      </c>
      <c r="O43" s="2" t="n">
        <f aca="false">+N43-D43</f>
        <v>-338120.16525</v>
      </c>
      <c r="Q43" s="2" t="n">
        <f aca="false">+M43*G43/1000</f>
        <v>266077.2718</v>
      </c>
      <c r="R43" s="2" t="n">
        <f aca="false">+Q43-H43</f>
        <v>-204329.7282</v>
      </c>
      <c r="S43" s="2"/>
      <c r="T43" s="2"/>
      <c r="U43" s="2"/>
      <c r="V43" s="2"/>
      <c r="W43" s="2"/>
      <c r="X43" s="2"/>
      <c r="Y43" s="2" t="n">
        <v>37.5312186379928</v>
      </c>
      <c r="Z43" s="2" t="n">
        <f aca="false">+Y43*C43/1000</f>
        <v>698362.338462545</v>
      </c>
      <c r="AA43" s="2" t="n">
        <f aca="false">+Z43-D43</f>
        <v>-420342.661537455</v>
      </c>
      <c r="AC43" s="2" t="n">
        <f aca="false">+Y43*G43/1000</f>
        <v>238050.161204444</v>
      </c>
      <c r="AD43" s="2" t="n">
        <f aca="false">+AC43-H43</f>
        <v>-232356.838795556</v>
      </c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U43" s="38" t="n">
        <f aca="false">+E43-I43</f>
        <v>-14.0436510208445</v>
      </c>
      <c r="AV43" s="2" t="n">
        <f aca="false">+(C43*(E43-I43))/1000</f>
        <v>-261317.30658862</v>
      </c>
      <c r="AW43" s="43" t="n">
        <f aca="false">(AW42*1.01625)+AV43</f>
        <v>-19386549.0515846</v>
      </c>
    </row>
    <row r="44" customFormat="false" ht="12.75" hidden="false" customHeight="false" outlineLevel="0" collapsed="false">
      <c r="A44" s="1" t="s">
        <v>194</v>
      </c>
      <c r="B44" s="42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G44" s="2" t="n">
        <v>14446344</v>
      </c>
      <c r="H44" s="2" t="n">
        <v>1028263</v>
      </c>
      <c r="I44" s="2" t="n">
        <f aca="false">+H44/G44*1000</f>
        <v>71.1780779967582</v>
      </c>
      <c r="J44" s="2"/>
      <c r="K44" s="5" t="n">
        <f aca="false">+C44/(C44+G44)</f>
        <v>0.567066801176642</v>
      </c>
      <c r="L44" s="2"/>
      <c r="M44" s="2" t="n">
        <v>68.2833333333334</v>
      </c>
      <c r="N44" s="2" t="n">
        <f aca="false">+M44*C44/1000</f>
        <v>1292069.86575</v>
      </c>
      <c r="O44" s="2" t="n">
        <f aca="false">+N44-D44</f>
        <v>19110.8657500003</v>
      </c>
      <c r="Q44" s="2" t="n">
        <f aca="false">+M44*G44/1000</f>
        <v>986444.5228</v>
      </c>
      <c r="R44" s="2" t="n">
        <f aca="false">+Q44-H44</f>
        <v>-41818.4771999999</v>
      </c>
      <c r="S44" s="2"/>
      <c r="T44" s="2"/>
      <c r="U44" s="2"/>
      <c r="V44" s="2"/>
      <c r="W44" s="2"/>
      <c r="X44" s="2"/>
      <c r="Y44" s="2" t="n">
        <v>43.9127688172043</v>
      </c>
      <c r="Z44" s="2" t="n">
        <f aca="false">+Y44*C44/1000</f>
        <v>830925.535421371</v>
      </c>
      <c r="AA44" s="2" t="n">
        <f aca="false">+Z44-D44</f>
        <v>-442033.464578629</v>
      </c>
      <c r="AC44" s="2" t="n">
        <f aca="false">+Y44*G44/1000</f>
        <v>634378.964325807</v>
      </c>
      <c r="AD44" s="2" t="n">
        <f aca="false">+AC44-H44</f>
        <v>-393884.035674194</v>
      </c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U44" s="38" t="n">
        <f aca="false">+E44-I44</f>
        <v>-3.90471606736158</v>
      </c>
      <c r="AV44" s="2" t="n">
        <f aca="false">+(C44*(E44-I44))/1000</f>
        <v>-73885.7597990882</v>
      </c>
      <c r="AW44" s="43" t="n">
        <f aca="false">(AW43*1.01625)+AV44</f>
        <v>-19775466.233472</v>
      </c>
    </row>
    <row r="45" customFormat="false" ht="12.75" hidden="false" customHeight="false" outlineLevel="0" collapsed="false">
      <c r="A45" s="1" t="s">
        <v>195</v>
      </c>
      <c r="B45" s="42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G45" s="2" t="n">
        <v>9928284</v>
      </c>
      <c r="H45" s="2" t="n">
        <v>705548</v>
      </c>
      <c r="I45" s="2" t="n">
        <f aca="false">+H45/G45*1000</f>
        <v>71.0644457793512</v>
      </c>
      <c r="J45" s="2"/>
      <c r="K45" s="5" t="n">
        <f aca="false">+C45/(C45+G45)</f>
        <v>0.650640012847972</v>
      </c>
      <c r="L45" s="2"/>
      <c r="M45" s="2" t="n">
        <v>37.95</v>
      </c>
      <c r="N45" s="2" t="n">
        <f aca="false">+M45*C45/1000</f>
        <v>701703.3936</v>
      </c>
      <c r="O45" s="2" t="n">
        <f aca="false">+N45-D45</f>
        <v>-396906.6064</v>
      </c>
      <c r="Q45" s="2" t="n">
        <f aca="false">+M45*G45/1000</f>
        <v>376778.3778</v>
      </c>
      <c r="R45" s="2" t="n">
        <f aca="false">+Q45-H45</f>
        <v>-328769.6222</v>
      </c>
      <c r="S45" s="2"/>
      <c r="T45" s="2"/>
      <c r="U45" s="2"/>
      <c r="V45" s="2"/>
      <c r="W45" s="2"/>
      <c r="X45" s="2"/>
      <c r="Y45" s="2" t="n">
        <v>36.7263888888889</v>
      </c>
      <c r="Z45" s="2" t="n">
        <f aca="false">+Y45*C45/1000</f>
        <v>679078.569644444</v>
      </c>
      <c r="AA45" s="2" t="n">
        <f aca="false">+Z45-D45</f>
        <v>-419531.430355556</v>
      </c>
      <c r="AC45" s="2" t="n">
        <f aca="false">+Y45*G45/1000</f>
        <v>364630.019183333</v>
      </c>
      <c r="AD45" s="2" t="n">
        <f aca="false">+AC45-H45</f>
        <v>-340917.980816667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U45" s="38" t="n">
        <f aca="false">+E45-I45</f>
        <v>-11.648672846997</v>
      </c>
      <c r="AV45" s="2" t="n">
        <f aca="false">+(C45*(E45-I45))/1000</f>
        <v>-215386.383864926</v>
      </c>
      <c r="AW45" s="43" t="n">
        <f aca="false">(AW44*1.01625)+AV45</f>
        <v>-20312203.9436308</v>
      </c>
    </row>
    <row r="47" customFormat="false" ht="12.75" hidden="false" customHeight="false" outlineLevel="0" collapsed="false">
      <c r="N47" s="2" t="n">
        <f aca="false">SUM(N8:N46)</f>
        <v>31723204.1366167</v>
      </c>
      <c r="O47" s="2" t="n">
        <f aca="false">SUM(O8:O46)</f>
        <v>-15954232.8633833</v>
      </c>
      <c r="Q47" s="2" t="n">
        <f aca="false">SUM(Q8:Q46)</f>
        <v>12192633.1526667</v>
      </c>
      <c r="R47" s="2" t="n">
        <f aca="false">SUM(R8:R46)</f>
        <v>-9845302.84733333</v>
      </c>
      <c r="Z47" s="2" t="n">
        <f aca="false">SUM(Z8:Z46)</f>
        <v>25867706.730914</v>
      </c>
      <c r="AA47" s="2" t="n">
        <f aca="false">SUM(AA8:AA46)</f>
        <v>-21809730.269086</v>
      </c>
    </row>
    <row r="49" customFormat="false" ht="12.75" hidden="false" customHeight="false" outlineLevel="0" collapsed="false">
      <c r="C49" s="2" t="s">
        <v>196</v>
      </c>
    </row>
    <row r="51" customFormat="false" ht="12.75" hidden="false" customHeight="false" outlineLevel="0" collapsed="false">
      <c r="A51" s="1" t="s">
        <v>191</v>
      </c>
      <c r="B51" s="42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193</v>
      </c>
      <c r="B52" s="42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194</v>
      </c>
      <c r="B53" s="42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195</v>
      </c>
      <c r="B54" s="42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191</v>
      </c>
      <c r="B55" s="42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193</v>
      </c>
      <c r="B56" s="42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194</v>
      </c>
      <c r="B57" s="42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195</v>
      </c>
      <c r="B58" s="42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191</v>
      </c>
      <c r="B59" s="42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193</v>
      </c>
      <c r="B60" s="42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194</v>
      </c>
      <c r="B61" s="42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195</v>
      </c>
      <c r="B62" s="42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  <row r="68" customFormat="false" ht="12.75" hidden="false" customHeight="false" outlineLevel="0" collapsed="false">
      <c r="A68" s="1" t="s">
        <v>197</v>
      </c>
      <c r="B68" s="1" t="s">
        <v>198</v>
      </c>
      <c r="D68" s="2" t="n">
        <v>37064</v>
      </c>
    </row>
    <row r="70" customFormat="false" ht="12.75" hidden="false" customHeight="false" outlineLevel="0" collapsed="false">
      <c r="C70" s="2" t="s">
        <v>172</v>
      </c>
    </row>
    <row r="71" customFormat="false" ht="12.75" hidden="false" customHeight="false" outlineLevel="0" collapsed="false">
      <c r="B71" s="1" t="s">
        <v>199</v>
      </c>
      <c r="C71" s="2" t="s">
        <v>200</v>
      </c>
      <c r="D71" s="2" t="s">
        <v>201</v>
      </c>
    </row>
    <row r="72" customFormat="false" ht="12.75" hidden="false" customHeight="false" outlineLevel="0" collapsed="false">
      <c r="B72" s="1" t="s">
        <v>202</v>
      </c>
      <c r="C72" s="2" t="s">
        <v>202</v>
      </c>
      <c r="D72" s="2" t="s">
        <v>202</v>
      </c>
      <c r="H72" s="2" t="s">
        <v>198</v>
      </c>
      <c r="R72" s="2"/>
      <c r="S72" s="2"/>
      <c r="T72" s="2"/>
      <c r="U72" s="2"/>
      <c r="V72" s="2"/>
      <c r="W72" s="2"/>
      <c r="X72" s="2"/>
      <c r="Y72" s="2" t="s">
        <v>198</v>
      </c>
    </row>
    <row r="73" customFormat="false" ht="12.75" hidden="false" customHeight="false" outlineLevel="0" collapsed="false">
      <c r="A73" s="1" t="s">
        <v>203</v>
      </c>
      <c r="R73" s="2"/>
      <c r="S73" s="2"/>
      <c r="T73" s="2"/>
      <c r="U73" s="2"/>
      <c r="V73" s="2"/>
      <c r="W73" s="2"/>
      <c r="X73" s="2"/>
    </row>
    <row r="74" customFormat="false" ht="12.75" hidden="false" customHeight="false" outlineLevel="0" collapsed="false">
      <c r="A74" s="45" t="n">
        <v>37103</v>
      </c>
      <c r="B74" s="46" t="n">
        <v>76</v>
      </c>
      <c r="C74" s="46" t="n">
        <v>86</v>
      </c>
      <c r="D74" s="46" t="n">
        <v>96</v>
      </c>
      <c r="F74" s="2" t="s">
        <v>194</v>
      </c>
      <c r="G74" s="47" t="n">
        <v>2001</v>
      </c>
      <c r="H74" s="2" t="n">
        <f aca="false">AVERAGE(D74:D76)</f>
        <v>97.6666666666667</v>
      </c>
      <c r="M74" s="48" t="n">
        <v>68.8064516129032</v>
      </c>
      <c r="O74" s="2" t="s">
        <v>194</v>
      </c>
      <c r="R74" s="47" t="n">
        <v>2001</v>
      </c>
      <c r="S74" s="47"/>
      <c r="T74" s="47"/>
      <c r="U74" s="47"/>
      <c r="V74" s="47"/>
      <c r="W74" s="47"/>
      <c r="X74" s="47"/>
      <c r="Y74" s="2" t="n">
        <f aca="false">AVERAGE(M74:M76)</f>
        <v>70.647311827957</v>
      </c>
    </row>
    <row r="75" customFormat="false" ht="12.75" hidden="false" customHeight="false" outlineLevel="0" collapsed="false">
      <c r="A75" s="45" t="n">
        <v>37104</v>
      </c>
      <c r="B75" s="46" t="n">
        <v>81</v>
      </c>
      <c r="C75" s="46" t="n">
        <v>91</v>
      </c>
      <c r="D75" s="46" t="n">
        <v>101</v>
      </c>
      <c r="F75" s="2" t="s">
        <v>195</v>
      </c>
      <c r="G75" s="47" t="n">
        <v>2001</v>
      </c>
      <c r="H75" s="2" t="n">
        <f aca="false">AVERAGE(D77:D79)</f>
        <v>71.6666666666667</v>
      </c>
      <c r="M75" s="48" t="n">
        <v>72.9354838709677</v>
      </c>
      <c r="O75" s="2" t="s">
        <v>195</v>
      </c>
      <c r="R75" s="47" t="n">
        <v>2001</v>
      </c>
      <c r="S75" s="47"/>
      <c r="T75" s="47"/>
      <c r="U75" s="47"/>
      <c r="V75" s="47"/>
      <c r="W75" s="47"/>
      <c r="X75" s="47"/>
      <c r="Y75" s="2" t="n">
        <f aca="false">AVERAGE(M77:M79)</f>
        <v>56.2231182795699</v>
      </c>
    </row>
    <row r="76" customFormat="false" ht="12.75" hidden="false" customHeight="false" outlineLevel="0" collapsed="false">
      <c r="A76" s="45" t="n">
        <v>37135</v>
      </c>
      <c r="B76" s="46" t="n">
        <v>76</v>
      </c>
      <c r="C76" s="46" t="n">
        <v>86</v>
      </c>
      <c r="D76" s="46" t="n">
        <v>96</v>
      </c>
      <c r="F76" s="2" t="s">
        <v>191</v>
      </c>
      <c r="G76" s="47" t="n">
        <v>2002</v>
      </c>
      <c r="H76" s="2" t="n">
        <f aca="false">AVERAGE(D80:D82)</f>
        <v>51.5</v>
      </c>
      <c r="M76" s="48" t="n">
        <v>70.2</v>
      </c>
      <c r="O76" s="2" t="s">
        <v>191</v>
      </c>
      <c r="R76" s="47" t="n">
        <v>2002</v>
      </c>
      <c r="S76" s="47"/>
      <c r="T76" s="47"/>
      <c r="U76" s="47"/>
      <c r="V76" s="47"/>
      <c r="W76" s="47"/>
      <c r="X76" s="47"/>
      <c r="Y76" s="2" t="n">
        <f aca="false">AVERAGE(M80:M82)</f>
        <v>53.2081413210445</v>
      </c>
    </row>
    <row r="77" customFormat="false" ht="12.75" hidden="false" customHeight="false" outlineLevel="0" collapsed="false">
      <c r="A77" s="45" t="n">
        <v>37165</v>
      </c>
      <c r="B77" s="46" t="n">
        <v>65</v>
      </c>
      <c r="C77" s="46" t="n">
        <v>75</v>
      </c>
      <c r="D77" s="46" t="n">
        <v>85</v>
      </c>
      <c r="F77" s="2" t="s">
        <v>193</v>
      </c>
      <c r="G77" s="47" t="n">
        <v>2002</v>
      </c>
      <c r="H77" s="2" t="n">
        <f aca="false">AVERAGE(D83:D85)</f>
        <v>50.5</v>
      </c>
      <c r="M77" s="48" t="n">
        <v>65.9677419354839</v>
      </c>
      <c r="O77" s="2" t="s">
        <v>193</v>
      </c>
      <c r="R77" s="47" t="n">
        <v>2002</v>
      </c>
      <c r="S77" s="47"/>
      <c r="T77" s="47"/>
      <c r="U77" s="47"/>
      <c r="V77" s="47"/>
      <c r="W77" s="47"/>
      <c r="X77" s="47"/>
      <c r="Y77" s="2" t="n">
        <f aca="false">AVERAGE(M83:M85)</f>
        <v>45.0820788530466</v>
      </c>
    </row>
    <row r="78" customFormat="false" ht="12.75" hidden="false" customHeight="false" outlineLevel="0" collapsed="false">
      <c r="A78" s="45" t="n">
        <v>37196</v>
      </c>
      <c r="B78" s="46" t="n">
        <v>45</v>
      </c>
      <c r="C78" s="46" t="n">
        <v>55</v>
      </c>
      <c r="D78" s="46" t="n">
        <v>65</v>
      </c>
      <c r="F78" s="2" t="s">
        <v>194</v>
      </c>
      <c r="G78" s="47" t="n">
        <v>2002</v>
      </c>
      <c r="H78" s="2" t="n">
        <f aca="false">AVERAGE(D86:D88)</f>
        <v>83.5</v>
      </c>
      <c r="M78" s="48" t="n">
        <v>51.25</v>
      </c>
      <c r="O78" s="2" t="s">
        <v>194</v>
      </c>
      <c r="R78" s="47" t="n">
        <v>2002</v>
      </c>
      <c r="S78" s="47"/>
      <c r="T78" s="47"/>
      <c r="U78" s="47"/>
      <c r="V78" s="47"/>
      <c r="W78" s="47"/>
      <c r="X78" s="47"/>
      <c r="Y78" s="2" t="n">
        <f aca="false">AVERAGE(M86:M88)</f>
        <v>56.7161290322581</v>
      </c>
    </row>
    <row r="79" customFormat="false" ht="12.75" hidden="false" customHeight="false" outlineLevel="0" collapsed="false">
      <c r="A79" s="45" t="n">
        <v>37226</v>
      </c>
      <c r="B79" s="46" t="n">
        <v>45</v>
      </c>
      <c r="C79" s="46" t="n">
        <v>55</v>
      </c>
      <c r="D79" s="46" t="n">
        <v>65</v>
      </c>
      <c r="F79" s="2" t="s">
        <v>195</v>
      </c>
      <c r="G79" s="47" t="n">
        <v>2002</v>
      </c>
      <c r="H79" s="2" t="n">
        <f aca="false">AVERAGE(D89:D91)</f>
        <v>46.5</v>
      </c>
      <c r="I79" s="8" t="n">
        <v>89</v>
      </c>
      <c r="J79" s="8" t="n">
        <v>91</v>
      </c>
      <c r="M79" s="48" t="n">
        <v>51.4516129032258</v>
      </c>
      <c r="O79" s="2" t="s">
        <v>195</v>
      </c>
      <c r="R79" s="47" t="n">
        <v>2002</v>
      </c>
      <c r="S79" s="47"/>
      <c r="T79" s="47"/>
      <c r="U79" s="47"/>
      <c r="V79" s="47"/>
      <c r="W79" s="47"/>
      <c r="X79" s="47"/>
      <c r="Y79" s="2" t="n">
        <f aca="false">AVERAGE(M89:M91)</f>
        <v>37.3808243727599</v>
      </c>
    </row>
    <row r="80" customFormat="false" ht="12.75" hidden="false" customHeight="false" outlineLevel="0" collapsed="false">
      <c r="A80" s="45" t="n">
        <v>37257</v>
      </c>
      <c r="B80" s="46" t="n">
        <v>57.75</v>
      </c>
      <c r="C80" s="46" t="n">
        <v>59</v>
      </c>
      <c r="D80" s="46" t="n">
        <v>63.5</v>
      </c>
      <c r="F80" s="2" t="s">
        <v>191</v>
      </c>
      <c r="G80" s="47" t="n">
        <v>2003</v>
      </c>
      <c r="H80" s="2" t="n">
        <f aca="false">AVERAGE(D92:D94)</f>
        <v>41.1666666666667</v>
      </c>
      <c r="I80" s="8" t="n">
        <f aca="false">+I79+3</f>
        <v>92</v>
      </c>
      <c r="J80" s="8" t="n">
        <f aca="false">+J79+3</f>
        <v>94</v>
      </c>
      <c r="M80" s="48" t="n">
        <v>64.1129032258065</v>
      </c>
      <c r="O80" s="2" t="s">
        <v>191</v>
      </c>
      <c r="R80" s="47" t="n">
        <v>2003</v>
      </c>
      <c r="S80" s="47"/>
      <c r="T80" s="47"/>
      <c r="U80" s="47"/>
      <c r="V80" s="47"/>
      <c r="W80" s="47"/>
      <c r="X80" s="47"/>
      <c r="Y80" s="2" t="n">
        <f aca="false">AVERAGE(M92:M94)</f>
        <v>34.6605222734255</v>
      </c>
    </row>
    <row r="81" customFormat="false" ht="12.75" hidden="false" customHeight="false" outlineLevel="0" collapsed="false">
      <c r="A81" s="45" t="n">
        <v>37288</v>
      </c>
      <c r="B81" s="46" t="n">
        <v>40.75</v>
      </c>
      <c r="C81" s="46" t="n">
        <v>42</v>
      </c>
      <c r="D81" s="46" t="n">
        <v>46.5</v>
      </c>
      <c r="F81" s="2" t="s">
        <v>193</v>
      </c>
      <c r="G81" s="47" t="n">
        <v>2003</v>
      </c>
      <c r="H81" s="2" t="n">
        <f aca="false">AVERAGE(D95:D97)</f>
        <v>37.8333333333333</v>
      </c>
      <c r="I81" s="8" t="n">
        <f aca="false">+I80+3</f>
        <v>95</v>
      </c>
      <c r="J81" s="8" t="n">
        <f aca="false">+J80+3</f>
        <v>97</v>
      </c>
      <c r="M81" s="48" t="n">
        <v>49.2857142857143</v>
      </c>
      <c r="O81" s="2" t="s">
        <v>193</v>
      </c>
      <c r="R81" s="47" t="n">
        <v>2003</v>
      </c>
      <c r="S81" s="47"/>
      <c r="T81" s="47"/>
      <c r="U81" s="47"/>
      <c r="V81" s="47"/>
      <c r="W81" s="47"/>
      <c r="X81" s="47"/>
      <c r="Y81" s="2" t="n">
        <f aca="false">AVERAGE(M95:M97)</f>
        <v>34.9718637992832</v>
      </c>
    </row>
    <row r="82" customFormat="false" ht="12.75" hidden="false" customHeight="false" outlineLevel="0" collapsed="false">
      <c r="A82" s="45" t="n">
        <v>37316</v>
      </c>
      <c r="B82" s="46" t="n">
        <v>38.75</v>
      </c>
      <c r="C82" s="46" t="n">
        <v>40</v>
      </c>
      <c r="D82" s="46" t="n">
        <v>44.5</v>
      </c>
      <c r="F82" s="2" t="s">
        <v>194</v>
      </c>
      <c r="G82" s="47" t="n">
        <v>2003</v>
      </c>
      <c r="H82" s="2" t="n">
        <f aca="false">AVERAGE(D98:D100)</f>
        <v>68.5</v>
      </c>
      <c r="I82" s="8" t="n">
        <f aca="false">+I81+3</f>
        <v>98</v>
      </c>
      <c r="J82" s="8" t="n">
        <f aca="false">+J81+3</f>
        <v>100</v>
      </c>
      <c r="M82" s="48" t="n">
        <v>46.2258064516129</v>
      </c>
      <c r="O82" s="2" t="s">
        <v>194</v>
      </c>
      <c r="R82" s="47" t="n">
        <v>2003</v>
      </c>
      <c r="S82" s="47"/>
      <c r="T82" s="47"/>
      <c r="U82" s="47"/>
      <c r="V82" s="47"/>
      <c r="W82" s="47"/>
      <c r="X82" s="47"/>
      <c r="Y82" s="2" t="n">
        <f aca="false">AVERAGE(M98:M100)</f>
        <v>47.4829749103943</v>
      </c>
    </row>
    <row r="83" customFormat="false" ht="12.75" hidden="false" customHeight="false" outlineLevel="0" collapsed="false">
      <c r="A83" s="45" t="n">
        <v>37347</v>
      </c>
      <c r="B83" s="46" t="n">
        <v>38.75</v>
      </c>
      <c r="C83" s="46" t="n">
        <v>40</v>
      </c>
      <c r="D83" s="46" t="n">
        <v>44.5</v>
      </c>
      <c r="F83" s="2" t="s">
        <v>195</v>
      </c>
      <c r="G83" s="47" t="n">
        <v>2003</v>
      </c>
      <c r="H83" s="2" t="n">
        <f aca="false">AVERAGE(D101:D103)</f>
        <v>36.1666666666667</v>
      </c>
      <c r="I83" s="8" t="n">
        <f aca="false">+I82+3</f>
        <v>101</v>
      </c>
      <c r="J83" s="8" t="n">
        <f aca="false">+J82+3</f>
        <v>103</v>
      </c>
      <c r="M83" s="48" t="n">
        <v>43.1333333333333</v>
      </c>
      <c r="O83" s="2" t="s">
        <v>195</v>
      </c>
      <c r="R83" s="47" t="n">
        <v>2003</v>
      </c>
      <c r="S83" s="47"/>
      <c r="T83" s="47"/>
      <c r="U83" s="47"/>
      <c r="V83" s="47"/>
      <c r="W83" s="47"/>
      <c r="X83" s="47"/>
      <c r="Y83" s="2" t="n">
        <f aca="false">AVERAGE(M101:M103)</f>
        <v>35.0956989247312</v>
      </c>
    </row>
    <row r="84" customFormat="false" ht="12.75" hidden="false" customHeight="false" outlineLevel="0" collapsed="false">
      <c r="A84" s="45" t="n">
        <v>37377</v>
      </c>
      <c r="B84" s="46" t="n">
        <v>42.75</v>
      </c>
      <c r="C84" s="46" t="n">
        <v>44</v>
      </c>
      <c r="D84" s="46" t="n">
        <v>48.5</v>
      </c>
      <c r="F84" s="2" t="s">
        <v>191</v>
      </c>
      <c r="G84" s="47" t="n">
        <v>2004</v>
      </c>
      <c r="H84" s="2" t="n">
        <f aca="false">AVERAGE(D104:D106)</f>
        <v>35.8333333333333</v>
      </c>
      <c r="I84" s="8" t="n">
        <f aca="false">+I83+3</f>
        <v>104</v>
      </c>
      <c r="J84" s="8" t="n">
        <f aca="false">+J83+3</f>
        <v>106</v>
      </c>
      <c r="M84" s="48" t="n">
        <v>42.6129032258065</v>
      </c>
      <c r="O84" s="2" t="s">
        <v>191</v>
      </c>
      <c r="R84" s="47" t="n">
        <v>2004</v>
      </c>
      <c r="S84" s="47"/>
      <c r="T84" s="47"/>
      <c r="U84" s="47"/>
      <c r="V84" s="47"/>
      <c r="W84" s="47"/>
      <c r="X84" s="47"/>
      <c r="Y84" s="2" t="n">
        <f aca="false">AVERAGE(M104:M106)</f>
        <v>33.677048572488</v>
      </c>
    </row>
    <row r="85" customFormat="false" ht="12.75" hidden="false" customHeight="false" outlineLevel="0" collapsed="false">
      <c r="A85" s="45" t="n">
        <v>37408</v>
      </c>
      <c r="B85" s="46" t="n">
        <v>52.75</v>
      </c>
      <c r="C85" s="46" t="n">
        <v>54</v>
      </c>
      <c r="D85" s="46" t="n">
        <v>58.5</v>
      </c>
      <c r="F85" s="2" t="s">
        <v>193</v>
      </c>
      <c r="G85" s="47" t="n">
        <v>2004</v>
      </c>
      <c r="H85" s="2" t="n">
        <f aca="false">AVERAGE(D107:D109)</f>
        <v>39.5</v>
      </c>
      <c r="I85" s="8" t="n">
        <f aca="false">+I84+3</f>
        <v>107</v>
      </c>
      <c r="J85" s="8" t="n">
        <f aca="false">+J84+3</f>
        <v>109</v>
      </c>
      <c r="M85" s="48" t="n">
        <v>49.5</v>
      </c>
      <c r="O85" s="2" t="s">
        <v>193</v>
      </c>
      <c r="R85" s="47" t="n">
        <v>2004</v>
      </c>
      <c r="S85" s="47"/>
      <c r="T85" s="47"/>
      <c r="U85" s="47"/>
      <c r="V85" s="47"/>
      <c r="W85" s="47"/>
      <c r="X85" s="47"/>
      <c r="Y85" s="2" t="n">
        <f aca="false">AVERAGE(M107:M109)</f>
        <v>34.6731182795699</v>
      </c>
    </row>
    <row r="86" customFormat="false" ht="12.75" hidden="false" customHeight="false" outlineLevel="0" collapsed="false">
      <c r="A86" s="45" t="n">
        <v>37438</v>
      </c>
      <c r="B86" s="46" t="n">
        <v>80.75</v>
      </c>
      <c r="C86" s="46" t="n">
        <v>82</v>
      </c>
      <c r="D86" s="46" t="n">
        <v>86.5</v>
      </c>
      <c r="F86" s="2" t="s">
        <v>194</v>
      </c>
      <c r="G86" s="47" t="n">
        <v>2004</v>
      </c>
      <c r="H86" s="2" t="n">
        <f aca="false">AVERAGE(D110:D112)</f>
        <v>65.8333333333333</v>
      </c>
      <c r="I86" s="8" t="n">
        <f aca="false">+I85+3</f>
        <v>110</v>
      </c>
      <c r="J86" s="8" t="n">
        <f aca="false">+J85+3</f>
        <v>112</v>
      </c>
      <c r="M86" s="48" t="n">
        <v>55.9032258064516</v>
      </c>
      <c r="O86" s="2" t="s">
        <v>194</v>
      </c>
      <c r="R86" s="47" t="n">
        <v>2004</v>
      </c>
      <c r="S86" s="47"/>
      <c r="T86" s="47"/>
      <c r="U86" s="47"/>
      <c r="V86" s="47"/>
      <c r="W86" s="47"/>
      <c r="X86" s="47"/>
      <c r="Y86" s="2" t="n">
        <f aca="false">AVERAGE(M110:M112)</f>
        <v>41.0636200716846</v>
      </c>
    </row>
    <row r="87" customFormat="false" ht="12.75" hidden="false" customHeight="false" outlineLevel="0" collapsed="false">
      <c r="A87" s="45" t="n">
        <v>37469</v>
      </c>
      <c r="B87" s="46" t="n">
        <v>85.75</v>
      </c>
      <c r="C87" s="46" t="n">
        <v>87</v>
      </c>
      <c r="D87" s="46" t="n">
        <v>91.5</v>
      </c>
      <c r="F87" s="2" t="s">
        <v>195</v>
      </c>
      <c r="G87" s="47" t="n">
        <v>2004</v>
      </c>
      <c r="H87" s="2" t="n">
        <f aca="false">AVERAGE(D113:D115)</f>
        <v>35.5</v>
      </c>
      <c r="I87" s="8" t="n">
        <f aca="false">+I86+3</f>
        <v>113</v>
      </c>
      <c r="J87" s="8" t="n">
        <f aca="false">+J86+3</f>
        <v>115</v>
      </c>
      <c r="M87" s="48" t="n">
        <v>61.6451612903226</v>
      </c>
      <c r="O87" s="2" t="s">
        <v>195</v>
      </c>
      <c r="R87" s="47" t="n">
        <v>2004</v>
      </c>
      <c r="S87" s="47"/>
      <c r="T87" s="47"/>
      <c r="U87" s="47"/>
      <c r="V87" s="47"/>
      <c r="W87" s="47"/>
      <c r="X87" s="47"/>
      <c r="Y87" s="2" t="n">
        <f aca="false">AVERAGE(M113:M115)</f>
        <v>33.8772401433692</v>
      </c>
    </row>
    <row r="88" customFormat="false" ht="12.75" hidden="false" customHeight="false" outlineLevel="0" collapsed="false">
      <c r="A88" s="45" t="n">
        <v>37500</v>
      </c>
      <c r="B88" s="46" t="n">
        <v>66.75</v>
      </c>
      <c r="C88" s="46" t="n">
        <v>68</v>
      </c>
      <c r="D88" s="46" t="n">
        <v>72.5</v>
      </c>
      <c r="F88" s="2" t="s">
        <v>191</v>
      </c>
      <c r="G88" s="47" t="n">
        <v>2005</v>
      </c>
      <c r="H88" s="2" t="n">
        <f aca="false">AVERAGE(D116:D118)</f>
        <v>35.8333333333333</v>
      </c>
      <c r="I88" s="8" t="n">
        <f aca="false">+I87+3</f>
        <v>116</v>
      </c>
      <c r="J88" s="8" t="n">
        <f aca="false">+J87+3</f>
        <v>118</v>
      </c>
      <c r="M88" s="48" t="n">
        <v>52.6</v>
      </c>
      <c r="O88" s="2" t="s">
        <v>191</v>
      </c>
      <c r="R88" s="47" t="n">
        <v>2005</v>
      </c>
      <c r="S88" s="47"/>
      <c r="T88" s="47"/>
      <c r="U88" s="47"/>
      <c r="V88" s="47"/>
      <c r="W88" s="47"/>
      <c r="X88" s="47"/>
      <c r="Y88" s="2" t="n">
        <f aca="false">AVERAGE(M116:M118)</f>
        <v>33.6551459293395</v>
      </c>
    </row>
    <row r="89" customFormat="false" ht="12.75" hidden="false" customHeight="false" outlineLevel="0" collapsed="false">
      <c r="A89" s="45" t="n">
        <v>37530</v>
      </c>
      <c r="B89" s="46" t="n">
        <v>45.75</v>
      </c>
      <c r="C89" s="46" t="n">
        <v>47</v>
      </c>
      <c r="D89" s="46" t="n">
        <v>51.5</v>
      </c>
      <c r="F89" s="2" t="s">
        <v>193</v>
      </c>
      <c r="G89" s="47" t="n">
        <v>2005</v>
      </c>
      <c r="H89" s="2" t="n">
        <f aca="false">AVERAGE(D119:D121)</f>
        <v>39.5</v>
      </c>
      <c r="I89" s="8" t="n">
        <f aca="false">+I88+3</f>
        <v>119</v>
      </c>
      <c r="J89" s="8" t="n">
        <f aca="false">+J88+3</f>
        <v>121</v>
      </c>
      <c r="M89" s="48" t="n">
        <v>40.4516129032258</v>
      </c>
      <c r="O89" s="2" t="s">
        <v>193</v>
      </c>
      <c r="R89" s="47" t="n">
        <v>2005</v>
      </c>
      <c r="S89" s="47"/>
      <c r="T89" s="47"/>
      <c r="U89" s="47"/>
      <c r="V89" s="47"/>
      <c r="W89" s="47"/>
      <c r="X89" s="47"/>
      <c r="Y89" s="2" t="n">
        <f aca="false">AVERAGE(M119:M121)</f>
        <v>34.6731182795699</v>
      </c>
    </row>
    <row r="90" customFormat="false" ht="12.75" hidden="false" customHeight="false" outlineLevel="0" collapsed="false">
      <c r="A90" s="45" t="n">
        <v>37561</v>
      </c>
      <c r="B90" s="46" t="n">
        <v>37.75</v>
      </c>
      <c r="C90" s="46" t="n">
        <v>39</v>
      </c>
      <c r="D90" s="46" t="n">
        <v>43.5</v>
      </c>
      <c r="F90" s="2" t="s">
        <v>194</v>
      </c>
      <c r="G90" s="47" t="n">
        <v>2005</v>
      </c>
      <c r="H90" s="2" t="n">
        <f aca="false">AVERAGE(D122:D124)</f>
        <v>65.8333333333333</v>
      </c>
      <c r="I90" s="8" t="n">
        <f aca="false">+I89+3</f>
        <v>122</v>
      </c>
      <c r="J90" s="8" t="n">
        <f aca="false">+J89+3</f>
        <v>124</v>
      </c>
      <c r="M90" s="48" t="n">
        <v>35.9166666666667</v>
      </c>
      <c r="O90" s="2" t="s">
        <v>194</v>
      </c>
      <c r="R90" s="47" t="n">
        <v>2005</v>
      </c>
      <c r="S90" s="47"/>
      <c r="T90" s="47"/>
      <c r="U90" s="47"/>
      <c r="V90" s="47"/>
      <c r="W90" s="47"/>
      <c r="X90" s="47"/>
      <c r="Y90" s="2" t="n">
        <f aca="false">AVERAGE(M122:M124)</f>
        <v>41.1012544802867</v>
      </c>
    </row>
    <row r="91" customFormat="false" ht="12.75" hidden="false" customHeight="false" outlineLevel="0" collapsed="false">
      <c r="A91" s="45" t="n">
        <v>37591</v>
      </c>
      <c r="B91" s="46" t="n">
        <v>38.75</v>
      </c>
      <c r="C91" s="46" t="n">
        <v>40</v>
      </c>
      <c r="D91" s="46" t="n">
        <v>44.5</v>
      </c>
      <c r="F91" s="2" t="s">
        <v>195</v>
      </c>
      <c r="G91" s="47" t="n">
        <v>2005</v>
      </c>
      <c r="H91" s="2" t="n">
        <f aca="false">AVERAGE(D125:D127)</f>
        <v>35.5</v>
      </c>
      <c r="I91" s="8" t="n">
        <f aca="false">+I90+3</f>
        <v>125</v>
      </c>
      <c r="J91" s="8" t="n">
        <f aca="false">+J90+3</f>
        <v>127</v>
      </c>
      <c r="M91" s="48" t="n">
        <v>35.7741935483871</v>
      </c>
      <c r="O91" s="2" t="s">
        <v>195</v>
      </c>
      <c r="R91" s="47" t="n">
        <v>2005</v>
      </c>
      <c r="S91" s="47"/>
      <c r="T91" s="47"/>
      <c r="U91" s="47"/>
      <c r="V91" s="47"/>
      <c r="W91" s="47"/>
      <c r="X91" s="47"/>
      <c r="Y91" s="2" t="n">
        <f aca="false">AVERAGE(M125:M127)</f>
        <v>33.8772401433692</v>
      </c>
    </row>
    <row r="92" customFormat="false" ht="12.75" hidden="false" customHeight="false" outlineLevel="0" collapsed="false">
      <c r="A92" s="45" t="n">
        <v>37622</v>
      </c>
      <c r="B92" s="46" t="n">
        <v>36.5</v>
      </c>
      <c r="C92" s="46" t="n">
        <v>38</v>
      </c>
      <c r="D92" s="46" t="n">
        <v>42.5</v>
      </c>
      <c r="F92" s="2" t="s">
        <v>191</v>
      </c>
      <c r="G92" s="47" t="n">
        <v>2006</v>
      </c>
      <c r="H92" s="2" t="n">
        <f aca="false">AVERAGE(D128:D130)</f>
        <v>36.0833333333333</v>
      </c>
      <c r="I92" s="8" t="n">
        <f aca="false">+I91+3</f>
        <v>128</v>
      </c>
      <c r="J92" s="8" t="n">
        <f aca="false">+J91+3</f>
        <v>130</v>
      </c>
      <c r="M92" s="48" t="n">
        <v>38.7741935483871</v>
      </c>
      <c r="O92" s="2" t="s">
        <v>191</v>
      </c>
      <c r="R92" s="47" t="n">
        <v>2006</v>
      </c>
      <c r="S92" s="47"/>
      <c r="T92" s="47"/>
      <c r="U92" s="47"/>
      <c r="V92" s="47"/>
      <c r="W92" s="47"/>
      <c r="X92" s="47"/>
      <c r="Y92" s="2" t="n">
        <f aca="false">AVERAGE(M128:M130)</f>
        <v>33.793509984639</v>
      </c>
    </row>
    <row r="93" customFormat="false" ht="12.75" hidden="false" customHeight="false" outlineLevel="0" collapsed="false">
      <c r="A93" s="45" t="n">
        <v>37653</v>
      </c>
      <c r="B93" s="46" t="n">
        <v>35.5</v>
      </c>
      <c r="C93" s="46" t="n">
        <v>37</v>
      </c>
      <c r="D93" s="46" t="n">
        <v>41.5</v>
      </c>
      <c r="F93" s="2" t="s">
        <v>193</v>
      </c>
      <c r="G93" s="47" t="n">
        <v>2006</v>
      </c>
      <c r="H93" s="2" t="n">
        <f aca="false">AVERAGE(D131:D133)</f>
        <v>39.75</v>
      </c>
      <c r="I93" s="8" t="n">
        <f aca="false">+I92+3</f>
        <v>131</v>
      </c>
      <c r="J93" s="8" t="n">
        <f aca="false">+J92+3</f>
        <v>133</v>
      </c>
      <c r="M93" s="48" t="n">
        <v>33.6428571428571</v>
      </c>
      <c r="O93" s="2" t="s">
        <v>193</v>
      </c>
      <c r="R93" s="47" t="n">
        <v>2006</v>
      </c>
      <c r="S93" s="47"/>
      <c r="T93" s="47"/>
      <c r="U93" s="47"/>
      <c r="V93" s="47"/>
      <c r="W93" s="47"/>
      <c r="X93" s="47"/>
      <c r="Y93" s="2" t="n">
        <f aca="false">AVERAGE(M131:M133)</f>
        <v>34.8216218637993</v>
      </c>
    </row>
    <row r="94" customFormat="false" ht="12.75" hidden="false" customHeight="false" outlineLevel="0" collapsed="false">
      <c r="A94" s="45" t="n">
        <v>37681</v>
      </c>
      <c r="B94" s="46" t="n">
        <v>33.5</v>
      </c>
      <c r="C94" s="46" t="n">
        <v>35</v>
      </c>
      <c r="D94" s="46" t="n">
        <v>39.5</v>
      </c>
      <c r="F94" s="2" t="s">
        <v>194</v>
      </c>
      <c r="G94" s="47" t="n">
        <v>2006</v>
      </c>
      <c r="H94" s="2" t="n">
        <f aca="false">AVERAGE(D134:D136)</f>
        <v>66.0833333333333</v>
      </c>
      <c r="I94" s="8" t="n">
        <f aca="false">+I93+3</f>
        <v>134</v>
      </c>
      <c r="J94" s="8" t="n">
        <f aca="false">+J93+3</f>
        <v>136</v>
      </c>
      <c r="M94" s="48" t="n">
        <v>31.5645161290323</v>
      </c>
      <c r="O94" s="2" t="s">
        <v>194</v>
      </c>
      <c r="R94" s="47" t="n">
        <v>2006</v>
      </c>
      <c r="S94" s="47"/>
      <c r="T94" s="47"/>
      <c r="U94" s="47"/>
      <c r="V94" s="47"/>
      <c r="W94" s="47"/>
      <c r="X94" s="47"/>
      <c r="Y94" s="2" t="n">
        <f aca="false">AVERAGE(M134:M136)</f>
        <v>41.239023297491</v>
      </c>
    </row>
    <row r="95" customFormat="false" ht="12.75" hidden="false" customHeight="false" outlineLevel="0" collapsed="false">
      <c r="A95" s="45" t="n">
        <v>37712</v>
      </c>
      <c r="B95" s="46" t="n">
        <v>28.5</v>
      </c>
      <c r="C95" s="46" t="n">
        <v>30</v>
      </c>
      <c r="D95" s="46" t="n">
        <v>34.5</v>
      </c>
      <c r="F95" s="2" t="s">
        <v>195</v>
      </c>
      <c r="G95" s="47" t="n">
        <v>2006</v>
      </c>
      <c r="H95" s="2" t="n">
        <f aca="false">AVERAGE(D137:D139)</f>
        <v>35.75</v>
      </c>
      <c r="I95" s="8" t="n">
        <f aca="false">+I94+3</f>
        <v>137</v>
      </c>
      <c r="J95" s="8" t="n">
        <f aca="false">+J94+3</f>
        <v>139</v>
      </c>
      <c r="M95" s="48" t="n">
        <v>32.4666666666667</v>
      </c>
      <c r="O95" s="2" t="s">
        <v>195</v>
      </c>
      <c r="R95" s="47" t="n">
        <v>2006</v>
      </c>
      <c r="S95" s="47"/>
      <c r="T95" s="47"/>
      <c r="U95" s="47"/>
      <c r="V95" s="47"/>
      <c r="W95" s="47"/>
      <c r="X95" s="47"/>
      <c r="Y95" s="2" t="n">
        <f aca="false">AVERAGE(M137:M139)</f>
        <v>34.1486111111111</v>
      </c>
    </row>
    <row r="96" customFormat="false" ht="12.75" hidden="false" customHeight="false" outlineLevel="0" collapsed="false">
      <c r="A96" s="45" t="n">
        <v>37742</v>
      </c>
      <c r="B96" s="46" t="n">
        <v>29.5</v>
      </c>
      <c r="C96" s="46" t="n">
        <v>31</v>
      </c>
      <c r="D96" s="46" t="n">
        <v>35.5</v>
      </c>
      <c r="F96" s="2" t="s">
        <v>191</v>
      </c>
      <c r="G96" s="47" t="n">
        <v>2007</v>
      </c>
      <c r="H96" s="2" t="n">
        <f aca="false">AVERAGE(D140:D142)</f>
        <v>36.9333333333333</v>
      </c>
      <c r="I96" s="8" t="n">
        <f aca="false">+I95+3</f>
        <v>140</v>
      </c>
      <c r="J96" s="8" t="n">
        <f aca="false">+J95+3</f>
        <v>142</v>
      </c>
      <c r="M96" s="48" t="n">
        <v>32.5322580645161</v>
      </c>
      <c r="O96" s="2" t="s">
        <v>191</v>
      </c>
      <c r="R96" s="47" t="n">
        <v>2007</v>
      </c>
      <c r="S96" s="47"/>
      <c r="T96" s="47"/>
      <c r="U96" s="47"/>
      <c r="V96" s="47"/>
      <c r="W96" s="47"/>
      <c r="X96" s="47"/>
      <c r="Y96" s="2" t="n">
        <f aca="false">AVERAGE(M140:M142)</f>
        <v>34.8848694316436</v>
      </c>
    </row>
    <row r="97" customFormat="false" ht="12.75" hidden="false" customHeight="false" outlineLevel="0" collapsed="false">
      <c r="A97" s="45" t="n">
        <v>37773</v>
      </c>
      <c r="B97" s="46" t="n">
        <v>37.5</v>
      </c>
      <c r="C97" s="46" t="n">
        <v>39</v>
      </c>
      <c r="D97" s="46" t="n">
        <v>43.5</v>
      </c>
      <c r="F97" s="2" t="s">
        <v>193</v>
      </c>
      <c r="G97" s="47" t="n">
        <v>2007</v>
      </c>
      <c r="H97" s="2" t="n">
        <f aca="false">AVERAGE(D143:D145)</f>
        <v>40.6</v>
      </c>
      <c r="I97" s="8" t="n">
        <f aca="false">+I96+3</f>
        <v>143</v>
      </c>
      <c r="J97" s="8" t="n">
        <f aca="false">+J96+3</f>
        <v>145</v>
      </c>
      <c r="M97" s="48" t="n">
        <v>39.9166666666667</v>
      </c>
      <c r="O97" s="2" t="s">
        <v>193</v>
      </c>
      <c r="R97" s="47" t="n">
        <v>2007</v>
      </c>
      <c r="S97" s="47"/>
      <c r="T97" s="47"/>
      <c r="U97" s="47"/>
      <c r="V97" s="47"/>
      <c r="W97" s="47"/>
      <c r="X97" s="47"/>
      <c r="Y97" s="2" t="n">
        <f aca="false">AVERAGE(M143:M145)</f>
        <v>36.0024014336918</v>
      </c>
    </row>
    <row r="98" customFormat="false" ht="12.75" hidden="false" customHeight="false" outlineLevel="0" collapsed="false">
      <c r="A98" s="45" t="n">
        <v>37803</v>
      </c>
      <c r="B98" s="46" t="n">
        <v>60.5</v>
      </c>
      <c r="C98" s="46" t="n">
        <v>62</v>
      </c>
      <c r="D98" s="46" t="n">
        <v>66.5</v>
      </c>
      <c r="F98" s="2" t="s">
        <v>194</v>
      </c>
      <c r="G98" s="47" t="n">
        <v>2007</v>
      </c>
      <c r="H98" s="2" t="n">
        <f aca="false">AVERAGE(D146:D148)</f>
        <v>66.9333333333333</v>
      </c>
      <c r="I98" s="8" t="n">
        <f aca="false">+I97+3</f>
        <v>146</v>
      </c>
      <c r="J98" s="8" t="n">
        <f aca="false">+J97+3</f>
        <v>148</v>
      </c>
      <c r="M98" s="48" t="n">
        <v>46.1935483870968</v>
      </c>
      <c r="O98" s="2" t="s">
        <v>194</v>
      </c>
      <c r="R98" s="47" t="n">
        <v>2007</v>
      </c>
      <c r="S98" s="47"/>
      <c r="T98" s="47"/>
      <c r="U98" s="47"/>
      <c r="V98" s="47"/>
      <c r="W98" s="47"/>
      <c r="X98" s="47"/>
      <c r="Y98" s="2" t="n">
        <f aca="false">AVERAGE(M146:M148)</f>
        <v>42.4108602150538</v>
      </c>
    </row>
    <row r="99" customFormat="false" ht="12.75" hidden="false" customHeight="false" outlineLevel="0" collapsed="false">
      <c r="A99" s="45" t="n">
        <v>37834</v>
      </c>
      <c r="B99" s="46" t="n">
        <v>73.5</v>
      </c>
      <c r="C99" s="46" t="n">
        <v>75</v>
      </c>
      <c r="D99" s="46" t="n">
        <v>79.5</v>
      </c>
      <c r="F99" s="2" t="s">
        <v>195</v>
      </c>
      <c r="G99" s="47" t="n">
        <v>2007</v>
      </c>
      <c r="H99" s="2" t="n">
        <f aca="false">AVERAGE(D149:D151)</f>
        <v>36.6</v>
      </c>
      <c r="I99" s="8" t="n">
        <f aca="false">+I98+3</f>
        <v>149</v>
      </c>
      <c r="J99" s="8" t="n">
        <f aca="false">+J98+3</f>
        <v>151</v>
      </c>
      <c r="M99" s="48" t="n">
        <v>48.3387096774194</v>
      </c>
      <c r="O99" s="2" t="s">
        <v>195</v>
      </c>
      <c r="R99" s="47" t="n">
        <v>2007</v>
      </c>
      <c r="S99" s="47"/>
      <c r="T99" s="47"/>
      <c r="U99" s="47"/>
      <c r="V99" s="47"/>
      <c r="W99" s="47"/>
      <c r="X99" s="47"/>
      <c r="Y99" s="2" t="n">
        <f aca="false">AVERAGE(M149:M151)</f>
        <v>35.2268817204301</v>
      </c>
    </row>
    <row r="100" customFormat="false" ht="12.75" hidden="false" customHeight="false" outlineLevel="0" collapsed="false">
      <c r="A100" s="45" t="n">
        <v>37865</v>
      </c>
      <c r="B100" s="46" t="n">
        <v>53.5</v>
      </c>
      <c r="C100" s="46" t="n">
        <v>55</v>
      </c>
      <c r="D100" s="46" t="n">
        <v>59.5</v>
      </c>
      <c r="F100" s="2" t="s">
        <v>191</v>
      </c>
      <c r="G100" s="47" t="n">
        <v>2008</v>
      </c>
      <c r="H100" s="2" t="n">
        <f aca="false">AVERAGE(D152:D154)</f>
        <v>37.2833333333333</v>
      </c>
      <c r="I100" s="8" t="n">
        <f aca="false">+I99+3</f>
        <v>152</v>
      </c>
      <c r="J100" s="8" t="n">
        <f aca="false">+J99+3</f>
        <v>154</v>
      </c>
      <c r="M100" s="48" t="n">
        <v>47.9166666666667</v>
      </c>
      <c r="O100" s="2" t="s">
        <v>191</v>
      </c>
      <c r="R100" s="47" t="n">
        <v>2008</v>
      </c>
      <c r="S100" s="47"/>
      <c r="T100" s="47"/>
      <c r="U100" s="47"/>
      <c r="V100" s="47"/>
      <c r="W100" s="47"/>
      <c r="X100" s="47"/>
      <c r="Y100" s="2" t="n">
        <f aca="false">AVERAGE(M152:M154)</f>
        <v>35.1847608453838</v>
      </c>
    </row>
    <row r="101" customFormat="false" ht="12.75" hidden="false" customHeight="false" outlineLevel="0" collapsed="false">
      <c r="A101" s="45" t="n">
        <v>37895</v>
      </c>
      <c r="B101" s="46" t="n">
        <v>34.5</v>
      </c>
      <c r="C101" s="46" t="n">
        <v>36</v>
      </c>
      <c r="D101" s="46" t="n">
        <v>40.5</v>
      </c>
      <c r="F101" s="2" t="s">
        <v>193</v>
      </c>
      <c r="G101" s="47" t="n">
        <v>2008</v>
      </c>
      <c r="H101" s="2" t="n">
        <f aca="false">AVERAGE(D155:D157)</f>
        <v>40.95</v>
      </c>
      <c r="I101" s="8" t="n">
        <f aca="false">+I100+3</f>
        <v>155</v>
      </c>
      <c r="J101" s="8" t="n">
        <f aca="false">+J100+3</f>
        <v>157</v>
      </c>
      <c r="M101" s="48" t="n">
        <v>36.2903225806452</v>
      </c>
      <c r="O101" s="2" t="s">
        <v>193</v>
      </c>
      <c r="R101" s="47" t="n">
        <v>2008</v>
      </c>
      <c r="S101" s="47"/>
      <c r="T101" s="47"/>
      <c r="U101" s="47"/>
      <c r="V101" s="47"/>
      <c r="W101" s="47"/>
      <c r="X101" s="47"/>
      <c r="Y101" s="2" t="n">
        <f aca="false">AVERAGE(M155:M157)</f>
        <v>36.0276254480287</v>
      </c>
    </row>
    <row r="102" customFormat="false" ht="12.75" hidden="false" customHeight="false" outlineLevel="0" collapsed="false">
      <c r="A102" s="45" t="n">
        <v>37926</v>
      </c>
      <c r="B102" s="46" t="n">
        <v>27.5</v>
      </c>
      <c r="C102" s="46" t="n">
        <v>29</v>
      </c>
      <c r="D102" s="46" t="n">
        <v>33.5</v>
      </c>
      <c r="F102" s="2" t="s">
        <v>194</v>
      </c>
      <c r="G102" s="47" t="n">
        <v>2008</v>
      </c>
      <c r="H102" s="2" t="n">
        <f aca="false">AVERAGE(D158:D160)</f>
        <v>67.2833333333334</v>
      </c>
      <c r="I102" s="8" t="n">
        <f aca="false">+I101+3</f>
        <v>158</v>
      </c>
      <c r="J102" s="8" t="n">
        <f aca="false">+J101+3</f>
        <v>160</v>
      </c>
      <c r="M102" s="48" t="n">
        <v>34.9</v>
      </c>
      <c r="O102" s="2" t="s">
        <v>194</v>
      </c>
      <c r="R102" s="47" t="n">
        <v>2008</v>
      </c>
      <c r="S102" s="47"/>
      <c r="T102" s="47"/>
      <c r="U102" s="47"/>
      <c r="V102" s="47"/>
      <c r="W102" s="47"/>
      <c r="X102" s="47"/>
      <c r="Y102" s="2" t="n">
        <f aca="false">AVERAGE(M158:M160)</f>
        <v>42.5606182795699</v>
      </c>
    </row>
    <row r="103" customFormat="false" ht="12.75" hidden="false" customHeight="false" outlineLevel="0" collapsed="false">
      <c r="A103" s="45" t="n">
        <v>37956</v>
      </c>
      <c r="B103" s="46" t="n">
        <v>28.5</v>
      </c>
      <c r="C103" s="46" t="n">
        <v>30</v>
      </c>
      <c r="D103" s="46" t="n">
        <v>34.5</v>
      </c>
      <c r="F103" s="2" t="s">
        <v>195</v>
      </c>
      <c r="G103" s="47" t="n">
        <v>2008</v>
      </c>
      <c r="H103" s="2" t="n">
        <f aca="false">AVERAGE(D161:D163)</f>
        <v>36.95</v>
      </c>
      <c r="I103" s="8" t="n">
        <f aca="false">+I102+3</f>
        <v>161</v>
      </c>
      <c r="J103" s="8" t="n">
        <f aca="false">+J102+3</f>
        <v>163</v>
      </c>
      <c r="M103" s="48" t="n">
        <v>34.0967741935484</v>
      </c>
      <c r="O103" s="2" t="s">
        <v>195</v>
      </c>
      <c r="R103" s="47" t="n">
        <v>2008</v>
      </c>
      <c r="S103" s="47"/>
      <c r="T103" s="47"/>
      <c r="U103" s="47"/>
      <c r="V103" s="47"/>
      <c r="W103" s="47"/>
      <c r="X103" s="47"/>
      <c r="Y103" s="2" t="n">
        <f aca="false">AVERAGE(M161:M163)</f>
        <v>35.4108602150538</v>
      </c>
    </row>
    <row r="104" customFormat="false" ht="12.75" hidden="false" customHeight="false" outlineLevel="0" collapsed="false">
      <c r="A104" s="45" t="n">
        <v>37987</v>
      </c>
      <c r="B104" s="46" t="n">
        <v>31.25</v>
      </c>
      <c r="C104" s="46" t="n">
        <v>33</v>
      </c>
      <c r="D104" s="46" t="n">
        <v>37.5</v>
      </c>
      <c r="F104" s="2" t="s">
        <v>191</v>
      </c>
      <c r="G104" s="47" t="n">
        <v>2009</v>
      </c>
      <c r="H104" s="2" t="n">
        <f aca="false">AVERAGE(D164:D166)</f>
        <v>37.7833333333333</v>
      </c>
      <c r="I104" s="8" t="n">
        <f aca="false">+I103+3</f>
        <v>164</v>
      </c>
      <c r="J104" s="8" t="n">
        <f aca="false">+J103+3</f>
        <v>166</v>
      </c>
      <c r="M104" s="48" t="n">
        <v>33.3709677419355</v>
      </c>
      <c r="O104" s="2" t="s">
        <v>191</v>
      </c>
      <c r="R104" s="47" t="n">
        <v>2009</v>
      </c>
      <c r="S104" s="47"/>
      <c r="T104" s="47"/>
      <c r="U104" s="47"/>
      <c r="V104" s="47"/>
      <c r="W104" s="47"/>
      <c r="X104" s="47"/>
      <c r="Y104" s="2" t="n">
        <f aca="false">AVERAGE(M164:M166)</f>
        <v>36.3488095238095</v>
      </c>
    </row>
    <row r="105" customFormat="false" ht="12.75" hidden="false" customHeight="false" outlineLevel="0" collapsed="false">
      <c r="A105" s="45" t="n">
        <v>38018</v>
      </c>
      <c r="B105" s="46" t="n">
        <v>29.25</v>
      </c>
      <c r="C105" s="46" t="n">
        <v>31</v>
      </c>
      <c r="D105" s="46" t="n">
        <v>35.5</v>
      </c>
      <c r="F105" s="2" t="s">
        <v>193</v>
      </c>
      <c r="G105" s="47" t="n">
        <v>2009</v>
      </c>
      <c r="H105" s="2" t="n">
        <f aca="false">AVERAGE(D167:D169)</f>
        <v>41.45</v>
      </c>
      <c r="I105" s="8" t="n">
        <f aca="false">+I104+3</f>
        <v>167</v>
      </c>
      <c r="J105" s="8" t="n">
        <f aca="false">+J104+3</f>
        <v>169</v>
      </c>
      <c r="M105" s="48" t="n">
        <v>33.9827586206897</v>
      </c>
      <c r="O105" s="2" t="s">
        <v>193</v>
      </c>
      <c r="R105" s="47" t="n">
        <v>2009</v>
      </c>
      <c r="S105" s="47"/>
      <c r="T105" s="47"/>
      <c r="U105" s="47"/>
      <c r="V105" s="47"/>
      <c r="W105" s="47"/>
      <c r="X105" s="47"/>
      <c r="Y105" s="2" t="n">
        <f aca="false">AVERAGE(M167:M169)</f>
        <v>37.3195698924731</v>
      </c>
    </row>
    <row r="106" customFormat="false" ht="12.75" hidden="false" customHeight="false" outlineLevel="0" collapsed="false">
      <c r="A106" s="45" t="n">
        <v>38047</v>
      </c>
      <c r="B106" s="46" t="n">
        <v>28.25</v>
      </c>
      <c r="C106" s="46" t="n">
        <v>30</v>
      </c>
      <c r="D106" s="46" t="n">
        <v>34.5</v>
      </c>
      <c r="F106" s="2" t="s">
        <v>194</v>
      </c>
      <c r="G106" s="47" t="n">
        <v>2009</v>
      </c>
      <c r="H106" s="2" t="n">
        <f aca="false">AVERAGE(D170:D172)</f>
        <v>67.7833333333334</v>
      </c>
      <c r="I106" s="8" t="n">
        <f aca="false">+I105+3</f>
        <v>170</v>
      </c>
      <c r="J106" s="8" t="n">
        <f aca="false">+J105+3</f>
        <v>172</v>
      </c>
      <c r="M106" s="48" t="n">
        <v>33.6774193548387</v>
      </c>
      <c r="O106" s="2" t="s">
        <v>194</v>
      </c>
      <c r="R106" s="47" t="n">
        <v>2009</v>
      </c>
      <c r="S106" s="47"/>
      <c r="T106" s="47"/>
      <c r="U106" s="47"/>
      <c r="V106" s="47"/>
      <c r="W106" s="47"/>
      <c r="X106" s="47"/>
      <c r="Y106" s="2" t="n">
        <f aca="false">AVERAGE(M170:M172)</f>
        <v>43.7035394265233</v>
      </c>
    </row>
    <row r="107" customFormat="false" ht="12.75" hidden="false" customHeight="false" outlineLevel="0" collapsed="false">
      <c r="A107" s="45" t="n">
        <v>38078</v>
      </c>
      <c r="B107" s="46" t="n">
        <v>28.25</v>
      </c>
      <c r="C107" s="46" t="n">
        <v>30</v>
      </c>
      <c r="D107" s="46" t="n">
        <v>34.5</v>
      </c>
      <c r="F107" s="2" t="s">
        <v>195</v>
      </c>
      <c r="G107" s="47" t="n">
        <v>2009</v>
      </c>
      <c r="H107" s="2" t="n">
        <f aca="false">AVERAGE(D173:D175)</f>
        <v>37.45</v>
      </c>
      <c r="I107" s="8" t="n">
        <f aca="false">+I106+3</f>
        <v>173</v>
      </c>
      <c r="J107" s="8" t="n">
        <f aca="false">+J106+3</f>
        <v>175</v>
      </c>
      <c r="M107" s="48" t="n">
        <v>33.7333333333333</v>
      </c>
      <c r="O107" s="2" t="s">
        <v>195</v>
      </c>
      <c r="R107" s="47" t="n">
        <v>2009</v>
      </c>
      <c r="S107" s="47"/>
      <c r="T107" s="47"/>
      <c r="U107" s="47"/>
      <c r="V107" s="47"/>
      <c r="W107" s="47"/>
      <c r="X107" s="47"/>
      <c r="Y107" s="2" t="n">
        <f aca="false">AVERAGE(M173:M175)</f>
        <v>36.5536559139785</v>
      </c>
    </row>
    <row r="108" customFormat="false" ht="12.75" hidden="false" customHeight="false" outlineLevel="0" collapsed="false">
      <c r="A108" s="45" t="n">
        <v>38108</v>
      </c>
      <c r="B108" s="46" t="n">
        <v>31.25</v>
      </c>
      <c r="C108" s="46" t="n">
        <v>33</v>
      </c>
      <c r="D108" s="46" t="n">
        <v>37.5</v>
      </c>
      <c r="F108" s="2" t="s">
        <v>191</v>
      </c>
      <c r="G108" s="47" t="n">
        <v>2010</v>
      </c>
      <c r="H108" s="2" t="n">
        <f aca="false">AVERAGE(D176:D178)</f>
        <v>38.2833333333333</v>
      </c>
      <c r="I108" s="8" t="n">
        <f aca="false">+I107+3</f>
        <v>176</v>
      </c>
      <c r="J108" s="8" t="n">
        <f aca="false">+J107+3</f>
        <v>178</v>
      </c>
      <c r="M108" s="48" t="n">
        <v>36.4193548387097</v>
      </c>
      <c r="O108" s="2" t="s">
        <v>191</v>
      </c>
      <c r="R108" s="47" t="n">
        <v>2010</v>
      </c>
      <c r="S108" s="47"/>
      <c r="T108" s="47"/>
      <c r="U108" s="47"/>
      <c r="V108" s="47"/>
      <c r="W108" s="47"/>
      <c r="X108" s="47"/>
      <c r="Y108" s="2" t="n">
        <f aca="false">AVERAGE(M176:M178)</f>
        <v>36.5116359447005</v>
      </c>
    </row>
    <row r="109" customFormat="false" ht="12.75" hidden="false" customHeight="false" outlineLevel="0" collapsed="false">
      <c r="A109" s="45" t="n">
        <v>38139</v>
      </c>
      <c r="B109" s="46" t="n">
        <v>40.25</v>
      </c>
      <c r="C109" s="46" t="n">
        <v>42</v>
      </c>
      <c r="D109" s="46" t="n">
        <v>46.5</v>
      </c>
      <c r="F109" s="2" t="s">
        <v>193</v>
      </c>
      <c r="G109" s="47" t="n">
        <v>2010</v>
      </c>
      <c r="H109" s="2" t="n">
        <f aca="false">AVERAGE(D179:D181)</f>
        <v>41.95</v>
      </c>
      <c r="I109" s="8" t="n">
        <f aca="false">+I108+3</f>
        <v>179</v>
      </c>
      <c r="J109" s="8" t="n">
        <f aca="false">+J108+3</f>
        <v>181</v>
      </c>
      <c r="M109" s="48" t="n">
        <v>33.8666666666667</v>
      </c>
      <c r="O109" s="2" t="s">
        <v>193</v>
      </c>
      <c r="R109" s="47" t="n">
        <v>2010</v>
      </c>
      <c r="S109" s="47"/>
      <c r="T109" s="47"/>
      <c r="U109" s="47"/>
      <c r="V109" s="47"/>
      <c r="W109" s="47"/>
      <c r="X109" s="47"/>
      <c r="Y109" s="2" t="n">
        <f aca="false">AVERAGE(M179:M181)</f>
        <v>37.5312186379928</v>
      </c>
    </row>
    <row r="110" customFormat="false" ht="12.75" hidden="false" customHeight="false" outlineLevel="0" collapsed="false">
      <c r="A110" s="45" t="n">
        <v>38169</v>
      </c>
      <c r="B110" s="46" t="n">
        <v>62.25</v>
      </c>
      <c r="C110" s="46" t="n">
        <v>64</v>
      </c>
      <c r="D110" s="46" t="n">
        <v>68.5</v>
      </c>
      <c r="F110" s="2" t="s">
        <v>194</v>
      </c>
      <c r="G110" s="47" t="n">
        <v>2010</v>
      </c>
      <c r="H110" s="2" t="n">
        <f aca="false">AVERAGE(D182:D184)</f>
        <v>68.2833333333334</v>
      </c>
      <c r="I110" s="8" t="n">
        <f aca="false">+I109+3</f>
        <v>182</v>
      </c>
      <c r="J110" s="8" t="n">
        <f aca="false">+J109+3</f>
        <v>184</v>
      </c>
      <c r="M110" s="48" t="n">
        <v>40.4193548387097</v>
      </c>
      <c r="O110" s="2" t="s">
        <v>194</v>
      </c>
      <c r="R110" s="47" t="n">
        <v>2010</v>
      </c>
      <c r="S110" s="47"/>
      <c r="T110" s="47"/>
      <c r="U110" s="47"/>
      <c r="V110" s="47"/>
      <c r="W110" s="47"/>
      <c r="X110" s="47"/>
      <c r="Y110" s="2" t="n">
        <f aca="false">AVERAGE(M182:M184)</f>
        <v>43.9127688172043</v>
      </c>
    </row>
    <row r="111" customFormat="false" ht="12.75" hidden="false" customHeight="false" outlineLevel="0" collapsed="false">
      <c r="A111" s="45" t="n">
        <v>38200</v>
      </c>
      <c r="B111" s="46" t="n">
        <v>67.25</v>
      </c>
      <c r="C111" s="46" t="n">
        <v>69</v>
      </c>
      <c r="D111" s="46" t="n">
        <v>73.5</v>
      </c>
      <c r="F111" s="2" t="s">
        <v>195</v>
      </c>
      <c r="G111" s="47" t="n">
        <v>2010</v>
      </c>
      <c r="H111" s="2" t="n">
        <f aca="false">AVERAGE(D185:D187)</f>
        <v>37.95</v>
      </c>
      <c r="I111" s="8" t="n">
        <f aca="false">+I110+3</f>
        <v>185</v>
      </c>
      <c r="J111" s="8" t="n">
        <f aca="false">+J110+3</f>
        <v>187</v>
      </c>
      <c r="M111" s="48" t="n">
        <v>41.8548387096774</v>
      </c>
      <c r="O111" s="2" t="s">
        <v>195</v>
      </c>
      <c r="R111" s="47" t="n">
        <v>2010</v>
      </c>
      <c r="S111" s="47"/>
      <c r="T111" s="47"/>
      <c r="U111" s="47"/>
      <c r="V111" s="47"/>
      <c r="W111" s="47"/>
      <c r="X111" s="47"/>
      <c r="Y111" s="2" t="n">
        <f aca="false">AVERAGE(M185:M187)</f>
        <v>36.7263888888889</v>
      </c>
    </row>
    <row r="112" customFormat="false" ht="12.75" hidden="false" customHeight="false" outlineLevel="0" collapsed="false">
      <c r="A112" s="45" t="n">
        <v>38231</v>
      </c>
      <c r="B112" s="46" t="n">
        <v>49.25</v>
      </c>
      <c r="C112" s="46" t="n">
        <v>51</v>
      </c>
      <c r="D112" s="46" t="n">
        <v>55.5</v>
      </c>
      <c r="G112" s="47"/>
      <c r="M112" s="48" t="n">
        <v>40.9166666666667</v>
      </c>
    </row>
    <row r="113" customFormat="false" ht="12.75" hidden="false" customHeight="false" outlineLevel="0" collapsed="false">
      <c r="A113" s="45" t="n">
        <v>38261</v>
      </c>
      <c r="B113" s="46" t="n">
        <v>33.25</v>
      </c>
      <c r="C113" s="46" t="n">
        <v>35</v>
      </c>
      <c r="D113" s="46" t="n">
        <v>39.5</v>
      </c>
      <c r="G113" s="47"/>
      <c r="M113" s="48" t="n">
        <v>35.5322580645161</v>
      </c>
    </row>
    <row r="114" customFormat="false" ht="12.75" hidden="false" customHeight="false" outlineLevel="0" collapsed="false">
      <c r="A114" s="45" t="n">
        <v>38292</v>
      </c>
      <c r="B114" s="46" t="n">
        <v>27.25</v>
      </c>
      <c r="C114" s="46" t="n">
        <v>29</v>
      </c>
      <c r="D114" s="46" t="n">
        <v>33.5</v>
      </c>
      <c r="G114" s="47"/>
      <c r="M114" s="48" t="n">
        <v>33.0833333333333</v>
      </c>
    </row>
    <row r="115" customFormat="false" ht="12.75" hidden="false" customHeight="false" outlineLevel="0" collapsed="false">
      <c r="A115" s="45" t="n">
        <v>38322</v>
      </c>
      <c r="B115" s="46" t="n">
        <v>27.25</v>
      </c>
      <c r="C115" s="46" t="n">
        <v>29</v>
      </c>
      <c r="D115" s="46" t="n">
        <v>33.5</v>
      </c>
      <c r="G115" s="47"/>
      <c r="M115" s="48" t="n">
        <v>33.0161290322581</v>
      </c>
    </row>
    <row r="116" customFormat="false" ht="12.75" hidden="false" customHeight="false" outlineLevel="0" collapsed="false">
      <c r="A116" s="45" t="n">
        <v>38353</v>
      </c>
      <c r="B116" s="46" t="n">
        <v>31</v>
      </c>
      <c r="C116" s="46" t="n">
        <v>33</v>
      </c>
      <c r="D116" s="46" t="n">
        <v>37.5</v>
      </c>
      <c r="G116" s="47"/>
      <c r="M116" s="48" t="n">
        <v>33.6451612903226</v>
      </c>
    </row>
    <row r="117" customFormat="false" ht="12.75" hidden="false" customHeight="false" outlineLevel="0" collapsed="false">
      <c r="A117" s="45" t="n">
        <v>38384</v>
      </c>
      <c r="B117" s="46" t="n">
        <v>29</v>
      </c>
      <c r="C117" s="46" t="n">
        <v>31</v>
      </c>
      <c r="D117" s="46" t="n">
        <v>35.5</v>
      </c>
      <c r="G117" s="47"/>
      <c r="M117" s="48" t="n">
        <v>33.6428571428571</v>
      </c>
    </row>
    <row r="118" customFormat="false" ht="12.75" hidden="false" customHeight="false" outlineLevel="0" collapsed="false">
      <c r="A118" s="45" t="n">
        <v>38412</v>
      </c>
      <c r="B118" s="46" t="n">
        <v>28</v>
      </c>
      <c r="C118" s="46" t="n">
        <v>30</v>
      </c>
      <c r="D118" s="46" t="n">
        <v>34.5</v>
      </c>
      <c r="G118" s="47"/>
      <c r="M118" s="48" t="n">
        <v>33.6774193548387</v>
      </c>
    </row>
    <row r="119" customFormat="false" ht="12.75" hidden="false" customHeight="false" outlineLevel="0" collapsed="false">
      <c r="A119" s="45" t="n">
        <v>38443</v>
      </c>
      <c r="B119" s="46" t="n">
        <v>28</v>
      </c>
      <c r="C119" s="46" t="n">
        <v>30</v>
      </c>
      <c r="D119" s="46" t="n">
        <v>34.5</v>
      </c>
      <c r="G119" s="47"/>
      <c r="M119" s="48" t="n">
        <v>33.7333333333333</v>
      </c>
    </row>
    <row r="120" customFormat="false" ht="12.75" hidden="false" customHeight="false" outlineLevel="0" collapsed="false">
      <c r="A120" s="45" t="n">
        <v>38473</v>
      </c>
      <c r="B120" s="46" t="n">
        <v>31</v>
      </c>
      <c r="C120" s="46" t="n">
        <v>33</v>
      </c>
      <c r="D120" s="46" t="n">
        <v>37.5</v>
      </c>
      <c r="G120" s="47"/>
      <c r="M120" s="48" t="n">
        <v>36.4193548387097</v>
      </c>
    </row>
    <row r="121" customFormat="false" ht="12.75" hidden="false" customHeight="false" outlineLevel="0" collapsed="false">
      <c r="A121" s="45" t="n">
        <v>38504</v>
      </c>
      <c r="B121" s="46" t="n">
        <v>40</v>
      </c>
      <c r="C121" s="46" t="n">
        <v>42</v>
      </c>
      <c r="D121" s="46" t="n">
        <v>46.5</v>
      </c>
      <c r="G121" s="47"/>
      <c r="M121" s="48" t="n">
        <v>33.8666666666667</v>
      </c>
    </row>
    <row r="122" customFormat="false" ht="12.75" hidden="false" customHeight="false" outlineLevel="0" collapsed="false">
      <c r="A122" s="45" t="n">
        <v>38534</v>
      </c>
      <c r="B122" s="46" t="n">
        <v>62</v>
      </c>
      <c r="C122" s="46" t="n">
        <v>64</v>
      </c>
      <c r="D122" s="46" t="n">
        <v>68.5</v>
      </c>
      <c r="G122" s="47"/>
      <c r="M122" s="48" t="n">
        <v>39.9032258064516</v>
      </c>
    </row>
    <row r="123" customFormat="false" ht="12.75" hidden="false" customHeight="false" outlineLevel="0" collapsed="false">
      <c r="A123" s="45" t="n">
        <v>38565</v>
      </c>
      <c r="B123" s="46" t="n">
        <v>67</v>
      </c>
      <c r="C123" s="46" t="n">
        <v>69</v>
      </c>
      <c r="D123" s="46" t="n">
        <v>73.5</v>
      </c>
      <c r="G123" s="47"/>
      <c r="M123" s="48" t="n">
        <v>42.4838709677419</v>
      </c>
    </row>
    <row r="124" customFormat="false" ht="12.75" hidden="false" customHeight="false" outlineLevel="0" collapsed="false">
      <c r="A124" s="45" t="n">
        <v>38596</v>
      </c>
      <c r="B124" s="46" t="n">
        <v>49</v>
      </c>
      <c r="C124" s="46" t="n">
        <v>51</v>
      </c>
      <c r="D124" s="46" t="n">
        <v>55.5</v>
      </c>
      <c r="G124" s="47"/>
      <c r="M124" s="48" t="n">
        <v>40.9166666666667</v>
      </c>
    </row>
    <row r="125" customFormat="false" ht="12.75" hidden="false" customHeight="false" outlineLevel="0" collapsed="false">
      <c r="A125" s="45" t="n">
        <v>38626</v>
      </c>
      <c r="B125" s="46" t="n">
        <v>33</v>
      </c>
      <c r="C125" s="46" t="n">
        <v>35</v>
      </c>
      <c r="D125" s="46" t="n">
        <v>39.5</v>
      </c>
      <c r="G125" s="47"/>
      <c r="M125" s="48" t="n">
        <v>35.5322580645161</v>
      </c>
    </row>
    <row r="126" customFormat="false" ht="12.75" hidden="false" customHeight="false" outlineLevel="0" collapsed="false">
      <c r="A126" s="45" t="n">
        <v>38657</v>
      </c>
      <c r="B126" s="46" t="n">
        <v>27</v>
      </c>
      <c r="C126" s="46" t="n">
        <v>29</v>
      </c>
      <c r="D126" s="46" t="n">
        <v>33.5</v>
      </c>
      <c r="G126" s="47"/>
      <c r="M126" s="48" t="n">
        <v>33.0833333333333</v>
      </c>
    </row>
    <row r="127" customFormat="false" ht="12.75" hidden="false" customHeight="false" outlineLevel="0" collapsed="false">
      <c r="A127" s="45" t="n">
        <v>38687</v>
      </c>
      <c r="B127" s="46" t="n">
        <v>27</v>
      </c>
      <c r="C127" s="46" t="n">
        <v>29</v>
      </c>
      <c r="D127" s="46" t="n">
        <v>33.5</v>
      </c>
      <c r="G127" s="47"/>
      <c r="M127" s="48" t="n">
        <v>33.0161290322581</v>
      </c>
    </row>
    <row r="128" customFormat="false" ht="12.75" hidden="false" customHeight="false" outlineLevel="0" collapsed="false">
      <c r="A128" s="45" t="n">
        <v>38718</v>
      </c>
      <c r="B128" s="46" t="n">
        <v>30.25</v>
      </c>
      <c r="C128" s="46" t="n">
        <v>33.25</v>
      </c>
      <c r="D128" s="46" t="n">
        <v>37.75</v>
      </c>
      <c r="G128" s="47"/>
      <c r="M128" s="48" t="n">
        <v>33.7806451612903</v>
      </c>
    </row>
    <row r="129" customFormat="false" ht="12.75" hidden="false" customHeight="false" outlineLevel="0" collapsed="false">
      <c r="A129" s="45" t="n">
        <v>38749</v>
      </c>
      <c r="B129" s="46" t="n">
        <v>28.25</v>
      </c>
      <c r="C129" s="46" t="n">
        <v>31.25</v>
      </c>
      <c r="D129" s="46" t="n">
        <v>35.75</v>
      </c>
      <c r="G129" s="47"/>
      <c r="M129" s="48" t="n">
        <v>33.7821428571429</v>
      </c>
    </row>
    <row r="130" customFormat="false" ht="12.75" hidden="false" customHeight="false" outlineLevel="0" collapsed="false">
      <c r="A130" s="45" t="n">
        <v>38777</v>
      </c>
      <c r="B130" s="46" t="n">
        <v>27.25</v>
      </c>
      <c r="C130" s="46" t="n">
        <v>30.25</v>
      </c>
      <c r="D130" s="46" t="n">
        <v>34.75</v>
      </c>
      <c r="G130" s="47"/>
      <c r="M130" s="48" t="n">
        <v>33.8177419354839</v>
      </c>
    </row>
    <row r="131" customFormat="false" ht="12.75" hidden="false" customHeight="false" outlineLevel="0" collapsed="false">
      <c r="A131" s="45" t="n">
        <v>38808</v>
      </c>
      <c r="B131" s="46" t="n">
        <v>27.25</v>
      </c>
      <c r="C131" s="46" t="n">
        <v>30.25</v>
      </c>
      <c r="D131" s="46" t="n">
        <v>34.75</v>
      </c>
      <c r="M131" s="48" t="n">
        <v>34.3041666666667</v>
      </c>
    </row>
    <row r="132" customFormat="false" ht="12.75" hidden="false" customHeight="false" outlineLevel="0" collapsed="false">
      <c r="A132" s="45" t="n">
        <v>38838</v>
      </c>
      <c r="B132" s="46" t="n">
        <v>30.25</v>
      </c>
      <c r="C132" s="46" t="n">
        <v>33.25</v>
      </c>
      <c r="D132" s="46" t="n">
        <v>37.75</v>
      </c>
      <c r="M132" s="48" t="n">
        <v>36.1540322580645</v>
      </c>
    </row>
    <row r="133" customFormat="false" ht="12.75" hidden="false" customHeight="false" outlineLevel="0" collapsed="false">
      <c r="A133" s="45" t="n">
        <v>38869</v>
      </c>
      <c r="B133" s="46" t="n">
        <v>39.25</v>
      </c>
      <c r="C133" s="46" t="n">
        <v>42.25</v>
      </c>
      <c r="D133" s="46" t="n">
        <v>46.75</v>
      </c>
      <c r="M133" s="48" t="n">
        <v>34.0066666666667</v>
      </c>
    </row>
    <row r="134" customFormat="false" ht="12.75" hidden="false" customHeight="false" outlineLevel="0" collapsed="false">
      <c r="A134" s="45" t="n">
        <v>38899</v>
      </c>
      <c r="B134" s="46" t="n">
        <v>61.25</v>
      </c>
      <c r="C134" s="46" t="n">
        <v>64.25</v>
      </c>
      <c r="D134" s="46" t="n">
        <v>68.75</v>
      </c>
      <c r="M134" s="48" t="n">
        <v>40.0387096774194</v>
      </c>
    </row>
    <row r="135" customFormat="false" ht="12.75" hidden="false" customHeight="false" outlineLevel="0" collapsed="false">
      <c r="A135" s="45" t="n">
        <v>38930</v>
      </c>
      <c r="B135" s="46" t="n">
        <v>66.25</v>
      </c>
      <c r="C135" s="46" t="n">
        <v>69.25</v>
      </c>
      <c r="D135" s="46" t="n">
        <v>73.75</v>
      </c>
      <c r="M135" s="48" t="n">
        <v>42.6241935483871</v>
      </c>
    </row>
    <row r="136" customFormat="false" ht="12.75" hidden="false" customHeight="false" outlineLevel="0" collapsed="false">
      <c r="A136" s="45" t="n">
        <v>38961</v>
      </c>
      <c r="B136" s="46" t="n">
        <v>48.25</v>
      </c>
      <c r="C136" s="46" t="n">
        <v>51.25</v>
      </c>
      <c r="D136" s="46" t="n">
        <v>55.75</v>
      </c>
      <c r="M136" s="48" t="n">
        <v>41.0541666666667</v>
      </c>
    </row>
    <row r="137" customFormat="false" ht="12.75" hidden="false" customHeight="false" outlineLevel="0" collapsed="false">
      <c r="A137" s="45" t="n">
        <v>38991</v>
      </c>
      <c r="B137" s="46" t="n">
        <v>32.25</v>
      </c>
      <c r="C137" s="46" t="n">
        <v>35.25</v>
      </c>
      <c r="D137" s="46" t="n">
        <v>39.75</v>
      </c>
      <c r="M137" s="48" t="n">
        <v>35.6701612903226</v>
      </c>
    </row>
    <row r="138" customFormat="false" ht="12.75" hidden="false" customHeight="false" outlineLevel="0" collapsed="false">
      <c r="A138" s="45" t="n">
        <v>39022</v>
      </c>
      <c r="B138" s="46" t="n">
        <v>26.25</v>
      </c>
      <c r="C138" s="46" t="n">
        <v>29.25</v>
      </c>
      <c r="D138" s="46" t="n">
        <v>33.75</v>
      </c>
      <c r="M138" s="48" t="n">
        <v>33.2208333333333</v>
      </c>
    </row>
    <row r="139" customFormat="false" ht="12.75" hidden="false" customHeight="false" outlineLevel="0" collapsed="false">
      <c r="A139" s="45" t="n">
        <v>39052</v>
      </c>
      <c r="B139" s="46" t="n">
        <v>26.25</v>
      </c>
      <c r="C139" s="46" t="n">
        <v>29.25</v>
      </c>
      <c r="D139" s="46" t="n">
        <v>33.75</v>
      </c>
      <c r="M139" s="48" t="n">
        <v>33.5548387096774</v>
      </c>
    </row>
    <row r="140" customFormat="false" ht="12.75" hidden="false" customHeight="false" outlineLevel="0" collapsed="false">
      <c r="A140" s="45" t="n">
        <v>39083</v>
      </c>
      <c r="B140" s="46" t="n">
        <v>30.6</v>
      </c>
      <c r="C140" s="46" t="n">
        <v>33.6</v>
      </c>
      <c r="D140" s="46" t="n">
        <v>38.6</v>
      </c>
      <c r="M140" s="48" t="n">
        <v>34.6887096774194</v>
      </c>
    </row>
    <row r="141" customFormat="false" ht="12.75" hidden="false" customHeight="false" outlineLevel="0" collapsed="false">
      <c r="A141" s="45" t="n">
        <v>39114</v>
      </c>
      <c r="B141" s="46" t="n">
        <v>28.6</v>
      </c>
      <c r="C141" s="46" t="n">
        <v>31.6</v>
      </c>
      <c r="D141" s="46" t="n">
        <v>36.6</v>
      </c>
      <c r="M141" s="48" t="n">
        <v>34.9642857142857</v>
      </c>
    </row>
    <row r="142" customFormat="false" ht="12.75" hidden="false" customHeight="false" outlineLevel="0" collapsed="false">
      <c r="A142" s="45" t="n">
        <v>39142</v>
      </c>
      <c r="B142" s="46" t="n">
        <v>27.6</v>
      </c>
      <c r="C142" s="46" t="n">
        <v>30.6</v>
      </c>
      <c r="D142" s="46" t="n">
        <v>35.6</v>
      </c>
      <c r="M142" s="48" t="n">
        <v>35.0016129032258</v>
      </c>
    </row>
    <row r="143" customFormat="false" ht="12.75" hidden="false" customHeight="false" outlineLevel="0" collapsed="false">
      <c r="A143" s="45" t="n">
        <v>39173</v>
      </c>
      <c r="B143" s="46" t="n">
        <v>27.6</v>
      </c>
      <c r="C143" s="46" t="n">
        <v>30.6</v>
      </c>
      <c r="D143" s="46" t="n">
        <v>35.6</v>
      </c>
      <c r="M143" s="48" t="n">
        <v>35.4833333333333</v>
      </c>
    </row>
    <row r="144" customFormat="false" ht="12.75" hidden="false" customHeight="false" outlineLevel="0" collapsed="false">
      <c r="A144" s="45" t="n">
        <v>39203</v>
      </c>
      <c r="B144" s="46" t="n">
        <v>30.6</v>
      </c>
      <c r="C144" s="46" t="n">
        <v>33.6</v>
      </c>
      <c r="D144" s="46" t="n">
        <v>38.6</v>
      </c>
      <c r="M144" s="48" t="n">
        <v>37.3338709677419</v>
      </c>
    </row>
    <row r="145" customFormat="false" ht="12.75" hidden="false" customHeight="false" outlineLevel="0" collapsed="false">
      <c r="A145" s="45" t="n">
        <v>39234</v>
      </c>
      <c r="B145" s="46" t="n">
        <v>39.6</v>
      </c>
      <c r="C145" s="46" t="n">
        <v>42.6</v>
      </c>
      <c r="D145" s="46" t="n">
        <v>47.6</v>
      </c>
      <c r="M145" s="48" t="n">
        <v>35.19</v>
      </c>
    </row>
    <row r="146" customFormat="false" ht="12.75" hidden="false" customHeight="false" outlineLevel="0" collapsed="false">
      <c r="A146" s="45" t="n">
        <v>39264</v>
      </c>
      <c r="B146" s="46" t="n">
        <v>61.6</v>
      </c>
      <c r="C146" s="46" t="n">
        <v>64.6</v>
      </c>
      <c r="D146" s="46" t="n">
        <v>69.6</v>
      </c>
      <c r="M146" s="48" t="n">
        <v>41.2145161290323</v>
      </c>
    </row>
    <row r="147" customFormat="false" ht="12.75" hidden="false" customHeight="false" outlineLevel="0" collapsed="false">
      <c r="A147" s="45" t="n">
        <v>39295</v>
      </c>
      <c r="B147" s="46" t="n">
        <v>66.6</v>
      </c>
      <c r="C147" s="46" t="n">
        <v>69.6</v>
      </c>
      <c r="D147" s="46" t="n">
        <v>74.6</v>
      </c>
      <c r="M147" s="48" t="n">
        <v>43.808064516129</v>
      </c>
    </row>
    <row r="148" customFormat="false" ht="12.75" hidden="false" customHeight="false" outlineLevel="0" collapsed="false">
      <c r="A148" s="45" t="n">
        <v>39326</v>
      </c>
      <c r="B148" s="46" t="n">
        <v>48.6</v>
      </c>
      <c r="C148" s="46" t="n">
        <v>51.6</v>
      </c>
      <c r="D148" s="46" t="n">
        <v>56.6</v>
      </c>
      <c r="M148" s="48" t="n">
        <v>42.21</v>
      </c>
    </row>
    <row r="149" customFormat="false" ht="12.75" hidden="false" customHeight="false" outlineLevel="0" collapsed="false">
      <c r="A149" s="45" t="n">
        <v>39356</v>
      </c>
      <c r="B149" s="46" t="n">
        <v>32.6</v>
      </c>
      <c r="C149" s="46" t="n">
        <v>35.6</v>
      </c>
      <c r="D149" s="46" t="n">
        <v>40.6</v>
      </c>
      <c r="M149" s="48" t="n">
        <v>36.55</v>
      </c>
    </row>
    <row r="150" customFormat="false" ht="12.75" hidden="false" customHeight="false" outlineLevel="0" collapsed="false">
      <c r="A150" s="45" t="n">
        <v>39387</v>
      </c>
      <c r="B150" s="46" t="n">
        <v>26.6</v>
      </c>
      <c r="C150" s="46" t="n">
        <v>29.6</v>
      </c>
      <c r="D150" s="46" t="n">
        <v>34.6</v>
      </c>
      <c r="M150" s="48" t="n">
        <v>34.4</v>
      </c>
    </row>
    <row r="151" customFormat="false" ht="12.75" hidden="false" customHeight="false" outlineLevel="0" collapsed="false">
      <c r="A151" s="45" t="n">
        <v>39417</v>
      </c>
      <c r="B151" s="46" t="n">
        <v>26.6</v>
      </c>
      <c r="C151" s="46" t="n">
        <v>29.6</v>
      </c>
      <c r="D151" s="46" t="n">
        <v>34.6</v>
      </c>
      <c r="M151" s="48" t="n">
        <v>34.7306451612903</v>
      </c>
    </row>
    <row r="152" customFormat="false" ht="12.75" hidden="false" customHeight="false" outlineLevel="0" collapsed="false">
      <c r="A152" s="45" t="n">
        <v>39448</v>
      </c>
      <c r="B152" s="46" t="n">
        <v>30.7</v>
      </c>
      <c r="C152" s="46" t="n">
        <v>33.95</v>
      </c>
      <c r="D152" s="46" t="n">
        <v>38.95</v>
      </c>
      <c r="M152" s="48" t="n">
        <v>34.8685483870968</v>
      </c>
    </row>
    <row r="153" customFormat="false" ht="12.75" hidden="false" customHeight="false" outlineLevel="0" collapsed="false">
      <c r="A153" s="45" t="n">
        <v>39479</v>
      </c>
      <c r="B153" s="46" t="n">
        <v>28.7</v>
      </c>
      <c r="C153" s="46" t="n">
        <v>31.95</v>
      </c>
      <c r="D153" s="46" t="n">
        <v>36.95</v>
      </c>
      <c r="M153" s="48" t="n">
        <v>35.0913793103448</v>
      </c>
    </row>
    <row r="154" customFormat="false" ht="12.75" hidden="false" customHeight="false" outlineLevel="0" collapsed="false">
      <c r="A154" s="45" t="n">
        <v>39508</v>
      </c>
      <c r="B154" s="46" t="n">
        <v>27.7</v>
      </c>
      <c r="C154" s="46" t="n">
        <v>30.95</v>
      </c>
      <c r="D154" s="46" t="n">
        <v>35.95</v>
      </c>
      <c r="M154" s="48" t="n">
        <v>35.5943548387097</v>
      </c>
    </row>
    <row r="155" customFormat="false" ht="12.75" hidden="false" customHeight="false" outlineLevel="0" collapsed="false">
      <c r="A155" s="45" t="n">
        <v>39539</v>
      </c>
      <c r="B155" s="46" t="n">
        <v>27.7</v>
      </c>
      <c r="C155" s="46" t="n">
        <v>30.95</v>
      </c>
      <c r="D155" s="46" t="n">
        <v>35.95</v>
      </c>
      <c r="M155" s="48" t="n">
        <v>35.24</v>
      </c>
    </row>
    <row r="156" customFormat="false" ht="12.75" hidden="false" customHeight="false" outlineLevel="0" collapsed="false">
      <c r="A156" s="45" t="n">
        <v>39569</v>
      </c>
      <c r="B156" s="46" t="n">
        <v>30.7</v>
      </c>
      <c r="C156" s="46" t="n">
        <v>33.95</v>
      </c>
      <c r="D156" s="46" t="n">
        <v>38.95</v>
      </c>
      <c r="M156" s="48" t="n">
        <v>37.5137096774193</v>
      </c>
    </row>
    <row r="157" customFormat="false" ht="12.75" hidden="false" customHeight="false" outlineLevel="0" collapsed="false">
      <c r="A157" s="45" t="n">
        <v>39600</v>
      </c>
      <c r="B157" s="46" t="n">
        <v>39.7</v>
      </c>
      <c r="C157" s="46" t="n">
        <v>42.95</v>
      </c>
      <c r="D157" s="46" t="n">
        <v>47.95</v>
      </c>
      <c r="M157" s="48" t="n">
        <v>35.3291666666667</v>
      </c>
    </row>
    <row r="158" customFormat="false" ht="12.75" hidden="false" customHeight="false" outlineLevel="0" collapsed="false">
      <c r="A158" s="45" t="n">
        <v>39630</v>
      </c>
      <c r="B158" s="46" t="n">
        <v>61.7</v>
      </c>
      <c r="C158" s="46" t="n">
        <v>64.95</v>
      </c>
      <c r="D158" s="46" t="n">
        <v>69.95</v>
      </c>
      <c r="M158" s="48" t="n">
        <v>41.916935483871</v>
      </c>
    </row>
    <row r="159" customFormat="false" ht="12.75" hidden="false" customHeight="false" outlineLevel="0" collapsed="false">
      <c r="A159" s="45" t="n">
        <v>39661</v>
      </c>
      <c r="B159" s="46" t="n">
        <v>66.7</v>
      </c>
      <c r="C159" s="46" t="n">
        <v>69.95</v>
      </c>
      <c r="D159" s="46" t="n">
        <v>74.95</v>
      </c>
      <c r="M159" s="48" t="n">
        <v>43.3524193548387</v>
      </c>
    </row>
    <row r="160" customFormat="false" ht="12.75" hidden="false" customHeight="false" outlineLevel="0" collapsed="false">
      <c r="A160" s="45" t="n">
        <v>39692</v>
      </c>
      <c r="B160" s="46" t="n">
        <v>48.7</v>
      </c>
      <c r="C160" s="46" t="n">
        <v>51.95</v>
      </c>
      <c r="D160" s="46" t="n">
        <v>56.95</v>
      </c>
      <c r="M160" s="48" t="n">
        <v>42.4125</v>
      </c>
    </row>
    <row r="161" customFormat="false" ht="12.75" hidden="false" customHeight="false" outlineLevel="0" collapsed="false">
      <c r="A161" s="45" t="n">
        <v>39722</v>
      </c>
      <c r="B161" s="46" t="n">
        <v>32.7</v>
      </c>
      <c r="C161" s="46" t="n">
        <v>35.95</v>
      </c>
      <c r="D161" s="46" t="n">
        <v>40.95</v>
      </c>
      <c r="M161" s="48" t="n">
        <v>36.7338709677419</v>
      </c>
    </row>
    <row r="162" customFormat="false" ht="12.75" hidden="false" customHeight="false" outlineLevel="0" collapsed="false">
      <c r="A162" s="45" t="n">
        <v>39753</v>
      </c>
      <c r="B162" s="46" t="n">
        <v>26.7</v>
      </c>
      <c r="C162" s="46" t="n">
        <v>29.95</v>
      </c>
      <c r="D162" s="46" t="n">
        <v>34.95</v>
      </c>
      <c r="M162" s="48" t="n">
        <v>34.985</v>
      </c>
    </row>
    <row r="163" customFormat="false" ht="12.75" hidden="false" customHeight="false" outlineLevel="0" collapsed="false">
      <c r="A163" s="45" t="n">
        <v>39783</v>
      </c>
      <c r="B163" s="46" t="n">
        <v>26.7</v>
      </c>
      <c r="C163" s="46" t="n">
        <v>29.95</v>
      </c>
      <c r="D163" s="46" t="n">
        <v>34.95</v>
      </c>
      <c r="M163" s="48" t="n">
        <v>34.5137096774193</v>
      </c>
    </row>
    <row r="164" customFormat="false" ht="12.75" hidden="false" customHeight="false" outlineLevel="0" collapsed="false">
      <c r="A164" s="45" t="n">
        <v>39814</v>
      </c>
      <c r="B164" s="46" t="n">
        <v>31.2</v>
      </c>
      <c r="C164" s="46" t="n">
        <v>34.45</v>
      </c>
      <c r="D164" s="46" t="n">
        <v>39.45</v>
      </c>
      <c r="M164" s="48" t="n">
        <v>36.0120967741935</v>
      </c>
    </row>
    <row r="165" customFormat="false" ht="12.75" hidden="false" customHeight="false" outlineLevel="0" collapsed="false">
      <c r="A165" s="45" t="n">
        <v>39845</v>
      </c>
      <c r="B165" s="46" t="n">
        <v>29.2</v>
      </c>
      <c r="C165" s="46" t="n">
        <v>32.45</v>
      </c>
      <c r="D165" s="46" t="n">
        <v>37.45</v>
      </c>
      <c r="M165" s="48" t="n">
        <v>36.2964285714286</v>
      </c>
    </row>
    <row r="166" customFormat="false" ht="12.75" hidden="false" customHeight="false" outlineLevel="0" collapsed="false">
      <c r="A166" s="45" t="n">
        <v>39873</v>
      </c>
      <c r="B166" s="46" t="n">
        <v>28.2</v>
      </c>
      <c r="C166" s="46" t="n">
        <v>31.45</v>
      </c>
      <c r="D166" s="46" t="n">
        <v>36.45</v>
      </c>
      <c r="M166" s="48" t="n">
        <v>36.7379032258064</v>
      </c>
    </row>
    <row r="167" customFormat="false" ht="12.75" hidden="false" customHeight="false" outlineLevel="0" collapsed="false">
      <c r="A167" s="45" t="n">
        <v>39904</v>
      </c>
      <c r="B167" s="46" t="n">
        <v>28.2</v>
      </c>
      <c r="C167" s="46" t="n">
        <v>31.45</v>
      </c>
      <c r="D167" s="46" t="n">
        <v>36.45</v>
      </c>
      <c r="M167" s="48" t="n">
        <v>36.3933333333333</v>
      </c>
    </row>
    <row r="168" customFormat="false" ht="12.75" hidden="false" customHeight="false" outlineLevel="0" collapsed="false">
      <c r="A168" s="45" t="n">
        <v>39934</v>
      </c>
      <c r="B168" s="46" t="n">
        <v>31.2</v>
      </c>
      <c r="C168" s="46" t="n">
        <v>34.45</v>
      </c>
      <c r="D168" s="46" t="n">
        <v>39.45</v>
      </c>
      <c r="M168" s="48" t="n">
        <v>39.0387096774194</v>
      </c>
    </row>
    <row r="169" customFormat="false" ht="12.75" hidden="false" customHeight="false" outlineLevel="0" collapsed="false">
      <c r="A169" s="45" t="n">
        <v>39965</v>
      </c>
      <c r="B169" s="46" t="n">
        <v>40.2</v>
      </c>
      <c r="C169" s="46" t="n">
        <v>43.45</v>
      </c>
      <c r="D169" s="46" t="n">
        <v>48.45</v>
      </c>
      <c r="M169" s="48" t="n">
        <v>36.5266666666667</v>
      </c>
    </row>
    <row r="170" customFormat="false" ht="12.75" hidden="false" customHeight="false" outlineLevel="0" collapsed="false">
      <c r="A170" s="45" t="n">
        <v>39995</v>
      </c>
      <c r="B170" s="46" t="n">
        <v>62.2</v>
      </c>
      <c r="C170" s="46" t="n">
        <v>65.45</v>
      </c>
      <c r="D170" s="46" t="n">
        <v>70.45</v>
      </c>
      <c r="M170" s="48" t="n">
        <v>43.0604838709678</v>
      </c>
    </row>
    <row r="171" customFormat="false" ht="12.75" hidden="false" customHeight="false" outlineLevel="0" collapsed="false">
      <c r="A171" s="45" t="n">
        <v>40026</v>
      </c>
      <c r="B171" s="46" t="n">
        <v>67.2</v>
      </c>
      <c r="C171" s="46" t="n">
        <v>70.45</v>
      </c>
      <c r="D171" s="46" t="n">
        <v>75.45</v>
      </c>
      <c r="M171" s="48" t="n">
        <v>44.4959677419355</v>
      </c>
    </row>
    <row r="172" customFormat="false" ht="12.75" hidden="false" customHeight="false" outlineLevel="0" collapsed="false">
      <c r="A172" s="45" t="n">
        <v>40057</v>
      </c>
      <c r="B172" s="46" t="n">
        <v>49.2</v>
      </c>
      <c r="C172" s="46" t="n">
        <v>52.45</v>
      </c>
      <c r="D172" s="46" t="n">
        <v>57.45</v>
      </c>
      <c r="M172" s="48" t="n">
        <v>43.5541666666667</v>
      </c>
    </row>
    <row r="173" customFormat="false" ht="12.75" hidden="false" customHeight="false" outlineLevel="0" collapsed="false">
      <c r="A173" s="45" t="n">
        <v>40087</v>
      </c>
      <c r="B173" s="46" t="n">
        <v>33.2</v>
      </c>
      <c r="C173" s="46" t="n">
        <v>36.45</v>
      </c>
      <c r="D173" s="46" t="n">
        <v>41.45</v>
      </c>
      <c r="M173" s="48" t="n">
        <v>37.8887096774194</v>
      </c>
    </row>
    <row r="174" customFormat="false" ht="12.75" hidden="false" customHeight="false" outlineLevel="0" collapsed="false">
      <c r="A174" s="45" t="n">
        <v>40118</v>
      </c>
      <c r="B174" s="46" t="n">
        <v>27.2</v>
      </c>
      <c r="C174" s="46" t="n">
        <v>30.45</v>
      </c>
      <c r="D174" s="46" t="n">
        <v>35.45</v>
      </c>
      <c r="M174" s="48" t="n">
        <v>36.115</v>
      </c>
    </row>
    <row r="175" customFormat="false" ht="12.75" hidden="false" customHeight="false" outlineLevel="0" collapsed="false">
      <c r="A175" s="45" t="n">
        <v>40148</v>
      </c>
      <c r="B175" s="46" t="n">
        <v>27.2</v>
      </c>
      <c r="C175" s="46" t="n">
        <v>30.45</v>
      </c>
      <c r="D175" s="46" t="n">
        <v>35.45</v>
      </c>
      <c r="M175" s="48" t="n">
        <v>35.6572580645161</v>
      </c>
    </row>
    <row r="176" customFormat="false" ht="12.75" hidden="false" customHeight="false" outlineLevel="0" collapsed="false">
      <c r="A176" s="45" t="n">
        <v>40179</v>
      </c>
      <c r="B176" s="46" t="n">
        <v>31.2</v>
      </c>
      <c r="C176" s="46" t="n">
        <v>34.95</v>
      </c>
      <c r="D176" s="46" t="n">
        <v>39.95</v>
      </c>
      <c r="M176" s="48" t="n">
        <v>36.4661290322581</v>
      </c>
    </row>
    <row r="177" customFormat="false" ht="12.75" hidden="false" customHeight="false" outlineLevel="0" collapsed="false">
      <c r="A177" s="45" t="n">
        <v>40210</v>
      </c>
      <c r="B177" s="46" t="n">
        <v>29.2</v>
      </c>
      <c r="C177" s="46" t="n">
        <v>32.95</v>
      </c>
      <c r="D177" s="46" t="n">
        <v>37.95</v>
      </c>
      <c r="M177" s="48" t="n">
        <v>36.5107142857143</v>
      </c>
    </row>
    <row r="178" customFormat="false" ht="12.75" hidden="false" customHeight="false" outlineLevel="0" collapsed="false">
      <c r="A178" s="45" t="n">
        <v>40238</v>
      </c>
      <c r="B178" s="46" t="n">
        <v>28.2</v>
      </c>
      <c r="C178" s="46" t="n">
        <v>31.95</v>
      </c>
      <c r="D178" s="46" t="n">
        <v>36.95</v>
      </c>
      <c r="M178" s="48" t="n">
        <v>36.558064516129</v>
      </c>
    </row>
    <row r="179" customFormat="false" ht="12.75" hidden="false" customHeight="false" outlineLevel="0" collapsed="false">
      <c r="A179" s="45" t="n">
        <v>40269</v>
      </c>
      <c r="B179" s="46" t="n">
        <v>28.2</v>
      </c>
      <c r="C179" s="46" t="n">
        <v>31.95</v>
      </c>
      <c r="D179" s="46" t="n">
        <v>36.95</v>
      </c>
      <c r="M179" s="48" t="n">
        <v>36.61</v>
      </c>
    </row>
    <row r="180" customFormat="false" ht="12.75" hidden="false" customHeight="false" outlineLevel="0" collapsed="false">
      <c r="A180" s="45" t="n">
        <v>40299</v>
      </c>
      <c r="B180" s="46" t="n">
        <v>31.2</v>
      </c>
      <c r="C180" s="46" t="n">
        <v>34.95</v>
      </c>
      <c r="D180" s="46" t="n">
        <v>39.95</v>
      </c>
      <c r="M180" s="48" t="n">
        <v>39.2403225806452</v>
      </c>
    </row>
    <row r="181" customFormat="false" ht="12.75" hidden="false" customHeight="false" outlineLevel="0" collapsed="false">
      <c r="A181" s="45" t="n">
        <v>40330</v>
      </c>
      <c r="B181" s="46" t="n">
        <v>40.2</v>
      </c>
      <c r="C181" s="46" t="n">
        <v>43.95</v>
      </c>
      <c r="D181" s="46" t="n">
        <v>48.95</v>
      </c>
      <c r="M181" s="48" t="n">
        <v>36.7433333333333</v>
      </c>
    </row>
    <row r="182" customFormat="false" ht="12.75" hidden="false" customHeight="false" outlineLevel="0" collapsed="false">
      <c r="A182" s="45" t="n">
        <v>40360</v>
      </c>
      <c r="B182" s="46" t="n">
        <v>62.2</v>
      </c>
      <c r="C182" s="46" t="n">
        <v>65.95</v>
      </c>
      <c r="D182" s="46" t="n">
        <v>70.95</v>
      </c>
      <c r="M182" s="48" t="n">
        <v>43.2701612903226</v>
      </c>
    </row>
    <row r="183" customFormat="false" ht="12.75" hidden="false" customHeight="false" outlineLevel="0" collapsed="false">
      <c r="A183" s="45" t="n">
        <v>40391</v>
      </c>
      <c r="B183" s="46" t="n">
        <v>67.2</v>
      </c>
      <c r="C183" s="46" t="n">
        <v>70.95</v>
      </c>
      <c r="D183" s="46" t="n">
        <v>75.95</v>
      </c>
      <c r="M183" s="48" t="n">
        <v>44.7056451612903</v>
      </c>
    </row>
    <row r="184" customFormat="false" ht="12.75" hidden="false" customHeight="false" outlineLevel="0" collapsed="false">
      <c r="A184" s="45" t="n">
        <v>40422</v>
      </c>
      <c r="B184" s="46" t="n">
        <v>49.2</v>
      </c>
      <c r="C184" s="46" t="n">
        <v>52.95</v>
      </c>
      <c r="D184" s="46" t="n">
        <v>57.95</v>
      </c>
      <c r="M184" s="48" t="n">
        <v>43.7625</v>
      </c>
    </row>
    <row r="185" customFormat="false" ht="12.75" hidden="false" customHeight="false" outlineLevel="0" collapsed="false">
      <c r="A185" s="45" t="n">
        <v>40452</v>
      </c>
      <c r="B185" s="46" t="n">
        <v>33.2</v>
      </c>
      <c r="C185" s="46" t="n">
        <v>36.95</v>
      </c>
      <c r="D185" s="46" t="n">
        <v>41.95</v>
      </c>
      <c r="M185" s="48" t="n">
        <v>38.383064516129</v>
      </c>
    </row>
    <row r="186" customFormat="false" ht="12.75" hidden="false" customHeight="false" outlineLevel="0" collapsed="false">
      <c r="A186" s="45" t="n">
        <v>40483</v>
      </c>
      <c r="B186" s="46" t="n">
        <v>27.2</v>
      </c>
      <c r="C186" s="46" t="n">
        <v>30.95</v>
      </c>
      <c r="D186" s="46" t="n">
        <v>35.95</v>
      </c>
      <c r="M186" s="48" t="n">
        <v>35.9291666666667</v>
      </c>
    </row>
    <row r="187" customFormat="false" ht="12.75" hidden="false" customHeight="false" outlineLevel="0" collapsed="false">
      <c r="A187" s="45" t="n">
        <v>40513</v>
      </c>
      <c r="B187" s="46" t="n">
        <v>27.2</v>
      </c>
      <c r="C187" s="46" t="n">
        <v>30.95</v>
      </c>
      <c r="D187" s="46" t="n">
        <v>35.95</v>
      </c>
      <c r="M187" s="48" t="n">
        <v>35.866935483871</v>
      </c>
    </row>
    <row r="188" customFormat="false" ht="12.75" hidden="false" customHeight="false" outlineLevel="0" collapsed="false">
      <c r="A188" s="45" t="n">
        <v>40544</v>
      </c>
      <c r="B188" s="46" t="n">
        <v>31.7</v>
      </c>
      <c r="C188" s="46" t="n">
        <v>35.45</v>
      </c>
      <c r="D188" s="46" t="n">
        <v>40.45</v>
      </c>
      <c r="M188" s="48" t="n">
        <v>36.6677419354839</v>
      </c>
    </row>
    <row r="189" customFormat="false" ht="12.75" hidden="false" customHeight="false" outlineLevel="0" collapsed="false">
      <c r="A189" s="45" t="n">
        <v>40575</v>
      </c>
      <c r="B189" s="46" t="n">
        <v>29.7</v>
      </c>
      <c r="C189" s="46" t="n">
        <v>33.45</v>
      </c>
      <c r="D189" s="46" t="n">
        <v>38.45</v>
      </c>
      <c r="M189" s="48" t="n">
        <v>36.725</v>
      </c>
    </row>
    <row r="190" customFormat="false" ht="12.75" hidden="false" customHeight="false" outlineLevel="0" collapsed="false">
      <c r="A190" s="45" t="n">
        <v>40603</v>
      </c>
      <c r="B190" s="46" t="n">
        <v>28.7</v>
      </c>
      <c r="C190" s="46" t="n">
        <v>32.45</v>
      </c>
      <c r="D190" s="46" t="n">
        <v>37.45</v>
      </c>
      <c r="M190" s="48" t="n">
        <v>36.7758064516129</v>
      </c>
    </row>
    <row r="191" customFormat="false" ht="12.75" hidden="false" customHeight="false" outlineLevel="0" collapsed="false">
      <c r="A191" s="45" t="n">
        <v>40634</v>
      </c>
      <c r="B191" s="46" t="n">
        <v>28.7</v>
      </c>
      <c r="C191" s="46" t="n">
        <v>32.45</v>
      </c>
      <c r="D191" s="46" t="n">
        <v>37.45</v>
      </c>
      <c r="M191" s="48" t="n">
        <v>36.8266666666667</v>
      </c>
    </row>
    <row r="192" customFormat="false" ht="12.75" hidden="false" customHeight="false" outlineLevel="0" collapsed="false">
      <c r="A192" s="45" t="n">
        <v>40664</v>
      </c>
      <c r="B192" s="46" t="n">
        <v>31.7</v>
      </c>
      <c r="C192" s="46" t="n">
        <v>35.45</v>
      </c>
      <c r="D192" s="46" t="n">
        <v>40.45</v>
      </c>
      <c r="M192" s="48" t="n">
        <v>39.441935483871</v>
      </c>
    </row>
    <row r="193" customFormat="false" ht="12.75" hidden="false" customHeight="false" outlineLevel="0" collapsed="false">
      <c r="A193" s="45" t="n">
        <v>40695</v>
      </c>
      <c r="B193" s="46" t="n">
        <v>40.7</v>
      </c>
      <c r="C193" s="46" t="n">
        <v>44.45</v>
      </c>
      <c r="D193" s="46" t="n">
        <v>49.45</v>
      </c>
      <c r="M193" s="48" t="n">
        <v>36.96</v>
      </c>
    </row>
    <row r="194" customFormat="false" ht="12.75" hidden="false" customHeight="false" outlineLevel="0" collapsed="false">
      <c r="A194" s="45" t="n">
        <v>40725</v>
      </c>
      <c r="B194" s="46" t="n">
        <v>62.7</v>
      </c>
      <c r="C194" s="46" t="n">
        <v>66.45</v>
      </c>
      <c r="D194" s="46" t="n">
        <v>71.45</v>
      </c>
      <c r="M194" s="48" t="n">
        <v>42.9258064516129</v>
      </c>
    </row>
    <row r="195" customFormat="false" ht="12.75" hidden="false" customHeight="false" outlineLevel="0" collapsed="false">
      <c r="A195" s="45" t="n">
        <v>40756</v>
      </c>
      <c r="B195" s="46" t="n">
        <v>67.7</v>
      </c>
      <c r="C195" s="46" t="n">
        <v>71.45</v>
      </c>
      <c r="D195" s="46" t="n">
        <v>76.45</v>
      </c>
      <c r="M195" s="48" t="n">
        <v>45.5822580645161</v>
      </c>
    </row>
    <row r="196" customFormat="false" ht="12.75" hidden="false" customHeight="false" outlineLevel="0" collapsed="false">
      <c r="A196" s="45" t="n">
        <v>40787</v>
      </c>
      <c r="B196" s="46" t="n">
        <v>49.7</v>
      </c>
      <c r="C196" s="46" t="n">
        <v>53.45</v>
      </c>
      <c r="D196" s="46" t="n">
        <v>58.45</v>
      </c>
      <c r="M196" s="48" t="n">
        <v>43.9708333333333</v>
      </c>
    </row>
    <row r="197" customFormat="false" ht="12.75" hidden="false" customHeight="false" outlineLevel="0" collapsed="false">
      <c r="A197" s="45" t="n">
        <v>40817</v>
      </c>
      <c r="B197" s="46" t="n">
        <v>33.7</v>
      </c>
      <c r="C197" s="46" t="n">
        <v>37.45</v>
      </c>
      <c r="D197" s="46" t="n">
        <v>42.45</v>
      </c>
      <c r="M197" s="48" t="n">
        <v>38.5927419354839</v>
      </c>
    </row>
    <row r="198" customFormat="false" ht="12.75" hidden="false" customHeight="false" outlineLevel="0" collapsed="false">
      <c r="A198" s="45" t="n">
        <v>40848</v>
      </c>
      <c r="B198" s="46" t="n">
        <v>27.7</v>
      </c>
      <c r="C198" s="46" t="n">
        <v>31.45</v>
      </c>
      <c r="D198" s="46" t="n">
        <v>36.45</v>
      </c>
      <c r="M198" s="48" t="n">
        <v>36.1375</v>
      </c>
    </row>
    <row r="199" customFormat="false" ht="12.75" hidden="false" customHeight="false" outlineLevel="0" collapsed="false">
      <c r="A199" s="45" t="n">
        <v>40878</v>
      </c>
      <c r="B199" s="46" t="n">
        <v>27.7</v>
      </c>
      <c r="C199" s="46" t="n">
        <v>31.45</v>
      </c>
      <c r="D199" s="46" t="n">
        <v>36.45</v>
      </c>
      <c r="M199" s="48" t="n">
        <v>36.0766129032258</v>
      </c>
    </row>
    <row r="200" customFormat="false" ht="12.75" hidden="false" customHeight="false" outlineLevel="0" collapsed="false">
      <c r="A200" s="45" t="n">
        <v>40909</v>
      </c>
      <c r="B200" s="46" t="n">
        <v>31.95</v>
      </c>
      <c r="C200" s="46" t="n">
        <v>35.7</v>
      </c>
      <c r="D200" s="46" t="n">
        <v>40.7</v>
      </c>
      <c r="M200" s="48" t="n">
        <v>36.941935483871</v>
      </c>
    </row>
    <row r="201" customFormat="false" ht="12.75" hidden="false" customHeight="false" outlineLevel="0" collapsed="false">
      <c r="A201" s="45" t="n">
        <v>40940</v>
      </c>
      <c r="B201" s="46" t="n">
        <v>29.95</v>
      </c>
      <c r="C201" s="46" t="n">
        <v>33.7</v>
      </c>
      <c r="D201" s="46" t="n">
        <v>38.7</v>
      </c>
      <c r="M201" s="48" t="n">
        <v>36.9413793103448</v>
      </c>
    </row>
    <row r="202" customFormat="false" ht="12.75" hidden="false" customHeight="false" outlineLevel="0" collapsed="false">
      <c r="A202" s="45" t="n">
        <v>40969</v>
      </c>
      <c r="B202" s="46" t="n">
        <v>28.95</v>
      </c>
      <c r="C202" s="46" t="n">
        <v>32.7</v>
      </c>
      <c r="D202" s="46" t="n">
        <v>37.7</v>
      </c>
      <c r="M202" s="48" t="n">
        <v>37.041935483871</v>
      </c>
    </row>
    <row r="203" customFormat="false" ht="12.75" hidden="false" customHeight="false" outlineLevel="0" collapsed="false">
      <c r="A203" s="45" t="n">
        <v>41000</v>
      </c>
      <c r="B203" s="46" t="n">
        <v>28.95</v>
      </c>
      <c r="C203" s="46" t="n">
        <v>32.7</v>
      </c>
      <c r="D203" s="46" t="n">
        <v>37.7</v>
      </c>
      <c r="M203" s="48" t="n">
        <v>37.4916666666667</v>
      </c>
    </row>
    <row r="204" customFormat="false" ht="12.75" hidden="false" customHeight="false" outlineLevel="0" collapsed="false">
      <c r="A204" s="45" t="n">
        <v>41030</v>
      </c>
      <c r="B204" s="46" t="n">
        <v>31.95</v>
      </c>
      <c r="C204" s="46" t="n">
        <v>35.7</v>
      </c>
      <c r="D204" s="46" t="n">
        <v>40.7</v>
      </c>
      <c r="M204" s="48" t="n">
        <v>39.3467741935484</v>
      </c>
    </row>
    <row r="205" customFormat="false" ht="12.75" hidden="false" customHeight="false" outlineLevel="0" collapsed="false">
      <c r="A205" s="45" t="n">
        <v>41061</v>
      </c>
      <c r="B205" s="46" t="n">
        <v>40.95</v>
      </c>
      <c r="C205" s="46" t="n">
        <v>44.7</v>
      </c>
      <c r="D205" s="46" t="n">
        <v>49.7</v>
      </c>
      <c r="M205" s="48" t="n">
        <v>37.2266666666667</v>
      </c>
    </row>
    <row r="206" customFormat="false" ht="12.75" hidden="false" customHeight="false" outlineLevel="0" collapsed="false">
      <c r="A206" s="45" t="n">
        <v>41091</v>
      </c>
      <c r="B206" s="46" t="n">
        <v>62.95</v>
      </c>
      <c r="C206" s="46" t="n">
        <v>66.7</v>
      </c>
      <c r="D206" s="46" t="n">
        <v>71.7</v>
      </c>
      <c r="M206" s="48" t="n">
        <v>43.2</v>
      </c>
    </row>
    <row r="207" customFormat="false" ht="12.75" hidden="false" customHeight="false" outlineLevel="0" collapsed="false">
      <c r="A207" s="45" t="n">
        <v>41122</v>
      </c>
      <c r="B207" s="46" t="n">
        <v>67.95</v>
      </c>
      <c r="C207" s="46" t="n">
        <v>71.7</v>
      </c>
      <c r="D207" s="46" t="n">
        <v>76.7</v>
      </c>
      <c r="M207" s="48" t="n">
        <v>45.8483870967742</v>
      </c>
    </row>
    <row r="208" customFormat="false" ht="12.75" hidden="false" customHeight="false" outlineLevel="0" collapsed="false">
      <c r="A208" s="45" t="n">
        <v>41153</v>
      </c>
      <c r="B208" s="46" t="n">
        <v>49.95</v>
      </c>
      <c r="C208" s="46" t="n">
        <v>53.7</v>
      </c>
      <c r="D208" s="46" t="n">
        <v>58.7</v>
      </c>
      <c r="M208" s="48" t="n">
        <v>44.19</v>
      </c>
    </row>
    <row r="209" customFormat="false" ht="12.75" hidden="false" customHeight="false" outlineLevel="0" collapsed="false">
      <c r="A209" s="45" t="n">
        <v>41183</v>
      </c>
      <c r="B209" s="46" t="n">
        <v>33.95</v>
      </c>
      <c r="C209" s="46" t="n">
        <v>37.7</v>
      </c>
      <c r="D209" s="46" t="n">
        <v>42.7</v>
      </c>
      <c r="M209" s="48" t="n">
        <v>38.5903225806452</v>
      </c>
    </row>
    <row r="210" customFormat="false" ht="12.75" hidden="false" customHeight="false" outlineLevel="0" collapsed="false">
      <c r="A210" s="45" t="n">
        <v>41214</v>
      </c>
      <c r="B210" s="46" t="n">
        <v>27.95</v>
      </c>
      <c r="C210" s="46" t="n">
        <v>31.7</v>
      </c>
      <c r="D210" s="46" t="n">
        <v>36.7</v>
      </c>
      <c r="M210" s="48" t="n">
        <v>36.4083333333333</v>
      </c>
    </row>
    <row r="211" customFormat="false" ht="12.75" hidden="false" customHeight="false" outlineLevel="0" collapsed="false">
      <c r="A211" s="45" t="n">
        <v>41244</v>
      </c>
      <c r="B211" s="46" t="n">
        <v>27.95</v>
      </c>
      <c r="C211" s="46" t="n">
        <v>31.7</v>
      </c>
      <c r="D211" s="46" t="n">
        <v>36.7</v>
      </c>
      <c r="M211" s="48" t="n">
        <v>36.7161290322581</v>
      </c>
    </row>
    <row r="212" customFormat="false" ht="12.75" hidden="false" customHeight="false" outlineLevel="0" collapsed="false">
      <c r="A212" s="45" t="n">
        <v>41275</v>
      </c>
      <c r="B212" s="46" t="n">
        <v>32.2</v>
      </c>
      <c r="C212" s="46" t="n">
        <v>35.95</v>
      </c>
      <c r="D212" s="46" t="n">
        <v>40.95</v>
      </c>
      <c r="M212" s="48" t="n">
        <v>36.9717741935484</v>
      </c>
    </row>
    <row r="213" customFormat="false" ht="12.75" hidden="false" customHeight="false" outlineLevel="0" collapsed="false">
      <c r="A213" s="45" t="n">
        <v>41306</v>
      </c>
      <c r="B213" s="46" t="n">
        <v>30.2</v>
      </c>
      <c r="C213" s="46" t="n">
        <v>33.95</v>
      </c>
      <c r="D213" s="46" t="n">
        <v>38.95</v>
      </c>
      <c r="M213" s="48" t="n">
        <v>37.2607142857143</v>
      </c>
    </row>
    <row r="214" customFormat="false" ht="12.75" hidden="false" customHeight="false" outlineLevel="0" collapsed="false">
      <c r="A214" s="45" t="n">
        <v>41334</v>
      </c>
      <c r="B214" s="46" t="n">
        <v>29.2</v>
      </c>
      <c r="C214" s="46" t="n">
        <v>32.95</v>
      </c>
      <c r="D214" s="46" t="n">
        <v>37.95</v>
      </c>
      <c r="M214" s="48" t="n">
        <v>37.6975806451613</v>
      </c>
    </row>
    <row r="215" customFormat="false" ht="12.75" hidden="false" customHeight="false" outlineLevel="0" collapsed="false">
      <c r="A215" s="45" t="n">
        <v>41365</v>
      </c>
      <c r="B215" s="46" t="n">
        <v>29.2</v>
      </c>
      <c r="C215" s="46" t="n">
        <v>32.95</v>
      </c>
      <c r="D215" s="46" t="n">
        <v>37.95</v>
      </c>
      <c r="M215" s="48" t="n">
        <v>37.36</v>
      </c>
    </row>
    <row r="216" customFormat="false" ht="12.75" hidden="false" customHeight="false" outlineLevel="0" collapsed="false">
      <c r="A216" s="45" t="n">
        <v>41395</v>
      </c>
      <c r="B216" s="46" t="n">
        <v>32.2</v>
      </c>
      <c r="C216" s="46" t="n">
        <v>35.95</v>
      </c>
      <c r="D216" s="46" t="n">
        <v>40.95</v>
      </c>
      <c r="M216" s="48" t="n">
        <v>39.616935483871</v>
      </c>
    </row>
    <row r="217" customFormat="false" ht="12.75" hidden="false" customHeight="false" outlineLevel="0" collapsed="false">
      <c r="A217" s="45" t="n">
        <v>41426</v>
      </c>
      <c r="B217" s="46" t="n">
        <v>41.2</v>
      </c>
      <c r="C217" s="46" t="n">
        <v>44.95</v>
      </c>
      <c r="D217" s="46" t="n">
        <v>49.95</v>
      </c>
      <c r="M217" s="48" t="n">
        <v>37.4291666666667</v>
      </c>
    </row>
    <row r="218" customFormat="false" ht="12.75" hidden="false" customHeight="false" outlineLevel="0" collapsed="false">
      <c r="A218" s="45" t="n">
        <v>41456</v>
      </c>
      <c r="B218" s="46" t="n">
        <v>63.2</v>
      </c>
      <c r="C218" s="46" t="n">
        <v>66.95</v>
      </c>
      <c r="D218" s="46" t="n">
        <v>71.95</v>
      </c>
      <c r="M218" s="48" t="n">
        <v>44.0201612903226</v>
      </c>
    </row>
    <row r="219" customFormat="false" ht="12.75" hidden="false" customHeight="false" outlineLevel="0" collapsed="false">
      <c r="A219" s="45" t="n">
        <v>41487</v>
      </c>
      <c r="B219" s="46" t="n">
        <v>68.2</v>
      </c>
      <c r="C219" s="46" t="n">
        <v>71.95</v>
      </c>
      <c r="D219" s="46" t="n">
        <v>76.95</v>
      </c>
      <c r="M219" s="48" t="n">
        <v>46.1145161290323</v>
      </c>
    </row>
    <row r="220" customFormat="false" ht="12.75" hidden="false" customHeight="false" outlineLevel="0" collapsed="false">
      <c r="A220" s="45" t="n">
        <v>41518</v>
      </c>
      <c r="B220" s="46" t="n">
        <v>50.2</v>
      </c>
      <c r="C220" s="46" t="n">
        <v>53.95</v>
      </c>
      <c r="D220" s="46" t="n">
        <v>58.95</v>
      </c>
      <c r="M220" s="48" t="n">
        <v>44.465</v>
      </c>
    </row>
    <row r="221" customFormat="false" ht="12.75" hidden="false" customHeight="false" outlineLevel="0" collapsed="false">
      <c r="A221" s="45" t="n">
        <v>41548</v>
      </c>
      <c r="B221" s="46" t="n">
        <v>34.2</v>
      </c>
      <c r="C221" s="46" t="n">
        <v>37.95</v>
      </c>
      <c r="D221" s="46" t="n">
        <v>42.95</v>
      </c>
      <c r="M221" s="48" t="n">
        <v>38.8564516129032</v>
      </c>
    </row>
    <row r="222" customFormat="false" ht="12.75" hidden="false" customHeight="false" outlineLevel="0" collapsed="false">
      <c r="A222" s="45" t="n">
        <v>41579</v>
      </c>
      <c r="B222" s="46" t="n">
        <v>28.2</v>
      </c>
      <c r="C222" s="46" t="n">
        <v>31.95</v>
      </c>
      <c r="D222" s="46" t="n">
        <v>36.95</v>
      </c>
      <c r="M222" s="48" t="n">
        <v>36.6791666666667</v>
      </c>
    </row>
    <row r="223" customFormat="false" ht="12.75" hidden="false" customHeight="false" outlineLevel="0" collapsed="false">
      <c r="A223" s="45" t="n">
        <v>41609</v>
      </c>
      <c r="B223" s="46" t="n">
        <v>28.2</v>
      </c>
      <c r="C223" s="46" t="n">
        <v>31.95</v>
      </c>
      <c r="D223" s="46" t="n">
        <v>36.95</v>
      </c>
      <c r="M223" s="48" t="n">
        <v>36.9903225806452</v>
      </c>
    </row>
    <row r="224" customFormat="false" ht="12.75" hidden="false" customHeight="false" outlineLevel="0" collapsed="false">
      <c r="A224" s="45" t="n">
        <v>41640</v>
      </c>
      <c r="B224" s="46" t="n">
        <v>32.45</v>
      </c>
      <c r="C224" s="46" t="n">
        <v>36.2</v>
      </c>
      <c r="D224" s="46" t="n">
        <v>41.2</v>
      </c>
      <c r="M224" s="48" t="n">
        <v>37.241935483871</v>
      </c>
    </row>
    <row r="225" customFormat="false" ht="12.75" hidden="false" customHeight="false" outlineLevel="0" collapsed="false">
      <c r="A225" s="45" t="n">
        <v>41671</v>
      </c>
      <c r="B225" s="46" t="n">
        <v>30.45</v>
      </c>
      <c r="C225" s="46" t="n">
        <v>34.2</v>
      </c>
      <c r="D225" s="46" t="n">
        <v>39.2</v>
      </c>
      <c r="M225" s="48" t="n">
        <v>37.5285714285714</v>
      </c>
    </row>
    <row r="226" customFormat="false" ht="12.75" hidden="false" customHeight="false" outlineLevel="0" collapsed="false">
      <c r="A226" s="45" t="n">
        <v>41699</v>
      </c>
      <c r="B226" s="46" t="n">
        <v>29.45</v>
      </c>
      <c r="C226" s="46" t="n">
        <v>33.2</v>
      </c>
      <c r="D226" s="46" t="n">
        <v>38.2</v>
      </c>
      <c r="M226" s="48" t="n">
        <v>37.9677419354839</v>
      </c>
    </row>
    <row r="227" customFormat="false" ht="12.75" hidden="false" customHeight="false" outlineLevel="0" collapsed="false">
      <c r="A227" s="45" t="n">
        <v>41730</v>
      </c>
      <c r="B227" s="46" t="n">
        <v>29.45</v>
      </c>
      <c r="C227" s="46" t="n">
        <v>33.2</v>
      </c>
      <c r="D227" s="46" t="n">
        <v>38.2</v>
      </c>
      <c r="M227" s="48" t="n">
        <v>37.6266666666667</v>
      </c>
    </row>
    <row r="228" customFormat="false" ht="12.75" hidden="false" customHeight="false" outlineLevel="0" collapsed="false">
      <c r="A228" s="45" t="n">
        <v>41760</v>
      </c>
      <c r="B228" s="46" t="n">
        <v>32.45</v>
      </c>
      <c r="C228" s="46" t="n">
        <v>36.2</v>
      </c>
      <c r="D228" s="46" t="n">
        <v>41.2</v>
      </c>
      <c r="M228" s="48" t="n">
        <v>39.8870967741935</v>
      </c>
    </row>
    <row r="229" customFormat="false" ht="12.75" hidden="false" customHeight="false" outlineLevel="0" collapsed="false">
      <c r="A229" s="45" t="n">
        <v>41791</v>
      </c>
      <c r="B229" s="46" t="n">
        <v>41.45</v>
      </c>
      <c r="C229" s="46" t="n">
        <v>45.2</v>
      </c>
      <c r="D229" s="46" t="n">
        <v>50.2</v>
      </c>
      <c r="M229" s="48" t="n">
        <v>37.7</v>
      </c>
    </row>
    <row r="230" customFormat="false" ht="12.75" hidden="false" customHeight="false" outlineLevel="0" collapsed="false">
      <c r="A230" s="45" t="n">
        <v>41821</v>
      </c>
      <c r="B230" s="46" t="n">
        <v>63.45</v>
      </c>
      <c r="C230" s="46" t="n">
        <v>67.2</v>
      </c>
      <c r="D230" s="46" t="n">
        <v>72.2</v>
      </c>
      <c r="M230" s="48" t="n">
        <v>44.2903225806452</v>
      </c>
    </row>
    <row r="231" customFormat="false" ht="12.75" hidden="false" customHeight="false" outlineLevel="0" collapsed="false">
      <c r="A231" s="45" t="n">
        <v>41852</v>
      </c>
      <c r="B231" s="46" t="n">
        <v>68.45</v>
      </c>
      <c r="C231" s="46" t="n">
        <v>72.2</v>
      </c>
      <c r="D231" s="46" t="n">
        <v>77.2</v>
      </c>
      <c r="M231" s="48" t="n">
        <v>45.7258064516129</v>
      </c>
    </row>
    <row r="232" customFormat="false" ht="12.75" hidden="false" customHeight="false" outlineLevel="0" collapsed="false">
      <c r="A232" s="45" t="n">
        <v>41883</v>
      </c>
      <c r="B232" s="46" t="n">
        <v>50.45</v>
      </c>
      <c r="C232" s="46" t="n">
        <v>54.2</v>
      </c>
      <c r="D232" s="46" t="n">
        <v>59.2</v>
      </c>
      <c r="M232" s="48" t="n">
        <v>44.7833333333333</v>
      </c>
    </row>
    <row r="233" customFormat="false" ht="12.75" hidden="false" customHeight="false" outlineLevel="0" collapsed="false">
      <c r="A233" s="45" t="n">
        <v>41913</v>
      </c>
      <c r="B233" s="46" t="n">
        <v>34.45</v>
      </c>
      <c r="C233" s="46" t="n">
        <v>38.2</v>
      </c>
      <c r="D233" s="46" t="n">
        <v>43.2</v>
      </c>
      <c r="M233" s="48" t="n">
        <v>39.1225806451613</v>
      </c>
    </row>
    <row r="234" customFormat="false" ht="12.75" hidden="false" customHeight="false" outlineLevel="0" collapsed="false">
      <c r="A234" s="45" t="n">
        <v>41944</v>
      </c>
      <c r="B234" s="46" t="n">
        <v>28.45</v>
      </c>
      <c r="C234" s="46" t="n">
        <v>32.2</v>
      </c>
      <c r="D234" s="46" t="n">
        <v>37.2</v>
      </c>
      <c r="M234" s="48" t="n">
        <v>37.34</v>
      </c>
    </row>
    <row r="235" customFormat="false" ht="12.75" hidden="false" customHeight="false" outlineLevel="0" collapsed="false">
      <c r="A235" s="45" t="n">
        <v>41974</v>
      </c>
      <c r="B235" s="46" t="n">
        <v>28.45</v>
      </c>
      <c r="C235" s="46" t="n">
        <v>32.2</v>
      </c>
      <c r="D235" s="46" t="n">
        <v>37.2</v>
      </c>
      <c r="M235" s="48" t="n">
        <v>36.8870967741935</v>
      </c>
    </row>
    <row r="236" customFormat="false" ht="12.75" hidden="false" customHeight="false" outlineLevel="0" collapsed="false">
      <c r="A236" s="45" t="n">
        <v>42005</v>
      </c>
      <c r="B236" s="46" t="n">
        <v>31.45</v>
      </c>
      <c r="C236" s="46" t="n">
        <v>36.45</v>
      </c>
      <c r="D236" s="46" t="n">
        <v>41.45</v>
      </c>
      <c r="M236" s="48" t="n">
        <v>37.7645161290323</v>
      </c>
    </row>
    <row r="237" customFormat="false" ht="12.75" hidden="false" customHeight="false" outlineLevel="0" collapsed="false">
      <c r="A237" s="45" t="n">
        <v>42036</v>
      </c>
      <c r="B237" s="46" t="n">
        <v>29.45</v>
      </c>
      <c r="C237" s="46" t="n">
        <v>34.45</v>
      </c>
      <c r="D237" s="46" t="n">
        <v>39.45</v>
      </c>
      <c r="M237" s="48" t="n">
        <v>38.1830357142857</v>
      </c>
    </row>
    <row r="238" customFormat="false" ht="12.75" hidden="false" customHeight="false" outlineLevel="0" collapsed="false">
      <c r="A238" s="45" t="n">
        <v>42064</v>
      </c>
      <c r="B238" s="46" t="n">
        <v>28.45</v>
      </c>
      <c r="C238" s="46" t="n">
        <v>33.45</v>
      </c>
      <c r="D238" s="46" t="n">
        <v>38.45</v>
      </c>
      <c r="M238" s="48" t="n">
        <v>38.2379032258064</v>
      </c>
    </row>
    <row r="239" customFormat="false" ht="12.75" hidden="false" customHeight="false" outlineLevel="0" collapsed="false">
      <c r="A239" s="45" t="n">
        <v>42095</v>
      </c>
      <c r="B239" s="46" t="n">
        <v>28.45</v>
      </c>
      <c r="C239" s="46" t="n">
        <v>33.45</v>
      </c>
      <c r="D239" s="46" t="n">
        <v>38.45</v>
      </c>
      <c r="M239" s="48" t="n">
        <v>38.3041666666667</v>
      </c>
    </row>
    <row r="240" customFormat="false" ht="12.75" hidden="false" customHeight="false" outlineLevel="0" collapsed="false">
      <c r="A240" s="45" t="n">
        <v>42125</v>
      </c>
      <c r="B240" s="46" t="n">
        <v>31.45</v>
      </c>
      <c r="C240" s="46" t="n">
        <v>36.45</v>
      </c>
      <c r="D240" s="46" t="n">
        <v>41.45</v>
      </c>
      <c r="M240" s="48" t="n">
        <v>40.5387096774194</v>
      </c>
    </row>
    <row r="241" customFormat="false" ht="12.75" hidden="false" customHeight="false" outlineLevel="0" collapsed="false">
      <c r="A241" s="45" t="n">
        <v>42156</v>
      </c>
      <c r="B241" s="46" t="n">
        <v>40.45</v>
      </c>
      <c r="C241" s="46" t="n">
        <v>45.45</v>
      </c>
      <c r="D241" s="46" t="n">
        <v>50.45</v>
      </c>
      <c r="M241" s="48" t="n">
        <v>38.0266666666667</v>
      </c>
    </row>
    <row r="242" customFormat="false" ht="12.75" hidden="false" customHeight="false" outlineLevel="0" collapsed="false">
      <c r="A242" s="45" t="n">
        <v>42186</v>
      </c>
      <c r="B242" s="46" t="n">
        <v>62.45</v>
      </c>
      <c r="C242" s="46" t="n">
        <v>67.45</v>
      </c>
      <c r="D242" s="46" t="n">
        <v>72.45</v>
      </c>
      <c r="M242" s="48" t="n">
        <v>44.5604838709677</v>
      </c>
    </row>
    <row r="243" customFormat="false" ht="12.75" hidden="false" customHeight="false" outlineLevel="0" collapsed="false">
      <c r="A243" s="45" t="n">
        <v>42217</v>
      </c>
      <c r="B243" s="46" t="n">
        <v>67.45</v>
      </c>
      <c r="C243" s="46" t="n">
        <v>72.45</v>
      </c>
      <c r="D243" s="46" t="n">
        <v>77.45</v>
      </c>
      <c r="M243" s="48" t="n">
        <v>45.9959677419355</v>
      </c>
    </row>
    <row r="244" customFormat="false" ht="12.75" hidden="false" customHeight="false" outlineLevel="0" collapsed="false">
      <c r="A244" s="45" t="n">
        <v>42248</v>
      </c>
      <c r="B244" s="46" t="n">
        <v>49.45</v>
      </c>
      <c r="C244" s="46" t="n">
        <v>54.45</v>
      </c>
      <c r="D244" s="46" t="n">
        <v>59.45</v>
      </c>
      <c r="M244" s="48" t="n">
        <v>45.0541666666667</v>
      </c>
    </row>
    <row r="245" customFormat="false" ht="12.75" hidden="false" customHeight="false" outlineLevel="0" collapsed="false">
      <c r="A245" s="45" t="n">
        <v>42278</v>
      </c>
      <c r="B245" s="46" t="n">
        <v>33.45</v>
      </c>
      <c r="C245" s="46" t="n">
        <v>38.45</v>
      </c>
      <c r="D245" s="46" t="n">
        <v>43.45</v>
      </c>
      <c r="M245" s="48" t="n">
        <v>39.6733870967742</v>
      </c>
    </row>
    <row r="246" customFormat="false" ht="12.75" hidden="false" customHeight="false" outlineLevel="0" collapsed="false">
      <c r="A246" s="45" t="n">
        <v>42309</v>
      </c>
      <c r="B246" s="46" t="n">
        <v>27.45</v>
      </c>
      <c r="C246" s="46" t="n">
        <v>32.45</v>
      </c>
      <c r="D246" s="46" t="n">
        <v>37.45</v>
      </c>
      <c r="M246" s="48" t="n">
        <v>38.0091666666667</v>
      </c>
    </row>
    <row r="247" customFormat="false" ht="12.75" hidden="false" customHeight="false" outlineLevel="0" collapsed="false">
      <c r="A247" s="45" t="n">
        <v>42339</v>
      </c>
      <c r="B247" s="46" t="n">
        <v>27.45</v>
      </c>
      <c r="C247" s="46" t="n">
        <v>32.45</v>
      </c>
      <c r="D247" s="46" t="n">
        <v>37.45</v>
      </c>
      <c r="M247" s="48" t="n">
        <v>37.1572580645161</v>
      </c>
    </row>
    <row r="248" customFormat="false" ht="12.75" hidden="false" customHeight="false" outlineLevel="0" collapsed="false">
      <c r="A248" s="45" t="n">
        <v>42370</v>
      </c>
      <c r="B248" s="46" t="n">
        <v>31.7</v>
      </c>
      <c r="C248" s="46" t="n">
        <v>36.7</v>
      </c>
      <c r="D248" s="46" t="n">
        <v>41.7</v>
      </c>
      <c r="M248" s="48" t="n">
        <v>38.2951612903226</v>
      </c>
    </row>
    <row r="249" customFormat="false" ht="12.75" hidden="false" customHeight="false" outlineLevel="0" collapsed="false">
      <c r="A249" s="45" t="n">
        <v>42401</v>
      </c>
      <c r="B249" s="46" t="n">
        <v>29.7</v>
      </c>
      <c r="C249" s="46" t="n">
        <v>34.7</v>
      </c>
      <c r="D249" s="46" t="n">
        <v>39.7</v>
      </c>
      <c r="M249" s="48" t="n">
        <v>38.3879310344828</v>
      </c>
    </row>
    <row r="250" customFormat="false" ht="12.75" hidden="false" customHeight="false" outlineLevel="0" collapsed="false">
      <c r="A250" s="45" t="n">
        <v>42430</v>
      </c>
      <c r="B250" s="46" t="n">
        <v>28.7</v>
      </c>
      <c r="C250" s="46" t="n">
        <v>33.7</v>
      </c>
      <c r="D250" s="46" t="n">
        <v>38.7</v>
      </c>
      <c r="M250" s="48" t="n">
        <v>38.508064516129</v>
      </c>
    </row>
    <row r="251" customFormat="false" ht="12.75" hidden="false" customHeight="false" outlineLevel="0" collapsed="false">
      <c r="A251" s="45" t="n">
        <v>42461</v>
      </c>
      <c r="B251" s="46" t="n">
        <v>28.7</v>
      </c>
      <c r="C251" s="46" t="n">
        <v>33.7</v>
      </c>
      <c r="D251" s="46" t="n">
        <v>38.7</v>
      </c>
      <c r="M251" s="48" t="n">
        <v>38.16</v>
      </c>
    </row>
    <row r="252" customFormat="false" ht="12.75" hidden="false" customHeight="false" outlineLevel="0" collapsed="false">
      <c r="A252" s="45" t="n">
        <v>42491</v>
      </c>
      <c r="B252" s="46" t="n">
        <v>31.7</v>
      </c>
      <c r="C252" s="46" t="n">
        <v>36.7</v>
      </c>
      <c r="D252" s="46" t="n">
        <v>41.7</v>
      </c>
      <c r="M252" s="48" t="n">
        <v>40.8129032258065</v>
      </c>
    </row>
    <row r="253" customFormat="false" ht="12.75" hidden="false" customHeight="false" outlineLevel="0" collapsed="false">
      <c r="A253" s="45" t="n">
        <v>42522</v>
      </c>
      <c r="B253" s="46" t="n">
        <v>40.7</v>
      </c>
      <c r="C253" s="46" t="n">
        <v>45.7</v>
      </c>
      <c r="D253" s="46" t="n">
        <v>50.7</v>
      </c>
      <c r="M253" s="48" t="n">
        <v>38.2933333333333</v>
      </c>
    </row>
    <row r="254" customFormat="false" ht="12.75" hidden="false" customHeight="false" outlineLevel="0" collapsed="false">
      <c r="A254" s="45" t="n">
        <v>42552</v>
      </c>
      <c r="B254" s="46" t="n">
        <v>62.7</v>
      </c>
      <c r="C254" s="46" t="n">
        <v>67.7</v>
      </c>
      <c r="D254" s="46" t="n">
        <v>72.7</v>
      </c>
      <c r="M254" s="48" t="n">
        <v>44.2967741935484</v>
      </c>
    </row>
    <row r="255" customFormat="false" ht="12.75" hidden="false" customHeight="false" outlineLevel="0" collapsed="false">
      <c r="A255" s="45" t="n">
        <v>42583</v>
      </c>
      <c r="B255" s="46" t="n">
        <v>67.7</v>
      </c>
      <c r="C255" s="46" t="n">
        <v>72.7</v>
      </c>
      <c r="D255" s="46" t="n">
        <v>77.7</v>
      </c>
      <c r="M255" s="48" t="n">
        <v>46.9129032258065</v>
      </c>
    </row>
    <row r="256" customFormat="false" ht="12.75" hidden="false" customHeight="false" outlineLevel="0" collapsed="false">
      <c r="A256" s="45" t="n">
        <v>42614</v>
      </c>
      <c r="B256" s="46" t="n">
        <v>49.7</v>
      </c>
      <c r="C256" s="46" t="n">
        <v>54.7</v>
      </c>
      <c r="D256" s="46" t="n">
        <v>59.7</v>
      </c>
      <c r="M256" s="48" t="n">
        <v>45.325</v>
      </c>
    </row>
    <row r="257" customFormat="false" ht="12.75" hidden="false" customHeight="false" outlineLevel="0" collapsed="false">
      <c r="A257" s="45" t="n">
        <v>42644</v>
      </c>
      <c r="B257" s="46" t="n">
        <v>33.7</v>
      </c>
      <c r="C257" s="46" t="n">
        <v>38.7</v>
      </c>
      <c r="D257" s="46" t="n">
        <v>43.7</v>
      </c>
      <c r="M257" s="48" t="n">
        <v>40.2322580645161</v>
      </c>
    </row>
    <row r="258" customFormat="false" ht="12.75" hidden="false" customHeight="false" outlineLevel="0" collapsed="false">
      <c r="A258" s="45" t="n">
        <v>42675</v>
      </c>
      <c r="B258" s="46" t="n">
        <v>27.7</v>
      </c>
      <c r="C258" s="46" t="n">
        <v>32.7</v>
      </c>
      <c r="D258" s="46" t="n">
        <v>37.7</v>
      </c>
      <c r="M258" s="48" t="n">
        <v>37.89</v>
      </c>
    </row>
    <row r="259" customFormat="false" ht="12.75" hidden="false" customHeight="false" outlineLevel="0" collapsed="false">
      <c r="A259" s="45" t="n">
        <v>42705</v>
      </c>
      <c r="B259" s="46" t="n">
        <v>27.7</v>
      </c>
      <c r="C259" s="46" t="n">
        <v>32.7</v>
      </c>
      <c r="D259" s="46" t="n">
        <v>37.7</v>
      </c>
      <c r="M259" s="48" t="n">
        <v>37.4274193548387</v>
      </c>
    </row>
    <row r="260" customFormat="false" ht="12.75" hidden="false" customHeight="false" outlineLevel="0" collapsed="false">
      <c r="A260" s="45" t="n">
        <v>42736</v>
      </c>
      <c r="B260" s="46" t="n">
        <v>31.95</v>
      </c>
      <c r="C260" s="46" t="n">
        <v>36.95</v>
      </c>
      <c r="D260" s="46" t="n">
        <v>41.95</v>
      </c>
      <c r="M260" s="48" t="n">
        <v>38.5733870967742</v>
      </c>
    </row>
    <row r="261" customFormat="false" ht="12.75" hidden="false" customHeight="false" outlineLevel="0" collapsed="false">
      <c r="A261" s="45" t="n">
        <v>42767</v>
      </c>
      <c r="B261" s="46" t="n">
        <v>29.95</v>
      </c>
      <c r="C261" s="46" t="n">
        <v>34.95</v>
      </c>
      <c r="D261" s="46" t="n">
        <v>39.95</v>
      </c>
      <c r="M261" s="48" t="n">
        <v>38.7276785714286</v>
      </c>
    </row>
    <row r="262" customFormat="false" ht="12.75" hidden="false" customHeight="false" outlineLevel="0" collapsed="false">
      <c r="A262" s="45" t="n">
        <v>42795</v>
      </c>
      <c r="B262" s="46" t="n">
        <v>28.95</v>
      </c>
      <c r="C262" s="46" t="n">
        <v>33.95</v>
      </c>
      <c r="D262" s="46" t="n">
        <v>38.95</v>
      </c>
      <c r="M262" s="48" t="n">
        <v>38.3725806451613</v>
      </c>
    </row>
    <row r="263" customFormat="false" ht="12.75" hidden="false" customHeight="false" outlineLevel="0" collapsed="false">
      <c r="A263" s="45" t="n">
        <v>42826</v>
      </c>
      <c r="B263" s="46" t="n">
        <v>28.95</v>
      </c>
      <c r="C263" s="46" t="n">
        <v>33.95</v>
      </c>
      <c r="D263" s="46" t="n">
        <v>38.95</v>
      </c>
      <c r="M263" s="48" t="n">
        <v>39.265</v>
      </c>
    </row>
    <row r="264" customFormat="false" ht="12.75" hidden="false" customHeight="false" outlineLevel="0" collapsed="false">
      <c r="A264" s="45" t="n">
        <v>42856</v>
      </c>
      <c r="B264" s="46" t="n">
        <v>31.95</v>
      </c>
      <c r="C264" s="46" t="n">
        <v>36.95</v>
      </c>
      <c r="D264" s="46" t="n">
        <v>41.95</v>
      </c>
      <c r="M264" s="48" t="n">
        <v>40.6975806451613</v>
      </c>
    </row>
    <row r="265" customFormat="false" ht="12.75" hidden="false" customHeight="false" outlineLevel="0" collapsed="false">
      <c r="A265" s="45" t="n">
        <v>42887</v>
      </c>
      <c r="B265" s="46" t="n">
        <v>40.95</v>
      </c>
      <c r="C265" s="46" t="n">
        <v>45.95</v>
      </c>
      <c r="D265" s="46" t="n">
        <v>50.95</v>
      </c>
      <c r="M265" s="48" t="n">
        <v>38.56</v>
      </c>
    </row>
    <row r="266" customFormat="false" ht="12.75" hidden="false" customHeight="false" outlineLevel="0" collapsed="false">
      <c r="A266" s="45" t="n">
        <v>42917</v>
      </c>
      <c r="B266" s="46" t="n">
        <v>62.95</v>
      </c>
      <c r="C266" s="46" t="n">
        <v>67.95</v>
      </c>
      <c r="D266" s="46" t="n">
        <v>72.95</v>
      </c>
      <c r="M266" s="48" t="n">
        <v>44.5709677419355</v>
      </c>
    </row>
    <row r="267" customFormat="false" ht="12.75" hidden="false" customHeight="false" outlineLevel="0" collapsed="false">
      <c r="A267" s="45" t="n">
        <v>42948</v>
      </c>
      <c r="B267" s="46" t="n">
        <v>67.95</v>
      </c>
      <c r="C267" s="46" t="n">
        <v>72.95</v>
      </c>
      <c r="D267" s="46" t="n">
        <v>77.95</v>
      </c>
      <c r="M267" s="48" t="n">
        <v>47.1790322580645</v>
      </c>
    </row>
    <row r="268" customFormat="false" ht="12.75" hidden="false" customHeight="false" outlineLevel="0" collapsed="false">
      <c r="A268" s="45" t="n">
        <v>42979</v>
      </c>
      <c r="B268" s="46" t="n">
        <v>49.95</v>
      </c>
      <c r="C268" s="46" t="n">
        <v>54.95</v>
      </c>
      <c r="D268" s="46" t="n">
        <v>59.95</v>
      </c>
      <c r="M268" s="48" t="n">
        <v>45.5958333333333</v>
      </c>
    </row>
    <row r="269" customFormat="false" ht="12.75" hidden="false" customHeight="false" outlineLevel="0" collapsed="false">
      <c r="A269" s="45" t="n">
        <v>43009</v>
      </c>
      <c r="B269" s="46" t="n">
        <v>33.95</v>
      </c>
      <c r="C269" s="46" t="n">
        <v>38.95</v>
      </c>
      <c r="D269" s="46" t="n">
        <v>43.95</v>
      </c>
      <c r="M269" s="48" t="n">
        <v>40.5064516129032</v>
      </c>
    </row>
    <row r="270" customFormat="false" ht="12.75" hidden="false" customHeight="false" outlineLevel="0" collapsed="false">
      <c r="A270" s="45" t="n">
        <v>43040</v>
      </c>
      <c r="B270" s="46" t="n">
        <v>27.95</v>
      </c>
      <c r="C270" s="46" t="n">
        <v>32.95</v>
      </c>
      <c r="D270" s="46" t="n">
        <v>37.95</v>
      </c>
      <c r="M270" s="48" t="n">
        <v>38.165</v>
      </c>
    </row>
    <row r="271" customFormat="false" ht="12.75" hidden="false" customHeight="false" outlineLevel="0" collapsed="false">
      <c r="A271" s="45" t="n">
        <v>43070</v>
      </c>
      <c r="B271" s="46" t="n">
        <v>27.95</v>
      </c>
      <c r="C271" s="46" t="n">
        <v>32.95</v>
      </c>
      <c r="D271" s="46" t="n">
        <v>37.95</v>
      </c>
      <c r="M271" s="48" t="n">
        <v>38.0870967741935</v>
      </c>
    </row>
    <row r="272" customFormat="false" ht="12.75" hidden="false" customHeight="false" outlineLevel="0" collapsed="false">
      <c r="A272" s="45" t="n">
        <v>43101</v>
      </c>
      <c r="B272" s="46" t="n">
        <v>32.2</v>
      </c>
      <c r="C272" s="46" t="n">
        <v>37.2</v>
      </c>
      <c r="D272" s="46" t="n">
        <v>42.2</v>
      </c>
      <c r="M272" s="48" t="n">
        <v>38.5870967741935</v>
      </c>
    </row>
    <row r="273" customFormat="false" ht="12.75" hidden="false" customHeight="false" outlineLevel="0" collapsed="false">
      <c r="A273" s="45" t="n">
        <v>43132</v>
      </c>
      <c r="B273" s="46" t="n">
        <v>30.2</v>
      </c>
      <c r="C273" s="46" t="n">
        <v>35.2</v>
      </c>
      <c r="D273" s="46" t="n">
        <v>40.2</v>
      </c>
      <c r="M273" s="48" t="n">
        <v>39</v>
      </c>
    </row>
    <row r="274" customFormat="false" ht="12.75" hidden="false" customHeight="false" outlineLevel="0" collapsed="false">
      <c r="A274" s="45" t="n">
        <v>43160</v>
      </c>
      <c r="B274" s="46" t="n">
        <v>29.2</v>
      </c>
      <c r="C274" s="46" t="n">
        <v>34.2</v>
      </c>
      <c r="D274" s="46" t="n">
        <v>39.2</v>
      </c>
      <c r="M274" s="48" t="n">
        <v>39.0483870967742</v>
      </c>
    </row>
    <row r="275" customFormat="false" ht="12.75" hidden="false" customHeight="false" outlineLevel="0" collapsed="false">
      <c r="A275" s="45" t="n">
        <v>43191</v>
      </c>
      <c r="B275" s="46" t="n">
        <v>29.2</v>
      </c>
      <c r="C275" s="46" t="n">
        <v>34.2</v>
      </c>
      <c r="D275" s="46" t="n">
        <v>39.2</v>
      </c>
      <c r="M275" s="48" t="n">
        <v>39.1166666666667</v>
      </c>
    </row>
    <row r="276" customFormat="false" ht="12.75" hidden="false" customHeight="false" outlineLevel="0" collapsed="false">
      <c r="A276" s="45" t="n">
        <v>43221</v>
      </c>
      <c r="B276" s="46" t="n">
        <v>32.2</v>
      </c>
      <c r="C276" s="46" t="n">
        <v>37.2</v>
      </c>
      <c r="D276" s="46" t="n">
        <v>42.2</v>
      </c>
      <c r="M276" s="48" t="n">
        <v>40.9677419354839</v>
      </c>
    </row>
    <row r="277" customFormat="false" ht="12.75" hidden="false" customHeight="false" outlineLevel="0" collapsed="false">
      <c r="A277" s="45" t="n">
        <v>43252</v>
      </c>
      <c r="B277" s="46" t="n">
        <v>41.2</v>
      </c>
      <c r="C277" s="46" t="n">
        <v>46.2</v>
      </c>
      <c r="D277" s="46" t="n">
        <v>51.2</v>
      </c>
      <c r="M277" s="48" t="n">
        <v>38.8266666666667</v>
      </c>
    </row>
    <row r="278" customFormat="false" ht="12.75" hidden="false" customHeight="false" outlineLevel="0" collapsed="false">
      <c r="A278" s="45" t="n">
        <v>43282</v>
      </c>
      <c r="B278" s="46" t="n">
        <v>63.2</v>
      </c>
      <c r="C278" s="46" t="n">
        <v>68.2</v>
      </c>
      <c r="D278" s="46" t="n">
        <v>73.2</v>
      </c>
      <c r="M278" s="48" t="n">
        <v>44.8451612903226</v>
      </c>
    </row>
    <row r="279" customFormat="false" ht="12.75" hidden="false" customHeight="false" outlineLevel="0" collapsed="false">
      <c r="A279" s="45" t="n">
        <v>43313</v>
      </c>
      <c r="B279" s="46" t="n">
        <v>68.2</v>
      </c>
      <c r="C279" s="46" t="n">
        <v>73.2</v>
      </c>
      <c r="D279" s="46" t="n">
        <v>78.2</v>
      </c>
      <c r="M279" s="48" t="n">
        <v>47.4451612903226</v>
      </c>
    </row>
    <row r="280" customFormat="false" ht="12.75" hidden="false" customHeight="false" outlineLevel="0" collapsed="false">
      <c r="A280" s="45" t="n">
        <v>43344</v>
      </c>
      <c r="B280" s="46" t="n">
        <v>50.2</v>
      </c>
      <c r="C280" s="46" t="n">
        <v>55.2</v>
      </c>
      <c r="D280" s="46" t="n">
        <v>60.2</v>
      </c>
      <c r="M280" s="48" t="n">
        <v>45.84</v>
      </c>
    </row>
    <row r="281" customFormat="false" ht="12.75" hidden="false" customHeight="false" outlineLevel="0" collapsed="false">
      <c r="A281" s="45" t="n">
        <v>43374</v>
      </c>
      <c r="B281" s="46" t="n">
        <v>34.2</v>
      </c>
      <c r="C281" s="46" t="n">
        <v>39.2</v>
      </c>
      <c r="D281" s="46" t="n">
        <v>44.2</v>
      </c>
      <c r="M281" s="48" t="n">
        <v>40.4838709677419</v>
      </c>
    </row>
    <row r="282" customFormat="false" ht="12.75" hidden="false" customHeight="false" outlineLevel="0" collapsed="false">
      <c r="A282" s="45" t="n">
        <v>43405</v>
      </c>
      <c r="B282" s="46" t="n">
        <v>28.2</v>
      </c>
      <c r="C282" s="46" t="n">
        <v>33.2</v>
      </c>
      <c r="D282" s="46" t="n">
        <v>38.2</v>
      </c>
      <c r="M282" s="48" t="n">
        <v>38.0333333333333</v>
      </c>
    </row>
    <row r="283" customFormat="false" ht="12.75" hidden="false" customHeight="false" outlineLevel="0" collapsed="false">
      <c r="A283" s="45" t="n">
        <v>43435</v>
      </c>
      <c r="B283" s="46" t="n">
        <v>28.2</v>
      </c>
      <c r="C283" s="46" t="n">
        <v>33.2</v>
      </c>
      <c r="D283" s="46" t="n">
        <v>38.2</v>
      </c>
      <c r="M283" s="48" t="n">
        <v>38.3612903225806</v>
      </c>
    </row>
    <row r="284" customFormat="false" ht="12.75" hidden="false" customHeight="false" outlineLevel="0" collapsed="false">
      <c r="A284" s="45" t="n">
        <v>43466</v>
      </c>
      <c r="B284" s="46" t="n">
        <v>32.45</v>
      </c>
      <c r="C284" s="46" t="n">
        <v>37.45</v>
      </c>
      <c r="D284" s="46" t="n">
        <v>42.45</v>
      </c>
      <c r="M284" s="48" t="n">
        <v>38.8612903225806</v>
      </c>
    </row>
    <row r="285" customFormat="false" ht="12.75" hidden="false" customHeight="false" outlineLevel="0" collapsed="false">
      <c r="A285" s="45" t="n">
        <v>43497</v>
      </c>
      <c r="B285" s="46" t="n">
        <v>30.45</v>
      </c>
      <c r="C285" s="46" t="n">
        <v>35.45</v>
      </c>
      <c r="D285" s="46" t="n">
        <v>40.45</v>
      </c>
      <c r="M285" s="48" t="n">
        <v>39.2723214285714</v>
      </c>
    </row>
    <row r="286" customFormat="false" ht="12.75" hidden="false" customHeight="false" outlineLevel="0" collapsed="false">
      <c r="A286" s="45" t="n">
        <v>43525</v>
      </c>
      <c r="B286" s="46" t="n">
        <v>29.45</v>
      </c>
      <c r="C286" s="46" t="n">
        <v>34.45</v>
      </c>
      <c r="D286" s="46" t="n">
        <v>39.45</v>
      </c>
      <c r="M286" s="48" t="n">
        <v>39.3185483870968</v>
      </c>
    </row>
    <row r="287" customFormat="false" ht="12.75" hidden="false" customHeight="false" outlineLevel="0" collapsed="false">
      <c r="A287" s="45" t="n">
        <v>43556</v>
      </c>
      <c r="B287" s="46" t="n">
        <v>29.45</v>
      </c>
      <c r="C287" s="46" t="n">
        <v>34.45</v>
      </c>
      <c r="D287" s="46" t="n">
        <v>39.45</v>
      </c>
      <c r="M287" s="48" t="n">
        <v>39.3875</v>
      </c>
    </row>
    <row r="288" customFormat="false" ht="12.75" hidden="false" customHeight="false" outlineLevel="0" collapsed="false">
      <c r="A288" s="45" t="n">
        <v>43586</v>
      </c>
      <c r="B288" s="46" t="n">
        <v>32.45</v>
      </c>
      <c r="C288" s="46" t="n">
        <v>37.45</v>
      </c>
      <c r="D288" s="46" t="n">
        <v>42.45</v>
      </c>
      <c r="M288" s="48" t="n">
        <v>41.2379032258065</v>
      </c>
    </row>
    <row r="289" customFormat="false" ht="12.75" hidden="false" customHeight="false" outlineLevel="0" collapsed="false">
      <c r="A289" s="45" t="n">
        <v>43617</v>
      </c>
      <c r="B289" s="46" t="n">
        <v>41.45</v>
      </c>
      <c r="C289" s="46" t="n">
        <v>46.45</v>
      </c>
      <c r="D289" s="46" t="n">
        <v>51.45</v>
      </c>
      <c r="M289" s="48" t="n">
        <v>39.0541666666667</v>
      </c>
    </row>
    <row r="290" customFormat="false" ht="12.75" hidden="false" customHeight="false" outlineLevel="0" collapsed="false">
      <c r="A290" s="45" t="n">
        <v>43647</v>
      </c>
      <c r="B290" s="46" t="n">
        <v>63.45</v>
      </c>
      <c r="C290" s="46" t="n">
        <v>68.45</v>
      </c>
      <c r="D290" s="46" t="n">
        <v>73.45</v>
      </c>
      <c r="M290" s="48" t="n">
        <v>45.6411290322581</v>
      </c>
    </row>
    <row r="291" customFormat="false" ht="12.75" hidden="false" customHeight="false" outlineLevel="0" collapsed="false">
      <c r="A291" s="45" t="n">
        <v>43678</v>
      </c>
      <c r="B291" s="46" t="n">
        <v>68.45</v>
      </c>
      <c r="C291" s="46" t="n">
        <v>73.45</v>
      </c>
      <c r="D291" s="46" t="n">
        <v>78.45</v>
      </c>
      <c r="M291" s="48" t="n">
        <v>47.7112903225807</v>
      </c>
    </row>
    <row r="292" customFormat="false" ht="12.75" hidden="false" customHeight="false" outlineLevel="0" collapsed="false">
      <c r="A292" s="45" t="n">
        <v>43709</v>
      </c>
      <c r="B292" s="46" t="n">
        <v>50.45</v>
      </c>
      <c r="C292" s="46" t="n">
        <v>55.45</v>
      </c>
      <c r="D292" s="46" t="n">
        <v>60.45</v>
      </c>
      <c r="M292" s="48" t="n">
        <v>46.115</v>
      </c>
    </row>
    <row r="293" customFormat="false" ht="12.75" hidden="false" customHeight="false" outlineLevel="0" collapsed="false">
      <c r="A293" s="45" t="n">
        <v>43739</v>
      </c>
      <c r="B293" s="46" t="n">
        <v>34.45</v>
      </c>
      <c r="C293" s="46" t="n">
        <v>39.45</v>
      </c>
      <c r="D293" s="46" t="n">
        <v>44.45</v>
      </c>
      <c r="M293" s="48" t="n">
        <v>40.7540322580645</v>
      </c>
    </row>
    <row r="294" customFormat="false" ht="12.75" hidden="false" customHeight="false" outlineLevel="0" collapsed="false">
      <c r="A294" s="45" t="n">
        <v>43770</v>
      </c>
      <c r="B294" s="46" t="n">
        <v>28.45</v>
      </c>
      <c r="C294" s="46" t="n">
        <v>33.45</v>
      </c>
      <c r="D294" s="46" t="n">
        <v>38.45</v>
      </c>
      <c r="M294" s="48" t="n">
        <v>38.715</v>
      </c>
    </row>
    <row r="295" customFormat="false" ht="12.75" hidden="false" customHeight="false" outlineLevel="0" collapsed="false">
      <c r="A295" s="45" t="n">
        <v>43800</v>
      </c>
      <c r="B295" s="46" t="n">
        <v>28.45</v>
      </c>
      <c r="C295" s="46" t="n">
        <v>33.45</v>
      </c>
      <c r="D295" s="46" t="n">
        <v>38.45</v>
      </c>
      <c r="M295" s="48" t="n">
        <v>38.6354838709677</v>
      </c>
    </row>
    <row r="296" customFormat="false" ht="12.75" hidden="false" customHeight="false" outlineLevel="0" collapsed="false">
      <c r="A296" s="45" t="n">
        <v>43831</v>
      </c>
      <c r="B296" s="46" t="n">
        <v>32.7</v>
      </c>
      <c r="C296" s="46" t="n">
        <v>37.7</v>
      </c>
      <c r="D296" s="46" t="n">
        <v>42.7</v>
      </c>
      <c r="M296" s="48" t="n">
        <v>39.1354838709678</v>
      </c>
    </row>
    <row r="297" customFormat="false" ht="12.75" hidden="false" customHeight="false" outlineLevel="0" collapsed="false">
      <c r="A297" s="45" t="n">
        <v>43862</v>
      </c>
      <c r="B297" s="46" t="n">
        <v>30.7</v>
      </c>
      <c r="C297" s="46" t="n">
        <v>35.7</v>
      </c>
      <c r="D297" s="46" t="n">
        <v>40.7</v>
      </c>
      <c r="M297" s="48" t="n">
        <v>39.4741379310345</v>
      </c>
    </row>
    <row r="298" customFormat="false" ht="12.75" hidden="false" customHeight="false" outlineLevel="0" collapsed="false">
      <c r="A298" s="45" t="n">
        <v>43891</v>
      </c>
      <c r="B298" s="46" t="n">
        <v>29.7</v>
      </c>
      <c r="C298" s="46" t="n">
        <v>34.7</v>
      </c>
      <c r="D298" s="46" t="n">
        <v>39.7</v>
      </c>
      <c r="M298" s="48" t="n">
        <v>39.5887096774194</v>
      </c>
    </row>
    <row r="299" customFormat="false" ht="12.75" hidden="false" customHeight="false" outlineLevel="0" collapsed="false">
      <c r="A299" s="45" t="n">
        <v>43922</v>
      </c>
      <c r="B299" s="46" t="n">
        <v>29.7</v>
      </c>
      <c r="C299" s="46" t="n">
        <v>34.7</v>
      </c>
      <c r="D299" s="46" t="n">
        <v>39.7</v>
      </c>
      <c r="M299" s="48" t="n">
        <v>39.6583333333333</v>
      </c>
    </row>
    <row r="300" customFormat="false" ht="12.75" hidden="false" customHeight="false" outlineLevel="0" collapsed="false">
      <c r="A300" s="45" t="n">
        <v>43952</v>
      </c>
      <c r="B300" s="46" t="n">
        <v>32.7</v>
      </c>
      <c r="C300" s="46" t="n">
        <v>37.7</v>
      </c>
      <c r="D300" s="46" t="n">
        <v>42.7</v>
      </c>
      <c r="M300" s="48" t="n">
        <v>41.9096774193548</v>
      </c>
    </row>
    <row r="301" customFormat="false" ht="12.75" hidden="false" customHeight="false" outlineLevel="0" collapsed="false">
      <c r="A301" s="45" t="n">
        <v>43983</v>
      </c>
      <c r="B301" s="46" t="n">
        <v>41.7</v>
      </c>
      <c r="C301" s="46" t="n">
        <v>46.7</v>
      </c>
      <c r="D301" s="46" t="n">
        <v>51.7</v>
      </c>
      <c r="M301" s="48" t="n">
        <v>39.36</v>
      </c>
    </row>
    <row r="302" customFormat="false" ht="12.75" hidden="false" customHeight="false" outlineLevel="0" collapsed="false">
      <c r="A302" s="45" t="n">
        <v>44013</v>
      </c>
      <c r="B302" s="46" t="n">
        <v>63.7</v>
      </c>
      <c r="C302" s="46" t="n">
        <v>68.7</v>
      </c>
      <c r="D302" s="46" t="n">
        <v>73.7</v>
      </c>
      <c r="M302" s="48" t="n">
        <v>45.9112903225807</v>
      </c>
    </row>
    <row r="303" customFormat="false" ht="12.75" hidden="false" customHeight="false" outlineLevel="0" collapsed="false">
      <c r="A303" s="45" t="n">
        <v>44044</v>
      </c>
      <c r="B303" s="46" t="n">
        <v>68.7</v>
      </c>
      <c r="C303" s="46" t="n">
        <v>73.7</v>
      </c>
      <c r="D303" s="46" t="n">
        <v>78.7</v>
      </c>
      <c r="M303" s="48" t="n">
        <v>47.3467741935484</v>
      </c>
    </row>
    <row r="304" customFormat="false" ht="12.75" hidden="false" customHeight="false" outlineLevel="0" collapsed="false">
      <c r="A304" s="45" t="n">
        <v>44075</v>
      </c>
      <c r="B304" s="46" t="n">
        <v>50.7</v>
      </c>
      <c r="C304" s="46" t="n">
        <v>55.7</v>
      </c>
      <c r="D304" s="46" t="n">
        <v>60.7</v>
      </c>
      <c r="M304" s="48" t="n">
        <v>46.4083333333333</v>
      </c>
    </row>
    <row r="305" customFormat="false" ht="12.75" hidden="false" customHeight="false" outlineLevel="0" collapsed="false">
      <c r="A305" s="45" t="n">
        <v>44105</v>
      </c>
      <c r="B305" s="46" t="n">
        <v>34.7</v>
      </c>
      <c r="C305" s="46" t="n">
        <v>39.7</v>
      </c>
      <c r="D305" s="46" t="n">
        <v>44.7</v>
      </c>
      <c r="M305" s="48" t="n">
        <v>41.0241935483871</v>
      </c>
    </row>
    <row r="306" customFormat="false" ht="12.75" hidden="false" customHeight="false" outlineLevel="0" collapsed="false">
      <c r="A306" s="45" t="n">
        <v>44136</v>
      </c>
      <c r="B306" s="46" t="n">
        <v>28.7</v>
      </c>
      <c r="C306" s="46" t="n">
        <v>33.7</v>
      </c>
      <c r="D306" s="46" t="n">
        <v>38.7</v>
      </c>
      <c r="M306" s="48" t="n">
        <v>39.405</v>
      </c>
    </row>
    <row r="307" customFormat="false" ht="12.75" hidden="false" customHeight="false" outlineLevel="0" collapsed="false">
      <c r="A307" s="45" t="n">
        <v>44166</v>
      </c>
      <c r="B307" s="46" t="n">
        <v>28.7</v>
      </c>
      <c r="C307" s="46" t="n">
        <v>33.7</v>
      </c>
      <c r="D307" s="46" t="n">
        <v>38.7</v>
      </c>
      <c r="M307" s="48" t="n">
        <v>38.508064516129</v>
      </c>
    </row>
    <row r="308" customFormat="false" ht="12.75" hidden="false" customHeight="false" outlineLevel="0" collapsed="false">
      <c r="A308" s="45" t="n">
        <v>44197</v>
      </c>
      <c r="B308" s="46" t="n">
        <v>32.95</v>
      </c>
      <c r="C308" s="46" t="n">
        <v>37.95</v>
      </c>
      <c r="D308" s="46" t="n">
        <v>42.95</v>
      </c>
      <c r="M308" s="48" t="n">
        <v>39.6862903225806</v>
      </c>
    </row>
    <row r="309" customFormat="false" ht="12.75" hidden="false" customHeight="false" outlineLevel="0" collapsed="false">
      <c r="A309" s="45" t="n">
        <v>44228</v>
      </c>
      <c r="B309" s="46" t="n">
        <v>30.95</v>
      </c>
      <c r="C309" s="46" t="n">
        <v>35.95</v>
      </c>
      <c r="D309" s="46" t="n">
        <v>40.95</v>
      </c>
      <c r="M309" s="48" t="n">
        <v>39.8169642857143</v>
      </c>
    </row>
    <row r="310" customFormat="false" ht="12.75" hidden="false" customHeight="false" outlineLevel="0" collapsed="false">
      <c r="A310" s="45" t="n">
        <v>44256</v>
      </c>
      <c r="B310" s="46" t="n">
        <v>29.95</v>
      </c>
      <c r="C310" s="46" t="n">
        <v>34.95</v>
      </c>
      <c r="D310" s="46" t="n">
        <v>39.95</v>
      </c>
      <c r="M310" s="48" t="n">
        <v>39.4370967741936</v>
      </c>
    </row>
    <row r="311" customFormat="false" ht="12.75" hidden="false" customHeight="false" outlineLevel="0" collapsed="false">
      <c r="A311" s="45" t="n">
        <v>44287</v>
      </c>
      <c r="B311" s="46" t="n">
        <v>29.95</v>
      </c>
      <c r="C311" s="46" t="n">
        <v>34.95</v>
      </c>
      <c r="D311" s="46" t="n">
        <v>39.95</v>
      </c>
      <c r="M311" s="48" t="n">
        <v>39.9291666666667</v>
      </c>
    </row>
    <row r="312" customFormat="false" ht="12.75" hidden="false" customHeight="false" outlineLevel="0" collapsed="false">
      <c r="A312" s="45" t="n">
        <v>44317</v>
      </c>
      <c r="B312" s="46" t="n">
        <v>32.95</v>
      </c>
      <c r="C312" s="46" t="n">
        <v>37.95</v>
      </c>
      <c r="D312" s="46" t="n">
        <v>42.95</v>
      </c>
      <c r="M312" s="48" t="n">
        <v>42.1838709677419</v>
      </c>
    </row>
    <row r="313" customFormat="false" ht="12.75" hidden="false" customHeight="false" outlineLevel="0" collapsed="false">
      <c r="A313" s="45" t="n">
        <v>44348</v>
      </c>
      <c r="B313" s="46" t="n">
        <v>41.95</v>
      </c>
      <c r="C313" s="46" t="n">
        <v>46.95</v>
      </c>
      <c r="D313" s="46" t="n">
        <v>51.95</v>
      </c>
      <c r="M313" s="48" t="n">
        <v>39.6266666666667</v>
      </c>
    </row>
    <row r="314" customFormat="false" ht="12.75" hidden="false" customHeight="false" outlineLevel="0" collapsed="false">
      <c r="A314" s="45" t="n">
        <v>44378</v>
      </c>
      <c r="B314" s="46" t="n">
        <v>63.95</v>
      </c>
      <c r="C314" s="46" t="n">
        <v>68.95</v>
      </c>
      <c r="D314" s="46" t="n">
        <v>73.95</v>
      </c>
      <c r="M314" s="48" t="n">
        <v>46.1814516129032</v>
      </c>
    </row>
    <row r="315" customFormat="false" ht="12.75" hidden="false" customHeight="false" outlineLevel="0" collapsed="false">
      <c r="A315" s="45" t="n">
        <v>44409</v>
      </c>
      <c r="B315" s="46" t="n">
        <v>68.95</v>
      </c>
      <c r="C315" s="46" t="n">
        <v>73.95</v>
      </c>
      <c r="D315" s="46" t="n">
        <v>78.95</v>
      </c>
      <c r="M315" s="48" t="n">
        <v>47.616935483871</v>
      </c>
    </row>
    <row r="316" customFormat="false" ht="12.75" hidden="false" customHeight="false" outlineLevel="0" collapsed="false">
      <c r="A316" s="45" t="n">
        <v>44440</v>
      </c>
      <c r="B316" s="46" t="n">
        <v>50.95</v>
      </c>
      <c r="C316" s="46" t="n">
        <v>55.95</v>
      </c>
      <c r="D316" s="46" t="n">
        <v>60.95</v>
      </c>
      <c r="M316" s="48" t="n">
        <v>46.6791666666667</v>
      </c>
    </row>
    <row r="317" customFormat="false" ht="12.75" hidden="false" customHeight="false" outlineLevel="0" collapsed="false">
      <c r="A317" s="45" t="n">
        <v>44470</v>
      </c>
      <c r="B317" s="46" t="n">
        <v>34.95</v>
      </c>
      <c r="C317" s="46" t="n">
        <v>39.95</v>
      </c>
      <c r="D317" s="46" t="n">
        <v>44.95</v>
      </c>
      <c r="M317" s="48" t="n">
        <v>41.6032258064516</v>
      </c>
    </row>
    <row r="318" customFormat="false" ht="12.75" hidden="false" customHeight="false" outlineLevel="0" collapsed="false">
      <c r="A318" s="45" t="n">
        <v>44501</v>
      </c>
      <c r="B318" s="46" t="n">
        <v>28.95</v>
      </c>
      <c r="C318" s="46" t="n">
        <v>33.95</v>
      </c>
      <c r="D318" s="46" t="n">
        <v>38.95</v>
      </c>
      <c r="M318" s="48" t="n">
        <v>39.265</v>
      </c>
    </row>
    <row r="319" customFormat="false" ht="12.75" hidden="false" customHeight="false" outlineLevel="0" collapsed="false">
      <c r="A319" s="45" t="n">
        <v>44531</v>
      </c>
      <c r="B319" s="46" t="n">
        <v>28.95</v>
      </c>
      <c r="C319" s="46" t="n">
        <v>33.95</v>
      </c>
      <c r="D319" s="46" t="n">
        <v>38.95</v>
      </c>
      <c r="M319" s="48" t="n">
        <v>38.7782258064516</v>
      </c>
    </row>
    <row r="320" customFormat="false" ht="12.75" hidden="false" customHeight="false" outlineLevel="0" collapsed="false">
      <c r="A320" s="45" t="n">
        <v>44562</v>
      </c>
      <c r="B320" s="46" t="n">
        <v>33.2</v>
      </c>
      <c r="C320" s="46" t="n">
        <v>38.2</v>
      </c>
      <c r="D320" s="46" t="n">
        <v>43.2</v>
      </c>
      <c r="M320" s="48" t="n">
        <v>39.9645161290323</v>
      </c>
    </row>
    <row r="321" customFormat="false" ht="12.75" hidden="false" customHeight="false" outlineLevel="0" collapsed="false">
      <c r="A321" s="45" t="n">
        <v>44593</v>
      </c>
      <c r="B321" s="46" t="n">
        <v>31.2</v>
      </c>
      <c r="C321" s="46" t="n">
        <v>36.2</v>
      </c>
      <c r="D321" s="46" t="n">
        <v>41.2</v>
      </c>
      <c r="M321" s="48" t="n">
        <v>40.0892857142857</v>
      </c>
    </row>
    <row r="322" customFormat="false" ht="12.75" hidden="false" customHeight="false" outlineLevel="0" collapsed="false">
      <c r="A322" s="45" t="n">
        <v>44621</v>
      </c>
      <c r="B322" s="46" t="n">
        <v>30.2</v>
      </c>
      <c r="C322" s="46" t="n">
        <v>35.2</v>
      </c>
      <c r="D322" s="46" t="n">
        <v>40.2</v>
      </c>
      <c r="M322" s="48" t="n">
        <v>39.7032258064516</v>
      </c>
    </row>
    <row r="323" customFormat="false" ht="12.75" hidden="false" customHeight="false" outlineLevel="0" collapsed="false">
      <c r="A323" s="45" t="n">
        <v>44652</v>
      </c>
      <c r="B323" s="46" t="n">
        <v>30.2</v>
      </c>
      <c r="C323" s="46" t="n">
        <v>35.2</v>
      </c>
      <c r="D323" s="46" t="n">
        <v>40.2</v>
      </c>
      <c r="M323" s="48" t="n">
        <v>40.2</v>
      </c>
    </row>
    <row r="324" customFormat="false" ht="12.75" hidden="false" customHeight="false" outlineLevel="0" collapsed="false">
      <c r="A324" s="45" t="n">
        <v>44682</v>
      </c>
      <c r="B324" s="46" t="n">
        <v>33.2</v>
      </c>
      <c r="C324" s="46" t="n">
        <v>38.2</v>
      </c>
      <c r="D324" s="46" t="n">
        <v>43.2</v>
      </c>
      <c r="M324" s="48" t="n">
        <v>42.458064516129</v>
      </c>
    </row>
    <row r="325" customFormat="false" ht="12.75" hidden="false" customHeight="false" outlineLevel="0" collapsed="false">
      <c r="A325" s="45" t="n">
        <v>44713</v>
      </c>
      <c r="B325" s="46" t="n">
        <v>42.2</v>
      </c>
      <c r="C325" s="46" t="n">
        <v>47.2</v>
      </c>
      <c r="D325" s="46" t="n">
        <v>52.2</v>
      </c>
      <c r="M325" s="48" t="n">
        <v>39.8933333333333</v>
      </c>
    </row>
    <row r="326" customFormat="false" ht="12.75" hidden="false" customHeight="false" outlineLevel="0" collapsed="false">
      <c r="A326" s="45" t="n">
        <v>44743</v>
      </c>
      <c r="B326" s="46" t="n">
        <v>64.2</v>
      </c>
      <c r="C326" s="46" t="n">
        <v>69.2</v>
      </c>
      <c r="D326" s="46" t="n">
        <v>74.2</v>
      </c>
      <c r="M326" s="48" t="n">
        <v>45.941935483871</v>
      </c>
    </row>
    <row r="327" customFormat="false" ht="12.75" hidden="false" customHeight="false" outlineLevel="0" collapsed="false">
      <c r="A327" s="45" t="n">
        <v>44774</v>
      </c>
      <c r="B327" s="46" t="n">
        <v>69.2</v>
      </c>
      <c r="C327" s="46" t="n">
        <v>74.2</v>
      </c>
      <c r="D327" s="46" t="n">
        <v>79.2</v>
      </c>
      <c r="M327" s="48" t="n">
        <v>48.5096774193549</v>
      </c>
    </row>
    <row r="328" customFormat="false" ht="12.75" hidden="false" customHeight="false" outlineLevel="0" collapsed="false">
      <c r="A328" s="45" t="n">
        <v>44805</v>
      </c>
      <c r="B328" s="46" t="n">
        <v>51.2</v>
      </c>
      <c r="C328" s="46" t="n">
        <v>56.2</v>
      </c>
      <c r="D328" s="46" t="n">
        <v>61.2</v>
      </c>
      <c r="M328" s="48" t="n">
        <v>46.95</v>
      </c>
    </row>
    <row r="329" customFormat="false" ht="12.75" hidden="false" customHeight="false" outlineLevel="0" collapsed="false">
      <c r="A329" s="45" t="n">
        <v>44835</v>
      </c>
      <c r="B329" s="46" t="n">
        <v>35.2</v>
      </c>
      <c r="C329" s="46" t="n">
        <v>40.2</v>
      </c>
      <c r="D329" s="46" t="n">
        <v>45.2</v>
      </c>
      <c r="M329" s="48" t="n">
        <v>41.8774193548387</v>
      </c>
    </row>
    <row r="330" customFormat="false" ht="12.75" hidden="false" customHeight="false" outlineLevel="0" collapsed="false">
      <c r="A330" s="45" t="n">
        <v>44866</v>
      </c>
      <c r="B330" s="46" t="n">
        <v>29.2</v>
      </c>
      <c r="C330" s="46" t="n">
        <v>34.2</v>
      </c>
      <c r="D330" s="46" t="n">
        <v>39.2</v>
      </c>
      <c r="M330" s="48" t="n">
        <v>39.54</v>
      </c>
    </row>
    <row r="331" customFormat="false" ht="12.75" hidden="false" customHeight="false" outlineLevel="0" collapsed="false">
      <c r="A331" s="45" t="n">
        <v>44896</v>
      </c>
      <c r="B331" s="46" t="n">
        <v>29.2</v>
      </c>
      <c r="C331" s="46" t="n">
        <v>34.2</v>
      </c>
      <c r="D331" s="46" t="n">
        <v>39.2</v>
      </c>
      <c r="M331" s="48" t="n">
        <v>39.0483870967742</v>
      </c>
    </row>
    <row r="332" customFormat="false" ht="12.75" hidden="false" customHeight="false" outlineLevel="0" collapsed="false">
      <c r="A332" s="45" t="n">
        <v>44927</v>
      </c>
      <c r="B332" s="46" t="n">
        <v>33.45</v>
      </c>
      <c r="C332" s="46" t="n">
        <v>38.45</v>
      </c>
      <c r="D332" s="46" t="n">
        <v>43.45</v>
      </c>
      <c r="M332" s="48" t="n">
        <v>40.2427419354839</v>
      </c>
    </row>
    <row r="333" customFormat="false" ht="12.75" hidden="false" customHeight="false" outlineLevel="0" collapsed="false">
      <c r="A333" s="45" t="n">
        <v>44958</v>
      </c>
      <c r="B333" s="46" t="n">
        <v>31.45</v>
      </c>
      <c r="C333" s="46" t="n">
        <v>36.45</v>
      </c>
      <c r="D333" s="46" t="n">
        <v>41.45</v>
      </c>
      <c r="M333" s="48" t="n">
        <v>40.3616071428571</v>
      </c>
    </row>
    <row r="334" customFormat="false" ht="12.75" hidden="false" customHeight="false" outlineLevel="0" collapsed="false">
      <c r="A334" s="45" t="n">
        <v>44986</v>
      </c>
      <c r="B334" s="46" t="n">
        <v>30.45</v>
      </c>
      <c r="C334" s="46" t="n">
        <v>35.45</v>
      </c>
      <c r="D334" s="46" t="n">
        <v>40.45</v>
      </c>
      <c r="M334" s="48" t="n">
        <v>39.9693548387097</v>
      </c>
    </row>
    <row r="335" customFormat="false" ht="12.75" hidden="false" customHeight="false" outlineLevel="0" collapsed="false">
      <c r="A335" s="45" t="n">
        <v>45017</v>
      </c>
      <c r="B335" s="46" t="n">
        <v>30.45</v>
      </c>
      <c r="C335" s="46" t="n">
        <v>35.45</v>
      </c>
      <c r="D335" s="46" t="n">
        <v>40.45</v>
      </c>
      <c r="M335" s="48" t="n">
        <v>40.915</v>
      </c>
    </row>
    <row r="336" customFormat="false" ht="12.75" hidden="false" customHeight="false" outlineLevel="0" collapsed="false">
      <c r="A336" s="45" t="n">
        <v>45047</v>
      </c>
      <c r="B336" s="46" t="n">
        <v>33.45</v>
      </c>
      <c r="C336" s="46" t="n">
        <v>38.45</v>
      </c>
      <c r="D336" s="46" t="n">
        <v>43.45</v>
      </c>
      <c r="M336" s="48" t="n">
        <v>42.3185483870968</v>
      </c>
    </row>
    <row r="337" customFormat="false" ht="12.75" hidden="false" customHeight="false" outlineLevel="0" collapsed="false">
      <c r="A337" s="45" t="n">
        <v>45078</v>
      </c>
      <c r="B337" s="46" t="n">
        <v>42.45</v>
      </c>
      <c r="C337" s="46" t="n">
        <v>47.45</v>
      </c>
      <c r="D337" s="46" t="n">
        <v>52.45</v>
      </c>
      <c r="M337" s="48" t="n">
        <v>40.16</v>
      </c>
    </row>
    <row r="338" customFormat="false" ht="12.75" hidden="false" customHeight="false" outlineLevel="0" collapsed="false">
      <c r="A338" s="45" t="n">
        <v>45108</v>
      </c>
      <c r="B338" s="46" t="n">
        <v>64.45</v>
      </c>
      <c r="C338" s="46" t="n">
        <v>69.45</v>
      </c>
      <c r="D338" s="46" t="n">
        <v>74.45</v>
      </c>
      <c r="M338" s="48" t="n">
        <v>46.2161290322581</v>
      </c>
    </row>
    <row r="339" customFormat="false" ht="12.75" hidden="false" customHeight="false" outlineLevel="0" collapsed="false">
      <c r="A339" s="45" t="n">
        <v>45139</v>
      </c>
      <c r="B339" s="46" t="n">
        <v>69.45</v>
      </c>
      <c r="C339" s="46" t="n">
        <v>74.45</v>
      </c>
      <c r="D339" s="46" t="n">
        <v>79.45</v>
      </c>
      <c r="M339" s="48" t="n">
        <v>48.7758064516129</v>
      </c>
    </row>
    <row r="340" customFormat="false" ht="12.75" hidden="false" customHeight="false" outlineLevel="0" collapsed="false">
      <c r="A340" s="45" t="n">
        <v>45170</v>
      </c>
      <c r="B340" s="46" t="n">
        <v>51.45</v>
      </c>
      <c r="C340" s="46" t="n">
        <v>56.45</v>
      </c>
      <c r="D340" s="46" t="n">
        <v>61.45</v>
      </c>
      <c r="M340" s="48" t="n">
        <v>47.2208333333333</v>
      </c>
    </row>
    <row r="341" customFormat="false" ht="12.75" hidden="false" customHeight="false" outlineLevel="0" collapsed="false">
      <c r="A341" s="45" t="n">
        <v>45200</v>
      </c>
      <c r="B341" s="46" t="n">
        <v>35.45</v>
      </c>
      <c r="C341" s="46" t="n">
        <v>40.45</v>
      </c>
      <c r="D341" s="46" t="n">
        <v>45.45</v>
      </c>
      <c r="M341" s="48" t="n">
        <v>42.1516129032258</v>
      </c>
    </row>
    <row r="342" customFormat="false" ht="12.75" hidden="false" customHeight="false" outlineLevel="0" collapsed="false">
      <c r="A342" s="45" t="n">
        <v>45231</v>
      </c>
      <c r="B342" s="46" t="n">
        <v>29.45</v>
      </c>
      <c r="C342" s="46" t="n">
        <v>34.45</v>
      </c>
      <c r="D342" s="46" t="n">
        <v>39.45</v>
      </c>
      <c r="M342" s="48" t="n">
        <v>39.815</v>
      </c>
    </row>
    <row r="343" customFormat="false" ht="12.75" hidden="false" customHeight="false" outlineLevel="0" collapsed="false">
      <c r="A343" s="45" t="n">
        <v>45261</v>
      </c>
      <c r="B343" s="46" t="n">
        <v>29.45</v>
      </c>
      <c r="C343" s="46" t="n">
        <v>34.45</v>
      </c>
      <c r="D343" s="46" t="n">
        <v>39.45</v>
      </c>
      <c r="M343" s="48" t="n">
        <v>39.7322580645161</v>
      </c>
    </row>
    <row r="344" customFormat="false" ht="12.75" hidden="false" customHeight="false" outlineLevel="0" collapsed="false">
      <c r="A344" s="45" t="n">
        <v>45292</v>
      </c>
      <c r="B344" s="46" t="n">
        <v>33.7</v>
      </c>
      <c r="C344" s="46" t="n">
        <v>38.7</v>
      </c>
      <c r="D344" s="46" t="n">
        <v>43.7</v>
      </c>
      <c r="M344" s="48" t="n">
        <v>40.2322580645161</v>
      </c>
    </row>
    <row r="345" customFormat="false" ht="12.75" hidden="false" customHeight="false" outlineLevel="0" collapsed="false">
      <c r="A345" s="45" t="n">
        <v>45323</v>
      </c>
      <c r="B345" s="46" t="n">
        <v>31.7</v>
      </c>
      <c r="C345" s="46" t="n">
        <v>36.7</v>
      </c>
      <c r="D345" s="46" t="n">
        <v>41.7</v>
      </c>
      <c r="M345" s="48" t="n">
        <v>40.5603448275862</v>
      </c>
    </row>
    <row r="346" customFormat="false" ht="12.75" hidden="false" customHeight="false" outlineLevel="0" collapsed="false">
      <c r="A346" s="45" t="n">
        <v>45352</v>
      </c>
      <c r="B346" s="46" t="n">
        <v>30.7</v>
      </c>
      <c r="C346" s="46" t="n">
        <v>35.7</v>
      </c>
      <c r="D346" s="46" t="n">
        <v>40.7</v>
      </c>
      <c r="M346" s="48" t="n">
        <v>41.1032258064516</v>
      </c>
    </row>
    <row r="347" customFormat="false" ht="12.75" hidden="false" customHeight="false" outlineLevel="0" collapsed="false">
      <c r="A347" s="45" t="n">
        <v>45383</v>
      </c>
      <c r="B347" s="46" t="n">
        <v>30.7</v>
      </c>
      <c r="C347" s="46" t="n">
        <v>35.7</v>
      </c>
      <c r="D347" s="46" t="n">
        <v>40.7</v>
      </c>
      <c r="M347" s="48" t="n">
        <v>40.2933333333333</v>
      </c>
    </row>
    <row r="348" customFormat="false" ht="12.75" hidden="false" customHeight="false" outlineLevel="0" collapsed="false">
      <c r="A348" s="45" t="n">
        <v>45413</v>
      </c>
      <c r="B348" s="46" t="n">
        <v>33.7</v>
      </c>
      <c r="C348" s="46" t="n">
        <v>38.7</v>
      </c>
      <c r="D348" s="46" t="n">
        <v>43.7</v>
      </c>
      <c r="M348" s="48" t="n">
        <v>42.5887096774193</v>
      </c>
    </row>
    <row r="349" customFormat="false" ht="12.75" hidden="false" customHeight="false" outlineLevel="0" collapsed="false">
      <c r="A349" s="45" t="n">
        <v>45444</v>
      </c>
      <c r="B349" s="46" t="n">
        <v>42.7</v>
      </c>
      <c r="C349" s="46" t="n">
        <v>47.7</v>
      </c>
      <c r="D349" s="46" t="n">
        <v>52.7</v>
      </c>
      <c r="M349" s="48" t="n">
        <v>40.4083333333333</v>
      </c>
    </row>
    <row r="350" customFormat="false" ht="12.75" hidden="false" customHeight="false" outlineLevel="0" collapsed="false">
      <c r="A350" s="45" t="n">
        <v>45474</v>
      </c>
      <c r="B350" s="46" t="n">
        <v>64.7</v>
      </c>
      <c r="C350" s="46" t="n">
        <v>69.7</v>
      </c>
      <c r="D350" s="46" t="n">
        <v>74.7</v>
      </c>
      <c r="M350" s="48" t="n">
        <v>46.991935483871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0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X18" activeCellId="0" sqref="X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6.28"/>
  </cols>
  <sheetData>
    <row r="1" customFormat="false" ht="12.75" hidden="false" customHeight="false" outlineLevel="0" collapsed="false">
      <c r="R1" s="7" t="s">
        <v>204</v>
      </c>
      <c r="S1" s="7"/>
    </row>
    <row r="2" customFormat="false" ht="12.75" hidden="false" customHeight="false" outlineLevel="0" collapsed="false">
      <c r="A2" s="49" t="s">
        <v>205</v>
      </c>
      <c r="D2" s="1" t="n">
        <v>1</v>
      </c>
      <c r="G2" s="0" t="n">
        <v>1</v>
      </c>
      <c r="J2" s="0" t="n">
        <v>0</v>
      </c>
      <c r="M2" s="0" t="n">
        <v>0</v>
      </c>
      <c r="P2" s="0" t="n">
        <v>0</v>
      </c>
      <c r="S2" s="0" t="n">
        <v>0</v>
      </c>
      <c r="U2" s="0" t="s">
        <v>206</v>
      </c>
    </row>
    <row r="3" customFormat="false" ht="12.75" hidden="false" customHeight="false" outlineLevel="0" collapsed="false">
      <c r="A3" s="50" t="s">
        <v>207</v>
      </c>
      <c r="D3" s="1" t="n">
        <v>1</v>
      </c>
      <c r="G3" s="0" t="n">
        <v>0</v>
      </c>
      <c r="J3" s="0" t="n">
        <v>1</v>
      </c>
      <c r="M3" s="0" t="n">
        <v>0</v>
      </c>
      <c r="P3" s="0" t="n">
        <v>0</v>
      </c>
      <c r="S3" s="0" t="n">
        <v>0</v>
      </c>
    </row>
    <row r="4" customFormat="false" ht="12.75" hidden="false" customHeight="false" outlineLevel="0" collapsed="false">
      <c r="A4" s="49"/>
    </row>
    <row r="5" customFormat="false" ht="12.75" hidden="false" customHeight="false" outlineLevel="0" collapsed="false">
      <c r="A5" s="49" t="s">
        <v>208</v>
      </c>
      <c r="C5" s="51" t="s">
        <v>209</v>
      </c>
      <c r="D5" s="52"/>
      <c r="E5" s="53"/>
      <c r="F5" s="51" t="s">
        <v>209</v>
      </c>
      <c r="G5" s="52"/>
      <c r="H5" s="53"/>
      <c r="I5" s="51" t="s">
        <v>209</v>
      </c>
      <c r="J5" s="52"/>
      <c r="K5" s="53"/>
      <c r="L5" s="51" t="s">
        <v>209</v>
      </c>
      <c r="M5" s="52"/>
      <c r="O5" s="51" t="s">
        <v>209</v>
      </c>
      <c r="P5" s="52"/>
      <c r="R5" s="51" t="s">
        <v>209</v>
      </c>
      <c r="S5" s="52"/>
      <c r="U5" s="51" t="s">
        <v>209</v>
      </c>
      <c r="V5" s="52"/>
    </row>
    <row r="6" customFormat="false" ht="12.75" hidden="false" customHeight="false" outlineLevel="0" collapsed="false">
      <c r="A6" s="49"/>
      <c r="C6" s="54" t="s">
        <v>210</v>
      </c>
      <c r="D6" s="55" t="s">
        <v>161</v>
      </c>
      <c r="E6" s="56"/>
      <c r="F6" s="54" t="s">
        <v>210</v>
      </c>
      <c r="G6" s="55" t="s">
        <v>161</v>
      </c>
      <c r="H6" s="56"/>
      <c r="I6" s="54" t="s">
        <v>210</v>
      </c>
      <c r="J6" s="55" t="s">
        <v>161</v>
      </c>
      <c r="K6" s="56"/>
      <c r="L6" s="54" t="s">
        <v>210</v>
      </c>
      <c r="M6" s="55" t="s">
        <v>161</v>
      </c>
      <c r="O6" s="54" t="s">
        <v>210</v>
      </c>
      <c r="P6" s="55" t="s">
        <v>161</v>
      </c>
      <c r="R6" s="54" t="s">
        <v>210</v>
      </c>
      <c r="S6" s="55" t="s">
        <v>161</v>
      </c>
      <c r="U6" s="54" t="s">
        <v>210</v>
      </c>
      <c r="V6" s="55" t="s">
        <v>161</v>
      </c>
    </row>
    <row r="7" customFormat="false" ht="12.75" hidden="false" customHeight="false" outlineLevel="0" collapsed="false">
      <c r="A7" s="49" t="s">
        <v>211</v>
      </c>
      <c r="C7" s="54" t="n">
        <v>0.992060455930207</v>
      </c>
      <c r="D7" s="55" t="n">
        <v>0.47744091668656</v>
      </c>
      <c r="E7" s="56"/>
      <c r="F7" s="54" t="n">
        <v>0.992060455930207</v>
      </c>
      <c r="G7" s="55" t="n">
        <v>0.47744091668656</v>
      </c>
      <c r="H7" s="56"/>
      <c r="I7" s="54" t="n">
        <v>0.992060455930207</v>
      </c>
      <c r="J7" s="55" t="n">
        <v>0.47744091668656</v>
      </c>
      <c r="K7" s="56"/>
      <c r="L7" s="54" t="n">
        <v>0.992060455930207</v>
      </c>
      <c r="M7" s="55" t="n">
        <v>0.47744091668656</v>
      </c>
      <c r="O7" s="54" t="n">
        <v>0.992060455930207</v>
      </c>
      <c r="P7" s="55" t="n">
        <v>0.47744091668656</v>
      </c>
      <c r="R7" s="54" t="n">
        <v>0.992060455930207</v>
      </c>
      <c r="S7" s="55" t="n">
        <v>0.47744091668656</v>
      </c>
      <c r="U7" s="54" t="n">
        <v>0.992060455930207</v>
      </c>
      <c r="V7" s="55" t="n">
        <v>0.47744091668656</v>
      </c>
    </row>
    <row r="8" customFormat="false" ht="12.75" hidden="false" customHeight="false" outlineLevel="0" collapsed="false">
      <c r="A8" s="49" t="s">
        <v>212</v>
      </c>
      <c r="C8" s="54" t="n">
        <v>0</v>
      </c>
      <c r="D8" s="55" t="n">
        <v>0.645626290539639</v>
      </c>
      <c r="E8" s="56"/>
      <c r="F8" s="54" t="n">
        <v>0</v>
      </c>
      <c r="G8" s="55" t="n">
        <v>0.645626290539639</v>
      </c>
      <c r="H8" s="56"/>
      <c r="I8" s="54" t="n">
        <v>0</v>
      </c>
      <c r="J8" s="55" t="n">
        <v>0.513707457136107</v>
      </c>
      <c r="K8" s="56"/>
      <c r="L8" s="54" t="n">
        <v>0</v>
      </c>
      <c r="M8" s="55" t="n">
        <v>0.513707457136107</v>
      </c>
      <c r="O8" s="54" t="n">
        <v>0</v>
      </c>
      <c r="P8" s="55" t="n">
        <v>0.513707457136107</v>
      </c>
      <c r="R8" s="54" t="n">
        <v>0</v>
      </c>
      <c r="S8" s="55" t="n">
        <v>0.513707457136107</v>
      </c>
      <c r="U8" s="54" t="n">
        <v>0</v>
      </c>
      <c r="V8" s="55" t="n">
        <v>0.513707457136107</v>
      </c>
    </row>
    <row r="9" customFormat="false" ht="12.75" hidden="false" customHeight="false" outlineLevel="0" collapsed="false">
      <c r="A9" s="57" t="s">
        <v>213</v>
      </c>
      <c r="C9" s="54" t="n">
        <v>-0.382398070606219</v>
      </c>
      <c r="D9" s="55" t="n">
        <v>0</v>
      </c>
      <c r="E9" s="56"/>
      <c r="F9" s="54" t="n">
        <v>-0.382398070606219</v>
      </c>
      <c r="G9" s="55" t="n">
        <v>0</v>
      </c>
      <c r="H9" s="56"/>
      <c r="I9" s="54" t="n">
        <v>-0.304263849448699</v>
      </c>
      <c r="J9" s="55" t="n">
        <v>0</v>
      </c>
      <c r="K9" s="56"/>
      <c r="L9" s="54" t="n">
        <v>-0.304263849448699</v>
      </c>
      <c r="M9" s="55" t="n">
        <v>0</v>
      </c>
      <c r="O9" s="54" t="n">
        <v>-0.304263849448699</v>
      </c>
      <c r="P9" s="55" t="n">
        <v>0</v>
      </c>
      <c r="R9" s="54" t="n">
        <v>-0.304263849448699</v>
      </c>
      <c r="S9" s="55" t="n">
        <v>0</v>
      </c>
      <c r="U9" s="54" t="n">
        <v>-0.304263849448699</v>
      </c>
      <c r="V9" s="55" t="n">
        <v>0</v>
      </c>
    </row>
    <row r="10" customFormat="false" ht="12.75" hidden="false" customHeight="false" outlineLevel="0" collapsed="false">
      <c r="A10" s="57" t="s">
        <v>214</v>
      </c>
      <c r="C10" s="54" t="n">
        <v>6.72269956998405</v>
      </c>
      <c r="D10" s="55" t="n">
        <v>6.67741902345315</v>
      </c>
      <c r="E10" s="56"/>
      <c r="F10" s="54" t="n">
        <v>6.72269956998405</v>
      </c>
      <c r="G10" s="55" t="n">
        <v>6.67741902345315</v>
      </c>
      <c r="H10" s="56"/>
      <c r="I10" s="54" t="n">
        <v>6.72269956998405</v>
      </c>
      <c r="J10" s="55" t="n">
        <v>6.67741902345315</v>
      </c>
      <c r="K10" s="56"/>
      <c r="L10" s="54" t="n">
        <v>6.72269956998405</v>
      </c>
      <c r="M10" s="55" t="n">
        <v>6.67741902345315</v>
      </c>
      <c r="O10" s="54" t="n">
        <v>6.72269956998405</v>
      </c>
      <c r="P10" s="55" t="n">
        <v>6.67741902345315</v>
      </c>
      <c r="R10" s="54" t="n">
        <v>6.72269956998405</v>
      </c>
      <c r="S10" s="55" t="n">
        <v>6.67741902345315</v>
      </c>
      <c r="U10" s="54" t="n">
        <v>6.72269956998405</v>
      </c>
      <c r="V10" s="55" t="n">
        <v>6.67741902345315</v>
      </c>
    </row>
    <row r="11" customFormat="false" ht="12.75" hidden="false" customHeight="false" outlineLevel="0" collapsed="false">
      <c r="A11" s="49" t="s">
        <v>215</v>
      </c>
      <c r="C11" s="54" t="n">
        <v>0.605831479227459</v>
      </c>
      <c r="D11" s="55" t="n">
        <v>0.312389591788016</v>
      </c>
      <c r="E11" s="56"/>
      <c r="F11" s="54" t="n">
        <v>0.30291573961373</v>
      </c>
      <c r="G11" s="55" t="n">
        <v>0.156194795894008</v>
      </c>
      <c r="H11" s="56"/>
      <c r="I11" s="54" t="n">
        <v>0.605831479227459</v>
      </c>
      <c r="J11" s="55" t="n">
        <v>0.312389591788016</v>
      </c>
      <c r="K11" s="56"/>
      <c r="L11" s="54" t="n">
        <v>0.30291573961373</v>
      </c>
      <c r="M11" s="55" t="n">
        <v>0.156194795894008</v>
      </c>
      <c r="O11" s="54" t="n">
        <v>0</v>
      </c>
      <c r="P11" s="55" t="n">
        <v>0</v>
      </c>
      <c r="R11" s="54" t="n">
        <v>0.605280459047566</v>
      </c>
      <c r="S11" s="55" t="n">
        <v>0.312598424388407</v>
      </c>
      <c r="U11" s="54" t="n">
        <v>0.805394398288798</v>
      </c>
      <c r="V11" s="55" t="n">
        <v>0.373565472329565</v>
      </c>
    </row>
    <row r="12" customFormat="false" ht="12.75" hidden="false" customHeight="false" outlineLevel="0" collapsed="false">
      <c r="A12" s="49"/>
      <c r="C12" s="54"/>
      <c r="D12" s="55"/>
      <c r="E12" s="56"/>
      <c r="F12" s="54"/>
      <c r="G12" s="55"/>
      <c r="H12" s="56"/>
      <c r="I12" s="54"/>
      <c r="J12" s="55"/>
      <c r="K12" s="56"/>
      <c r="L12" s="54"/>
      <c r="M12" s="55"/>
      <c r="O12" s="54"/>
      <c r="P12" s="55"/>
      <c r="R12" s="54"/>
      <c r="S12" s="55"/>
      <c r="U12" s="54"/>
      <c r="V12" s="55"/>
    </row>
    <row r="13" customFormat="false" ht="12.75" hidden="false" customHeight="false" outlineLevel="0" collapsed="false">
      <c r="A13" s="49" t="s">
        <v>216</v>
      </c>
      <c r="C13" s="54" t="n">
        <v>7.9381934345355</v>
      </c>
      <c r="D13" s="55" t="n">
        <v>8.11287582246736</v>
      </c>
      <c r="E13" s="56"/>
      <c r="F13" s="54" t="n">
        <v>7.63527769492177</v>
      </c>
      <c r="G13" s="55" t="n">
        <v>7.95668102657336</v>
      </c>
      <c r="H13" s="56"/>
      <c r="I13" s="54" t="n">
        <v>8.01632765569302</v>
      </c>
      <c r="J13" s="55" t="n">
        <v>7.98095698906383</v>
      </c>
      <c r="K13" s="56"/>
      <c r="L13" s="54" t="n">
        <v>7.71341191607929</v>
      </c>
      <c r="M13" s="55" t="n">
        <v>7.82476219316983</v>
      </c>
      <c r="O13" s="54" t="n">
        <v>7.41049617646556</v>
      </c>
      <c r="P13" s="55" t="n">
        <v>7.66856739727582</v>
      </c>
      <c r="R13" s="54" t="n">
        <v>8.01577663551313</v>
      </c>
      <c r="S13" s="55" t="n">
        <v>7.98116582166422</v>
      </c>
      <c r="U13" s="54" t="n">
        <v>8.21589057475436</v>
      </c>
      <c r="V13" s="55" t="n">
        <v>8.04213286960538</v>
      </c>
    </row>
    <row r="14" customFormat="false" ht="12.75" hidden="false" customHeight="false" outlineLevel="0" collapsed="false">
      <c r="A14" s="49"/>
      <c r="C14" s="54"/>
      <c r="D14" s="55"/>
      <c r="E14" s="56"/>
      <c r="F14" s="54"/>
      <c r="G14" s="55"/>
      <c r="H14" s="56"/>
      <c r="I14" s="54"/>
      <c r="J14" s="55"/>
      <c r="K14" s="56"/>
      <c r="L14" s="54"/>
      <c r="M14" s="55"/>
      <c r="O14" s="54"/>
      <c r="P14" s="55"/>
      <c r="R14" s="54"/>
      <c r="S14" s="55"/>
      <c r="U14" s="54"/>
      <c r="V14" s="55"/>
    </row>
    <row r="15" customFormat="false" ht="12.75" hidden="false" customHeight="false" outlineLevel="0" collapsed="false">
      <c r="A15" s="49" t="s">
        <v>217</v>
      </c>
      <c r="C15" s="54" t="n">
        <v>4.8875</v>
      </c>
      <c r="D15" s="55" t="n">
        <v>5.25</v>
      </c>
      <c r="E15" s="56"/>
      <c r="F15" s="54" t="n">
        <v>4.8875</v>
      </c>
      <c r="G15" s="55" t="n">
        <v>5.25</v>
      </c>
      <c r="H15" s="56"/>
      <c r="I15" s="54" t="n">
        <v>4.8875</v>
      </c>
      <c r="J15" s="55" t="n">
        <v>5.25</v>
      </c>
      <c r="K15" s="56"/>
      <c r="L15" s="54" t="n">
        <v>4.8875</v>
      </c>
      <c r="M15" s="55" t="n">
        <v>5.25</v>
      </c>
      <c r="O15" s="54" t="n">
        <v>4.8875</v>
      </c>
      <c r="P15" s="55" t="n">
        <v>5.25</v>
      </c>
      <c r="R15" s="54" t="n">
        <v>4.8875</v>
      </c>
      <c r="S15" s="55" t="n">
        <v>5.25</v>
      </c>
      <c r="U15" s="54" t="n">
        <v>4.8875</v>
      </c>
      <c r="V15" s="55" t="n">
        <v>5.25</v>
      </c>
    </row>
    <row r="16" customFormat="false" ht="12.75" hidden="false" customHeight="false" outlineLevel="0" collapsed="false">
      <c r="A16" s="49"/>
      <c r="C16" s="54"/>
      <c r="D16" s="55"/>
      <c r="E16" s="56"/>
      <c r="F16" s="54"/>
      <c r="G16" s="55"/>
      <c r="H16" s="56"/>
      <c r="I16" s="54"/>
      <c r="J16" s="55"/>
      <c r="K16" s="56"/>
      <c r="L16" s="54"/>
      <c r="M16" s="55"/>
      <c r="O16" s="54"/>
      <c r="P16" s="55"/>
      <c r="R16" s="54"/>
      <c r="S16" s="55"/>
      <c r="U16" s="54"/>
      <c r="V16" s="55"/>
    </row>
    <row r="17" customFormat="false" ht="12.75" hidden="false" customHeight="false" outlineLevel="0" collapsed="false">
      <c r="A17" s="49" t="s">
        <v>218</v>
      </c>
      <c r="C17" s="54" t="n">
        <v>12.8256934345355</v>
      </c>
      <c r="D17" s="55" t="n">
        <v>13.3628758224674</v>
      </c>
      <c r="E17" s="56"/>
      <c r="F17" s="54" t="n">
        <v>12.5227776949218</v>
      </c>
      <c r="G17" s="55" t="n">
        <v>13.2066810265734</v>
      </c>
      <c r="H17" s="56"/>
      <c r="I17" s="54" t="n">
        <v>12.903827655693</v>
      </c>
      <c r="J17" s="55" t="n">
        <v>13.2309569890638</v>
      </c>
      <c r="K17" s="56"/>
      <c r="L17" s="54" t="n">
        <v>12.6009119160793</v>
      </c>
      <c r="M17" s="55" t="n">
        <v>13.0747621931698</v>
      </c>
      <c r="O17" s="54" t="n">
        <v>12.2979961764656</v>
      </c>
      <c r="P17" s="55" t="n">
        <v>12.9185673972758</v>
      </c>
      <c r="R17" s="54" t="n">
        <v>12.9032766355131</v>
      </c>
      <c r="S17" s="55" t="n">
        <v>13.2311658216642</v>
      </c>
      <c r="U17" s="54" t="n">
        <v>13.1033905747544</v>
      </c>
      <c r="V17" s="55" t="n">
        <v>13.2921328696054</v>
      </c>
    </row>
    <row r="18" customFormat="false" ht="12.75" hidden="false" customHeight="false" outlineLevel="0" collapsed="false">
      <c r="A18" s="49"/>
      <c r="C18" s="54"/>
      <c r="D18" s="55"/>
      <c r="E18" s="56"/>
      <c r="F18" s="54"/>
      <c r="G18" s="55"/>
      <c r="H18" s="56"/>
      <c r="I18" s="54"/>
      <c r="J18" s="55"/>
      <c r="K18" s="56"/>
      <c r="L18" s="54"/>
      <c r="M18" s="55"/>
      <c r="O18" s="54"/>
      <c r="P18" s="55"/>
      <c r="R18" s="54"/>
      <c r="S18" s="55"/>
      <c r="U18" s="54"/>
      <c r="V18" s="55"/>
    </row>
    <row r="19" customFormat="false" ht="12.75" hidden="false" customHeight="false" outlineLevel="0" collapsed="false">
      <c r="A19" s="49" t="s">
        <v>219</v>
      </c>
      <c r="C19" s="58" t="n">
        <f aca="false">+'Core &amp; Non-core'!B56</f>
        <v>14.8794141004406</v>
      </c>
      <c r="D19" s="59" t="n">
        <f aca="false">+'Core &amp; Non-core'!C56</f>
        <v>15.6708751528102</v>
      </c>
      <c r="E19" s="56"/>
      <c r="F19" s="58" t="n">
        <f aca="false">+C19</f>
        <v>14.8794141004406</v>
      </c>
      <c r="G19" s="59" t="n">
        <f aca="false">+D19</f>
        <v>15.6708751528102</v>
      </c>
      <c r="H19" s="56"/>
      <c r="I19" s="58" t="n">
        <f aca="false">+F19</f>
        <v>14.8794141004406</v>
      </c>
      <c r="J19" s="59" t="n">
        <f aca="false">+G19</f>
        <v>15.6708751528102</v>
      </c>
      <c r="K19" s="56"/>
      <c r="L19" s="58" t="n">
        <f aca="false">+I19</f>
        <v>14.8794141004406</v>
      </c>
      <c r="M19" s="59" t="n">
        <f aca="false">+J19</f>
        <v>15.6708751528102</v>
      </c>
      <c r="O19" s="58" t="n">
        <f aca="false">+L19</f>
        <v>14.8794141004406</v>
      </c>
      <c r="P19" s="59" t="n">
        <f aca="false">+M19</f>
        <v>15.6708751528102</v>
      </c>
      <c r="R19" s="58" t="n">
        <f aca="false">+O19</f>
        <v>14.8794141004406</v>
      </c>
      <c r="S19" s="59" t="n">
        <f aca="false">+P19</f>
        <v>15.6708751528102</v>
      </c>
      <c r="U19" s="58" t="n">
        <f aca="false">+R19</f>
        <v>14.8794141004406</v>
      </c>
      <c r="V19" s="59" t="n">
        <f aca="false">+S19</f>
        <v>15.6708751528102</v>
      </c>
    </row>
    <row r="20" customFormat="false" ht="12.75" hidden="false" customHeight="false" outlineLevel="0" collapsed="false">
      <c r="A20" s="49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O20" s="56"/>
      <c r="P20" s="56"/>
      <c r="R20" s="56"/>
      <c r="S20" s="56"/>
      <c r="U20" s="56"/>
      <c r="V20" s="56"/>
    </row>
    <row r="21" customFormat="false" ht="12.75" hidden="false" customHeight="false" outlineLevel="0" collapsed="false">
      <c r="A21" s="49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O21" s="56"/>
      <c r="P21" s="56"/>
      <c r="R21" s="56"/>
      <c r="S21" s="56"/>
      <c r="U21" s="56"/>
      <c r="V21" s="56"/>
    </row>
    <row r="22" customFormat="false" ht="12.75" hidden="false" customHeight="false" outlineLevel="0" collapsed="false">
      <c r="A22" s="49" t="s">
        <v>220</v>
      </c>
      <c r="B22" s="60"/>
      <c r="C22" s="51" t="s">
        <v>209</v>
      </c>
      <c r="D22" s="52"/>
      <c r="E22" s="53"/>
      <c r="F22" s="51" t="s">
        <v>209</v>
      </c>
      <c r="G22" s="52"/>
      <c r="H22" s="53"/>
      <c r="I22" s="51" t="s">
        <v>209</v>
      </c>
      <c r="J22" s="52"/>
      <c r="K22" s="53"/>
      <c r="L22" s="51" t="s">
        <v>209</v>
      </c>
      <c r="M22" s="52"/>
      <c r="O22" s="51" t="s">
        <v>209</v>
      </c>
      <c r="P22" s="52"/>
      <c r="R22" s="51" t="s">
        <v>209</v>
      </c>
      <c r="S22" s="52"/>
      <c r="U22" s="51" t="s">
        <v>209</v>
      </c>
      <c r="V22" s="52"/>
    </row>
    <row r="23" customFormat="false" ht="12.75" hidden="false" customHeight="false" outlineLevel="0" collapsed="false">
      <c r="A23" s="49"/>
      <c r="C23" s="54" t="s">
        <v>210</v>
      </c>
      <c r="D23" s="55" t="s">
        <v>161</v>
      </c>
      <c r="E23" s="56"/>
      <c r="F23" s="54" t="s">
        <v>210</v>
      </c>
      <c r="G23" s="55" t="s">
        <v>161</v>
      </c>
      <c r="H23" s="56"/>
      <c r="I23" s="54" t="s">
        <v>210</v>
      </c>
      <c r="J23" s="55" t="s">
        <v>161</v>
      </c>
      <c r="K23" s="56"/>
      <c r="L23" s="54" t="s">
        <v>210</v>
      </c>
      <c r="M23" s="55" t="s">
        <v>161</v>
      </c>
      <c r="O23" s="54" t="s">
        <v>210</v>
      </c>
      <c r="P23" s="55" t="s">
        <v>161</v>
      </c>
      <c r="R23" s="54" t="s">
        <v>210</v>
      </c>
      <c r="S23" s="55" t="s">
        <v>161</v>
      </c>
      <c r="U23" s="54" t="s">
        <v>210</v>
      </c>
      <c r="V23" s="55" t="s">
        <v>161</v>
      </c>
    </row>
    <row r="24" customFormat="false" ht="12.75" hidden="false" customHeight="false" outlineLevel="0" collapsed="false">
      <c r="A24" s="49" t="s">
        <v>211</v>
      </c>
      <c r="C24" s="54" t="n">
        <v>0.992060455930208</v>
      </c>
      <c r="D24" s="55" t="n">
        <v>0.47744091668656</v>
      </c>
      <c r="E24" s="56"/>
      <c r="F24" s="54" t="n">
        <v>0.992060455930208</v>
      </c>
      <c r="G24" s="55" t="n">
        <v>0.47744091668656</v>
      </c>
      <c r="H24" s="56"/>
      <c r="I24" s="54" t="n">
        <v>0.992060455930208</v>
      </c>
      <c r="J24" s="55" t="n">
        <v>0.47744091668656</v>
      </c>
      <c r="K24" s="56"/>
      <c r="L24" s="54" t="n">
        <v>0.992060455930208</v>
      </c>
      <c r="M24" s="55" t="n">
        <v>0.47744091668656</v>
      </c>
      <c r="O24" s="54" t="n">
        <v>0.992060455930208</v>
      </c>
      <c r="P24" s="55" t="n">
        <v>0.47744091668656</v>
      </c>
      <c r="R24" s="54" t="n">
        <v>0.992060455930208</v>
      </c>
      <c r="S24" s="55" t="n">
        <v>0.47744091668656</v>
      </c>
      <c r="U24" s="54" t="n">
        <v>0.992060455930208</v>
      </c>
      <c r="V24" s="55" t="n">
        <v>0.47744091668656</v>
      </c>
    </row>
    <row r="25" customFormat="false" ht="12.75" hidden="false" customHeight="false" outlineLevel="0" collapsed="false">
      <c r="A25" s="49" t="s">
        <v>212</v>
      </c>
      <c r="C25" s="54" t="n">
        <v>10.4</v>
      </c>
      <c r="D25" s="55" t="n">
        <v>10.4</v>
      </c>
      <c r="E25" s="56"/>
      <c r="F25" s="54" t="n">
        <v>10.4</v>
      </c>
      <c r="G25" s="55" t="n">
        <v>10.4</v>
      </c>
      <c r="H25" s="56"/>
      <c r="I25" s="54" t="n">
        <v>8.275</v>
      </c>
      <c r="J25" s="55" t="n">
        <v>8.275</v>
      </c>
      <c r="K25" s="56"/>
      <c r="L25" s="54" t="n">
        <v>8.275</v>
      </c>
      <c r="M25" s="55" t="n">
        <v>8.275</v>
      </c>
      <c r="O25" s="54" t="n">
        <v>8.275</v>
      </c>
      <c r="P25" s="55" t="n">
        <v>8.275</v>
      </c>
      <c r="R25" s="54" t="n">
        <v>8.275</v>
      </c>
      <c r="S25" s="55" t="n">
        <v>8.275</v>
      </c>
      <c r="U25" s="54" t="n">
        <v>8.275</v>
      </c>
      <c r="V25" s="55" t="n">
        <v>8.275</v>
      </c>
    </row>
    <row r="26" customFormat="false" ht="12.75" hidden="false" customHeight="false" outlineLevel="0" collapsed="false">
      <c r="A26" s="49" t="s">
        <v>215</v>
      </c>
      <c r="C26" s="54" t="n">
        <v>0.605831479227459</v>
      </c>
      <c r="D26" s="55" t="n">
        <v>0.312389591788016</v>
      </c>
      <c r="E26" s="56"/>
      <c r="F26" s="54" t="n">
        <v>1.13179016209595</v>
      </c>
      <c r="G26" s="55" t="n">
        <v>0.671915488566093</v>
      </c>
      <c r="H26" s="56"/>
      <c r="I26" s="54" t="n">
        <v>0.605831479227459</v>
      </c>
      <c r="J26" s="55" t="n">
        <v>0.312389591788016</v>
      </c>
      <c r="K26" s="56"/>
      <c r="L26" s="54" t="n">
        <v>1.13179016209595</v>
      </c>
      <c r="M26" s="55" t="n">
        <v>0.671915488566093</v>
      </c>
      <c r="O26" s="54" t="n">
        <v>1.65774884496444</v>
      </c>
      <c r="P26" s="55" t="n">
        <v>1.03144138534417</v>
      </c>
      <c r="R26" s="54" t="n">
        <v>0.606788226633255</v>
      </c>
      <c r="S26" s="55" t="n">
        <v>0.311908905299697</v>
      </c>
      <c r="U26" s="54" t="n">
        <v>0.259326374564567</v>
      </c>
      <c r="V26" s="55" t="n">
        <v>0.171576236342974</v>
      </c>
    </row>
    <row r="27" customFormat="false" ht="12.75" hidden="false" customHeight="false" outlineLevel="0" collapsed="false">
      <c r="A27" s="49"/>
      <c r="C27" s="54"/>
      <c r="D27" s="55"/>
      <c r="E27" s="56"/>
      <c r="F27" s="54"/>
      <c r="G27" s="55"/>
      <c r="H27" s="56"/>
      <c r="I27" s="54"/>
      <c r="J27" s="55"/>
      <c r="K27" s="56"/>
      <c r="L27" s="54"/>
      <c r="M27" s="55"/>
      <c r="O27" s="54"/>
      <c r="P27" s="55"/>
      <c r="R27" s="54"/>
      <c r="S27" s="55"/>
      <c r="U27" s="54"/>
      <c r="V27" s="55"/>
    </row>
    <row r="28" customFormat="false" ht="12.75" hidden="false" customHeight="false" outlineLevel="0" collapsed="false">
      <c r="A28" s="49" t="s">
        <v>216</v>
      </c>
      <c r="C28" s="54" t="n">
        <v>11.9978919351577</v>
      </c>
      <c r="D28" s="55" t="n">
        <v>11.1898305084746</v>
      </c>
      <c r="E28" s="56"/>
      <c r="F28" s="54" t="n">
        <v>12.5238506180262</v>
      </c>
      <c r="G28" s="55" t="n">
        <v>11.5493564052527</v>
      </c>
      <c r="H28" s="56"/>
      <c r="I28" s="54" t="n">
        <v>9.87289193515767</v>
      </c>
      <c r="J28" s="55" t="n">
        <v>9.06483050847458</v>
      </c>
      <c r="K28" s="56"/>
      <c r="L28" s="54" t="n">
        <v>10.3988506180262</v>
      </c>
      <c r="M28" s="55" t="n">
        <v>9.42435640525265</v>
      </c>
      <c r="O28" s="54" t="n">
        <v>10.9248093008946</v>
      </c>
      <c r="P28" s="55" t="n">
        <v>9.78388230203073</v>
      </c>
      <c r="R28" s="54" t="n">
        <v>9.87384868256347</v>
      </c>
      <c r="S28" s="55" t="n">
        <v>9.06434982198626</v>
      </c>
      <c r="U28" s="54" t="n">
        <v>9.52638683049478</v>
      </c>
      <c r="V28" s="55" t="n">
        <v>8.92401715302953</v>
      </c>
    </row>
    <row r="29" customFormat="false" ht="12.75" hidden="false" customHeight="false" outlineLevel="0" collapsed="false">
      <c r="A29" s="49"/>
      <c r="C29" s="54"/>
      <c r="D29" s="55"/>
      <c r="E29" s="56"/>
      <c r="F29" s="54"/>
      <c r="G29" s="55"/>
      <c r="H29" s="56"/>
      <c r="I29" s="54"/>
      <c r="J29" s="55"/>
      <c r="K29" s="56"/>
      <c r="L29" s="54"/>
      <c r="M29" s="55"/>
      <c r="O29" s="54"/>
      <c r="P29" s="55"/>
      <c r="R29" s="54"/>
      <c r="S29" s="55"/>
      <c r="U29" s="54"/>
      <c r="V29" s="55"/>
    </row>
    <row r="30" customFormat="false" ht="12.75" hidden="false" customHeight="false" outlineLevel="0" collapsed="false">
      <c r="A30" s="49" t="s">
        <v>221</v>
      </c>
      <c r="C30" s="54" t="n">
        <v>2.21274711654288</v>
      </c>
      <c r="D30" s="55" t="n">
        <v>1.78313207904092</v>
      </c>
      <c r="E30" s="56"/>
      <c r="F30" s="54" t="n">
        <v>2.21274711654288</v>
      </c>
      <c r="G30" s="55" t="n">
        <v>1.78313207904092</v>
      </c>
      <c r="H30" s="56"/>
      <c r="I30" s="54" t="n">
        <v>2.21274711654288</v>
      </c>
      <c r="J30" s="55" t="n">
        <v>1.78313207904092</v>
      </c>
      <c r="K30" s="56"/>
      <c r="L30" s="54" t="n">
        <v>2.21274711654288</v>
      </c>
      <c r="M30" s="55" t="n">
        <v>1.78313207904092</v>
      </c>
      <c r="O30" s="54" t="n">
        <v>2.21274711654289</v>
      </c>
      <c r="P30" s="55" t="n">
        <v>1.78313207904092</v>
      </c>
      <c r="R30" s="54" t="n">
        <v>2.21274711654289</v>
      </c>
      <c r="S30" s="55" t="n">
        <v>1.78313207904092</v>
      </c>
      <c r="U30" s="54" t="n">
        <v>2.21274711654288</v>
      </c>
      <c r="V30" s="55" t="n">
        <v>1.78313207904092</v>
      </c>
    </row>
    <row r="31" customFormat="false" ht="12.75" hidden="false" customHeight="false" outlineLevel="0" collapsed="false">
      <c r="A31" s="49"/>
      <c r="C31" s="54"/>
      <c r="D31" s="55"/>
      <c r="E31" s="56"/>
      <c r="F31" s="54"/>
      <c r="G31" s="55"/>
      <c r="H31" s="56"/>
      <c r="I31" s="54"/>
      <c r="J31" s="55"/>
      <c r="K31" s="56"/>
      <c r="L31" s="54"/>
      <c r="M31" s="55"/>
      <c r="O31" s="54"/>
      <c r="P31" s="55"/>
      <c r="R31" s="54"/>
      <c r="S31" s="55"/>
      <c r="U31" s="54"/>
      <c r="V31" s="55"/>
    </row>
    <row r="32" customFormat="false" ht="12.75" hidden="false" customHeight="false" outlineLevel="0" collapsed="false">
      <c r="A32" s="49" t="s">
        <v>222</v>
      </c>
      <c r="C32" s="54" t="n">
        <v>14.2106390517006</v>
      </c>
      <c r="D32" s="55" t="n">
        <v>12.9729625875155</v>
      </c>
      <c r="E32" s="56"/>
      <c r="F32" s="54" t="n">
        <v>14.736597734569</v>
      </c>
      <c r="G32" s="55" t="n">
        <v>13.3324884842936</v>
      </c>
      <c r="H32" s="56"/>
      <c r="I32" s="54" t="n">
        <v>12.0856390517006</v>
      </c>
      <c r="J32" s="55" t="n">
        <v>10.8479625875155</v>
      </c>
      <c r="K32" s="56"/>
      <c r="L32" s="54" t="n">
        <v>12.611597734569</v>
      </c>
      <c r="M32" s="55" t="n">
        <v>11.2074884842936</v>
      </c>
      <c r="O32" s="54" t="n">
        <v>13.1375564174375</v>
      </c>
      <c r="P32" s="55" t="n">
        <v>11.5670143810716</v>
      </c>
      <c r="R32" s="54" t="n">
        <v>12.0865957991064</v>
      </c>
      <c r="S32" s="55" t="n">
        <v>10.8474819010272</v>
      </c>
      <c r="U32" s="54" t="n">
        <v>11.7391339470377</v>
      </c>
      <c r="V32" s="55" t="n">
        <v>10.7071492320705</v>
      </c>
    </row>
    <row r="33" customFormat="false" ht="12.75" hidden="false" customHeight="false" outlineLevel="0" collapsed="false">
      <c r="A33" s="49"/>
      <c r="C33" s="54"/>
      <c r="D33" s="55"/>
      <c r="E33" s="56"/>
      <c r="F33" s="54"/>
      <c r="G33" s="55"/>
      <c r="H33" s="56"/>
      <c r="I33" s="54"/>
      <c r="J33" s="55"/>
      <c r="K33" s="56"/>
      <c r="L33" s="54"/>
      <c r="M33" s="55"/>
      <c r="O33" s="54"/>
      <c r="P33" s="55"/>
      <c r="R33" s="54"/>
      <c r="S33" s="55"/>
      <c r="U33" s="54"/>
      <c r="V33" s="55"/>
    </row>
    <row r="34" customFormat="false" ht="12.75" hidden="false" customHeight="false" outlineLevel="0" collapsed="false">
      <c r="A34" s="49" t="s">
        <v>223</v>
      </c>
      <c r="C34" s="61" t="n">
        <f aca="false">+'Core &amp; Non-core'!B75</f>
        <v>12.2110115990807</v>
      </c>
      <c r="D34" s="62" t="n">
        <f aca="false">+'Core &amp; Non-core'!C75</f>
        <v>12.9832664675142</v>
      </c>
      <c r="F34" s="58" t="n">
        <f aca="false">+C34</f>
        <v>12.2110115990807</v>
      </c>
      <c r="G34" s="59" t="n">
        <f aca="false">+D34</f>
        <v>12.9832664675142</v>
      </c>
      <c r="I34" s="58" t="n">
        <f aca="false">+F34</f>
        <v>12.2110115990807</v>
      </c>
      <c r="J34" s="59" t="n">
        <f aca="false">+G34</f>
        <v>12.9832664675142</v>
      </c>
      <c r="L34" s="58" t="n">
        <f aca="false">+I34</f>
        <v>12.2110115990807</v>
      </c>
      <c r="M34" s="59" t="n">
        <f aca="false">+J34</f>
        <v>12.9832664675142</v>
      </c>
      <c r="O34" s="58" t="n">
        <f aca="false">+L34</f>
        <v>12.2110115990807</v>
      </c>
      <c r="P34" s="59" t="n">
        <f aca="false">+M34</f>
        <v>12.9832664675142</v>
      </c>
      <c r="R34" s="58" t="n">
        <f aca="false">+O34</f>
        <v>12.2110115990807</v>
      </c>
      <c r="S34" s="59" t="n">
        <f aca="false">+P34</f>
        <v>12.9832664675142</v>
      </c>
      <c r="U34" s="58" t="n">
        <f aca="false">+R34</f>
        <v>12.2110115990807</v>
      </c>
      <c r="V34" s="59" t="n">
        <f aca="false">+S34</f>
        <v>12.9832664675142</v>
      </c>
    </row>
    <row r="35" customFormat="false" ht="12.75" hidden="false" customHeight="false" outlineLevel="0" collapsed="false">
      <c r="A35" s="49"/>
    </row>
    <row r="36" customFormat="false" ht="12.75" hidden="false" customHeight="false" outlineLevel="0" collapsed="false">
      <c r="A36" s="49"/>
    </row>
    <row r="37" customFormat="false" ht="12.75" hidden="false" customHeight="false" outlineLevel="0" collapsed="false">
      <c r="A37" s="49"/>
    </row>
    <row r="38" customFormat="false" ht="12.75" hidden="false" customHeight="false" outlineLevel="0" collapsed="false">
      <c r="A38" s="49"/>
    </row>
    <row r="39" customFormat="false" ht="12.75" hidden="false" customHeight="false" outlineLevel="0" collapsed="false">
      <c r="A39" s="49"/>
    </row>
    <row r="40" customFormat="false" ht="12.75" hidden="false" customHeight="false" outlineLevel="0" collapsed="false">
      <c r="A40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2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0.84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23.85"/>
  </cols>
  <sheetData>
    <row r="1" customFormat="false" ht="12.75" hidden="false" customHeight="false" outlineLevel="0" collapsed="false">
      <c r="H1" s="63" t="s">
        <v>224</v>
      </c>
      <c r="I1" s="64" t="n">
        <v>0</v>
      </c>
      <c r="J1" s="65" t="s">
        <v>225</v>
      </c>
    </row>
    <row r="2" customFormat="false" ht="12.75" hidden="false" customHeight="false" outlineLevel="0" collapsed="false">
      <c r="B2" s="66" t="n">
        <v>2001</v>
      </c>
      <c r="C2" s="66"/>
      <c r="D2" s="66"/>
      <c r="F2" s="28"/>
      <c r="G2" s="28"/>
      <c r="H2" s="67" t="s">
        <v>226</v>
      </c>
      <c r="I2" s="68"/>
      <c r="J2" s="69" t="s">
        <v>227</v>
      </c>
    </row>
    <row r="4" customFormat="false" ht="12.75" hidden="false" customHeight="false" outlineLevel="0" collapsed="false">
      <c r="A4" s="70"/>
      <c r="B4" s="71" t="s">
        <v>160</v>
      </c>
      <c r="C4" s="71" t="s">
        <v>161</v>
      </c>
      <c r="D4" s="71" t="s">
        <v>162</v>
      </c>
      <c r="E4" s="70"/>
      <c r="F4" s="71"/>
      <c r="G4" s="71"/>
      <c r="H4" s="63" t="s">
        <v>224</v>
      </c>
      <c r="I4" s="72" t="n">
        <v>0</v>
      </c>
      <c r="J4" s="73" t="s">
        <v>228</v>
      </c>
    </row>
    <row r="5" customFormat="false" ht="12.75" hidden="false" customHeight="false" outlineLevel="0" collapsed="false">
      <c r="H5" s="74" t="s">
        <v>229</v>
      </c>
      <c r="I5" s="68"/>
      <c r="J5" s="75" t="s">
        <v>230</v>
      </c>
    </row>
    <row r="6" customFormat="false" ht="12.75" hidden="false" customHeight="false" outlineLevel="0" collapsed="false">
      <c r="A6" s="0" t="s">
        <v>231</v>
      </c>
      <c r="B6" s="8" t="n">
        <f aca="false">+PGE!E141</f>
        <v>52027.016284</v>
      </c>
      <c r="C6" s="8" t="n">
        <f aca="false">+SCE!E135</f>
        <v>58405.8</v>
      </c>
      <c r="D6" s="8" t="n">
        <f aca="false">+SDGE!E104</f>
        <v>16548</v>
      </c>
      <c r="E6" s="11"/>
    </row>
    <row r="7" customFormat="false" ht="12.75" hidden="false" customHeight="false" outlineLevel="0" collapsed="false">
      <c r="A7" s="0" t="s">
        <v>232</v>
      </c>
      <c r="B7" s="8" t="n">
        <f aca="false">B8-B6</f>
        <v>29963.954643</v>
      </c>
      <c r="C7" s="8" t="n">
        <f aca="false">C8-C6</f>
        <v>25374.2</v>
      </c>
      <c r="D7" s="8" t="n">
        <f aca="false">+SDGE!E105</f>
        <v>657</v>
      </c>
      <c r="E7" s="11"/>
      <c r="H7" s="63" t="s">
        <v>224</v>
      </c>
      <c r="I7" s="72" t="n">
        <v>1</v>
      </c>
      <c r="J7" s="73" t="s">
        <v>233</v>
      </c>
    </row>
    <row r="8" customFormat="false" ht="12.75" hidden="false" customHeight="false" outlineLevel="0" collapsed="false">
      <c r="A8" s="0" t="s">
        <v>234</v>
      </c>
      <c r="B8" s="8" t="n">
        <f aca="false">+PGE!E138</f>
        <v>81990.970927</v>
      </c>
      <c r="C8" s="8" t="n">
        <f aca="false">+SCE!E132</f>
        <v>83780</v>
      </c>
      <c r="D8" s="8" t="n">
        <f aca="false">+SDGE!E101</f>
        <v>17205</v>
      </c>
      <c r="E8" s="8"/>
      <c r="H8" s="74" t="s">
        <v>235</v>
      </c>
      <c r="I8" s="68"/>
      <c r="J8" s="75" t="s">
        <v>236</v>
      </c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237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  <c r="H10" s="63" t="s">
        <v>224</v>
      </c>
      <c r="I10" s="72" t="n">
        <v>0</v>
      </c>
      <c r="J10" s="73" t="s">
        <v>238</v>
      </c>
    </row>
    <row r="11" customFormat="false" ht="12.75" hidden="false" customHeight="false" outlineLevel="0" collapsed="false">
      <c r="B11" s="8"/>
      <c r="C11" s="8"/>
      <c r="D11" s="8"/>
      <c r="E11" s="8"/>
      <c r="H11" s="76" t="s">
        <v>239</v>
      </c>
      <c r="I11" s="49"/>
      <c r="J11" s="77" t="s">
        <v>240</v>
      </c>
    </row>
    <row r="12" customFormat="false" ht="12.75" hidden="false" customHeight="false" outlineLevel="0" collapsed="false">
      <c r="A12" s="0" t="s">
        <v>241</v>
      </c>
      <c r="B12" s="8"/>
      <c r="C12" s="8"/>
      <c r="D12" s="8"/>
      <c r="E12" s="8"/>
      <c r="H12" s="78" t="s">
        <v>242</v>
      </c>
      <c r="I12" s="68"/>
      <c r="J12" s="69"/>
    </row>
    <row r="13" customFormat="false" ht="12.75" hidden="false" customHeight="false" outlineLevel="0" collapsed="false">
      <c r="A13" s="0" t="s">
        <v>243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244</v>
      </c>
      <c r="B14" s="8" t="n">
        <f aca="false">+B10-B6</f>
        <v>1912.983716</v>
      </c>
      <c r="C14" s="8" t="n">
        <f aca="false">+C10-C6</f>
        <v>-3625.8</v>
      </c>
      <c r="D14" s="8" t="n">
        <f aca="false">+D10-D6</f>
        <v>-11268</v>
      </c>
      <c r="E14" s="8"/>
      <c r="H14" s="0" t="s">
        <v>245</v>
      </c>
    </row>
    <row r="15" customFormat="false" ht="12.75" hidden="false" customHeight="false" outlineLevel="0" collapsed="false">
      <c r="B15" s="44"/>
      <c r="H15" s="71" t="s">
        <v>160</v>
      </c>
      <c r="I15" s="71" t="s">
        <v>161</v>
      </c>
    </row>
    <row r="16" customFormat="false" ht="12.75" hidden="false" customHeight="false" outlineLevel="0" collapsed="false">
      <c r="G16" s="70" t="s">
        <v>246</v>
      </c>
      <c r="H16" s="8" t="n">
        <f aca="false">PGE!E147</f>
        <v>30686.646265</v>
      </c>
      <c r="I16" s="8" t="n">
        <f aca="false">SCE!E142</f>
        <v>28034.1</v>
      </c>
    </row>
    <row r="17" customFormat="false" ht="12.75" hidden="false" customHeight="false" outlineLevel="0" collapsed="false">
      <c r="A17" s="0" t="s">
        <v>247</v>
      </c>
      <c r="G17" s="70" t="s">
        <v>248</v>
      </c>
      <c r="H17" s="8" t="n">
        <f aca="false">H18-H16</f>
        <v>51304.324662</v>
      </c>
      <c r="I17" s="8" t="n">
        <f aca="false">I18-I16</f>
        <v>55745.9</v>
      </c>
    </row>
    <row r="18" customFormat="false" ht="12.75" hidden="false" customHeight="false" outlineLevel="0" collapsed="false">
      <c r="H18" s="8" t="n">
        <f aca="false">PGE!E150</f>
        <v>81990.970927</v>
      </c>
      <c r="I18" s="8" t="n">
        <f aca="false">SCE!E145</f>
        <v>83780</v>
      </c>
    </row>
    <row r="19" customFormat="false" ht="12.75" hidden="false" customHeight="false" outlineLevel="0" collapsed="false">
      <c r="H19" s="0" t="s">
        <v>249</v>
      </c>
    </row>
    <row r="20" customFormat="false" ht="12.75" hidden="false" customHeight="false" outlineLevel="0" collapsed="false">
      <c r="H20" s="71" t="s">
        <v>160</v>
      </c>
      <c r="I20" s="71" t="s">
        <v>161</v>
      </c>
      <c r="J20" s="79"/>
    </row>
    <row r="21" customFormat="false" ht="12.75" hidden="false" customHeight="false" outlineLevel="0" collapsed="false">
      <c r="B21" s="71" t="s">
        <v>160</v>
      </c>
      <c r="C21" s="71" t="s">
        <v>161</v>
      </c>
      <c r="D21" s="71" t="s">
        <v>162</v>
      </c>
      <c r="G21" s="70" t="s">
        <v>246</v>
      </c>
      <c r="H21" s="8" t="n">
        <f aca="false">H16+(H17*0.75)</f>
        <v>69164.8897615</v>
      </c>
      <c r="I21" s="8" t="n">
        <f aca="false">I16+(I17*0.75)</f>
        <v>69843.525</v>
      </c>
      <c r="J21" s="79"/>
    </row>
    <row r="22" customFormat="false" ht="12.75" hidden="false" customHeight="false" outlineLevel="0" collapsed="false">
      <c r="G22" s="70" t="s">
        <v>248</v>
      </c>
      <c r="H22" s="8" t="n">
        <f aca="false">H23-H21</f>
        <v>12826.0811655</v>
      </c>
      <c r="I22" s="8" t="n">
        <f aca="false">I23-I21</f>
        <v>13936.475</v>
      </c>
      <c r="J22" s="57"/>
    </row>
    <row r="23" customFormat="false" ht="12.75" hidden="false" customHeight="false" outlineLevel="0" collapsed="false">
      <c r="A23" s="0" t="s">
        <v>250</v>
      </c>
      <c r="B23" s="80" t="n">
        <f aca="false">83000*0.98*0.01</f>
        <v>813.4</v>
      </c>
      <c r="C23" s="80" t="n">
        <v>400</v>
      </c>
      <c r="D23" s="80" t="n">
        <f aca="false">16000*0.96*0.012</f>
        <v>184.32</v>
      </c>
      <c r="H23" s="8" t="n">
        <f aca="false">H18</f>
        <v>81990.970927</v>
      </c>
      <c r="I23" s="8" t="n">
        <f aca="false">I18</f>
        <v>83780</v>
      </c>
    </row>
    <row r="24" customFormat="false" ht="12.75" hidden="false" customHeight="false" outlineLevel="0" collapsed="false">
      <c r="A24" s="0" t="s">
        <v>251</v>
      </c>
      <c r="B24" s="80" t="n">
        <f aca="false">83000*0.98*0.033</f>
        <v>2684.22</v>
      </c>
      <c r="C24" s="80" t="n">
        <v>2700</v>
      </c>
      <c r="D24" s="80" t="n">
        <f aca="false">16000*0.96*0.053</f>
        <v>814.08</v>
      </c>
      <c r="H24" s="0" t="s">
        <v>252</v>
      </c>
    </row>
    <row r="25" customFormat="false" ht="12.75" hidden="false" customHeight="false" outlineLevel="0" collapsed="false">
      <c r="A25" s="0" t="s">
        <v>253</v>
      </c>
      <c r="B25" s="80" t="n">
        <f aca="false">83000*0.98*0.007</f>
        <v>569.38</v>
      </c>
      <c r="C25" s="80" t="n">
        <v>300</v>
      </c>
      <c r="D25" s="80" t="n">
        <f aca="false">16000*0.96*0.004</f>
        <v>61.44</v>
      </c>
      <c r="H25" s="71" t="s">
        <v>160</v>
      </c>
      <c r="I25" s="71" t="s">
        <v>161</v>
      </c>
    </row>
    <row r="26" customFormat="false" ht="12.75" hidden="false" customHeight="false" outlineLevel="0" collapsed="false">
      <c r="A26" s="0" t="s">
        <v>254</v>
      </c>
      <c r="B26" s="80" t="n">
        <f aca="false">83000*0.98*0.043</f>
        <v>3497.62</v>
      </c>
      <c r="C26" s="80" t="n">
        <v>3900</v>
      </c>
      <c r="D26" s="80" t="n">
        <f aca="false">16000*0.96*0.024</f>
        <v>368.64</v>
      </c>
      <c r="G26" s="70" t="s">
        <v>246</v>
      </c>
      <c r="H26" s="8" t="n">
        <f aca="false">H16+(H17*0.5)</f>
        <v>56338.808596</v>
      </c>
      <c r="I26" s="8" t="n">
        <f aca="false">I16+(I17*0.5)</f>
        <v>55907.05</v>
      </c>
    </row>
    <row r="27" customFormat="false" ht="12.75" hidden="false" customHeight="false" outlineLevel="0" collapsed="false">
      <c r="B27" s="80"/>
      <c r="C27" s="80"/>
      <c r="D27" s="80"/>
      <c r="F27" s="81"/>
      <c r="G27" s="70" t="s">
        <v>248</v>
      </c>
      <c r="H27" s="8" t="n">
        <f aca="false">H28-H26</f>
        <v>25652.162331</v>
      </c>
      <c r="I27" s="8" t="n">
        <f aca="false">I28-I26</f>
        <v>27872.95</v>
      </c>
    </row>
    <row r="28" customFormat="false" ht="12.75" hidden="false" customHeight="false" outlineLevel="0" collapsed="false">
      <c r="A28" s="0" t="s">
        <v>216</v>
      </c>
      <c r="B28" s="80" t="n">
        <f aca="false">SUM(B23:B27)</f>
        <v>7564.62</v>
      </c>
      <c r="C28" s="80" t="n">
        <f aca="false">SUM(C23:C27)</f>
        <v>7300</v>
      </c>
      <c r="D28" s="80" t="n">
        <f aca="false">SUM(D23:D27)</f>
        <v>1428.48</v>
      </c>
      <c r="H28" s="8" t="n">
        <f aca="false">H18</f>
        <v>81990.970927</v>
      </c>
      <c r="I28" s="8" t="n">
        <f aca="false">I18</f>
        <v>83780</v>
      </c>
      <c r="J28" s="79"/>
    </row>
    <row r="29" customFormat="false" ht="12.75" hidden="false" customHeight="false" outlineLevel="0" collapsed="false">
      <c r="B29" s="80"/>
      <c r="C29" s="80"/>
      <c r="D29" s="80"/>
      <c r="H29" s="63" t="s">
        <v>224</v>
      </c>
      <c r="I29" s="72" t="n">
        <v>1</v>
      </c>
      <c r="J29" s="73" t="s">
        <v>255</v>
      </c>
    </row>
    <row r="30" customFormat="false" ht="12.75" hidden="false" customHeight="false" outlineLevel="0" collapsed="false">
      <c r="A30" s="0" t="s">
        <v>221</v>
      </c>
      <c r="B30" s="80" t="n">
        <f aca="false">+B8*B34/100</f>
        <v>3205.8469632457</v>
      </c>
      <c r="C30" s="80" t="n">
        <f aca="false">+C8*C34/100</f>
        <v>3518.76</v>
      </c>
      <c r="D30" s="80" t="n">
        <f aca="false">+D8*D34/100</f>
        <v>1071.8715</v>
      </c>
      <c r="H30" s="76" t="s">
        <v>245</v>
      </c>
      <c r="I30" s="49"/>
      <c r="J30" s="77" t="s">
        <v>256</v>
      </c>
    </row>
    <row r="31" customFormat="false" ht="12.75" hidden="false" customHeight="false" outlineLevel="0" collapsed="false">
      <c r="B31" s="80"/>
      <c r="C31" s="80"/>
      <c r="D31" s="80"/>
      <c r="H31" s="78" t="s">
        <v>242</v>
      </c>
      <c r="I31" s="68"/>
      <c r="J31" s="69"/>
    </row>
    <row r="32" customFormat="false" ht="12.75" hidden="false" customHeight="false" outlineLevel="0" collapsed="false">
      <c r="A32" s="0" t="s">
        <v>257</v>
      </c>
      <c r="B32" s="80" t="n">
        <f aca="false">+B28+B30</f>
        <v>10770.4669632457</v>
      </c>
      <c r="C32" s="80" t="n">
        <f aca="false">+C28+C30</f>
        <v>10818.76</v>
      </c>
      <c r="D32" s="80" t="n">
        <f aca="false">+D28+D30</f>
        <v>2500.3515</v>
      </c>
    </row>
    <row r="34" customFormat="false" ht="12.75" hidden="false" customHeight="false" outlineLevel="0" collapsed="false">
      <c r="A34" s="0" t="s">
        <v>258</v>
      </c>
      <c r="B34" s="82" t="n">
        <v>3.91</v>
      </c>
      <c r="C34" s="82" t="n">
        <v>4.2</v>
      </c>
      <c r="D34" s="82" t="n">
        <v>6.23</v>
      </c>
      <c r="F34" s="81"/>
      <c r="G34" s="81"/>
    </row>
    <row r="35" customFormat="false" ht="12.75" hidden="false" customHeight="false" outlineLevel="0" collapsed="false">
      <c r="A35" s="0" t="s">
        <v>259</v>
      </c>
      <c r="B35" s="83" t="n">
        <v>3.95</v>
      </c>
      <c r="C35" s="83" t="n">
        <v>4.02</v>
      </c>
      <c r="D35" s="83" t="n">
        <f aca="false">12.73-6.5</f>
        <v>6.23</v>
      </c>
    </row>
    <row r="37" customFormat="false" ht="12.75" hidden="false" customHeight="false" outlineLevel="0" collapsed="false">
      <c r="A37" s="84" t="s">
        <v>260</v>
      </c>
      <c r="B37" s="85"/>
      <c r="C37" s="85"/>
      <c r="D37" s="65"/>
      <c r="F37" s="84" t="s">
        <v>209</v>
      </c>
      <c r="G37" s="85"/>
      <c r="H37" s="65"/>
    </row>
    <row r="38" customFormat="false" ht="12.75" hidden="false" customHeight="false" outlineLevel="0" collapsed="false">
      <c r="A38" s="76"/>
      <c r="B38" s="49"/>
      <c r="C38" s="49"/>
      <c r="D38" s="86"/>
      <c r="F38" s="76"/>
      <c r="G38" s="49"/>
      <c r="H38" s="86"/>
    </row>
    <row r="39" customFormat="false" ht="12.75" hidden="false" customHeight="false" outlineLevel="0" collapsed="false">
      <c r="A39" s="76" t="s">
        <v>211</v>
      </c>
      <c r="B39" s="80" t="n">
        <f aca="false">+B6/B8*B23</f>
        <v>516.139454953934</v>
      </c>
      <c r="C39" s="80" t="n">
        <f aca="false">+C6/C8*C23</f>
        <v>278.853186918119</v>
      </c>
      <c r="D39" s="87" t="n">
        <f aca="false">+D6/D8*D23</f>
        <v>177.281450741064</v>
      </c>
      <c r="F39" s="88" t="n">
        <f aca="false">+B39/B$6*100</f>
        <v>0.992060455930207</v>
      </c>
      <c r="G39" s="9" t="n">
        <f aca="false">+C39/C$6*100</f>
        <v>0.47744091668656</v>
      </c>
      <c r="H39" s="89" t="n">
        <f aca="false">+D39/D$6*100</f>
        <v>1.07131647776809</v>
      </c>
    </row>
    <row r="40" customFormat="false" ht="12.75" hidden="false" customHeight="false" outlineLevel="0" collapsed="false">
      <c r="A40" s="76" t="s">
        <v>212</v>
      </c>
      <c r="B40" s="80" t="n">
        <f aca="false">IF(B14&lt;0,(-B14*IF($I$4=1,104,82.75))/1000,0)</f>
        <v>0</v>
      </c>
      <c r="C40" s="80" t="n">
        <f aca="false">IF(C14&lt;0,(-C14*IF($I$4=1,104,82.75))/1000,0)</f>
        <v>300.03495</v>
      </c>
      <c r="D40" s="87" t="n">
        <f aca="false">IF(D14&lt;0,(-D14*IF($I$4=1,104,82.75))/1000,0)</f>
        <v>932.427</v>
      </c>
      <c r="F40" s="88" t="n">
        <f aca="false">+B40/B$6*100</f>
        <v>0</v>
      </c>
      <c r="G40" s="9" t="n">
        <f aca="false">+C40/C$6*100</f>
        <v>0.513707457136107</v>
      </c>
      <c r="H40" s="89" t="n">
        <f aca="false">+D40/D$6*100</f>
        <v>5.63468092820885</v>
      </c>
    </row>
    <row r="41" customFormat="false" ht="12.75" hidden="false" customHeight="false" outlineLevel="0" collapsed="false">
      <c r="A41" s="90" t="s">
        <v>213</v>
      </c>
      <c r="B41" s="80" t="n">
        <f aca="false">IF(B14&gt;0,(-B14*IF($I$4=1,104,82.75))/1000,0)</f>
        <v>-158.299402499</v>
      </c>
      <c r="C41" s="80" t="n">
        <f aca="false">IF(C14&gt;0,(-C14*IF($I$4=1,104,82.75))/1000,0)</f>
        <v>0</v>
      </c>
      <c r="D41" s="87" t="n">
        <f aca="false">IF(D14&gt;0,(-D14*IF($I$4=1,104,82.75))/1000,0)</f>
        <v>0</v>
      </c>
      <c r="F41" s="88" t="n">
        <f aca="false">+B41/B$6*100</f>
        <v>-0.304263849448699</v>
      </c>
      <c r="G41" s="9" t="n">
        <f aca="false">+C41/C$6*100</f>
        <v>0</v>
      </c>
      <c r="H41" s="89" t="n">
        <f aca="false">+D41/D$6*100</f>
        <v>0</v>
      </c>
    </row>
    <row r="42" customFormat="false" ht="12.75" hidden="false" customHeight="false" outlineLevel="0" collapsed="false">
      <c r="A42" s="90" t="s">
        <v>214</v>
      </c>
      <c r="B42" s="80" t="n">
        <f aca="false">B26</f>
        <v>3497.62</v>
      </c>
      <c r="C42" s="80" t="n">
        <f aca="false">C26</f>
        <v>3900</v>
      </c>
      <c r="D42" s="87" t="n">
        <f aca="false">D26</f>
        <v>368.64</v>
      </c>
      <c r="F42" s="88" t="n">
        <f aca="false">+B42/B$6*100</f>
        <v>6.72269956998405</v>
      </c>
      <c r="G42" s="9" t="n">
        <f aca="false">+C42/C$6*100</f>
        <v>6.67741902345315</v>
      </c>
      <c r="H42" s="89" t="n">
        <f aca="false">+D42/D$6*100</f>
        <v>2.22770123277738</v>
      </c>
    </row>
    <row r="43" customFormat="false" ht="12.75" hidden="false" customHeight="false" outlineLevel="0" collapsed="false">
      <c r="A43" s="76" t="s">
        <v>261</v>
      </c>
      <c r="B43" s="80" t="n">
        <f aca="false">IF($I$10=1,0,IF($I$29=1,H21/H23*(B25*0.8724),H26/H28*(B25*0.8724)))</f>
        <v>419.022674748137</v>
      </c>
      <c r="C43" s="80" t="n">
        <f aca="false">IF($I$10=1,0,IF($I$29=1,I21/I23*(C25*0.8724),I26/I28*(C25*0.8724)))</f>
        <v>218.183902637861</v>
      </c>
      <c r="D43" s="87" t="n">
        <v>0</v>
      </c>
      <c r="F43" s="88" t="n">
        <f aca="false">+B43/B$6*100</f>
        <v>0.805394398288798</v>
      </c>
      <c r="G43" s="9" t="n">
        <f aca="false">+C43/C$6*100</f>
        <v>0.373565472329565</v>
      </c>
      <c r="H43" s="89" t="n">
        <f aca="false">+D43/D$6*100</f>
        <v>0</v>
      </c>
    </row>
    <row r="44" customFormat="false" ht="12.75" hidden="false" customHeight="false" outlineLevel="0" collapsed="false">
      <c r="A44" s="76" t="s">
        <v>262</v>
      </c>
      <c r="B44" s="80" t="n">
        <f aca="false">1045*B8/SUM($B$8:$D$8)*H21/H23</f>
        <v>395.00984437789</v>
      </c>
      <c r="C44" s="80" t="n">
        <f aca="false">1045*C8/SUM($B$8:$D$8)*I21/I23</f>
        <v>398.885620091168</v>
      </c>
      <c r="D44" s="87" t="n">
        <f aca="false">1045*D8/SUM($B$8:$D$8)</f>
        <v>98.2600333197466</v>
      </c>
      <c r="F44" s="88" t="n">
        <f aca="false">+B44/B$6*100</f>
        <v>0.759239857657123</v>
      </c>
      <c r="G44" s="9" t="n">
        <f aca="false">+C44/C$6*100</f>
        <v>0.682955494302224</v>
      </c>
      <c r="H44" s="89" t="n">
        <f aca="false">+D44/D$6*100</f>
        <v>0.593787970266779</v>
      </c>
    </row>
    <row r="45" customFormat="false" ht="12.75" hidden="false" customHeight="false" outlineLevel="0" collapsed="false">
      <c r="A45" s="76"/>
      <c r="B45" s="80"/>
      <c r="C45" s="80"/>
      <c r="D45" s="87"/>
      <c r="F45" s="91"/>
      <c r="G45" s="92"/>
      <c r="H45" s="93"/>
    </row>
    <row r="46" customFormat="false" ht="12.75" hidden="false" customHeight="false" outlineLevel="0" collapsed="false">
      <c r="A46" s="76" t="s">
        <v>216</v>
      </c>
      <c r="B46" s="80" t="n">
        <f aca="false">SUM(B39:B45)</f>
        <v>4669.49257158096</v>
      </c>
      <c r="C46" s="80" t="n">
        <f aca="false">SUM(C39:C45)</f>
        <v>5095.95765964715</v>
      </c>
      <c r="D46" s="87" t="n">
        <f aca="false">SUM(D39:D45)</f>
        <v>1576.60848406081</v>
      </c>
      <c r="F46" s="88" t="n">
        <f aca="false">+B46/B$6*100</f>
        <v>8.97513043241148</v>
      </c>
      <c r="G46" s="9" t="n">
        <f aca="false">+C46/C$6*100</f>
        <v>8.72508836390761</v>
      </c>
      <c r="H46" s="89" t="n">
        <f aca="false">+D46/D$6*100</f>
        <v>9.52748660902109</v>
      </c>
    </row>
    <row r="47" customFormat="false" ht="12.75" hidden="false" customHeight="false" outlineLevel="0" collapsed="false">
      <c r="A47" s="76"/>
      <c r="B47" s="80"/>
      <c r="C47" s="80"/>
      <c r="D47" s="87"/>
      <c r="F47" s="91"/>
      <c r="G47" s="92"/>
      <c r="H47" s="93"/>
    </row>
    <row r="48" customFormat="false" ht="12.75" hidden="false" customHeight="false" outlineLevel="0" collapsed="false">
      <c r="A48" s="76" t="s">
        <v>263</v>
      </c>
      <c r="B48" s="80" t="n">
        <f aca="false">+B6*B81/100</f>
        <v>2542.8204208805</v>
      </c>
      <c r="C48" s="80" t="n">
        <f aca="false">+C6*C81/100</f>
        <v>3066.3045</v>
      </c>
      <c r="D48" s="87" t="n">
        <f aca="false">+D6*D81/100</f>
        <v>1055.59692</v>
      </c>
      <c r="F48" s="88" t="n">
        <f aca="false">+B48/B$6*100</f>
        <v>4.8875</v>
      </c>
      <c r="G48" s="9" t="n">
        <f aca="false">+C48/C$6*100</f>
        <v>5.25</v>
      </c>
      <c r="H48" s="89" t="n">
        <f aca="false">+D48/D$6*100</f>
        <v>6.379</v>
      </c>
    </row>
    <row r="49" customFormat="false" ht="12.75" hidden="false" customHeight="false" outlineLevel="0" collapsed="false">
      <c r="A49" s="76"/>
      <c r="B49" s="80"/>
      <c r="C49" s="80"/>
      <c r="D49" s="87"/>
      <c r="F49" s="76"/>
      <c r="G49" s="49"/>
      <c r="H49" s="86"/>
    </row>
    <row r="50" customFormat="false" ht="12.75" hidden="false" customHeight="false" outlineLevel="0" collapsed="false">
      <c r="A50" s="76" t="s">
        <v>62</v>
      </c>
      <c r="B50" s="80" t="n">
        <f aca="false">SUM(B46:B48)</f>
        <v>7212.31299246146</v>
      </c>
      <c r="C50" s="80" t="n">
        <f aca="false">SUM(C46:C48)</f>
        <v>8162.26215964715</v>
      </c>
      <c r="D50" s="87" t="n">
        <f aca="false">SUM(D46:D48)</f>
        <v>2632.20540406081</v>
      </c>
      <c r="F50" s="94" t="n">
        <f aca="false">+B50/B$6*100</f>
        <v>13.8626304324115</v>
      </c>
      <c r="G50" s="95" t="n">
        <f aca="false">+C50/C$6*100</f>
        <v>13.9750883639076</v>
      </c>
      <c r="H50" s="96" t="n">
        <f aca="false">+D50/D$6*100</f>
        <v>15.9064866090211</v>
      </c>
    </row>
    <row r="51" customFormat="false" ht="12.75" hidden="false" customHeight="false" outlineLevel="0" collapsed="false">
      <c r="A51" s="76"/>
      <c r="B51" s="10"/>
      <c r="C51" s="10"/>
      <c r="D51" s="97"/>
    </row>
    <row r="52" customFormat="false" ht="12.75" hidden="false" customHeight="false" outlineLevel="0" collapsed="false">
      <c r="A52" s="76" t="s">
        <v>264</v>
      </c>
      <c r="B52" s="8" t="n">
        <f aca="false">+B6</f>
        <v>52027.016284</v>
      </c>
      <c r="C52" s="8" t="n">
        <f aca="false">+C6</f>
        <v>58405.8</v>
      </c>
      <c r="D52" s="98" t="n">
        <f aca="false">+D6</f>
        <v>16548</v>
      </c>
    </row>
    <row r="53" customFormat="false" ht="12.75" hidden="false" customHeight="false" outlineLevel="0" collapsed="false">
      <c r="A53" s="76"/>
      <c r="B53" s="10"/>
      <c r="C53" s="10"/>
      <c r="D53" s="97"/>
    </row>
    <row r="54" customFormat="false" ht="12.75" hidden="false" customHeight="false" outlineLevel="0" collapsed="false">
      <c r="A54" s="76" t="s">
        <v>265</v>
      </c>
      <c r="B54" s="9" t="n">
        <f aca="false">+B50/B52*100</f>
        <v>13.8626304324115</v>
      </c>
      <c r="C54" s="9" t="n">
        <f aca="false">+C50/C52*100</f>
        <v>13.9750883639076</v>
      </c>
      <c r="D54" s="89" t="n">
        <f aca="false">+D50/D52*100</f>
        <v>15.9064866090211</v>
      </c>
    </row>
    <row r="55" customFormat="false" ht="12.75" hidden="false" customHeight="false" outlineLevel="0" collapsed="false">
      <c r="A55" s="76"/>
      <c r="B55" s="10"/>
      <c r="C55" s="49"/>
      <c r="D55" s="86"/>
    </row>
    <row r="56" customFormat="false" ht="12.75" hidden="false" customHeight="false" outlineLevel="0" collapsed="false">
      <c r="A56" s="74" t="s">
        <v>266</v>
      </c>
      <c r="B56" s="99" t="n">
        <f aca="false">+PGE!J141</f>
        <v>14.8794141004406</v>
      </c>
      <c r="C56" s="99" t="n">
        <f aca="false">+SCE!J135</f>
        <v>15.6708751528102</v>
      </c>
      <c r="D56" s="100" t="n">
        <f aca="false">+SDGE!J104</f>
        <v>15.9233744259125</v>
      </c>
    </row>
    <row r="57" customFormat="false" ht="12.75" hidden="false" customHeight="false" outlineLevel="0" collapsed="false">
      <c r="A57" s="49"/>
      <c r="B57" s="101"/>
      <c r="C57" s="101"/>
      <c r="D57" s="101"/>
    </row>
    <row r="58" customFormat="false" ht="12.75" hidden="false" customHeight="false" outlineLevel="0" collapsed="false">
      <c r="A58" s="84" t="s">
        <v>267</v>
      </c>
      <c r="B58" s="85"/>
      <c r="C58" s="85"/>
      <c r="D58" s="65"/>
      <c r="F58" s="84" t="s">
        <v>209</v>
      </c>
      <c r="G58" s="85"/>
      <c r="H58" s="65"/>
    </row>
    <row r="59" customFormat="false" ht="12.75" hidden="false" customHeight="false" outlineLevel="0" collapsed="false">
      <c r="A59" s="76"/>
      <c r="B59" s="49"/>
      <c r="C59" s="49"/>
      <c r="D59" s="86"/>
      <c r="F59" s="76"/>
      <c r="G59" s="49"/>
      <c r="H59" s="86"/>
    </row>
    <row r="60" customFormat="false" ht="12.75" hidden="false" customHeight="false" outlineLevel="0" collapsed="false">
      <c r="A60" s="76" t="s">
        <v>211</v>
      </c>
      <c r="B60" s="80" t="n">
        <f aca="false">B23-B39</f>
        <v>297.260545046066</v>
      </c>
      <c r="C60" s="80" t="n">
        <f aca="false">C23-C39</f>
        <v>121.146813081881</v>
      </c>
      <c r="D60" s="87" t="n">
        <f aca="false">D23-D39</f>
        <v>7.03854925893637</v>
      </c>
      <c r="F60" s="91" t="n">
        <f aca="false">B60/B$69*B$73</f>
        <v>0.992060455930208</v>
      </c>
      <c r="G60" s="92" t="n">
        <f aca="false">C60/C$69*C$73</f>
        <v>0.47744091668656</v>
      </c>
      <c r="H60" s="93" t="n">
        <f aca="false">D60/D$69*D$73</f>
        <v>1.07131647776809</v>
      </c>
    </row>
    <row r="61" customFormat="false" ht="12.75" hidden="false" customHeight="false" outlineLevel="0" collapsed="false">
      <c r="A61" s="76" t="s">
        <v>212</v>
      </c>
      <c r="B61" s="80" t="n">
        <f aca="false">B7*IF($I$4=1,104,82.75)/1000</f>
        <v>2479.51724670825</v>
      </c>
      <c r="C61" s="80" t="n">
        <f aca="false">C7*IF($I$4=1,104,82.75)/1000</f>
        <v>2099.71505</v>
      </c>
      <c r="D61" s="87" t="n">
        <f aca="false">D7*IF($I$4=1,104,82.75)/1000</f>
        <v>54.36675</v>
      </c>
      <c r="F61" s="91" t="n">
        <f aca="false">B61/B$69*B$73</f>
        <v>8.275</v>
      </c>
      <c r="G61" s="92" t="n">
        <f aca="false">C61/C$69*C$73</f>
        <v>8.275</v>
      </c>
      <c r="H61" s="93" t="n">
        <f aca="false">D61/D$69*D$73</f>
        <v>8.275</v>
      </c>
    </row>
    <row r="62" customFormat="false" ht="12.75" hidden="false" customHeight="false" outlineLevel="0" collapsed="false">
      <c r="A62" s="76" t="s">
        <v>261</v>
      </c>
      <c r="B62" s="80" t="n">
        <f aca="false">IF($I$10=1,0.8724*B25,IF($I$29=1,H22/H23*(0.8724*B25),H27/H28*0.8724*B25))</f>
        <v>77.7044372518632</v>
      </c>
      <c r="C62" s="80" t="n">
        <f aca="false">IF($I$10=1,0.8724*C25,IF($I$29=1,I22/I23*(0.8724*C25),I27/I28*0.8724*C25))</f>
        <v>43.536097362139</v>
      </c>
      <c r="D62" s="87" t="n">
        <f aca="false">0.8724*D25-D43</f>
        <v>53.600256</v>
      </c>
      <c r="F62" s="91" t="n">
        <f aca="false">B62/B$69*B$73</f>
        <v>0.259326374564567</v>
      </c>
      <c r="G62" s="92" t="n">
        <f aca="false">C62/C$69*C$73</f>
        <v>0.171576236342974</v>
      </c>
      <c r="H62" s="93" t="n">
        <f aca="false">D62/D$69*D$73</f>
        <v>8.15833424657534</v>
      </c>
      <c r="J62" s="81"/>
    </row>
    <row r="63" customFormat="false" ht="12.75" hidden="false" customHeight="false" outlineLevel="0" collapsed="false">
      <c r="A63" s="76" t="s">
        <v>262</v>
      </c>
      <c r="B63" s="80" t="n">
        <f aca="false">1045*B8/SUM($B$8:$D$8)*H22/H23</f>
        <v>73.2514479909215</v>
      </c>
      <c r="C63" s="80" t="n">
        <f aca="false">1045*C8/SUM($B$8:$D$8)*I22/I23</f>
        <v>79.5930542202741</v>
      </c>
      <c r="D63" s="87" t="n">
        <v>0</v>
      </c>
      <c r="F63" s="91" t="n">
        <f aca="false">B63/B$69*B$73</f>
        <v>0.24446522117545</v>
      </c>
      <c r="G63" s="92" t="n">
        <f aca="false">C63/C$69*C$73</f>
        <v>0.313677098077079</v>
      </c>
      <c r="H63" s="93" t="n">
        <f aca="false">D63/D$69*D$73</f>
        <v>0</v>
      </c>
      <c r="J63" s="81"/>
    </row>
    <row r="64" customFormat="false" ht="12.75" hidden="false" customHeight="false" outlineLevel="0" collapsed="false">
      <c r="A64" s="76"/>
      <c r="B64" s="80"/>
      <c r="C64" s="80"/>
      <c r="D64" s="87"/>
      <c r="F64" s="91"/>
      <c r="G64" s="92"/>
      <c r="H64" s="93"/>
    </row>
    <row r="65" customFormat="false" ht="12.75" hidden="false" customHeight="false" outlineLevel="0" collapsed="false">
      <c r="A65" s="76" t="s">
        <v>216</v>
      </c>
      <c r="B65" s="80" t="n">
        <f aca="false">SUM(B60:B64)</f>
        <v>2927.7336769971</v>
      </c>
      <c r="C65" s="80" t="n">
        <f aca="false">SUM(C60:C64)</f>
        <v>2343.99101466429</v>
      </c>
      <c r="D65" s="87" t="n">
        <f aca="false">SUM(D60:D64)</f>
        <v>115.005555258936</v>
      </c>
      <c r="F65" s="91" t="n">
        <f aca="false">SUM(F60:F64)</f>
        <v>9.77085205167023</v>
      </c>
      <c r="G65" s="92" t="n">
        <f aca="false">SUM(G60:G64)</f>
        <v>9.23769425110661</v>
      </c>
      <c r="H65" s="93" t="n">
        <f aca="false">SUM(H60:H64)</f>
        <v>17.5046507243434</v>
      </c>
    </row>
    <row r="66" customFormat="false" ht="12.75" hidden="false" customHeight="false" outlineLevel="0" collapsed="false">
      <c r="A66" s="76"/>
      <c r="B66" s="80"/>
      <c r="C66" s="80"/>
      <c r="D66" s="87"/>
      <c r="F66" s="91"/>
      <c r="G66" s="92"/>
      <c r="H66" s="93"/>
    </row>
    <row r="67" customFormat="false" ht="12.75" hidden="false" customHeight="false" outlineLevel="0" collapsed="false">
      <c r="A67" s="76" t="s">
        <v>221</v>
      </c>
      <c r="B67" s="80" t="n">
        <f aca="false">B30-B48</f>
        <v>663.0265423652</v>
      </c>
      <c r="C67" s="80" t="n">
        <f aca="false">C30-C48</f>
        <v>452.4555</v>
      </c>
      <c r="D67" s="87" t="n">
        <f aca="false">D30-D48</f>
        <v>16.2745800000002</v>
      </c>
      <c r="F67" s="91" t="n">
        <f aca="false">B67/B$69*B$73</f>
        <v>2.21274711654288</v>
      </c>
      <c r="G67" s="92" t="n">
        <f aca="false">C67/C$69*C$73</f>
        <v>1.78313207904092</v>
      </c>
      <c r="H67" s="93" t="n">
        <f aca="false">D67/D$69*D$73</f>
        <v>2.47710502283109</v>
      </c>
    </row>
    <row r="68" customFormat="false" ht="12.75" hidden="false" customHeight="false" outlineLevel="0" collapsed="false">
      <c r="A68" s="76"/>
      <c r="B68" s="80"/>
      <c r="C68" s="80"/>
      <c r="D68" s="87"/>
      <c r="F68" s="76"/>
      <c r="G68" s="49"/>
      <c r="H68" s="86"/>
    </row>
    <row r="69" customFormat="false" ht="12.75" hidden="false" customHeight="false" outlineLevel="0" collapsed="false">
      <c r="A69" s="76" t="s">
        <v>62</v>
      </c>
      <c r="B69" s="80" t="n">
        <f aca="false">SUM(B65:B67)</f>
        <v>3590.7602193623</v>
      </c>
      <c r="C69" s="80" t="n">
        <f aca="false">SUM(C65:C67)</f>
        <v>2796.44651466429</v>
      </c>
      <c r="D69" s="87" t="n">
        <f aca="false">SUM(D65:D67)</f>
        <v>131.280135258937</v>
      </c>
      <c r="F69" s="61" t="n">
        <f aca="false">SUM(F65:F67)</f>
        <v>11.9835991682131</v>
      </c>
      <c r="G69" s="102" t="n">
        <f aca="false">SUM(G65:G67)</f>
        <v>11.0208263301475</v>
      </c>
      <c r="H69" s="62" t="n">
        <f aca="false">SUM(H65:H67)</f>
        <v>19.9817557471745</v>
      </c>
    </row>
    <row r="70" customFormat="false" ht="12.75" hidden="false" customHeight="false" outlineLevel="0" collapsed="false">
      <c r="A70" s="76"/>
      <c r="B70" s="10"/>
      <c r="C70" s="10"/>
      <c r="D70" s="97"/>
    </row>
    <row r="71" customFormat="false" ht="12.75" hidden="false" customHeight="false" outlineLevel="0" collapsed="false">
      <c r="A71" s="76" t="s">
        <v>268</v>
      </c>
      <c r="B71" s="8" t="n">
        <f aca="false">+B7</f>
        <v>29963.954643</v>
      </c>
      <c r="C71" s="8" t="n">
        <f aca="false">+C7</f>
        <v>25374.2</v>
      </c>
      <c r="D71" s="98" t="n">
        <f aca="false">+D7</f>
        <v>657</v>
      </c>
    </row>
    <row r="72" customFormat="false" ht="12.75" hidden="false" customHeight="false" outlineLevel="0" collapsed="false">
      <c r="A72" s="76"/>
      <c r="B72" s="10"/>
      <c r="C72" s="10"/>
      <c r="D72" s="97"/>
    </row>
    <row r="73" customFormat="false" ht="12.75" hidden="false" customHeight="false" outlineLevel="0" collapsed="false">
      <c r="A73" s="76" t="s">
        <v>269</v>
      </c>
      <c r="B73" s="9" t="n">
        <f aca="false">+B69/B71*100</f>
        <v>11.9835991682131</v>
      </c>
      <c r="C73" s="9" t="n">
        <f aca="false">+C69/C71*100</f>
        <v>11.0208263301475</v>
      </c>
      <c r="D73" s="89" t="n">
        <f aca="false">+D69/D71*100</f>
        <v>19.9817557471745</v>
      </c>
    </row>
    <row r="74" customFormat="false" ht="12.75" hidden="false" customHeight="false" outlineLevel="0" collapsed="false">
      <c r="A74" s="76"/>
      <c r="B74" s="10"/>
      <c r="C74" s="49"/>
      <c r="D74" s="86"/>
    </row>
    <row r="75" customFormat="false" ht="12.75" hidden="false" customHeight="false" outlineLevel="0" collapsed="false">
      <c r="A75" s="74" t="s">
        <v>270</v>
      </c>
      <c r="B75" s="99" t="n">
        <f aca="false">+PGE!J142</f>
        <v>12.2110115990807</v>
      </c>
      <c r="C75" s="99" t="n">
        <f aca="false">+SCE!J136</f>
        <v>12.9832664675142</v>
      </c>
      <c r="D75" s="100" t="n">
        <f aca="false">+SDGE!J105</f>
        <v>11.9939117199391</v>
      </c>
    </row>
    <row r="79" customFormat="false" ht="12.75" hidden="false" customHeight="false" outlineLevel="0" collapsed="false">
      <c r="B79" s="71" t="s">
        <v>160</v>
      </c>
      <c r="C79" s="71" t="s">
        <v>161</v>
      </c>
      <c r="D79" s="71" t="s">
        <v>162</v>
      </c>
    </row>
    <row r="81" customFormat="false" ht="12.75" hidden="false" customHeight="false" outlineLevel="0" collapsed="false">
      <c r="A81" s="0" t="s">
        <v>271</v>
      </c>
      <c r="B81" s="83" t="n">
        <f aca="false">+B83*1.25</f>
        <v>4.8875</v>
      </c>
      <c r="C81" s="83" t="n">
        <f aca="false">+C83*1.25</f>
        <v>5.25</v>
      </c>
      <c r="D81" s="83" t="n">
        <v>6.379</v>
      </c>
    </row>
    <row r="82" customFormat="false" ht="12.75" hidden="false" customHeight="false" outlineLevel="0" collapsed="false">
      <c r="A82" s="0" t="s">
        <v>272</v>
      </c>
      <c r="B82" s="83" t="n">
        <f aca="false">+(B30-(B81*B6/100))/B7*100</f>
        <v>2.21274711654289</v>
      </c>
      <c r="C82" s="83" t="n">
        <f aca="false">+(C30-(C81*C6/100))/C7*100</f>
        <v>1.78313207904092</v>
      </c>
      <c r="D82" s="83" t="n">
        <f aca="false">+(D30-(D81*D6/100))/D7*100</f>
        <v>2.47710502283109</v>
      </c>
    </row>
    <row r="83" customFormat="false" ht="12.75" hidden="false" customHeight="false" outlineLevel="0" collapsed="false">
      <c r="A83" s="0" t="s">
        <v>273</v>
      </c>
      <c r="B83" s="83" t="n">
        <f aca="false">+B34</f>
        <v>3.91</v>
      </c>
      <c r="C83" s="83" t="n">
        <f aca="false">+C34</f>
        <v>4.2</v>
      </c>
      <c r="D83" s="83" t="n">
        <f aca="false">+D34</f>
        <v>6.23</v>
      </c>
    </row>
    <row r="84" customFormat="false" ht="12.75" hidden="false" customHeight="false" outlineLevel="0" collapsed="false">
      <c r="A84" s="80" t="s">
        <v>274</v>
      </c>
      <c r="B84" s="80" t="n">
        <f aca="false">+((B81*B6)+(B7*B82))/100</f>
        <v>3205.8469632457</v>
      </c>
      <c r="C84" s="80" t="n">
        <f aca="false">+((C81*C6)+(C7*C82))/100</f>
        <v>3518.76</v>
      </c>
      <c r="D84" s="80" t="n">
        <f aca="false">+((D81*D6)+(D7*D82))/100</f>
        <v>1071.8715</v>
      </c>
      <c r="E84" s="80"/>
      <c r="F84" s="80"/>
      <c r="G84" s="80"/>
      <c r="H84" s="80"/>
      <c r="I84" s="80"/>
      <c r="J84" s="80"/>
    </row>
    <row r="87" customFormat="false" ht="12.75" hidden="false" customHeight="false" outlineLevel="0" collapsed="false">
      <c r="A87" s="0" t="s">
        <v>275</v>
      </c>
      <c r="B87" s="11" t="n">
        <f aca="false">+B81/B82</f>
        <v>2.20879284553585</v>
      </c>
      <c r="C87" s="11" t="n">
        <f aca="false">+C81/C82</f>
        <v>2.94425750156645</v>
      </c>
      <c r="D87" s="11" t="n">
        <f aca="false">+D81/D82</f>
        <v>2.57518350703977</v>
      </c>
    </row>
    <row r="88" customFormat="false" ht="12.75" hidden="false" customHeight="false" outlineLevel="0" collapsed="false">
      <c r="A88" s="0" t="s">
        <v>276</v>
      </c>
      <c r="B88" s="11" t="n">
        <f aca="false">+B81/B83</f>
        <v>1.25</v>
      </c>
      <c r="C88" s="11" t="n">
        <f aca="false">+C81/C83</f>
        <v>1.25</v>
      </c>
      <c r="D88" s="11" t="n">
        <f aca="false">+D81/D83</f>
        <v>1.0239165329053</v>
      </c>
    </row>
    <row r="91" customFormat="false" ht="12.75" hidden="false" customHeight="false" outlineLevel="0" collapsed="false">
      <c r="A91" s="60" t="s">
        <v>277</v>
      </c>
      <c r="B91" s="8" t="n">
        <v>81923</v>
      </c>
      <c r="C91" s="8" t="n">
        <v>83436</v>
      </c>
      <c r="D91" s="44" t="n">
        <v>19322</v>
      </c>
    </row>
    <row r="92" customFormat="false" ht="12.75" hidden="false" customHeight="false" outlineLevel="0" collapsed="false">
      <c r="A92" s="0" t="s">
        <v>278</v>
      </c>
      <c r="B92" s="80" t="n">
        <v>6854</v>
      </c>
      <c r="C92" s="80" t="n">
        <v>7870</v>
      </c>
      <c r="D92" s="80" t="n">
        <v>2184</v>
      </c>
    </row>
    <row r="94" customFormat="false" ht="12.75" hidden="false" customHeight="false" outlineLevel="0" collapsed="false">
      <c r="A94" s="0" t="s">
        <v>279</v>
      </c>
      <c r="B94" s="9" t="n">
        <f aca="false">+B92/B91*100</f>
        <v>8.36639283229374</v>
      </c>
      <c r="C94" s="9" t="n">
        <f aca="false">+C92/C91*100</f>
        <v>9.43237930869169</v>
      </c>
      <c r="D94" s="9" t="n">
        <f aca="false">+D92/D91*100</f>
        <v>11.3031777248732</v>
      </c>
    </row>
    <row r="95" customFormat="false" ht="15" hidden="false" customHeight="false" outlineLevel="0" collapsed="false">
      <c r="A95" s="0" t="s">
        <v>280</v>
      </c>
      <c r="B95" s="103" t="n">
        <v>5.5</v>
      </c>
      <c r="C95" s="103" t="n">
        <v>6.3</v>
      </c>
      <c r="D95" s="103" t="n">
        <v>5.5</v>
      </c>
    </row>
    <row r="96" customFormat="false" ht="12.75" hidden="false" customHeight="false" outlineLevel="0" collapsed="false">
      <c r="A96" s="0" t="s">
        <v>281</v>
      </c>
      <c r="B96" s="9" t="n">
        <f aca="false">+B94-B95</f>
        <v>2.86639283229374</v>
      </c>
      <c r="C96" s="9" t="n">
        <f aca="false">+C94-C95</f>
        <v>3.13237930869169</v>
      </c>
      <c r="D96" s="9" t="n">
        <f aca="false">+D94-D95</f>
        <v>5.8031777248732</v>
      </c>
    </row>
    <row r="98" customFormat="false" ht="12.75" hidden="false" customHeight="false" outlineLevel="0" collapsed="false">
      <c r="A98" s="0" t="s">
        <v>281</v>
      </c>
      <c r="B98" s="8" t="n">
        <f aca="false">+B96*B91/100</f>
        <v>2348.235</v>
      </c>
      <c r="C98" s="8" t="n">
        <f aca="false">+C96*C91/100</f>
        <v>2613.532</v>
      </c>
      <c r="D98" s="8" t="n">
        <f aca="false">+D96*D91/100</f>
        <v>1121.29</v>
      </c>
    </row>
    <row r="102" customFormat="false" ht="12.75" hidden="false" customHeight="false" outlineLevel="0" collapsed="false">
      <c r="B102" s="104"/>
      <c r="C102" s="104"/>
      <c r="D102" s="104"/>
      <c r="E102" s="104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47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282</v>
      </c>
      <c r="B2" s="105"/>
      <c r="C2" s="105" t="n">
        <v>0.02</v>
      </c>
      <c r="D2" s="105" t="n">
        <v>0.02</v>
      </c>
      <c r="E2" s="105" t="n">
        <v>0.02</v>
      </c>
      <c r="F2" s="105" t="n">
        <v>0.02</v>
      </c>
      <c r="G2" s="105" t="n">
        <v>0.02</v>
      </c>
      <c r="H2" s="105" t="n">
        <v>0.02</v>
      </c>
      <c r="I2" s="105" t="n">
        <v>0.02</v>
      </c>
      <c r="J2" s="105" t="n">
        <v>0.02</v>
      </c>
      <c r="K2" s="105" t="n">
        <v>0.02</v>
      </c>
    </row>
    <row r="3" customFormat="false" ht="12.75" hidden="false" customHeight="false" outlineLevel="0" collapsed="false">
      <c r="A3" s="0" t="s">
        <v>283</v>
      </c>
      <c r="B3" s="105"/>
      <c r="C3" s="105" t="n">
        <v>0.04</v>
      </c>
      <c r="D3" s="105" t="n">
        <v>0.03</v>
      </c>
      <c r="E3" s="105" t="n">
        <v>0.02</v>
      </c>
      <c r="F3" s="105" t="n">
        <v>0.02</v>
      </c>
      <c r="G3" s="105" t="n">
        <v>0.02</v>
      </c>
      <c r="H3" s="105" t="n">
        <v>0.015</v>
      </c>
      <c r="I3" s="105" t="n">
        <v>0.01</v>
      </c>
      <c r="J3" s="105" t="n">
        <v>0</v>
      </c>
      <c r="K3" s="105" t="n">
        <v>0</v>
      </c>
    </row>
    <row r="4" customFormat="false" ht="12.75" hidden="false" customHeight="false" outlineLevel="0" collapsed="false">
      <c r="A4" s="0" t="s">
        <v>284</v>
      </c>
      <c r="B4" s="105"/>
      <c r="C4" s="105" t="n">
        <v>0.03</v>
      </c>
      <c r="D4" s="105" t="n">
        <v>0.015</v>
      </c>
      <c r="E4" s="105" t="n">
        <v>0.01</v>
      </c>
      <c r="F4" s="105" t="n">
        <v>0.005</v>
      </c>
      <c r="G4" s="105" t="n">
        <v>0</v>
      </c>
      <c r="H4" s="105" t="n">
        <v>0</v>
      </c>
      <c r="I4" s="105" t="n">
        <v>0</v>
      </c>
      <c r="J4" s="105" t="n">
        <v>0</v>
      </c>
      <c r="K4" s="105" t="n">
        <v>0</v>
      </c>
    </row>
    <row r="6" customFormat="false" ht="12.75" hidden="false" customHeight="false" outlineLevel="0" collapsed="false">
      <c r="A6" s="70"/>
      <c r="B6" s="71" t="n">
        <v>2001</v>
      </c>
      <c r="C6" s="71" t="n">
        <v>2002</v>
      </c>
      <c r="D6" s="71" t="n">
        <v>2003</v>
      </c>
      <c r="E6" s="71" t="n">
        <v>2004</v>
      </c>
      <c r="F6" s="71" t="n">
        <v>2005</v>
      </c>
      <c r="G6" s="71" t="n">
        <v>2006</v>
      </c>
      <c r="H6" s="71" t="n">
        <v>2007</v>
      </c>
      <c r="I6" s="71" t="n">
        <v>2008</v>
      </c>
      <c r="J6" s="71" t="n">
        <v>2009</v>
      </c>
      <c r="K6" s="71" t="n">
        <v>2010</v>
      </c>
    </row>
    <row r="8" customFormat="false" ht="12.75" hidden="false" customHeight="false" outlineLevel="0" collapsed="false">
      <c r="A8" s="0" t="s">
        <v>231</v>
      </c>
      <c r="B8" s="8" t="n">
        <f aca="false">'Core &amp; Non-core'!B6</f>
        <v>52027.016284</v>
      </c>
      <c r="C8" s="8" t="n">
        <f aca="false">B8*(1+C2)*(1-(C3+C4))</f>
        <v>49352.8276470024</v>
      </c>
      <c r="D8" s="8" t="n">
        <f aca="false">C8*(1+D2)*(1-(D3+D4))</f>
        <v>48074.589410945</v>
      </c>
      <c r="E8" s="8" t="n">
        <f aca="false">D8*(1+E2)*(1-(E3+E4))</f>
        <v>47564.998763189</v>
      </c>
      <c r="F8" s="8" t="n">
        <f aca="false">E8*(1+F2)*(1-(F3+F4))</f>
        <v>47303.3912699915</v>
      </c>
      <c r="G8" s="8" t="n">
        <f aca="false">F8*(1+G2)*(1-(G3+G4))</f>
        <v>47284.4699134835</v>
      </c>
      <c r="H8" s="8" t="n">
        <f aca="false">G8*(1+H2)*(1-(H3+H4))</f>
        <v>47506.7069220769</v>
      </c>
      <c r="I8" s="8" t="n">
        <f aca="false">H8*(1+I2)*(1-(I3+I4))</f>
        <v>47972.2726499132</v>
      </c>
      <c r="J8" s="8" t="n">
        <f aca="false">I8*(1+J2)*(1-(J3+J4))</f>
        <v>48931.7181029115</v>
      </c>
      <c r="K8" s="8" t="n">
        <f aca="false">J8*(1+K2)*(1-(K3+K4))</f>
        <v>49910.3524649697</v>
      </c>
    </row>
    <row r="9" customFormat="false" ht="12.75" hidden="false" customHeight="false" outlineLevel="0" collapsed="false">
      <c r="A9" s="0" t="s">
        <v>232</v>
      </c>
      <c r="B9" s="8" t="n">
        <f aca="false">'Core &amp; Non-core'!B7</f>
        <v>29963.954643</v>
      </c>
      <c r="C9" s="8"/>
    </row>
    <row r="10" customFormat="false" ht="12.75" hidden="false" customHeight="false" outlineLevel="0" collapsed="false">
      <c r="A10" s="0" t="s">
        <v>234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237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285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286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241</v>
      </c>
      <c r="B16" s="8"/>
      <c r="C16" s="8"/>
    </row>
    <row r="17" customFormat="false" ht="12.75" hidden="false" customHeight="false" outlineLevel="0" collapsed="false">
      <c r="A17" s="0" t="s">
        <v>243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244</v>
      </c>
      <c r="B18" s="8" t="n">
        <f aca="false">'Core &amp; Non-core'!B14</f>
        <v>1912.983716</v>
      </c>
      <c r="C18" s="8"/>
    </row>
    <row r="19" customFormat="false" ht="12.75" hidden="false" customHeight="false" outlineLevel="0" collapsed="false">
      <c r="B19" s="44"/>
    </row>
    <row r="20" customFormat="false" ht="12.75" hidden="false" customHeight="false" outlineLevel="0" collapsed="false">
      <c r="A20" s="0" t="s">
        <v>286</v>
      </c>
      <c r="B20" s="44"/>
    </row>
    <row r="21" customFormat="false" ht="12.75" hidden="false" customHeight="false" outlineLevel="0" collapsed="false">
      <c r="A21" s="0" t="s">
        <v>243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244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287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288</v>
      </c>
      <c r="B24" s="8" t="e">
        <f aca="false">#REF!</f>
        <v>#REF!</v>
      </c>
    </row>
    <row r="25" customFormat="false" ht="12.75" hidden="false" customHeight="false" outlineLevel="0" collapsed="false">
      <c r="B25" s="44"/>
    </row>
    <row r="26" customFormat="false" ht="12.75" hidden="false" customHeight="false" outlineLevel="0" collapsed="false">
      <c r="A26" s="0" t="s">
        <v>289</v>
      </c>
      <c r="B26" s="106" t="e">
        <f aca="false">SUM(B24)/SUM(B13)</f>
        <v>#REF!</v>
      </c>
    </row>
    <row r="27" customFormat="false" ht="12.75" hidden="false" customHeight="false" outlineLevel="0" collapsed="false">
      <c r="A27" s="0" t="s">
        <v>290</v>
      </c>
      <c r="B27" s="80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247</v>
      </c>
    </row>
    <row r="31" customFormat="false" ht="12.75" hidden="false" customHeight="false" outlineLevel="0" collapsed="false">
      <c r="B31" s="71" t="s">
        <v>160</v>
      </c>
    </row>
    <row r="32" customFormat="false" ht="12.75" hidden="false" customHeight="false" outlineLevel="0" collapsed="false">
      <c r="B32" s="71"/>
    </row>
    <row r="33" customFormat="false" ht="12.75" hidden="false" customHeight="false" outlineLevel="0" collapsed="false">
      <c r="A33" s="0" t="s">
        <v>291</v>
      </c>
      <c r="B33" s="8" t="e">
        <f aca="false">#REF!</f>
        <v>#REF!</v>
      </c>
    </row>
    <row r="34" customFormat="false" ht="12.75" hidden="false" customHeight="false" outlineLevel="0" collapsed="false">
      <c r="A34" s="80" t="s">
        <v>292</v>
      </c>
      <c r="B34" s="8" t="e">
        <f aca="false">#REF!</f>
        <v>#REF!</v>
      </c>
      <c r="C34" s="80"/>
      <c r="D34" s="80"/>
      <c r="E34" s="80"/>
    </row>
    <row r="35" customFormat="false" ht="12.75" hidden="false" customHeight="false" outlineLevel="0" collapsed="false">
      <c r="A35" s="0" t="s">
        <v>293</v>
      </c>
      <c r="B35" s="107" t="e">
        <f aca="false">+B34/B33*100</f>
        <v>#REF!</v>
      </c>
    </row>
    <row r="36" customFormat="false" ht="12.75" hidden="false" customHeight="false" outlineLevel="0" collapsed="false">
      <c r="B36" s="108"/>
    </row>
    <row r="37" customFormat="false" ht="12.75" hidden="false" customHeight="false" outlineLevel="0" collapsed="false">
      <c r="A37" s="0" t="s">
        <v>294</v>
      </c>
      <c r="B37" s="8" t="e">
        <f aca="false">#REF!</f>
        <v>#REF!</v>
      </c>
    </row>
    <row r="38" customFormat="false" ht="12.75" hidden="false" customHeight="false" outlineLevel="0" collapsed="false">
      <c r="A38" s="80" t="s">
        <v>295</v>
      </c>
      <c r="B38" s="8" t="e">
        <f aca="false">#REF!</f>
        <v>#REF!</v>
      </c>
      <c r="C38" s="80"/>
      <c r="D38" s="80"/>
      <c r="E38" s="80"/>
    </row>
    <row r="39" customFormat="false" ht="12.75" hidden="false" customHeight="false" outlineLevel="0" collapsed="false">
      <c r="A39" s="0" t="s">
        <v>293</v>
      </c>
      <c r="B39" s="107" t="e">
        <f aca="false">+B38/B37*100</f>
        <v>#REF!</v>
      </c>
    </row>
    <row r="41" customFormat="false" ht="12.75" hidden="false" customHeight="false" outlineLevel="0" collapsed="false">
      <c r="A41" s="0" t="s">
        <v>296</v>
      </c>
      <c r="B41" s="8" t="e">
        <f aca="false">#REF!</f>
        <v>#REF!</v>
      </c>
    </row>
    <row r="42" customFormat="false" ht="12.75" hidden="false" customHeight="false" outlineLevel="0" collapsed="false">
      <c r="A42" s="80" t="s">
        <v>297</v>
      </c>
      <c r="B42" s="8" t="e">
        <f aca="false">#REF!</f>
        <v>#REF!</v>
      </c>
      <c r="C42" s="80"/>
      <c r="D42" s="80"/>
      <c r="E42" s="80"/>
    </row>
    <row r="43" customFormat="false" ht="12.75" hidden="false" customHeight="false" outlineLevel="0" collapsed="false">
      <c r="A43" s="0" t="s">
        <v>293</v>
      </c>
      <c r="B43" s="81" t="e">
        <f aca="false">+B42/B41*100</f>
        <v>#REF!</v>
      </c>
    </row>
    <row r="45" customFormat="false" ht="12.75" hidden="false" customHeight="false" outlineLevel="0" collapsed="false">
      <c r="A45" s="0" t="s">
        <v>298</v>
      </c>
      <c r="B45" s="8" t="e">
        <f aca="false">#REF!</f>
        <v>#REF!</v>
      </c>
    </row>
    <row r="46" customFormat="false" ht="12.75" hidden="false" customHeight="false" outlineLevel="0" collapsed="false">
      <c r="A46" s="80" t="s">
        <v>299</v>
      </c>
      <c r="B46" s="8" t="e">
        <f aca="false">#REF!</f>
        <v>#REF!</v>
      </c>
      <c r="C46" s="80"/>
      <c r="D46" s="80"/>
      <c r="E46" s="80"/>
    </row>
    <row r="47" customFormat="false" ht="12.75" hidden="false" customHeight="false" outlineLevel="0" collapsed="false">
      <c r="A47" s="0" t="s">
        <v>293</v>
      </c>
      <c r="B47" s="81" t="e">
        <f aca="false">+B46/B45*100</f>
        <v>#REF!</v>
      </c>
    </row>
    <row r="50" customFormat="false" ht="12.75" hidden="false" customHeight="false" outlineLevel="0" collapsed="false">
      <c r="B50" s="71" t="s">
        <v>160</v>
      </c>
    </row>
    <row r="52" customFormat="false" ht="12.75" hidden="false" customHeight="false" outlineLevel="0" collapsed="false">
      <c r="A52" s="0" t="s">
        <v>250</v>
      </c>
      <c r="B52" s="80" t="n">
        <f aca="false">83000*0.98*0.01</f>
        <v>813.4</v>
      </c>
    </row>
    <row r="53" customFormat="false" ht="12.75" hidden="false" customHeight="false" outlineLevel="0" collapsed="false">
      <c r="A53" s="0" t="s">
        <v>251</v>
      </c>
      <c r="B53" s="80" t="n">
        <f aca="false">83000*0.98*0.033</f>
        <v>2684.22</v>
      </c>
    </row>
    <row r="54" customFormat="false" ht="12.75" hidden="false" customHeight="false" outlineLevel="0" collapsed="false">
      <c r="A54" s="0" t="s">
        <v>235</v>
      </c>
      <c r="B54" s="80" t="n">
        <f aca="false">83000*0.98*0.007</f>
        <v>569.38</v>
      </c>
    </row>
    <row r="55" customFormat="false" ht="12.75" hidden="false" customHeight="false" outlineLevel="0" collapsed="false">
      <c r="A55" s="0" t="s">
        <v>254</v>
      </c>
      <c r="B55" s="80" t="n">
        <f aca="false">83000*0.98*0.043</f>
        <v>3497.62</v>
      </c>
    </row>
    <row r="56" customFormat="false" ht="12.75" hidden="false" customHeight="false" outlineLevel="0" collapsed="false">
      <c r="B56" s="80"/>
    </row>
    <row r="57" customFormat="false" ht="12.75" hidden="false" customHeight="false" outlineLevel="0" collapsed="false">
      <c r="A57" s="0" t="s">
        <v>216</v>
      </c>
      <c r="B57" s="80" t="n">
        <f aca="false">SUM(B52:B56)</f>
        <v>7564.62</v>
      </c>
    </row>
    <row r="58" customFormat="false" ht="12.75" hidden="false" customHeight="false" outlineLevel="0" collapsed="false">
      <c r="B58" s="80"/>
    </row>
    <row r="59" customFormat="false" ht="12.75" hidden="false" customHeight="false" outlineLevel="0" collapsed="false">
      <c r="A59" s="0" t="s">
        <v>300</v>
      </c>
      <c r="B59" s="80" t="e">
        <f aca="false">+B61-B57</f>
        <v>#REF!</v>
      </c>
    </row>
    <row r="60" customFormat="false" ht="12.75" hidden="false" customHeight="false" outlineLevel="0" collapsed="false">
      <c r="B60" s="80"/>
    </row>
    <row r="61" customFormat="false" ht="12.75" hidden="false" customHeight="false" outlineLevel="0" collapsed="false">
      <c r="A61" s="0" t="s">
        <v>257</v>
      </c>
      <c r="B61" s="80" t="e">
        <f aca="false">+B42+B46</f>
        <v>#REF!</v>
      </c>
    </row>
    <row r="63" customFormat="false" ht="12.75" hidden="false" customHeight="false" outlineLevel="0" collapsed="false">
      <c r="A63" s="0" t="s">
        <v>258</v>
      </c>
      <c r="B63" s="101" t="e">
        <f aca="false">+B59/B10*100</f>
        <v>#REF!</v>
      </c>
    </row>
    <row r="66" customFormat="false" ht="12.75" hidden="false" customHeight="false" outlineLevel="0" collapsed="false">
      <c r="A66" s="84" t="s">
        <v>260</v>
      </c>
      <c r="B66" s="85"/>
    </row>
    <row r="67" customFormat="false" ht="12.75" hidden="false" customHeight="false" outlineLevel="0" collapsed="false">
      <c r="A67" s="76"/>
      <c r="B67" s="10"/>
    </row>
    <row r="68" customFormat="false" ht="12.75" hidden="false" customHeight="false" outlineLevel="0" collapsed="false">
      <c r="A68" s="76" t="s">
        <v>215</v>
      </c>
      <c r="B68" s="80" t="e">
        <f aca="false">+B54*(B41/B10)</f>
        <v>#REF!</v>
      </c>
    </row>
    <row r="69" customFormat="false" ht="12.75" hidden="false" customHeight="false" outlineLevel="0" collapsed="false">
      <c r="A69" s="76" t="s">
        <v>254</v>
      </c>
      <c r="B69" s="80" t="n">
        <f aca="false">+B55</f>
        <v>3497.62</v>
      </c>
    </row>
    <row r="70" customFormat="false" ht="12.75" hidden="false" customHeight="false" outlineLevel="0" collapsed="false">
      <c r="A70" s="76" t="s">
        <v>211</v>
      </c>
      <c r="B70" s="80" t="e">
        <f aca="false">+B52*(B41/B10)</f>
        <v>#REF!</v>
      </c>
    </row>
    <row r="71" customFormat="false" ht="12.75" hidden="false" customHeight="false" outlineLevel="0" collapsed="false">
      <c r="A71" s="76" t="s">
        <v>301</v>
      </c>
      <c r="B71" s="80" t="n">
        <f aca="false">((0.08*B10)*133)/1000</f>
        <v>872.38393066328</v>
      </c>
    </row>
    <row r="72" customFormat="false" ht="12.75" hidden="false" customHeight="false" outlineLevel="0" collapsed="false">
      <c r="A72" s="76" t="s">
        <v>302</v>
      </c>
      <c r="B72" s="80" t="e">
        <f aca="false">+B59*(B41/B10)</f>
        <v>#REF!</v>
      </c>
    </row>
    <row r="73" customFormat="false" ht="12.75" hidden="false" customHeight="false" outlineLevel="0" collapsed="false">
      <c r="A73" s="76" t="s">
        <v>303</v>
      </c>
      <c r="B73" s="80" t="e">
        <f aca="false">-B27</f>
        <v>#REF!</v>
      </c>
    </row>
    <row r="74" customFormat="false" ht="12.75" hidden="false" customHeight="false" outlineLevel="0" collapsed="false">
      <c r="A74" s="76"/>
      <c r="B74" s="80"/>
    </row>
    <row r="75" customFormat="false" ht="12.75" hidden="false" customHeight="false" outlineLevel="0" collapsed="false">
      <c r="A75" s="76" t="s">
        <v>62</v>
      </c>
      <c r="B75" s="80" t="e">
        <f aca="false">SUM(B68:B74)</f>
        <v>#REF!</v>
      </c>
    </row>
    <row r="76" customFormat="false" ht="12.75" hidden="false" customHeight="false" outlineLevel="0" collapsed="false">
      <c r="A76" s="76"/>
      <c r="B76" s="10"/>
    </row>
    <row r="77" customFormat="false" ht="12.75" hidden="false" customHeight="false" outlineLevel="0" collapsed="false">
      <c r="A77" s="76" t="s">
        <v>264</v>
      </c>
      <c r="B77" s="8" t="e">
        <f aca="false">+B41</f>
        <v>#REF!</v>
      </c>
    </row>
    <row r="78" customFormat="false" ht="12.75" hidden="false" customHeight="false" outlineLevel="0" collapsed="false">
      <c r="A78" s="76"/>
      <c r="B78" s="10"/>
    </row>
    <row r="79" customFormat="false" ht="12.75" hidden="false" customHeight="false" outlineLevel="0" collapsed="false">
      <c r="A79" s="76" t="s">
        <v>265</v>
      </c>
      <c r="B79" s="9" t="e">
        <f aca="false">+B75/B77*100</f>
        <v>#REF!</v>
      </c>
    </row>
    <row r="80" customFormat="false" ht="12.75" hidden="false" customHeight="false" outlineLevel="0" collapsed="false">
      <c r="A80" s="76"/>
      <c r="B80" s="10"/>
    </row>
    <row r="81" customFormat="false" ht="12.75" hidden="false" customHeight="false" outlineLevel="0" collapsed="false">
      <c r="A81" s="74" t="s">
        <v>266</v>
      </c>
      <c r="B81" s="99" t="e">
        <f aca="false">+B43</f>
        <v>#REF!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304</v>
      </c>
      <c r="B83" s="10"/>
    </row>
    <row r="84" customFormat="false" ht="12.75" hidden="false" customHeight="false" outlineLevel="0" collapsed="false">
      <c r="A84" s="109" t="s">
        <v>305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kbrown</cp:lastModifiedBy>
  <cp:lastPrinted>2001-06-25T21:47:56Z</cp:lastPrinted>
  <dcterms:modified xsi:type="dcterms:W3CDTF">2001-06-26T22:22:25Z</dcterms:modified>
  <cp:revision>0</cp:revision>
  <dc:subject/>
  <dc:title/>
</cp:coreProperties>
</file>