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Summary Table" sheetId="7" state="visible" r:id="rId9"/>
    <sheet name="Core &amp; Non-core" sheetId="8" state="visible" r:id="rId10"/>
    <sheet name="PGE - Core Analysis" sheetId="9" state="visible" r:id="rId11"/>
    <sheet name="Curves" sheetId="10" state="visible" r:id="rId12"/>
    <sheet name="DWR purchase" sheetId="11" state="visible" r:id="rId13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localSheetId="6" name="_xlnm.Print_Area" vbProcedure="false">'Summary Table'!$A$2:$P$34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<sst xmlns="http://schemas.openxmlformats.org/spreadsheetml/2006/main" count="1229" uniqueCount="373">
  <si>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</si>
  <si>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</si>
  <si>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</si>
  <si>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</si>
  <si>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</si>
  <si>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</si>
  <si>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</si>
  <si>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</si>
  <si>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</si>
  <si>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</si>
  <si>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</si>
  <si>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</si>
  <si>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</si>
  <si>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</si>
  <si>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</si>
  <si>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</si>
  <si>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</si>
  <si>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</si>
  <si>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</si>
  <si>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</si>
  <si>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</si>
  <si>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</si>
  <si>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</si>
  <si>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</si>
  <si>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</si>
  <si>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</si>
  <si>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</si>
  <si>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</si>
  <si>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</si>
  <si>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</si>
  <si>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</si>
  <si>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</si>
  <si>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</si>
  <si>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</si>
  <si>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</si>
  <si>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</si>
  <si>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</si>
  <si>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</si>
  <si>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</si>
  <si>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</si>
  <si>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</si>
  <si>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</si>
  <si>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</si>
  <si>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</si>
  <si>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</si>
  <si>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</si>
  <si>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</si>
  <si>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</si>
  <si>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</si>
  <si>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</si>
  <si>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</si>
  <si>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</si>
  <si>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</si>
  <si>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</si>
  <si>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</si>
  <si>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</si>
  <si>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</si>
  <si>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</si>
  <si>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</si>
  <si>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</si>
  <si>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</si>
  <si>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</si>
  <si>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</si>
  <si>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</si>
  <si>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</si>
  <si>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</si>
  <si>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</si>
  <si>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</si>
  <si>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</si>
  <si>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</si>
  <si>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</si>
  <si>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</si>
  <si>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</si>
  <si>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</si>
  <si>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</si>
  <si>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</si>
  <si>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</si>
  <si>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</si>
  <si>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</si>
  <si>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</si>
  <si>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</si>
  <si>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</si>
  <si>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</si>
  <si>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</si>
  <si>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</si>
  <si>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</si>
  <si>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</si>
  <si>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</si>
  <si>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</si>
  <si>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</si>
  <si>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</si>
  <si>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</si>
  <si>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</si>
  <si>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</si>
  <si>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</si>
  <si>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</si>
  <si>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</si>
  <si>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</si>
  <si>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</si>
  <si>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</si>
  <si>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</si>
  <si>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</si>
  <si>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</si>
  <si>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</si>
  <si>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</si>
  <si>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</si>
  <si>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</si>
  <si>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</si>
  <si>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</si>
  <si>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</si>
  <si>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</si>
  <si>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</si>
  <si>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</si>
  <si>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</si>
  <si>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</si>
  <si>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</si>
  <si>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</si>
  <si>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</si>
  <si>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</si>
  <si>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</si>
  <si>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</si>
  <si>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</si>
  <si>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</si>
  <si>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</si>
  <si>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</si>
  <si>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</si>
  <si>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</si>
  <si>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</si>
  <si>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</si>
  <si>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</si>
  <si>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</si>
  <si>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</si>
  <si>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</si>
  <si>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</si>
  <si>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</si>
  <si>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</si>
  <si>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</si>
  <si>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</si>
  <si>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</si>
  <si>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</si>
  <si>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</si>
  <si>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</si>
  <si>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</si>
  <si>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</si>
  <si>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</si>
  <si>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</si>
  <si>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</si>
  <si>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</si>
  <si>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</si>
  <si>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</si>
  <si>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</si>
  <si>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</si>
  <si>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</si>
  <si>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</si>
  <si>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</si>
  <si>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</si>
  <si>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</si>
  <si>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</si>
  <si>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</si>
  <si>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</si>
  <si>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</si>
  <si>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</si>
  <si>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</si>
  <si>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</si>
  <si>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</si>
  <si>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</si>
  <si>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</si>
  <si>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</si>
  <si>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</si>
  <si>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</si>
  <si>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</si>
  <si>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</si>
  <si>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</si>
  <si>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</si>
  <si>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</si>
  <si>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</si>
  <si>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</si>
  <si>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</si>
  <si>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</si>
  <si>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Spot Prices (1=$104 from DWR, 0= $82.75 from Blend)</t>
  </si>
  <si>
    <t xml:space="preserve">Past Utility split (1=Pro rata,  0=Pro rata + 1/2 to nc</t>
  </si>
  <si>
    <t xml:space="preserve">Cost to Core:</t>
  </si>
  <si>
    <t xml:space="preserve">Cents per kw:</t>
  </si>
  <si>
    <t xml:space="preserve">PG&amp;E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</si>
  <si>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</si>
  <si>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</si>
  <si>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</si>
  <si>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</si>
  <si>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</si>
  <si>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Total Gen</t>
  </si>
  <si>
    <t xml:space="preserve">Other T&amp;D</t>
  </si>
  <si>
    <t xml:space="preserve">Total Core per proposal</t>
  </si>
  <si>
    <t xml:space="preserve">Total Core per current CPUC</t>
  </si>
  <si>
    <t xml:space="preserve">Cost to Non-Core:</t>
  </si>
  <si>
    <t xml:space="preserve">Other T&amp;D </t>
  </si>
  <si>
    <t xml:space="preserve">Total Non-Core per proposal</t>
  </si>
  <si>
    <t xml:space="preserve">Total Non-Core per current CPUC</t>
  </si>
  <si>
    <t xml:space="preserve">Toggle switch</t>
  </si>
  <si>
    <t xml:space="preserve">1=83,000 mw</t>
  </si>
  <si>
    <t xml:space="preserve">Total Vol</t>
  </si>
  <si>
    <t xml:space="preserve">0=93,000 mw</t>
  </si>
  <si>
    <t xml:space="preserve">1=dwr for spot (104)</t>
  </si>
  <si>
    <t xml:space="preserve">Prices</t>
  </si>
  <si>
    <t xml:space="preserve">0=dwr/hen for spot (82.75)</t>
  </si>
  <si>
    <t xml:space="preserve">Under 500kW (core) CPUC</t>
  </si>
  <si>
    <t xml:space="preserve">Over (non core) CPUC</t>
  </si>
  <si>
    <t xml:space="preserve">1=Pro Rata</t>
  </si>
  <si>
    <t xml:space="preserve">Total CPUC (demand)</t>
  </si>
  <si>
    <t xml:space="preserve">Past Utility</t>
  </si>
  <si>
    <t xml:space="preserve">0=Pro rata + 1/2 to nc</t>
  </si>
  <si>
    <t xml:space="preserve">Retained Gen + QF (supply)*</t>
  </si>
  <si>
    <t xml:space="preserve">Retained Gen + QF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</si>
  <si>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</si>
  <si>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</si>
  <si>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</si>
  <si>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Past DWR</t>
  </si>
  <si>
    <t xml:space="preserve">Future DWR</t>
  </si>
  <si>
    <t xml:space="preserve">Past Utility with 15 year amortization assumption</t>
  </si>
  <si>
    <t xml:space="preserve">Future Utility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</si>
  <si>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</si>
  <si>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</si>
  <si>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</si>
  <si>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</si>
  <si>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Share of Past Utility with 20 year amortization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</si>
  <si>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</si>
  <si>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</si>
  <si>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</si>
  <si>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</si>
  <si>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</si>
  <si>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Total Non-Core Load </t>
  </si>
  <si>
    <t xml:space="preserve">Cost to Non-Core</t>
  </si>
  <si>
    <t xml:space="preserve">Cost to Non-Core per proposed CPUC</t>
  </si>
  <si>
    <t xml:space="preserve">Core Rate T&amp;D (cents)</t>
  </si>
  <si>
    <t xml:space="preserve">Non Core T&amp;D (cents)</t>
  </si>
  <si>
    <t xml:space="preserve">All T&amp;D  (cents)</t>
  </si>
  <si>
    <t xml:space="preserve">Total dollars T&amp;D</t>
  </si>
  <si>
    <t xml:space="preserve">Core T&amp;D/non core T&amp;D</t>
  </si>
  <si>
    <t xml:space="preserve">Core T&amp;D/ All T&amp;D</t>
  </si>
  <si>
    <t xml:space="preserve">Per 12/31/00 10-K (kwh)</t>
  </si>
  <si>
    <t xml:space="preserve">Electric revenue</t>
  </si>
  <si>
    <t xml:space="preserve">Electric Revenue per kwh</t>
  </si>
  <si>
    <t xml:space="preserve">Generating portion per MOU</t>
  </si>
  <si>
    <t xml:space="preserve">T&amp;D and other costs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</si>
  <si>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</si>
  <si>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</si>
  <si>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</si>
  <si>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</si>
  <si>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</si>
  <si>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</si>
  <si>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</si>
  <si>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</si>
  <si>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</si>
  <si>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</si>
  <si>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</si>
  <si>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</si>
  <si>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</si>
  <si>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</si>
  <si>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</si>
  <si>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</si>
  <si>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</si>
  <si>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</si>
  <si>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Other T&amp;D (plug to total revenue)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</si>
  <si>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</si>
  <si>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</si>
  <si>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</si>
  <si>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</si>
  <si>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</si>
  <si>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</si>
  <si>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</si>
  <si>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</si>
  <si>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</si>
  <si>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</si>
  <si>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</si>
  <si>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</si>
  <si>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</si>
  <si>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</si>
  <si>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</si>
  <si>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</si>
  <si>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</si>
  <si>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</si>
  <si>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</si>
  <si>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</si>
  <si>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</si>
  <si>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</si>
  <si>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</si>
  <si>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</si>
  <si>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</si>
  <si>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</si>
  <si>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</si>
  <si>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Contracted &amp; Non Contracted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</si>
  <si>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</si>
  <si>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</si>
  <si>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</si>
  <si>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</si>
  <si>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</si>
  <si>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</si>
  <si>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</si>
  <si>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</si>
  <si>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</si>
  <si>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</si>
  <si>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</si>
  <si>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Price</t>
  </si>
  <si>
    <t xml:space="preserve">Volume</t>
  </si>
  <si>
    <t xml:space="preserve">2= Henwood</t>
  </si>
  <si>
    <t xml:space="preserve">3= ENA</t>
  </si>
  <si>
    <t xml:space="preserve">NP-15 % of Blend:</t>
  </si>
  <si>
    <t xml:space="preserve">Yearly Henwood</t>
  </si>
  <si>
    <t xml:space="preserve">Table 1</t>
  </si>
  <si>
    <t xml:space="preserve">Agreements Executed and In Contract Development</t>
  </si>
  <si>
    <t xml:space="preserve">CDWR POWER BIDS STATUS</t>
  </si>
  <si>
    <t xml:space="preserve">AS OF April 9</t>
  </si>
  <si>
    <t xml:space="preserve">GENERAL TERMS</t>
  </si>
  <si>
    <t xml:space="preserve">STATUS</t>
  </si>
  <si>
    <t xml:space="preserve">PEAK</t>
  </si>
  <si>
    <t xml:space="preserve">NON-PEAK</t>
  </si>
  <si>
    <t xml:space="preserve">Contact No.</t>
  </si>
  <si>
    <t xml:space="preserve">Start</t>
  </si>
  <si>
    <t xml:space="preserve">Term </t>
  </si>
  <si>
    <t xml:space="preserve">Product</t>
  </si>
  <si>
    <t xml:space="preserve">Zone</t>
  </si>
  <si>
    <t xml:space="preserve">MW
2001</t>
  </si>
  <si>
    <t xml:space="preserve">MW
2002</t>
  </si>
  <si>
    <t xml:space="preserve">MW
2003</t>
  </si>
  <si>
    <t xml:space="preserve">MW
2004</t>
  </si>
  <si>
    <t xml:space="preserve">MW
2005</t>
  </si>
  <si>
    <t xml:space="preserve">MW
2006-10</t>
  </si>
  <si>
    <t xml:space="preserve">Submitted</t>
  </si>
  <si>
    <t xml:space="preserve">Agreement in Principle</t>
  </si>
  <si>
    <t xml:space="preserve">Signed Contract</t>
  </si>
  <si>
    <t xml:space="preserve">(MW shown reflect July capacity, before transmission losses)</t>
  </si>
  <si>
    <t xml:space="preserve">LONG TERM</t>
  </si>
  <si>
    <t xml:space="preserve">5 yr</t>
  </si>
  <si>
    <t xml:space="preserve">Peak</t>
  </si>
  <si>
    <t xml:space="preserve">14 mos</t>
  </si>
  <si>
    <t xml:space="preserve">Base</t>
  </si>
  <si>
    <t xml:space="preserve">*</t>
  </si>
  <si>
    <t xml:space="preserve">2/01</t>
  </si>
  <si>
    <t xml:space="preserve">2/?/01</t>
  </si>
  <si>
    <t xml:space="preserve">Bal. '01</t>
  </si>
  <si>
    <t xml:space="preserve">Op. Res.</t>
  </si>
  <si>
    <t xml:space="preserve">Unspec.</t>
  </si>
  <si>
    <t xml:space="preserve">Bal '01</t>
  </si>
  <si>
    <t xml:space="preserve">OffPeak</t>
  </si>
  <si>
    <t xml:space="preserve">**</t>
  </si>
  <si>
    <t xml:space="preserve">10 yr</t>
  </si>
  <si>
    <t xml:space="preserve">4.5 yr</t>
  </si>
  <si>
    <t xml:space="preserve">9.5 yr</t>
  </si>
  <si>
    <t xml:space="preserve">20 yr</t>
  </si>
  <si>
    <t xml:space="preserve">3 yr</t>
  </si>
  <si>
    <t xml:space="preserve">8 yr</t>
  </si>
  <si>
    <t xml:space="preserve">8.25 yr</t>
  </si>
  <si>
    <t xml:space="preserve">2.25 yr</t>
  </si>
  <si>
    <t xml:space="preserve">6 mos</t>
  </si>
  <si>
    <t xml:space="preserve">10.25 yr</t>
  </si>
  <si>
    <t xml:space="preserve">2.5 yr</t>
  </si>
  <si>
    <t xml:space="preserve">4 mos</t>
  </si>
  <si>
    <t xml:space="preserve">Jan</t>
  </si>
  <si>
    <t xml:space="preserve">1.5 yr</t>
  </si>
  <si>
    <t xml:space="preserve">10.3 yr</t>
  </si>
  <si>
    <t xml:space="preserve">17 mos</t>
  </si>
  <si>
    <t xml:space="preserve">SSPeak</t>
  </si>
  <si>
    <t xml:space="preserve">9 yr</t>
  </si>
  <si>
    <t xml:space="preserve">11.25 yr</t>
  </si>
  <si>
    <t xml:space="preserve">Sum. Peak</t>
  </si>
  <si>
    <t xml:space="preserve">6.25 yr</t>
  </si>
  <si>
    <t xml:space="preserve">10yr</t>
  </si>
  <si>
    <t xml:space="preserve">Agreements Being Negotiated</t>
  </si>
  <si>
    <t xml:space="preserve">Weekly Progress - Agreements Executed Since 3/14</t>
  </si>
  <si>
    <t xml:space="preserve">Executed Agreements</t>
  </si>
  <si>
    <t xml:space="preserve">Notes:</t>
  </si>
  <si>
    <t xml:space="preserve">Lines 26 and 28 represent the Block Forward contracts assumed by CDWR.</t>
  </si>
  <si>
    <t xml:space="preserve">*   Capacity provided during year, but not in July (month of maximum statewide net short)</t>
  </si>
  <si>
    <t xml:space="preserve">**  Off-Peak capacity is not part of peak MW tabulation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</si>
</sst>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  <font>
      <b val="true"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63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64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0"/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B1" colorId="64" zoomScale="100" zoomScaleNormal="100" zoomScalePageLayoutView="100" workbookViewId="0">
      <selection pane="topLeft" activeCell="AG8" activeCellId="0" sqref="A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  <col collapsed="false" customWidth="true" hidden="false" outlineLevel="0" max="43" min="43" style="0" width="21.7"/>
    <col collapsed="false" customWidth="true" hidden="false" outlineLevel="0" max="46" min="46" style="0" width="11.85"/>
    <col collapsed="false" customWidth="true" hidden="false" outlineLevel="0" max="47" min="47" style="0" width="17.56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267</v>
      </c>
      <c r="I1" s="28"/>
      <c r="J1" s="28"/>
      <c r="K1" s="28"/>
      <c r="L1" s="28" t="s">
        <v>268</v>
      </c>
      <c r="M1" s="1"/>
      <c r="O1" s="28" t="s">
        <v>269</v>
      </c>
      <c r="Q1" s="28" t="s">
        <v>270</v>
      </c>
      <c r="T1" s="28" t="s">
        <v>271</v>
      </c>
      <c r="U1" s="28"/>
      <c r="V1" s="28"/>
      <c r="W1" s="28"/>
      <c r="AJ1" s="97"/>
      <c r="AK1" s="71"/>
      <c r="AL1" s="71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272</v>
      </c>
      <c r="Q2" s="28" t="s">
        <v>273</v>
      </c>
      <c r="T2" s="28" t="s">
        <v>274</v>
      </c>
      <c r="U2" s="28"/>
      <c r="V2" s="28"/>
      <c r="W2" s="28"/>
      <c r="X2" s="0" t="n">
        <f aca="false">COUNT(S7:S45)</f>
        <v>39</v>
      </c>
      <c r="Y2" s="0" t="s">
        <v>275</v>
      </c>
      <c r="AB2" s="102" t="n">
        <v>0.0734</v>
      </c>
    </row>
    <row r="3" customFormat="false" ht="12.75" hidden="false" customHeight="false" outlineLevel="0" collapsed="false">
      <c r="C3" s="1"/>
      <c r="D3" s="1" t="s">
        <v>276</v>
      </c>
      <c r="E3" s="1" t="s">
        <v>277</v>
      </c>
      <c r="F3" s="1"/>
      <c r="G3" s="1"/>
      <c r="H3" s="1" t="s">
        <v>178</v>
      </c>
      <c r="I3" s="1" t="s">
        <v>277</v>
      </c>
      <c r="J3" s="1"/>
      <c r="K3" s="1"/>
      <c r="L3" s="1" t="s">
        <v>178</v>
      </c>
      <c r="M3" s="1" t="s">
        <v>277</v>
      </c>
      <c r="T3" s="28" t="s">
        <v>278</v>
      </c>
      <c r="U3" s="28"/>
      <c r="V3" s="28"/>
      <c r="W3" s="28"/>
      <c r="Y3" s="0" t="s">
        <v>279</v>
      </c>
      <c r="AN3" s="65" t="s">
        <v>280</v>
      </c>
      <c r="AO3" s="65" t="s">
        <v>280</v>
      </c>
      <c r="AQ3" s="65" t="s">
        <v>280</v>
      </c>
      <c r="AU3" s="65" t="s">
        <v>280</v>
      </c>
    </row>
    <row r="4" customFormat="false" ht="12.75" hidden="false" customHeight="false" outlineLevel="0" collapsed="false">
      <c r="C4" s="1" t="s">
        <v>168</v>
      </c>
      <c r="D4" s="1" t="s">
        <v>281</v>
      </c>
      <c r="E4" s="1" t="s">
        <v>282</v>
      </c>
      <c r="F4" s="1"/>
      <c r="G4" s="1" t="s">
        <v>168</v>
      </c>
      <c r="H4" s="1" t="s">
        <v>281</v>
      </c>
      <c r="I4" s="1" t="s">
        <v>282</v>
      </c>
      <c r="J4" s="1"/>
      <c r="K4" s="1" t="s">
        <v>168</v>
      </c>
      <c r="L4" s="1" t="s">
        <v>281</v>
      </c>
      <c r="M4" s="1" t="s">
        <v>282</v>
      </c>
      <c r="O4" s="1" t="s">
        <v>281</v>
      </c>
      <c r="Q4" s="1" t="s">
        <v>281</v>
      </c>
      <c r="T4" s="28" t="s">
        <v>272</v>
      </c>
      <c r="U4" s="28"/>
      <c r="V4" s="28" t="s">
        <v>283</v>
      </c>
      <c r="W4" s="28"/>
      <c r="AE4" s="0" t="s">
        <v>284</v>
      </c>
      <c r="AF4" s="0" t="s">
        <v>284</v>
      </c>
      <c r="AG4" s="0" t="s">
        <v>285</v>
      </c>
      <c r="AH4" s="0" t="s">
        <v>285</v>
      </c>
      <c r="AI4" s="0" t="s">
        <v>285</v>
      </c>
      <c r="AJ4" s="0" t="s">
        <v>285</v>
      </c>
      <c r="AL4" s="0" t="s">
        <v>286</v>
      </c>
      <c r="AN4" s="65" t="s">
        <v>287</v>
      </c>
      <c r="AO4" s="65" t="s">
        <v>288</v>
      </c>
      <c r="AQ4" s="65" t="s">
        <v>289</v>
      </c>
      <c r="AU4" s="65" t="s">
        <v>288</v>
      </c>
    </row>
    <row r="5" customFormat="false" ht="12.75" hidden="false" customHeight="false" outlineLevel="0" collapsed="false">
      <c r="T5" s="28" t="s">
        <v>290</v>
      </c>
      <c r="U5" s="28"/>
      <c r="V5" s="103" t="n">
        <f aca="false">XNPV(AB2,V7:V45,S7:S45)</f>
        <v>56045584.0106964</v>
      </c>
      <c r="W5" s="103"/>
      <c r="Y5" s="0" t="s">
        <v>291</v>
      </c>
      <c r="AA5" s="0" t="n">
        <v>1</v>
      </c>
      <c r="AE5" s="0" t="s">
        <v>292</v>
      </c>
      <c r="AF5" s="0" t="s">
        <v>293</v>
      </c>
      <c r="AG5" s="0" t="s">
        <v>292</v>
      </c>
      <c r="AH5" s="0" t="s">
        <v>293</v>
      </c>
      <c r="AI5" s="0" t="s">
        <v>292</v>
      </c>
      <c r="AJ5" s="0" t="s">
        <v>293</v>
      </c>
      <c r="AL5" s="0" t="s">
        <v>294</v>
      </c>
      <c r="AN5" s="104" t="n">
        <v>0.0734</v>
      </c>
      <c r="AO5" s="104" t="n">
        <v>0.0734</v>
      </c>
      <c r="AQ5" s="104" t="n">
        <v>0.0734</v>
      </c>
      <c r="AU5" s="104" t="n">
        <v>0.0734</v>
      </c>
    </row>
    <row r="6" customFormat="false" ht="12.75" hidden="false" customHeight="false" outlineLevel="0" collapsed="false">
      <c r="A6" s="0" t="n">
        <v>2001</v>
      </c>
      <c r="B6" s="0" t="s">
        <v>174</v>
      </c>
      <c r="C6" s="8" t="n">
        <v>13308000</v>
      </c>
      <c r="D6" s="71" t="n">
        <f aca="false">E6*C6/1000</f>
        <v>3792780</v>
      </c>
      <c r="E6" s="71" t="n">
        <v>285</v>
      </c>
      <c r="G6" s="0" t="s">
        <v>295</v>
      </c>
      <c r="H6" s="0" t="s">
        <v>295</v>
      </c>
      <c r="I6" s="0" t="s">
        <v>295</v>
      </c>
      <c r="K6" s="0" t="s">
        <v>295</v>
      </c>
      <c r="L6" s="0" t="s">
        <v>295</v>
      </c>
      <c r="M6" s="0" t="s">
        <v>295</v>
      </c>
      <c r="T6" s="28" t="s">
        <v>296</v>
      </c>
      <c r="U6" s="28"/>
      <c r="V6" s="28"/>
      <c r="W6" s="28"/>
      <c r="Y6" s="0" t="s">
        <v>297</v>
      </c>
      <c r="AC6" s="0" t="n">
        <v>2001</v>
      </c>
      <c r="AD6" s="0" t="s">
        <v>174</v>
      </c>
      <c r="AG6" s="0" t="s">
        <v>298</v>
      </c>
      <c r="AH6" s="0" t="s">
        <v>298</v>
      </c>
      <c r="AI6" s="0" t="s">
        <v>299</v>
      </c>
      <c r="AJ6" s="0" t="s">
        <v>299</v>
      </c>
      <c r="AK6" s="0" t="s">
        <v>300</v>
      </c>
      <c r="AN6" s="105" t="n">
        <f aca="false">NPV(AN5/4,AN8:AN45)</f>
        <v>2249.94674923428</v>
      </c>
      <c r="AO6" s="105" t="n">
        <f aca="false">NPV(AO5/4,AO8:AO45)</f>
        <v>2250</v>
      </c>
      <c r="AQ6" s="105" t="n">
        <f aca="false">NPV(AQ5/4,AQ8:AQ45)</f>
        <v>51137136.2094619</v>
      </c>
      <c r="AS6" s="0" t="s">
        <v>301</v>
      </c>
      <c r="AT6" s="0" t="s">
        <v>302</v>
      </c>
      <c r="AU6" s="105" t="n">
        <f aca="false">NPV(AU5/4,AU8:AU45)</f>
        <v>51137136</v>
      </c>
    </row>
    <row r="7" customFormat="false" ht="12.75" hidden="false" customHeight="false" outlineLevel="0" collapsed="false">
      <c r="B7" s="0" t="s">
        <v>175</v>
      </c>
      <c r="C7" s="8" t="n">
        <v>17301661</v>
      </c>
      <c r="D7" s="71" t="n">
        <f aca="false">E7*C7/1000</f>
        <v>4550336.843</v>
      </c>
      <c r="E7" s="71" t="n">
        <v>263</v>
      </c>
      <c r="G7" s="8" t="n">
        <v>6835030</v>
      </c>
      <c r="H7" s="71" t="n">
        <f aca="false">I7*G7/1000</f>
        <v>922729.05</v>
      </c>
      <c r="I7" s="71" t="n">
        <v>135</v>
      </c>
      <c r="K7" s="8" t="n">
        <v>10466630</v>
      </c>
      <c r="L7" s="71" t="n">
        <f aca="false">K7*M7/1000</f>
        <v>3621453.98</v>
      </c>
      <c r="M7" s="71" t="n">
        <v>346</v>
      </c>
      <c r="O7" s="71" t="n">
        <f aca="false">(I7-M7)*G7/1000</f>
        <v>-1442191.33</v>
      </c>
      <c r="Q7" s="71" t="n">
        <f aca="false">O7</f>
        <v>-1442191.33</v>
      </c>
      <c r="S7" s="106" t="n">
        <v>37072</v>
      </c>
      <c r="T7" s="71" t="n">
        <f aca="false">XNPV($AB$2,O7:$O$45,S7:$S$45)</f>
        <v>-10907674.2768819</v>
      </c>
      <c r="U7" s="71"/>
      <c r="V7" s="71" t="n">
        <f aca="false">L7+H7</f>
        <v>4544183.03</v>
      </c>
      <c r="W7" s="71" t="n">
        <f aca="false">$V$5/$X$2</f>
        <v>1437066.25668452</v>
      </c>
      <c r="X7" s="105"/>
      <c r="Y7" s="0" t="s">
        <v>303</v>
      </c>
      <c r="AB7" s="107"/>
      <c r="AD7" s="0" t="s">
        <v>175</v>
      </c>
      <c r="AE7" s="0" t="s">
        <v>295</v>
      </c>
      <c r="AF7" s="0" t="s">
        <v>295</v>
      </c>
      <c r="AG7" s="0" t="s">
        <v>295</v>
      </c>
      <c r="AH7" s="0" t="s">
        <v>295</v>
      </c>
      <c r="AI7" s="0" t="s">
        <v>295</v>
      </c>
      <c r="AJ7" s="0" t="s">
        <v>295</v>
      </c>
      <c r="AK7" s="71" t="n">
        <v>346</v>
      </c>
      <c r="AL7" s="0" t="n">
        <v>1</v>
      </c>
    </row>
    <row r="8" customFormat="false" ht="12.75" hidden="false" customHeight="false" outlineLevel="0" collapsed="false">
      <c r="B8" s="0" t="s">
        <v>176</v>
      </c>
      <c r="C8" s="8" t="n">
        <v>21250889</v>
      </c>
      <c r="D8" s="71" t="n">
        <f aca="false">E8*C8/1000</f>
        <v>3676403.797</v>
      </c>
      <c r="E8" s="71" t="n">
        <v>173</v>
      </c>
      <c r="G8" s="8" t="n">
        <v>8241181</v>
      </c>
      <c r="H8" s="71" t="n">
        <f aca="false">I8*G8/1000</f>
        <v>1137282.978</v>
      </c>
      <c r="I8" s="71" t="n">
        <v>138</v>
      </c>
      <c r="K8" s="8" t="n">
        <v>13009708</v>
      </c>
      <c r="L8" s="71" t="n">
        <f aca="false">K8*M8/1000</f>
        <v>2536893.06</v>
      </c>
      <c r="M8" s="71" t="n">
        <f aca="false">IF($AA$5=1,AK8,IF($AA$5=2,$AA$10*AJ8+(1-$AA$10)*AI8,$AA$10*AF8+(1-$AA$10)*AE8))</f>
        <v>195</v>
      </c>
      <c r="O8" s="71" t="n">
        <f aca="false">(I8-M8)*G8/1000</f>
        <v>-469747.317</v>
      </c>
      <c r="Q8" s="71" t="n">
        <f aca="false">O8+Q7*(1+$AB$2)^0.25</f>
        <v>-1937704.12735985</v>
      </c>
      <c r="S8" s="106" t="n">
        <v>37164</v>
      </c>
      <c r="T8" s="71" t="n">
        <f aca="false">XNPV($AB$2,O8:$O$45,S8:$S$45)</f>
        <v>-9635990.95968337</v>
      </c>
      <c r="U8" s="71"/>
      <c r="V8" s="71" t="n">
        <f aca="false">L8+H8</f>
        <v>3674176.038</v>
      </c>
      <c r="W8" s="71" t="n">
        <f aca="false">$V$5/$X$2</f>
        <v>1437066.25668452</v>
      </c>
      <c r="X8" s="105"/>
      <c r="Y8" s="0" t="s">
        <v>304</v>
      </c>
      <c r="AB8" s="107"/>
      <c r="AD8" s="0" t="s">
        <v>176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71" t="n">
        <v>195</v>
      </c>
      <c r="AL8" s="0" t="n">
        <f aca="false">AL7*(1+$AA$12)^0.25</f>
        <v>1.00372908893809</v>
      </c>
      <c r="AN8" s="95" t="n">
        <f aca="false">(AJ8+AK8)/2</f>
        <v>206.135136044579</v>
      </c>
      <c r="AO8" s="0" t="n">
        <v>82.7545820152566</v>
      </c>
      <c r="AQ8" s="95" t="n">
        <f aca="false">+D8</f>
        <v>3676403.797</v>
      </c>
      <c r="AS8" s="95" t="n">
        <v>106.145304813907</v>
      </c>
      <c r="AT8" s="43" t="n">
        <f aca="false">+C8</f>
        <v>21250889</v>
      </c>
      <c r="AU8" s="71" t="n">
        <f aca="false">+AS8*AT8/1000</f>
        <v>2255682.09047149</v>
      </c>
    </row>
    <row r="9" customFormat="false" ht="12.75" hidden="false" customHeight="false" outlineLevel="0" collapsed="false">
      <c r="B9" s="0" t="s">
        <v>177</v>
      </c>
      <c r="C9" s="8" t="n">
        <v>17494520</v>
      </c>
      <c r="D9" s="71" t="n">
        <f aca="false">E9*C9/1000</f>
        <v>3096530.04</v>
      </c>
      <c r="E9" s="71" t="n">
        <v>177</v>
      </c>
      <c r="G9" s="8" t="n">
        <v>7583534</v>
      </c>
      <c r="H9" s="71" t="n">
        <f aca="false">I9*G9/1000</f>
        <v>940358.216</v>
      </c>
      <c r="I9" s="71" t="n">
        <v>124</v>
      </c>
      <c r="K9" s="8" t="n">
        <v>9910986</v>
      </c>
      <c r="L9" s="71" t="n">
        <f aca="false">K9*M9/1000</f>
        <v>2140772.976</v>
      </c>
      <c r="M9" s="71" t="n">
        <f aca="false">IF($AA$5=1,AK9,IF($AA$5=2,$AA$10*AJ9+(1-$AA$10)*AI9,$AA$10*AF9+(1-$AA$10)*AE9))</f>
        <v>216</v>
      </c>
      <c r="O9" s="71" t="n">
        <f aca="false">(I9-M9)*G9/1000</f>
        <v>-697685.128</v>
      </c>
      <c r="Q9" s="71" t="n">
        <f aca="false">O9+Q8*(1+$AB$2)^0.25</f>
        <v>-2670007.32343317</v>
      </c>
      <c r="S9" s="106" t="n">
        <v>37256</v>
      </c>
      <c r="T9" s="71" t="n">
        <f aca="false">XNPV($AB$2,O9:$O$45,S9:$S$45)</f>
        <v>-9331361.25972828</v>
      </c>
      <c r="U9" s="71"/>
      <c r="V9" s="71" t="n">
        <f aca="false">L9+H9</f>
        <v>3081131.192</v>
      </c>
      <c r="W9" s="71" t="n">
        <f aca="false">$V$5/$X$2</f>
        <v>1437066.25668452</v>
      </c>
      <c r="X9" s="105"/>
      <c r="AB9" s="107"/>
      <c r="AD9" s="0" t="s">
        <v>177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71" t="n">
        <v>216</v>
      </c>
      <c r="AL9" s="0" t="n">
        <f aca="false">AL8*(1+$AA$12)^0.25</f>
        <v>1.00747208398049</v>
      </c>
      <c r="AN9" s="95" t="n">
        <f aca="false">(AJ9+AK9)/2</f>
        <v>253.347707687612</v>
      </c>
      <c r="AO9" s="0" t="n">
        <f aca="false">+AO8</f>
        <v>82.7545820152566</v>
      </c>
      <c r="AQ9" s="95" t="n">
        <f aca="false">+D9</f>
        <v>3096530.04</v>
      </c>
      <c r="AS9" s="95" t="n">
        <f aca="false">+AS8</f>
        <v>106.145304813907</v>
      </c>
      <c r="AT9" s="43" t="n">
        <f aca="false">+G9</f>
        <v>7583534</v>
      </c>
      <c r="AU9" s="71" t="n">
        <f aca="false">+AS9*AT9/1000</f>
        <v>804956.527996624</v>
      </c>
    </row>
    <row r="10" customFormat="false" ht="12.75" hidden="false" customHeight="false" outlineLevel="0" collapsed="false">
      <c r="A10" s="0" t="n">
        <v>2002</v>
      </c>
      <c r="B10" s="0" t="s">
        <v>174</v>
      </c>
      <c r="C10" s="8" t="n">
        <v>13607508</v>
      </c>
      <c r="D10" s="71" t="n">
        <f aca="false">E10*C10/1000</f>
        <v>1837013.58</v>
      </c>
      <c r="E10" s="71" t="n">
        <v>135</v>
      </c>
      <c r="G10" s="8" t="n">
        <v>8874797</v>
      </c>
      <c r="H10" s="71" t="n">
        <f aca="false">I10*G10/1000</f>
        <v>887479.7</v>
      </c>
      <c r="I10" s="71" t="n">
        <v>100</v>
      </c>
      <c r="K10" s="8" t="n">
        <v>4732711</v>
      </c>
      <c r="L10" s="71" t="n">
        <f aca="false">K10*M10/1000</f>
        <v>946542.2</v>
      </c>
      <c r="M10" s="71" t="n">
        <f aca="false">IF($AA$5=1,AK10,IF($AA$5=2,$AA$10*AJ10+(1-$AA$10)*AI10,$AA$10*AF10+(1-$AA$10)*AE10))</f>
        <v>200</v>
      </c>
      <c r="O10" s="71" t="n">
        <f aca="false">(I10-M10)*G10/1000</f>
        <v>-887479.7</v>
      </c>
      <c r="Q10" s="71" t="n">
        <f aca="false">O10+Q9*(1+$AB$2)^0.25</f>
        <v>-3605188.05991949</v>
      </c>
      <c r="S10" s="106" t="n">
        <v>37346</v>
      </c>
      <c r="T10" s="71" t="n">
        <f aca="false">XNPV($AB$2,O10:$O$45,S10:$S$45)</f>
        <v>-8785789.6896331</v>
      </c>
      <c r="U10" s="71"/>
      <c r="V10" s="71" t="n">
        <f aca="false">L10+H10</f>
        <v>1834021.9</v>
      </c>
      <c r="W10" s="71" t="n">
        <f aca="false">$V$5/$X$2</f>
        <v>1437066.25668452</v>
      </c>
      <c r="X10" s="105"/>
      <c r="Y10" s="0" t="s">
        <v>305</v>
      </c>
      <c r="AA10" s="108" t="n">
        <v>0.4</v>
      </c>
      <c r="AB10" s="107"/>
      <c r="AC10" s="0" t="n">
        <v>2002</v>
      </c>
      <c r="AD10" s="0" t="s">
        <v>174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71" t="n">
        <v>200</v>
      </c>
      <c r="AL10" s="0" t="n">
        <f aca="false">AL9*(1+$AA$12)^0.25</f>
        <v>1.0112290369843</v>
      </c>
      <c r="AN10" s="95" t="n">
        <f aca="false">(AJ10+AK10)/2</f>
        <v>147.469935958037</v>
      </c>
      <c r="AO10" s="0" t="n">
        <f aca="false">+AO9</f>
        <v>82.7545820152566</v>
      </c>
      <c r="AQ10" s="95" t="n">
        <f aca="false">+D10</f>
        <v>1837013.58</v>
      </c>
      <c r="AS10" s="95" t="n">
        <f aca="false">+AS9</f>
        <v>106.145304813907</v>
      </c>
      <c r="AT10" s="43" t="n">
        <f aca="false">+G10</f>
        <v>8874797</v>
      </c>
      <c r="AU10" s="71" t="n">
        <f aca="false">+AS10*AT10/1000</f>
        <v>942018.032726543</v>
      </c>
    </row>
    <row r="11" customFormat="false" ht="12.75" hidden="false" customHeight="false" outlineLevel="0" collapsed="false">
      <c r="B11" s="0" t="s">
        <v>175</v>
      </c>
      <c r="C11" s="8" t="n">
        <v>15078598</v>
      </c>
      <c r="D11" s="71" t="n">
        <f aca="false">E11*C11/1000</f>
        <v>1914981.946</v>
      </c>
      <c r="E11" s="71" t="n">
        <v>127</v>
      </c>
      <c r="G11" s="8" t="n">
        <v>9736927</v>
      </c>
      <c r="H11" s="71" t="n">
        <f aca="false">I11*G11/1000</f>
        <v>1032114.262</v>
      </c>
      <c r="I11" s="71" t="n">
        <v>106</v>
      </c>
      <c r="K11" s="8" t="n">
        <v>5341672</v>
      </c>
      <c r="L11" s="71" t="n">
        <f aca="false">K11*M11/1000</f>
        <v>886717.552</v>
      </c>
      <c r="M11" s="71" t="n">
        <f aca="false">IF($AA$5=1,AK11,IF($AA$5=2,$AA$10*AJ11+(1-$AA$10)*AI11,$AA$10*AF11+(1-$AA$10)*AE11))</f>
        <v>166</v>
      </c>
      <c r="O11" s="71" t="n">
        <f aca="false">(I11-M11)*G11/1000</f>
        <v>-584215.62</v>
      </c>
      <c r="Q11" s="71" t="n">
        <f aca="false">O11+Q10*(1+$AB$2)^0.25</f>
        <v>-4253812.19508608</v>
      </c>
      <c r="S11" s="106" t="n">
        <v>37437</v>
      </c>
      <c r="T11" s="71" t="n">
        <f aca="false">XNPV($AB$2,O11:$O$45,S11:$S$45)</f>
        <v>-8039027.28892812</v>
      </c>
      <c r="U11" s="71"/>
      <c r="V11" s="71" t="n">
        <f aca="false">L11+H11</f>
        <v>1918831.814</v>
      </c>
      <c r="W11" s="71" t="n">
        <f aca="false">$V$5/$X$2</f>
        <v>1437066.25668452</v>
      </c>
      <c r="X11" s="105"/>
      <c r="AB11" s="107"/>
      <c r="AD11" s="0" t="s">
        <v>175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71" t="n">
        <v>166</v>
      </c>
      <c r="AL11" s="0" t="n">
        <f aca="false">AL10*(1+$AA$12)^0.25</f>
        <v>1.015</v>
      </c>
      <c r="AN11" s="95" t="n">
        <f aca="false">(AJ11+AK11)/2</f>
        <v>106.21408754712</v>
      </c>
      <c r="AO11" s="0" t="n">
        <f aca="false">+AO10</f>
        <v>82.7545820152566</v>
      </c>
      <c r="AQ11" s="95" t="n">
        <f aca="false">+D11</f>
        <v>1914981.946</v>
      </c>
      <c r="AS11" s="95" t="n">
        <f aca="false">+AS10</f>
        <v>106.145304813907</v>
      </c>
      <c r="AT11" s="43" t="n">
        <f aca="false">+G11</f>
        <v>9736927</v>
      </c>
      <c r="AU11" s="71" t="n">
        <f aca="false">+AS11*AT11/1000</f>
        <v>1033529.08436576</v>
      </c>
    </row>
    <row r="12" customFormat="false" ht="12.75" hidden="false" customHeight="false" outlineLevel="0" collapsed="false">
      <c r="B12" s="0" t="s">
        <v>176</v>
      </c>
      <c r="C12" s="8" t="n">
        <v>21547911</v>
      </c>
      <c r="D12" s="71" t="n">
        <f aca="false">E12*C12/1000</f>
        <v>2822776.341</v>
      </c>
      <c r="E12" s="71" t="n">
        <v>131</v>
      </c>
      <c r="G12" s="8" t="n">
        <v>12466863</v>
      </c>
      <c r="H12" s="71" t="n">
        <f aca="false">I12*G12/1000</f>
        <v>1396288.656</v>
      </c>
      <c r="I12" s="71" t="n">
        <v>112</v>
      </c>
      <c r="K12" s="8" t="n">
        <v>9081049</v>
      </c>
      <c r="L12" s="71" t="n">
        <f aca="false">K12*M12/1000</f>
        <v>1425724.693</v>
      </c>
      <c r="M12" s="71" t="n">
        <f aca="false">IF($AA$5=1,AK12,IF($AA$5=2,$AA$10*AJ12+(1-$AA$10)*AI12,$AA$10*AF12+(1-$AA$10)*AE12))</f>
        <v>157</v>
      </c>
      <c r="O12" s="71" t="n">
        <f aca="false">(I12-M12)*G12/1000</f>
        <v>-561008.835</v>
      </c>
      <c r="Q12" s="71" t="n">
        <f aca="false">O12+Q11*(1+$AB$2)^0.25</f>
        <v>-4890817.54475587</v>
      </c>
      <c r="S12" s="106" t="n">
        <v>37529</v>
      </c>
      <c r="T12" s="71" t="n">
        <f aca="false">XNPV($AB$2,O12:$O$45,S12:$S$45)</f>
        <v>-7589100.12844059</v>
      </c>
      <c r="U12" s="71"/>
      <c r="V12" s="71" t="n">
        <f aca="false">L12+H12</f>
        <v>2822013.349</v>
      </c>
      <c r="W12" s="71" t="n">
        <f aca="false">$V$5/$X$2</f>
        <v>1437066.25668452</v>
      </c>
      <c r="X12" s="105"/>
      <c r="Y12" s="0" t="s">
        <v>306</v>
      </c>
      <c r="AA12" s="102" t="n">
        <v>0.015</v>
      </c>
      <c r="AB12" s="107"/>
      <c r="AD12" s="0" t="s">
        <v>176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71" t="n">
        <v>157</v>
      </c>
      <c r="AL12" s="0" t="n">
        <f aca="false">AL11*(1+$AA$12)^0.25</f>
        <v>1.01878502527216</v>
      </c>
      <c r="AN12" s="95" t="n">
        <f aca="false">(AJ12+AK12)/2</f>
        <v>122.48662168963</v>
      </c>
      <c r="AO12" s="0" t="n">
        <f aca="false">+AO11</f>
        <v>82.7545820152566</v>
      </c>
      <c r="AQ12" s="95" t="n">
        <f aca="false">+D12</f>
        <v>2822776.341</v>
      </c>
      <c r="AS12" s="95" t="n">
        <f aca="false">+AS11</f>
        <v>106.145304813907</v>
      </c>
      <c r="AT12" s="43" t="n">
        <f aca="false">+G12</f>
        <v>12466863</v>
      </c>
      <c r="AU12" s="71" t="n">
        <f aca="false">+AS12*AT12/1000</f>
        <v>1323298.97320821</v>
      </c>
    </row>
    <row r="13" customFormat="false" ht="12.75" hidden="false" customHeight="false" outlineLevel="0" collapsed="false">
      <c r="B13" s="0" t="s">
        <v>177</v>
      </c>
      <c r="C13" s="8" t="n">
        <v>18261734</v>
      </c>
      <c r="D13" s="71" t="n">
        <f aca="false">E13*C13/1000</f>
        <v>2209669.814</v>
      </c>
      <c r="E13" s="71" t="n">
        <v>121</v>
      </c>
      <c r="G13" s="8" t="n">
        <v>11408290</v>
      </c>
      <c r="H13" s="71" t="n">
        <f aca="false">I13*G13/1000</f>
        <v>1060970.97</v>
      </c>
      <c r="I13" s="71" t="n">
        <v>93</v>
      </c>
      <c r="K13" s="8" t="n">
        <v>6853444</v>
      </c>
      <c r="L13" s="71" t="n">
        <f aca="false">K13*M13/1000</f>
        <v>1151378.592</v>
      </c>
      <c r="M13" s="71" t="n">
        <f aca="false">IF($AA$5=1,AK13,IF($AA$5=2,$AA$10*AJ13+(1-$AA$10)*AI13,$AA$10*AF13+(1-$AA$10)*AE13))</f>
        <v>168</v>
      </c>
      <c r="O13" s="71" t="n">
        <f aca="false">(I13-M13)*G13/1000</f>
        <v>-855621.75</v>
      </c>
      <c r="Q13" s="71" t="n">
        <f aca="false">O13+Q12*(1+$AB$2)^0.25</f>
        <v>-5833816.23342671</v>
      </c>
      <c r="S13" s="106" t="n">
        <v>37621</v>
      </c>
      <c r="T13" s="71" t="n">
        <f aca="false">XNPV($AB$2,O13:$O$45,S13:$S$45)</f>
        <v>-7154692.9562355</v>
      </c>
      <c r="U13" s="71"/>
      <c r="V13" s="71" t="n">
        <f aca="false">L13+H13</f>
        <v>2212349.562</v>
      </c>
      <c r="W13" s="71" t="n">
        <f aca="false">$V$5/$X$2</f>
        <v>1437066.25668452</v>
      </c>
      <c r="X13" s="105"/>
      <c r="Y13" s="0" t="s">
        <v>286</v>
      </c>
      <c r="AB13" s="107"/>
      <c r="AD13" s="0" t="s">
        <v>177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71" t="n">
        <v>168</v>
      </c>
      <c r="AL13" s="0" t="n">
        <f aca="false">AL12*(1+$AA$12)^0.25</f>
        <v>1.0225841652402</v>
      </c>
      <c r="AN13" s="95" t="n">
        <f aca="false">(AJ13+AK13)/2</f>
        <v>121.309552685878</v>
      </c>
      <c r="AO13" s="0" t="n">
        <f aca="false">+AO12</f>
        <v>82.7545820152566</v>
      </c>
      <c r="AQ13" s="95" t="n">
        <f aca="false">+D13</f>
        <v>2209669.814</v>
      </c>
      <c r="AS13" s="95" t="n">
        <f aca="false">+AS12</f>
        <v>106.145304813907</v>
      </c>
      <c r="AT13" s="43" t="n">
        <f aca="false">+G13</f>
        <v>11408290</v>
      </c>
      <c r="AU13" s="71" t="n">
        <f aca="false">+AS13*AT13/1000</f>
        <v>1210936.41945544</v>
      </c>
    </row>
    <row r="14" customFormat="false" ht="12.75" hidden="false" customHeight="false" outlineLevel="0" collapsed="false">
      <c r="A14" s="0" t="n">
        <v>2003</v>
      </c>
      <c r="B14" s="0" t="s">
        <v>174</v>
      </c>
      <c r="C14" s="8" t="n">
        <v>16026397</v>
      </c>
      <c r="D14" s="71" t="n">
        <f aca="false">E14*C14/1000</f>
        <v>1570586.906</v>
      </c>
      <c r="E14" s="71" t="n">
        <v>98</v>
      </c>
      <c r="G14" s="8" t="n">
        <v>12528699</v>
      </c>
      <c r="H14" s="71" t="n">
        <f aca="false">I14*G14/1000</f>
        <v>1089996.813</v>
      </c>
      <c r="I14" s="71" t="n">
        <v>87</v>
      </c>
      <c r="K14" s="8" t="n">
        <v>3497698</v>
      </c>
      <c r="L14" s="71" t="n">
        <f aca="false">K14*M14/1000</f>
        <v>479184.626</v>
      </c>
      <c r="M14" s="71" t="n">
        <f aca="false">IF($AA$5=1,AK14,IF($AA$5=2,$AA$10*AJ14+(1-$AA$10)*AI14,$AA$10*AF14+(1-$AA$10)*AE14))</f>
        <v>137</v>
      </c>
      <c r="O14" s="71" t="n">
        <f aca="false">(I14-M14)*G14/1000</f>
        <v>-626434.95</v>
      </c>
      <c r="Q14" s="71" t="n">
        <f aca="false">O14+Q13*(1+$AB$2)^0.25</f>
        <v>-6564475.27246304</v>
      </c>
      <c r="S14" s="106" t="n">
        <v>37711</v>
      </c>
      <c r="T14" s="71" t="n">
        <f aca="false">XNPV($AB$2,O14:$O$45,S14:$S$45)</f>
        <v>-6410052.22035474</v>
      </c>
      <c r="U14" s="71"/>
      <c r="V14" s="71" t="n">
        <f aca="false">L14+H14</f>
        <v>1569181.439</v>
      </c>
      <c r="W14" s="71" t="n">
        <f aca="false">$V$5/$X$2</f>
        <v>1437066.25668452</v>
      </c>
      <c r="X14" s="105"/>
      <c r="AB14" s="107"/>
      <c r="AC14" s="0" t="n">
        <v>2003</v>
      </c>
      <c r="AD14" s="0" t="s">
        <v>174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71" t="n">
        <v>137</v>
      </c>
      <c r="AL14" s="0" t="n">
        <f aca="false">AL13*(1+$AA$12)^0.25</f>
        <v>1.02639747253907</v>
      </c>
      <c r="AN14" s="95" t="n">
        <f aca="false">(AJ14+AK14)/2</f>
        <v>92.0239414544736</v>
      </c>
      <c r="AO14" s="0" t="n">
        <f aca="false">+AO13</f>
        <v>82.7545820152566</v>
      </c>
      <c r="AQ14" s="95" t="n">
        <f aca="false">+D14</f>
        <v>1570586.906</v>
      </c>
      <c r="AS14" s="95" t="n">
        <f aca="false">+AS13</f>
        <v>106.145304813907</v>
      </c>
      <c r="AT14" s="43" t="n">
        <f aca="false">+G14</f>
        <v>12528699</v>
      </c>
      <c r="AU14" s="71" t="n">
        <f aca="false">+AS14*AT14/1000</f>
        <v>1329862.57427669</v>
      </c>
    </row>
    <row r="15" customFormat="false" ht="12.75" hidden="false" customHeight="false" outlineLevel="0" collapsed="false">
      <c r="B15" s="0" t="s">
        <v>175</v>
      </c>
      <c r="C15" s="8" t="n">
        <v>16532781</v>
      </c>
      <c r="D15" s="71" t="n">
        <f aca="false">E15*C15/1000</f>
        <v>1521015.852</v>
      </c>
      <c r="E15" s="71" t="n">
        <v>92</v>
      </c>
      <c r="G15" s="8" t="n">
        <v>13862979</v>
      </c>
      <c r="H15" s="71" t="n">
        <f aca="false">I15*G15/1000</f>
        <v>1206079.173</v>
      </c>
      <c r="I15" s="71" t="n">
        <v>87</v>
      </c>
      <c r="K15" s="8" t="n">
        <v>2669802</v>
      </c>
      <c r="L15" s="71" t="n">
        <f aca="false">K15*M15/1000</f>
        <v>312366.834</v>
      </c>
      <c r="M15" s="71" t="n">
        <f aca="false">IF($AA$5=1,AK15,IF($AA$5=2,$AA$10*AJ15+(1-$AA$10)*AI15,$AA$10*AF15+(1-$AA$10)*AE15))</f>
        <v>117</v>
      </c>
      <c r="O15" s="71" t="n">
        <f aca="false">(I15-M15)*G15/1000</f>
        <v>-415889.37</v>
      </c>
      <c r="Q15" s="71" t="n">
        <f aca="false">O15+Q14*(1+$AB$2)^0.25</f>
        <v>-7097642.32621211</v>
      </c>
      <c r="S15" s="106" t="n">
        <v>37802</v>
      </c>
      <c r="T15" s="71" t="n">
        <f aca="false">XNPV($AB$2,O15:$O$45,S15:$S$45)</f>
        <v>-5886658.93414213</v>
      </c>
      <c r="U15" s="71"/>
      <c r="V15" s="71" t="n">
        <f aca="false">L15+H15</f>
        <v>1518446.007</v>
      </c>
      <c r="W15" s="71" t="n">
        <f aca="false">$V$5/$X$2</f>
        <v>1437066.25668452</v>
      </c>
      <c r="X15" s="105"/>
      <c r="AB15" s="107"/>
      <c r="AD15" s="0" t="s">
        <v>175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71" t="n">
        <v>117</v>
      </c>
      <c r="AL15" s="0" t="n">
        <f aca="false">AL14*(1+$AA$12)^0.25</f>
        <v>1.030225</v>
      </c>
      <c r="AN15" s="95" t="n">
        <f aca="false">(AJ15+AK15)/2</f>
        <v>74.3191907607153</v>
      </c>
      <c r="AO15" s="0" t="n">
        <f aca="false">+AO14</f>
        <v>82.7545820152566</v>
      </c>
      <c r="AQ15" s="95" t="n">
        <f aca="false">+D15</f>
        <v>1521015.852</v>
      </c>
      <c r="AS15" s="95" t="n">
        <f aca="false">+AS14</f>
        <v>106.145304813907</v>
      </c>
      <c r="AT15" s="43" t="n">
        <f aca="false">+G15</f>
        <v>13862979</v>
      </c>
      <c r="AU15" s="71" t="n">
        <f aca="false">+AS15*AT15/1000</f>
        <v>1471490.13158379</v>
      </c>
    </row>
    <row r="16" customFormat="false" ht="12.75" hidden="false" customHeight="false" outlineLevel="0" collapsed="false">
      <c r="B16" s="0" t="s">
        <v>176</v>
      </c>
      <c r="C16" s="8" t="n">
        <v>24085451</v>
      </c>
      <c r="D16" s="71" t="n">
        <f aca="false">E16*C16/1000</f>
        <v>2360374.198</v>
      </c>
      <c r="E16" s="71" t="n">
        <v>98</v>
      </c>
      <c r="G16" s="8" t="n">
        <v>18336722</v>
      </c>
      <c r="H16" s="71" t="n">
        <f aca="false">I16*G16/1000</f>
        <v>1686978.424</v>
      </c>
      <c r="I16" s="71" t="n">
        <v>92</v>
      </c>
      <c r="K16" s="8" t="n">
        <v>5748729</v>
      </c>
      <c r="L16" s="71" t="n">
        <f aca="false">K16*M16/1000</f>
        <v>689847.48</v>
      </c>
      <c r="M16" s="71" t="n">
        <f aca="false">IF($AA$5=1,AK16,IF($AA$5=2,$AA$10*AJ16+(1-$AA$10)*AI16,$AA$10*AF16+(1-$AA$10)*AE16))</f>
        <v>120</v>
      </c>
      <c r="O16" s="71" t="n">
        <f aca="false">(I16-M16)*G16/1000</f>
        <v>-513428.216</v>
      </c>
      <c r="Q16" s="71" t="n">
        <f aca="false">O16+Q15*(1+$AB$2)^0.25</f>
        <v>-7737873.52608338</v>
      </c>
      <c r="S16" s="106" t="n">
        <v>37894</v>
      </c>
      <c r="T16" s="71" t="n">
        <f aca="false">XNPV($AB$2,O16:$O$45,S16:$S$45)</f>
        <v>-5569318.15929691</v>
      </c>
      <c r="U16" s="71"/>
      <c r="V16" s="71" t="n">
        <f aca="false">L16+H16</f>
        <v>2376825.904</v>
      </c>
      <c r="W16" s="71" t="n">
        <f aca="false">$V$5/$X$2</f>
        <v>1437066.25668452</v>
      </c>
      <c r="X16" s="105"/>
      <c r="AB16" s="107"/>
      <c r="AD16" s="0" t="s">
        <v>176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71" t="n">
        <v>120</v>
      </c>
      <c r="AL16" s="0" t="n">
        <f aca="false">AL15*(1+$AA$12)^0.25</f>
        <v>1.03406680065125</v>
      </c>
      <c r="AN16" s="95" t="n">
        <f aca="false">(AJ16+AK16)/2</f>
        <v>93.8084303207324</v>
      </c>
      <c r="AO16" s="0" t="n">
        <f aca="false">+AO15</f>
        <v>82.7545820152566</v>
      </c>
      <c r="AQ16" s="95" t="n">
        <f aca="false">+D16</f>
        <v>2360374.198</v>
      </c>
      <c r="AS16" s="95" t="n">
        <f aca="false">+AS15</f>
        <v>106.145304813907</v>
      </c>
      <c r="AT16" s="43" t="n">
        <f aca="false">+G16</f>
        <v>18336722</v>
      </c>
      <c r="AU16" s="71" t="n">
        <f aca="false">+AS16*AT16/1000</f>
        <v>1946356.94597787</v>
      </c>
    </row>
    <row r="17" customFormat="false" ht="12.75" hidden="false" customHeight="false" outlineLevel="0" collapsed="false">
      <c r="B17" s="0" t="s">
        <v>177</v>
      </c>
      <c r="C17" s="8" t="n">
        <v>22311602</v>
      </c>
      <c r="D17" s="71" t="n">
        <f aca="false">E17*C17/1000</f>
        <v>1851862.966</v>
      </c>
      <c r="E17" s="71" t="n">
        <v>83</v>
      </c>
      <c r="G17" s="8" t="n">
        <v>19737558</v>
      </c>
      <c r="H17" s="71" t="n">
        <f aca="false">I17*G17/1000</f>
        <v>1598742.198</v>
      </c>
      <c r="I17" s="71" t="n">
        <v>81</v>
      </c>
      <c r="K17" s="8" t="n">
        <v>2574043</v>
      </c>
      <c r="L17" s="71" t="n">
        <f aca="false">K17*M17/1000</f>
        <v>265126.429</v>
      </c>
      <c r="M17" s="71" t="n">
        <f aca="false">IF($AA$5=1,AK17,IF($AA$5=2,$AA$10*AJ17+(1-$AA$10)*AI17,$AA$10*AF17+(1-$AA$10)*AE17))</f>
        <v>103</v>
      </c>
      <c r="O17" s="71" t="n">
        <f aca="false">(I17-M17)*G17/1000</f>
        <v>-434226.276</v>
      </c>
      <c r="Q17" s="71" t="n">
        <f aca="false">O17+Q16*(1+$AB$2)^0.25</f>
        <v>-8310340.84140742</v>
      </c>
      <c r="S17" s="106" t="n">
        <v>37986</v>
      </c>
      <c r="T17" s="71" t="n">
        <f aca="false">XNPV($AB$2,O17:$O$45,S17:$S$45)</f>
        <v>-5146965.037089</v>
      </c>
      <c r="U17" s="71"/>
      <c r="V17" s="71" t="n">
        <f aca="false">L17+H17</f>
        <v>1863868.627</v>
      </c>
      <c r="W17" s="71" t="n">
        <f aca="false">$V$5/$X$2</f>
        <v>1437066.25668452</v>
      </c>
      <c r="X17" s="105"/>
      <c r="AB17" s="107"/>
      <c r="AD17" s="0" t="s">
        <v>177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71" t="n">
        <v>103</v>
      </c>
      <c r="AL17" s="0" t="n">
        <f aca="false">AL16*(1+$AA$12)^0.25</f>
        <v>1.0379229277188</v>
      </c>
      <c r="AN17" s="95" t="n">
        <f aca="false">(AJ17+AK17)/2</f>
        <v>79.7820253239049</v>
      </c>
      <c r="AO17" s="0" t="n">
        <f aca="false">+AO16</f>
        <v>82.7545820152566</v>
      </c>
      <c r="AQ17" s="95" t="n">
        <f aca="false">+D17</f>
        <v>1851862.966</v>
      </c>
      <c r="AS17" s="95" t="n">
        <f aca="false">+AS16</f>
        <v>106.145304813907</v>
      </c>
      <c r="AT17" s="43" t="n">
        <f aca="false">+G17</f>
        <v>19737558</v>
      </c>
      <c r="AU17" s="71" t="n">
        <f aca="false">+AS17*AT17/1000</f>
        <v>2095049.11019216</v>
      </c>
    </row>
    <row r="18" customFormat="false" ht="12.75" hidden="false" customHeight="false" outlineLevel="0" collapsed="false">
      <c r="A18" s="0" t="n">
        <v>2004</v>
      </c>
      <c r="B18" s="0" t="s">
        <v>174</v>
      </c>
      <c r="C18" s="8" t="n">
        <v>21643805</v>
      </c>
      <c r="D18" s="71" t="n">
        <f aca="false">E18*C18/1000</f>
        <v>1666572.985</v>
      </c>
      <c r="E18" s="71" t="n">
        <v>77</v>
      </c>
      <c r="G18" s="8" t="n">
        <v>21398531</v>
      </c>
      <c r="H18" s="71" t="n">
        <f aca="false">I18*G18/1000</f>
        <v>1626288.356</v>
      </c>
      <c r="I18" s="71" t="n">
        <v>76</v>
      </c>
      <c r="K18" s="8" t="n">
        <v>245274</v>
      </c>
      <c r="L18" s="71" t="n">
        <f aca="false">K18*M18/1000</f>
        <v>22319.934</v>
      </c>
      <c r="M18" s="71" t="n">
        <f aca="false">IF($AA$5=1,AK18,IF($AA$5=2,$AA$10*AJ18+(1-$AA$10)*AI18,$AA$10*AF18+(1-$AA$10)*AE18))</f>
        <v>91</v>
      </c>
      <c r="O18" s="71" t="n">
        <f aca="false">(I18-M18)*G18/1000</f>
        <v>-320977.965</v>
      </c>
      <c r="Q18" s="71" t="n">
        <f aca="false">O18+Q17*(1+$AB$2)^0.25</f>
        <v>-8779787.26498078</v>
      </c>
      <c r="S18" s="106" t="n">
        <v>38077</v>
      </c>
      <c r="T18" s="71" t="n">
        <f aca="false">XNPV($AB$2,O18:$O$45,S18:$S$45)</f>
        <v>-4796701.51661693</v>
      </c>
      <c r="U18" s="71"/>
      <c r="V18" s="71" t="n">
        <f aca="false">L18+H18</f>
        <v>1648608.29</v>
      </c>
      <c r="W18" s="71" t="n">
        <f aca="false">$V$5/$X$2</f>
        <v>1437066.25668452</v>
      </c>
      <c r="X18" s="105"/>
      <c r="AB18" s="107"/>
      <c r="AC18" s="0" t="n">
        <v>2004</v>
      </c>
      <c r="AD18" s="0" t="s">
        <v>174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71" t="n">
        <v>91</v>
      </c>
      <c r="AL18" s="0" t="n">
        <f aca="false">AL17*(1+$AA$12)^0.25</f>
        <v>1.04179343462715</v>
      </c>
      <c r="AN18" s="95" t="n">
        <f aca="false">(AJ18+AK18)/2</f>
        <v>61.7506985212341</v>
      </c>
      <c r="AO18" s="0" t="n">
        <f aca="false">+AO17</f>
        <v>82.7545820152566</v>
      </c>
      <c r="AQ18" s="95" t="n">
        <f aca="false">+D18</f>
        <v>1666572.985</v>
      </c>
      <c r="AS18" s="95" t="n">
        <f aca="false">+AS17</f>
        <v>106.145304813907</v>
      </c>
      <c r="AT18" s="43" t="n">
        <f aca="false">+G18</f>
        <v>21398531</v>
      </c>
      <c r="AU18" s="71" t="n">
        <f aca="false">+AS18*AT18/1000</f>
        <v>2271353.59556483</v>
      </c>
    </row>
    <row r="19" customFormat="false" ht="12.75" hidden="false" customHeight="false" outlineLevel="0" collapsed="false">
      <c r="B19" s="0" t="s">
        <v>175</v>
      </c>
      <c r="C19" s="8" t="n">
        <v>20861843</v>
      </c>
      <c r="D19" s="71" t="n">
        <f aca="false">E19*C19/1000</f>
        <v>1606361.911</v>
      </c>
      <c r="E19" s="71" t="n">
        <v>77</v>
      </c>
      <c r="G19" s="8" t="n">
        <v>20019949</v>
      </c>
      <c r="H19" s="71" t="n">
        <f aca="false">I19*G19/1000</f>
        <v>1541536.073</v>
      </c>
      <c r="I19" s="71" t="n">
        <v>77</v>
      </c>
      <c r="K19" s="8" t="n">
        <v>841894</v>
      </c>
      <c r="L19" s="71" t="n">
        <f aca="false">K19*M19/1000</f>
        <v>76612.354</v>
      </c>
      <c r="M19" s="71" t="n">
        <f aca="false">IF($AA$5=1,AK19,IF($AA$5=2,$AA$10*AJ19+(1-$AA$10)*AI19,$AA$10*AF19+(1-$AA$10)*AE19))</f>
        <v>91</v>
      </c>
      <c r="O19" s="71" t="n">
        <f aca="false">(I19-M19)*G19/1000</f>
        <v>-280279.286</v>
      </c>
      <c r="Q19" s="71" t="n">
        <f aca="false">O19+Q18*(1+$AB$2)^0.25</f>
        <v>-9216921.90826513</v>
      </c>
      <c r="S19" s="106" t="n">
        <v>38168</v>
      </c>
      <c r="T19" s="71" t="n">
        <f aca="false">XNPV($AB$2,O19:$O$45,S19:$S$45)</f>
        <v>-4555463.6139089</v>
      </c>
      <c r="U19" s="71"/>
      <c r="V19" s="71" t="n">
        <f aca="false">L19+H19</f>
        <v>1618148.427</v>
      </c>
      <c r="W19" s="71" t="n">
        <f aca="false">$V$5/$X$2</f>
        <v>1437066.25668452</v>
      </c>
      <c r="X19" s="105"/>
      <c r="AB19" s="107"/>
      <c r="AD19" s="0" t="s">
        <v>175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71" t="n">
        <v>91</v>
      </c>
      <c r="AL19" s="0" t="n">
        <f aca="false">AL18*(1+$AA$12)^0.25</f>
        <v>1.045678375</v>
      </c>
      <c r="AN19" s="95" t="n">
        <f aca="false">(AJ19+AK19)/2</f>
        <v>58.6873254760821</v>
      </c>
      <c r="AO19" s="0" t="n">
        <f aca="false">+AO18</f>
        <v>82.7545820152566</v>
      </c>
      <c r="AQ19" s="95" t="n">
        <f aca="false">+D19</f>
        <v>1606361.911</v>
      </c>
      <c r="AS19" s="95" t="n">
        <f aca="false">+AS18</f>
        <v>106.145304813907</v>
      </c>
      <c r="AT19" s="43" t="n">
        <f aca="false">+G19</f>
        <v>20019949</v>
      </c>
      <c r="AU19" s="71" t="n">
        <f aca="false">+AS19*AT19/1000</f>
        <v>2125023.58896386</v>
      </c>
    </row>
    <row r="20" customFormat="false" ht="12.75" hidden="false" customHeight="false" outlineLevel="0" collapsed="false">
      <c r="B20" s="0" t="s">
        <v>176</v>
      </c>
      <c r="C20" s="8" t="n">
        <v>26363885</v>
      </c>
      <c r="D20" s="71" t="n">
        <f aca="false">E20*C20/1000</f>
        <v>2161838.57</v>
      </c>
      <c r="E20" s="71" t="n">
        <v>82</v>
      </c>
      <c r="G20" s="8" t="n">
        <v>21412396</v>
      </c>
      <c r="H20" s="71" t="n">
        <f aca="false">I20*G20/1000</f>
        <v>1734404.076</v>
      </c>
      <c r="I20" s="71" t="n">
        <v>81</v>
      </c>
      <c r="K20" s="8" t="n">
        <v>4951489</v>
      </c>
      <c r="L20" s="71" t="n">
        <f aca="false">K20*M20/1000</f>
        <v>420876.565</v>
      </c>
      <c r="M20" s="71" t="n">
        <f aca="false">IF($AA$5=1,AK20,IF($AA$5=2,$AA$10*AJ20+(1-$AA$10)*AI20,$AA$10*AF20+(1-$AA$10)*AE20))</f>
        <v>85</v>
      </c>
      <c r="O20" s="71" t="n">
        <f aca="false">(I20-M20)*G20/1000</f>
        <v>-85649.584</v>
      </c>
      <c r="Q20" s="71" t="n">
        <f aca="false">O20+Q19*(1+$AB$2)^0.25</f>
        <v>-9467236.48189983</v>
      </c>
      <c r="S20" s="106" t="n">
        <v>38260</v>
      </c>
      <c r="T20" s="71" t="n">
        <f aca="false">XNPV($AB$2,O20:$O$45,S20:$S$45)</f>
        <v>-4352196.05443174</v>
      </c>
      <c r="U20" s="71"/>
      <c r="V20" s="71" t="n">
        <f aca="false">L20+H20</f>
        <v>2155280.641</v>
      </c>
      <c r="W20" s="71" t="n">
        <f aca="false">$V$5/$X$2</f>
        <v>1437066.25668452</v>
      </c>
      <c r="X20" s="105"/>
      <c r="AB20" s="107"/>
      <c r="AD20" s="0" t="s">
        <v>176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71" t="n">
        <v>85</v>
      </c>
      <c r="AL20" s="0" t="n">
        <f aca="false">AL19*(1+$AA$12)^0.25</f>
        <v>1.04957780266102</v>
      </c>
      <c r="AN20" s="95" t="n">
        <f aca="false">(AJ20+AK20)/2</f>
        <v>69.7702856973581</v>
      </c>
      <c r="AO20" s="0" t="n">
        <f aca="false">+AO19</f>
        <v>82.7545820152566</v>
      </c>
      <c r="AQ20" s="95" t="n">
        <f aca="false">+D20</f>
        <v>2161838.57</v>
      </c>
      <c r="AS20" s="95" t="n">
        <f aca="false">+AS19</f>
        <v>106.145304813907</v>
      </c>
      <c r="AT20" s="43" t="n">
        <f aca="false">+G20</f>
        <v>21412396</v>
      </c>
      <c r="AU20" s="71" t="n">
        <f aca="false">+AS20*AT20/1000</f>
        <v>2272825.30021607</v>
      </c>
    </row>
    <row r="21" customFormat="false" ht="12.75" hidden="false" customHeight="false" outlineLevel="0" collapsed="false">
      <c r="B21" s="0" t="s">
        <v>177</v>
      </c>
      <c r="C21" s="8" t="n">
        <v>24659502</v>
      </c>
      <c r="D21" s="71" t="n">
        <f aca="false">E21*C21/1000</f>
        <v>1800143.646</v>
      </c>
      <c r="E21" s="71" t="n">
        <v>73</v>
      </c>
      <c r="G21" s="8" t="n">
        <v>23182863</v>
      </c>
      <c r="H21" s="71" t="n">
        <f aca="false">I21*G21/1000</f>
        <v>1715531.862</v>
      </c>
      <c r="I21" s="71" t="n">
        <v>74</v>
      </c>
      <c r="K21" s="8" t="n">
        <v>1476640</v>
      </c>
      <c r="L21" s="71" t="n">
        <f aca="false">K21*M21/1000</f>
        <v>98934.88</v>
      </c>
      <c r="M21" s="71" t="n">
        <f aca="false">IF($AA$5=1,AK21,IF($AA$5=2,$AA$10*AJ21+(1-$AA$10)*AI21,$AA$10*AF21+(1-$AA$10)*AE21))</f>
        <v>67</v>
      </c>
      <c r="O21" s="71" t="n">
        <f aca="false">(I21-M21)*G21/1000</f>
        <v>162280.041</v>
      </c>
      <c r="Q21" s="71" t="n">
        <f aca="false">O21+Q20*(1+$AB$2)^0.25</f>
        <v>-9474093.4274857</v>
      </c>
      <c r="S21" s="106" t="n">
        <v>38352</v>
      </c>
      <c r="T21" s="71" t="n">
        <f aca="false">XNPV($AB$2,O21:$O$45,S21:$S$45)</f>
        <v>-4343402.59750745</v>
      </c>
      <c r="U21" s="71"/>
      <c r="V21" s="71" t="n">
        <f aca="false">L21+H21</f>
        <v>1814466.742</v>
      </c>
      <c r="W21" s="71" t="n">
        <f aca="false">$V$5/$X$2</f>
        <v>1437066.25668452</v>
      </c>
      <c r="X21" s="105"/>
      <c r="AB21" s="107"/>
      <c r="AD21" s="0" t="s">
        <v>177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71" t="n">
        <v>67</v>
      </c>
      <c r="AL21" s="0" t="n">
        <f aca="false">AL20*(1+$AA$12)^0.25</f>
        <v>1.05349177163459</v>
      </c>
      <c r="AN21" s="95" t="n">
        <f aca="false">(AJ21+AK21)/2</f>
        <v>56.8035522952296</v>
      </c>
      <c r="AO21" s="0" t="n">
        <f aca="false">+AO20</f>
        <v>82.7545820152566</v>
      </c>
      <c r="AQ21" s="95" t="n">
        <f aca="false">+D21</f>
        <v>1800143.646</v>
      </c>
      <c r="AS21" s="95" t="n">
        <f aca="false">+AS20</f>
        <v>106.145304813907</v>
      </c>
      <c r="AT21" s="43" t="n">
        <f aca="false">+G21</f>
        <v>23182863</v>
      </c>
      <c r="AU21" s="71" t="n">
        <f aca="false">+AS21*AT21/1000</f>
        <v>2460752.05959404</v>
      </c>
    </row>
    <row r="22" customFormat="false" ht="12.75" hidden="false" customHeight="false" outlineLevel="0" collapsed="false">
      <c r="A22" s="0" t="n">
        <v>2005</v>
      </c>
      <c r="B22" s="0" t="s">
        <v>174</v>
      </c>
      <c r="C22" s="8" t="n">
        <v>21135169</v>
      </c>
      <c r="D22" s="71" t="n">
        <f aca="false">E22*C22/1000</f>
        <v>1416056.323</v>
      </c>
      <c r="E22" s="71" t="n">
        <v>67</v>
      </c>
      <c r="G22" s="8" t="n">
        <v>20750188</v>
      </c>
      <c r="H22" s="71" t="n">
        <f aca="false">I22*G22/1000</f>
        <v>1369512.408</v>
      </c>
      <c r="I22" s="71" t="n">
        <v>66</v>
      </c>
      <c r="K22" s="8" t="n">
        <v>384980</v>
      </c>
      <c r="L22" s="71" t="n">
        <f aca="false">K22*M22/1000</f>
        <v>30798.4</v>
      </c>
      <c r="M22" s="71" t="n">
        <f aca="false">IF($AA$5=1,AK22,IF($AA$5=2,$AA$10*AJ22+(1-$AA$10)*AI22,$AA$10*AF22+(1-$AA$10)*AE22))</f>
        <v>80</v>
      </c>
      <c r="O22" s="71" t="n">
        <f aca="false">(I22-M22)*G22/1000</f>
        <v>-290502.632</v>
      </c>
      <c r="Q22" s="71" t="n">
        <f aca="false">O22+Q21*(1+$AB$2)^0.25</f>
        <v>-9933855.54888597</v>
      </c>
      <c r="S22" s="106" t="n">
        <v>38442</v>
      </c>
      <c r="T22" s="71" t="n">
        <f aca="false">XNPV($AB$2,O22:$O$45,S22:$S$45)</f>
        <v>-4585066.60038838</v>
      </c>
      <c r="U22" s="71"/>
      <c r="V22" s="71" t="n">
        <f aca="false">L22+H22</f>
        <v>1400310.808</v>
      </c>
      <c r="W22" s="71" t="n">
        <f aca="false">$V$5/$X$2</f>
        <v>1437066.25668452</v>
      </c>
      <c r="X22" s="105"/>
      <c r="AB22" s="107"/>
      <c r="AC22" s="0" t="n">
        <v>2005</v>
      </c>
      <c r="AD22" s="0" t="s">
        <v>174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71" t="n">
        <v>80</v>
      </c>
      <c r="AL22" s="0" t="n">
        <f aca="false">AL21*(1+$AA$12)^0.25</f>
        <v>1.05742033614656</v>
      </c>
      <c r="AN22" s="95" t="n">
        <f aca="false">(AJ22+AK22)/2</f>
        <v>56.810589691359</v>
      </c>
      <c r="AO22" s="0" t="n">
        <f aca="false">+AO21</f>
        <v>82.7545820152566</v>
      </c>
      <c r="AQ22" s="95" t="n">
        <f aca="false">+D22</f>
        <v>1416056.323</v>
      </c>
      <c r="AS22" s="95" t="n">
        <f aca="false">+AS21</f>
        <v>106.145304813907</v>
      </c>
      <c r="AT22" s="43" t="n">
        <f aca="false">+G22</f>
        <v>20750188</v>
      </c>
      <c r="AU22" s="71" t="n">
        <f aca="false">+AS22*AT22/1000</f>
        <v>2202535.03020587</v>
      </c>
    </row>
    <row r="23" customFormat="false" ht="12.75" hidden="false" customHeight="false" outlineLevel="0" collapsed="false">
      <c r="B23" s="0" t="s">
        <v>175</v>
      </c>
      <c r="C23" s="8" t="n">
        <v>20467158</v>
      </c>
      <c r="D23" s="71" t="n">
        <f aca="false">E23*C23/1000</f>
        <v>1391766.744</v>
      </c>
      <c r="E23" s="71" t="n">
        <v>68</v>
      </c>
      <c r="G23" s="8" t="n">
        <v>19542403</v>
      </c>
      <c r="H23" s="71" t="n">
        <f aca="false">I23*G23/1000</f>
        <v>1309341.001</v>
      </c>
      <c r="I23" s="71" t="n">
        <v>67</v>
      </c>
      <c r="K23" s="8" t="n">
        <v>924755</v>
      </c>
      <c r="L23" s="71" t="n">
        <f aca="false">K23*M23/1000</f>
        <v>73055.645</v>
      </c>
      <c r="M23" s="71" t="n">
        <f aca="false">IF($AA$5=1,AK23,IF($AA$5=2,$AA$10*AJ23+(1-$AA$10)*AI23,$AA$10*AF23+(1-$AA$10)*AE23))</f>
        <v>79</v>
      </c>
      <c r="O23" s="71" t="n">
        <f aca="false">(I23-M23)*G23/1000</f>
        <v>-234508.836</v>
      </c>
      <c r="Q23" s="71" t="n">
        <f aca="false">O23+Q22*(1+$AB$2)^0.25</f>
        <v>-10345837.7580219</v>
      </c>
      <c r="S23" s="106" t="n">
        <v>38533</v>
      </c>
      <c r="T23" s="71" t="n">
        <f aca="false">XNPV($AB$2,O23:$O$45,S23:$S$45)</f>
        <v>-4371076.46841364</v>
      </c>
      <c r="U23" s="71"/>
      <c r="V23" s="71" t="n">
        <f aca="false">L23+H23</f>
        <v>1382396.646</v>
      </c>
      <c r="W23" s="71" t="n">
        <f aca="false">$V$5/$X$2</f>
        <v>1437066.25668452</v>
      </c>
      <c r="X23" s="105"/>
      <c r="AB23" s="107"/>
      <c r="AD23" s="0" t="s">
        <v>175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71" t="n">
        <v>79</v>
      </c>
      <c r="AL23" s="0" t="n">
        <f aca="false">AL22*(1+$AA$12)^0.25</f>
        <v>1.061363550625</v>
      </c>
      <c r="AN23" s="95" t="n">
        <f aca="false">(AJ23+AK23)/2</f>
        <v>52.9616312410424</v>
      </c>
      <c r="AO23" s="0" t="n">
        <f aca="false">+AO22</f>
        <v>82.7545820152566</v>
      </c>
      <c r="AQ23" s="95" t="n">
        <f aca="false">+D23</f>
        <v>1391766.744</v>
      </c>
      <c r="AS23" s="95" t="n">
        <f aca="false">+AS22</f>
        <v>106.145304813907</v>
      </c>
      <c r="AT23" s="43" t="n">
        <f aca="false">+G23</f>
        <v>19542403</v>
      </c>
      <c r="AU23" s="71" t="n">
        <f aca="false">+AS23*AT23/1000</f>
        <v>2074334.3232312</v>
      </c>
    </row>
    <row r="24" customFormat="false" ht="12.75" hidden="false" customHeight="false" outlineLevel="0" collapsed="false">
      <c r="B24" s="0" t="s">
        <v>176</v>
      </c>
      <c r="C24" s="8" t="n">
        <v>27079042</v>
      </c>
      <c r="D24" s="71" t="n">
        <f aca="false">E24*C24/1000</f>
        <v>1976770.066</v>
      </c>
      <c r="E24" s="71" t="n">
        <v>73</v>
      </c>
      <c r="G24" s="8" t="n">
        <v>20486838</v>
      </c>
      <c r="H24" s="71" t="n">
        <f aca="false">I24*G24/1000</f>
        <v>1516026.012</v>
      </c>
      <c r="I24" s="71" t="n">
        <v>74</v>
      </c>
      <c r="K24" s="8" t="n">
        <v>6592204</v>
      </c>
      <c r="L24" s="71" t="n">
        <f aca="false">K24*M24/1000</f>
        <v>468046.484</v>
      </c>
      <c r="M24" s="71" t="n">
        <f aca="false">IF($AA$5=1,AK24,IF($AA$5=2,$AA$10*AJ24+(1-$AA$10)*AI24,$AA$10*AF24+(1-$AA$10)*AE24))</f>
        <v>71</v>
      </c>
      <c r="O24" s="71" t="n">
        <f aca="false">(I24-M24)*G24/1000</f>
        <v>61460.514</v>
      </c>
      <c r="Q24" s="71" t="n">
        <f aca="false">O24+Q23*(1+$AB$2)^0.25</f>
        <v>-10469210.8885013</v>
      </c>
      <c r="S24" s="106" t="n">
        <v>38625</v>
      </c>
      <c r="T24" s="71" t="n">
        <f aca="false">XNPV($AB$2,O24:$O$45,S24:$S$45)</f>
        <v>-4211082.36460215</v>
      </c>
      <c r="U24" s="71"/>
      <c r="V24" s="71" t="n">
        <f aca="false">L24+H24</f>
        <v>1984072.496</v>
      </c>
      <c r="W24" s="71" t="n">
        <f aca="false">$V$5/$X$2</f>
        <v>1437066.25668452</v>
      </c>
      <c r="X24" s="105"/>
      <c r="AB24" s="107"/>
      <c r="AD24" s="0" t="s">
        <v>176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71" t="n">
        <v>71</v>
      </c>
      <c r="AL24" s="0" t="n">
        <f aca="false">AL23*(1+$AA$12)^0.25</f>
        <v>1.06532146970093</v>
      </c>
      <c r="AN24" s="95" t="n">
        <f aca="false">(AJ24+AK24)/2</f>
        <v>63.1466026201763</v>
      </c>
      <c r="AO24" s="0" t="n">
        <f aca="false">+AO23</f>
        <v>82.7545820152566</v>
      </c>
      <c r="AQ24" s="95" t="n">
        <f aca="false">+D24</f>
        <v>1976770.066</v>
      </c>
      <c r="AS24" s="95" t="n">
        <f aca="false">+AS23</f>
        <v>106.145304813907</v>
      </c>
      <c r="AT24" s="43" t="n">
        <f aca="false">+G24</f>
        <v>20486838</v>
      </c>
      <c r="AU24" s="71" t="n">
        <f aca="false">+AS24*AT24/1000</f>
        <v>2174581.66418312</v>
      </c>
    </row>
    <row r="25" customFormat="false" ht="12.75" hidden="false" customHeight="false" outlineLevel="0" collapsed="false">
      <c r="B25" s="0" t="s">
        <v>177</v>
      </c>
      <c r="C25" s="8" t="n">
        <v>24684859</v>
      </c>
      <c r="D25" s="71" t="n">
        <f aca="false">E25*C25/1000</f>
        <v>1629200.694</v>
      </c>
      <c r="E25" s="71" t="n">
        <v>66</v>
      </c>
      <c r="G25" s="8" t="n">
        <v>21060134</v>
      </c>
      <c r="H25" s="71" t="n">
        <f aca="false">I25*G25/1000</f>
        <v>1368908.71</v>
      </c>
      <c r="I25" s="71" t="n">
        <v>65</v>
      </c>
      <c r="K25" s="8" t="n">
        <v>3624725</v>
      </c>
      <c r="L25" s="71" t="n">
        <f aca="false">K25*M25/1000</f>
        <v>246481.3</v>
      </c>
      <c r="M25" s="71" t="n">
        <f aca="false">IF($AA$5=1,AK25,IF($AA$5=2,$AA$10*AJ25+(1-$AA$10)*AI25,$AA$10*AF25+(1-$AA$10)*AE25))</f>
        <v>68</v>
      </c>
      <c r="O25" s="71" t="n">
        <f aca="false">(I25-M25)*G25/1000</f>
        <v>-63180.402</v>
      </c>
      <c r="Q25" s="71" t="n">
        <f aca="false">O25+Q24*(1+$AB$2)^0.25</f>
        <v>-10719429.0585974</v>
      </c>
      <c r="S25" s="106" t="n">
        <v>38717</v>
      </c>
      <c r="T25" s="71" t="n">
        <f aca="false">XNPV($AB$2,O25:$O$45,S25:$S$45)</f>
        <v>-4349507.02294934</v>
      </c>
      <c r="U25" s="71"/>
      <c r="V25" s="71" t="n">
        <f aca="false">L25+H25</f>
        <v>1615390.01</v>
      </c>
      <c r="W25" s="71" t="n">
        <f aca="false">$V$5/$X$2</f>
        <v>1437066.25668452</v>
      </c>
      <c r="X25" s="105"/>
      <c r="AB25" s="107"/>
      <c r="AD25" s="0" t="s">
        <v>177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71" t="n">
        <v>68</v>
      </c>
      <c r="AL25" s="0" t="n">
        <f aca="false">AL24*(1+$AA$12)^0.25</f>
        <v>1.0692941482091</v>
      </c>
      <c r="AN25" s="95" t="n">
        <f aca="false">(AJ25+AK25)/2</f>
        <v>56.7335799352824</v>
      </c>
      <c r="AO25" s="0" t="n">
        <f aca="false">+AO24</f>
        <v>82.7545820152566</v>
      </c>
      <c r="AQ25" s="95" t="n">
        <f aca="false">+D25</f>
        <v>1629200.694</v>
      </c>
      <c r="AS25" s="95" t="n">
        <f aca="false">+AS24</f>
        <v>106.145304813907</v>
      </c>
      <c r="AT25" s="43" t="n">
        <f aca="false">+G25</f>
        <v>21060134</v>
      </c>
      <c r="AU25" s="71" t="n">
        <f aca="false">+AS25*AT25/1000</f>
        <v>2235434.34285172</v>
      </c>
    </row>
    <row r="26" customFormat="false" ht="12.75" hidden="false" customHeight="false" outlineLevel="0" collapsed="false">
      <c r="A26" s="0" t="n">
        <v>2006</v>
      </c>
      <c r="B26" s="0" t="s">
        <v>174</v>
      </c>
      <c r="C26" s="8" t="n">
        <v>21949030</v>
      </c>
      <c r="D26" s="71" t="n">
        <f aca="false">E26*C26/1000</f>
        <v>1316941.8</v>
      </c>
      <c r="E26" s="71" t="n">
        <v>60</v>
      </c>
      <c r="G26" s="8" t="n">
        <v>21151029</v>
      </c>
      <c r="H26" s="71" t="n">
        <f aca="false">I26*G26/1000</f>
        <v>1247910.711</v>
      </c>
      <c r="I26" s="71" t="n">
        <v>59</v>
      </c>
      <c r="K26" s="8" t="n">
        <v>798000</v>
      </c>
      <c r="L26" s="71" t="n">
        <f aca="false">K26*M26/1000</f>
        <v>65436</v>
      </c>
      <c r="M26" s="71" t="n">
        <f aca="false">IF($AA$5=1,AK26,IF($AA$5=2,$AA$10*AJ26+(1-$AA$10)*AI26,$AA$10*AF26+(1-$AA$10)*AE26))</f>
        <v>82</v>
      </c>
      <c r="O26" s="71" t="n">
        <f aca="false">(I26-M26)*G26/1000</f>
        <v>-486473.667</v>
      </c>
      <c r="Q26" s="71" t="n">
        <f aca="false">O26+Q25*(1+$AB$2)^0.25</f>
        <v>-11397410.7683466</v>
      </c>
      <c r="S26" s="106" t="n">
        <v>38807</v>
      </c>
      <c r="T26" s="71" t="n">
        <f aca="false">XNPV($AB$2,O26:$O$45,S26:$S$45)</f>
        <v>-4361845.8299985</v>
      </c>
      <c r="U26" s="71"/>
      <c r="V26" s="71" t="n">
        <f aca="false">L26+H26</f>
        <v>1313346.711</v>
      </c>
      <c r="W26" s="71" t="n">
        <f aca="false">$V$5/$X$2</f>
        <v>1437066.25668452</v>
      </c>
      <c r="X26" s="105"/>
      <c r="AB26" s="107"/>
      <c r="AC26" s="0" t="n">
        <v>2006</v>
      </c>
      <c r="AD26" s="0" t="s">
        <v>174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71" t="n">
        <v>82</v>
      </c>
      <c r="AL26" s="0" t="n">
        <f aca="false">AL25*(1+$AA$12)^0.25</f>
        <v>1.07328164118876</v>
      </c>
      <c r="AN26" s="95" t="n">
        <f aca="false">(AJ26+AK26)/2</f>
        <v>57.6622454959305</v>
      </c>
      <c r="AO26" s="0" t="n">
        <f aca="false">+AO25</f>
        <v>82.7545820152566</v>
      </c>
      <c r="AQ26" s="95" t="n">
        <f aca="false">+D26</f>
        <v>1316941.8</v>
      </c>
      <c r="AS26" s="95" t="n">
        <f aca="false">+AS25</f>
        <v>106.145304813907</v>
      </c>
      <c r="AT26" s="43" t="n">
        <f aca="false">+G26</f>
        <v>21151029</v>
      </c>
      <c r="AU26" s="71" t="n">
        <f aca="false">+AS26*AT26/1000</f>
        <v>2245082.42033278</v>
      </c>
    </row>
    <row r="27" customFormat="false" ht="12.75" hidden="false" customHeight="false" outlineLevel="0" collapsed="false">
      <c r="B27" s="0" t="s">
        <v>175</v>
      </c>
      <c r="C27" s="8" t="n">
        <v>21490395</v>
      </c>
      <c r="D27" s="71" t="n">
        <f aca="false">E27*C27/1000</f>
        <v>1332404.49</v>
      </c>
      <c r="E27" s="71" t="n">
        <v>62</v>
      </c>
      <c r="G27" s="8" t="n">
        <v>19575129</v>
      </c>
      <c r="H27" s="71" t="n">
        <f aca="false">I27*G27/1000</f>
        <v>1174507.74</v>
      </c>
      <c r="I27" s="71" t="n">
        <v>60</v>
      </c>
      <c r="K27" s="8" t="n">
        <v>1915266</v>
      </c>
      <c r="L27" s="71" t="n">
        <f aca="false">K27*M27/1000</f>
        <v>151306.014</v>
      </c>
      <c r="M27" s="71" t="n">
        <f aca="false">IF($AA$5=1,AK27,IF($AA$5=2,$AA$10*AJ27+(1-$AA$10)*AI27,$AA$10*AF27+(1-$AA$10)*AE27))</f>
        <v>79</v>
      </c>
      <c r="O27" s="71" t="n">
        <f aca="false">(I27-M27)*G27/1000</f>
        <v>-371927.451</v>
      </c>
      <c r="Q27" s="71" t="n">
        <f aca="false">O27+Q26*(1+$AB$2)^0.25</f>
        <v>-11972958.7495747</v>
      </c>
      <c r="S27" s="106" t="n">
        <v>38898</v>
      </c>
      <c r="T27" s="71" t="n">
        <f aca="false">XNPV($AB$2,O27:$O$45,S27:$S$45)</f>
        <v>-3944416.28829315</v>
      </c>
      <c r="U27" s="71"/>
      <c r="V27" s="71" t="n">
        <f aca="false">L27+H27</f>
        <v>1325813.754</v>
      </c>
      <c r="W27" s="71" t="n">
        <f aca="false">$V$5/$X$2</f>
        <v>1437066.25668452</v>
      </c>
      <c r="X27" s="105"/>
      <c r="AB27" s="107"/>
      <c r="AD27" s="0" t="s">
        <v>175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71" t="n">
        <v>79</v>
      </c>
      <c r="AL27" s="0" t="n">
        <f aca="false">AL26*(1+$AA$12)^0.25</f>
        <v>1.07728400388437</v>
      </c>
      <c r="AN27" s="95" t="n">
        <f aca="false">(AJ27+AK27)/2</f>
        <v>53.1307796071503</v>
      </c>
      <c r="AO27" s="0" t="n">
        <f aca="false">+AO26</f>
        <v>82.7545820152566</v>
      </c>
      <c r="AQ27" s="95" t="n">
        <f aca="false">+D27</f>
        <v>1332404.49</v>
      </c>
      <c r="AS27" s="95" t="n">
        <f aca="false">+AS26</f>
        <v>106.145304813907</v>
      </c>
      <c r="AT27" s="43" t="n">
        <f aca="false">+G27</f>
        <v>19575129</v>
      </c>
      <c r="AU27" s="71" t="n">
        <f aca="false">+AS27*AT27/1000</f>
        <v>2077808.03447654</v>
      </c>
    </row>
    <row r="28" customFormat="false" ht="12.75" hidden="false" customHeight="false" outlineLevel="0" collapsed="false">
      <c r="B28" s="0" t="s">
        <v>176</v>
      </c>
      <c r="C28" s="8" t="n">
        <v>28313503</v>
      </c>
      <c r="D28" s="71" t="n">
        <f aca="false">E28*C28/1000</f>
        <v>1925318.204</v>
      </c>
      <c r="E28" s="71" t="n">
        <v>68</v>
      </c>
      <c r="G28" s="8" t="n">
        <v>19753088</v>
      </c>
      <c r="H28" s="71" t="n">
        <f aca="false">I28*G28/1000</f>
        <v>1323456.896</v>
      </c>
      <c r="I28" s="71" t="n">
        <v>67</v>
      </c>
      <c r="K28" s="8" t="n">
        <v>8560415</v>
      </c>
      <c r="L28" s="71" t="n">
        <f aca="false">K28*M28/1000</f>
        <v>607789.465</v>
      </c>
      <c r="M28" s="71" t="n">
        <f aca="false">IF($AA$5=1,AK28,IF($AA$5=2,$AA$10*AJ28+(1-$AA$10)*AI28,$AA$10*AF28+(1-$AA$10)*AE28))</f>
        <v>71</v>
      </c>
      <c r="O28" s="71" t="n">
        <f aca="false">(I28-M28)*G28/1000</f>
        <v>-79012.352</v>
      </c>
      <c r="Q28" s="71" t="n">
        <f aca="false">O28+Q27*(1+$AB$2)^0.25</f>
        <v>-12265874.0887127</v>
      </c>
      <c r="S28" s="106" t="n">
        <v>38990</v>
      </c>
      <c r="T28" s="71" t="n">
        <f aca="false">XNPV($AB$2,O28:$O$45,S28:$S$45)</f>
        <v>-3636842.44458617</v>
      </c>
      <c r="U28" s="71"/>
      <c r="V28" s="71" t="n">
        <f aca="false">L28+H28</f>
        <v>1931246.361</v>
      </c>
      <c r="W28" s="71" t="n">
        <f aca="false">$V$5/$X$2</f>
        <v>1437066.25668452</v>
      </c>
      <c r="X28" s="105"/>
      <c r="AB28" s="107"/>
      <c r="AD28" s="0" t="s">
        <v>176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71" t="n">
        <v>71</v>
      </c>
      <c r="AL28" s="0" t="n">
        <f aca="false">AL27*(1+$AA$12)^0.25</f>
        <v>1.08130129174644</v>
      </c>
      <c r="AN28" s="95" t="n">
        <f aca="false">(AJ28+AK28)/2</f>
        <v>62.5447388370454</v>
      </c>
      <c r="AO28" s="0" t="n">
        <f aca="false">+AO27</f>
        <v>82.7545820152566</v>
      </c>
      <c r="AQ28" s="95" t="n">
        <f aca="false">+D28</f>
        <v>1925318.204</v>
      </c>
      <c r="AS28" s="95" t="n">
        <f aca="false">+AS27</f>
        <v>106.145304813907</v>
      </c>
      <c r="AT28" s="43" t="n">
        <f aca="false">+G28</f>
        <v>19753088</v>
      </c>
      <c r="AU28" s="71" t="n">
        <f aca="false">+AS28*AT28/1000</f>
        <v>2096697.54677592</v>
      </c>
    </row>
    <row r="29" customFormat="false" ht="12.75" hidden="false" customHeight="false" outlineLevel="0" collapsed="false">
      <c r="B29" s="0" t="s">
        <v>177</v>
      </c>
      <c r="C29" s="8" t="n">
        <v>25180516</v>
      </c>
      <c r="D29" s="71" t="n">
        <f aca="false">E29*C29/1000</f>
        <v>1561191.992</v>
      </c>
      <c r="E29" s="71" t="n">
        <v>62</v>
      </c>
      <c r="G29" s="8" t="n">
        <v>19795707</v>
      </c>
      <c r="H29" s="71" t="n">
        <f aca="false">I29*G29/1000</f>
        <v>1167946.713</v>
      </c>
      <c r="I29" s="71" t="n">
        <v>59</v>
      </c>
      <c r="K29" s="8" t="n">
        <v>5384808</v>
      </c>
      <c r="L29" s="71" t="n">
        <f aca="false">K29*M29/1000</f>
        <v>382321.368</v>
      </c>
      <c r="M29" s="71" t="n">
        <f aca="false">IF($AA$5=1,AK29,IF($AA$5=2,$AA$10*AJ29+(1-$AA$10)*AI29,$AA$10*AF29+(1-$AA$10)*AE29))</f>
        <v>71</v>
      </c>
      <c r="O29" s="71" t="n">
        <f aca="false">(I29-M29)*G29/1000</f>
        <v>-237548.484</v>
      </c>
      <c r="Q29" s="71" t="n">
        <f aca="false">O29+Q28*(1+$AB$2)^0.25</f>
        <v>-12722558.6411074</v>
      </c>
      <c r="S29" s="106" t="n">
        <v>39082</v>
      </c>
      <c r="T29" s="71" t="n">
        <f aca="false">XNPV($AB$2,O29:$O$45,S29:$S$45)</f>
        <v>-3621919.64220309</v>
      </c>
      <c r="U29" s="71"/>
      <c r="V29" s="71" t="n">
        <f aca="false">L29+H29</f>
        <v>1550268.081</v>
      </c>
      <c r="W29" s="71" t="n">
        <f aca="false">$V$5/$X$2</f>
        <v>1437066.25668452</v>
      </c>
      <c r="X29" s="105"/>
      <c r="AB29" s="107"/>
      <c r="AD29" s="0" t="s">
        <v>177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71" t="n">
        <v>71</v>
      </c>
      <c r="AL29" s="0" t="n">
        <f aca="false">AL28*(1+$AA$12)^0.25</f>
        <v>1.08533356043224</v>
      </c>
      <c r="AN29" s="95" t="n">
        <f aca="false">(AJ29+AK29)/2</f>
        <v>57.9218231192963</v>
      </c>
      <c r="AO29" s="0" t="n">
        <f aca="false">+AO28</f>
        <v>82.7545820152566</v>
      </c>
      <c r="AQ29" s="95" t="n">
        <f aca="false">+D29</f>
        <v>1561191.992</v>
      </c>
      <c r="AS29" s="95" t="n">
        <f aca="false">+AS28</f>
        <v>106.145304813907</v>
      </c>
      <c r="AT29" s="43" t="n">
        <f aca="false">+G29</f>
        <v>19795707</v>
      </c>
      <c r="AU29" s="71" t="n">
        <f aca="false">+AS29*AT29/1000</f>
        <v>2101221.35352178</v>
      </c>
    </row>
    <row r="30" customFormat="false" ht="12.75" hidden="false" customHeight="false" outlineLevel="0" collapsed="false">
      <c r="A30" s="0" t="n">
        <v>2007</v>
      </c>
      <c r="B30" s="0" t="s">
        <v>174</v>
      </c>
      <c r="C30" s="8" t="n">
        <v>21684137</v>
      </c>
      <c r="D30" s="71" t="n">
        <f aca="false">E30*C30/1000</f>
        <v>1322732.357</v>
      </c>
      <c r="E30" s="71" t="n">
        <v>61</v>
      </c>
      <c r="G30" s="8" t="n">
        <v>19359819</v>
      </c>
      <c r="H30" s="71" t="n">
        <f aca="false">I30*G30/1000</f>
        <v>1122869.502</v>
      </c>
      <c r="I30" s="71" t="n">
        <v>58</v>
      </c>
      <c r="K30" s="8" t="n">
        <v>2324318</v>
      </c>
      <c r="L30" s="71" t="n">
        <f aca="false">K30*M30/1000</f>
        <v>188269.758</v>
      </c>
      <c r="M30" s="71" t="n">
        <f aca="false">IF($AA$5=1,AK30,IF($AA$5=2,$AA$10*AJ30+(1-$AA$10)*AI30,$AA$10*AF30+(1-$AA$10)*AE30))</f>
        <v>81</v>
      </c>
      <c r="O30" s="71" t="n">
        <f aca="false">(I30-M30)*G30/1000</f>
        <v>-445275.837</v>
      </c>
      <c r="Q30" s="71" t="n">
        <f aca="false">O30+Q29*(1+$AB$2)^0.25</f>
        <v>-13395129.4479049</v>
      </c>
      <c r="S30" s="106" t="n">
        <v>39172</v>
      </c>
      <c r="T30" s="71" t="n">
        <f aca="false">XNPV($AB$2,O30:$O$45,S30:$S$45)</f>
        <v>-3443999.14636132</v>
      </c>
      <c r="U30" s="71"/>
      <c r="V30" s="71" t="n">
        <f aca="false">L30+H30</f>
        <v>1311139.26</v>
      </c>
      <c r="W30" s="71" t="n">
        <f aca="false">$V$5/$X$2</f>
        <v>1437066.25668452</v>
      </c>
      <c r="X30" s="105"/>
      <c r="AB30" s="107"/>
      <c r="AC30" s="0" t="n">
        <v>2007</v>
      </c>
      <c r="AD30" s="0" t="s">
        <v>174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71" t="n">
        <v>81</v>
      </c>
      <c r="AL30" s="0" t="n">
        <f aca="false">AL29*(1+$AA$12)^0.25</f>
        <v>1.08938086580659</v>
      </c>
      <c r="AN30" s="95" t="n">
        <f aca="false">(AJ30+AK30)/2</f>
        <v>57.5417053550949</v>
      </c>
      <c r="AO30" s="0" t="n">
        <f aca="false">+AO29</f>
        <v>82.7545820152566</v>
      </c>
      <c r="AQ30" s="95" t="n">
        <f aca="false">+D30</f>
        <v>1322732.357</v>
      </c>
      <c r="AS30" s="95" t="n">
        <f aca="false">+AS29</f>
        <v>106.145304813907</v>
      </c>
      <c r="AT30" s="43" t="n">
        <f aca="false">+G30</f>
        <v>19359819</v>
      </c>
      <c r="AU30" s="71" t="n">
        <f aca="false">+AS30*AT30/1000</f>
        <v>2054953.88889706</v>
      </c>
    </row>
    <row r="31" customFormat="false" ht="12.75" hidden="false" customHeight="false" outlineLevel="0" collapsed="false">
      <c r="B31" s="0" t="s">
        <v>175</v>
      </c>
      <c r="C31" s="8" t="n">
        <v>22053673</v>
      </c>
      <c r="D31" s="71" t="n">
        <f aca="false">E31*C31/1000</f>
        <v>1389381.399</v>
      </c>
      <c r="E31" s="71" t="n">
        <v>63</v>
      </c>
      <c r="G31" s="8" t="n">
        <v>18428604</v>
      </c>
      <c r="H31" s="71" t="n">
        <f aca="false">I31*G31/1000</f>
        <v>1105716.24</v>
      </c>
      <c r="I31" s="71" t="n">
        <v>60</v>
      </c>
      <c r="K31" s="8" t="n">
        <v>3625069</v>
      </c>
      <c r="L31" s="71" t="n">
        <f aca="false">K31*M31/1000</f>
        <v>279130.313</v>
      </c>
      <c r="M31" s="71" t="n">
        <f aca="false">IF($AA$5=1,AK31,IF($AA$5=2,$AA$10*AJ31+(1-$AA$10)*AI31,$AA$10*AF31+(1-$AA$10)*AE31))</f>
        <v>77</v>
      </c>
      <c r="O31" s="71" t="n">
        <f aca="false">(I31-M31)*G31/1000</f>
        <v>-313286.268</v>
      </c>
      <c r="Q31" s="71" t="n">
        <f aca="false">O31+Q30*(1+$AB$2)^0.25</f>
        <v>-13947726.5046528</v>
      </c>
      <c r="S31" s="106" t="n">
        <v>39263</v>
      </c>
      <c r="T31" s="71" t="n">
        <f aca="false">XNPV($AB$2,O31:$O$45,S31:$S$45)</f>
        <v>-3052148.946742</v>
      </c>
      <c r="U31" s="71"/>
      <c r="V31" s="71" t="n">
        <f aca="false">L31+H31</f>
        <v>1384846.553</v>
      </c>
      <c r="W31" s="71" t="n">
        <f aca="false">$V$5/$X$2</f>
        <v>1437066.25668452</v>
      </c>
      <c r="X31" s="105"/>
      <c r="AB31" s="107"/>
      <c r="AD31" s="0" t="s">
        <v>175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71" t="n">
        <v>77</v>
      </c>
      <c r="AL31" s="0" t="n">
        <f aca="false">AL30*(1+$AA$12)^0.25</f>
        <v>1.09344326394264</v>
      </c>
      <c r="AN31" s="95" t="n">
        <f aca="false">(AJ31+AK31)/2</f>
        <v>52.6744237213832</v>
      </c>
      <c r="AO31" s="0" t="n">
        <f aca="false">+AO30</f>
        <v>82.7545820152566</v>
      </c>
      <c r="AQ31" s="95" t="n">
        <f aca="false">+D31</f>
        <v>1389381.399</v>
      </c>
      <c r="AS31" s="95" t="n">
        <f aca="false">+AS30</f>
        <v>106.145304813907</v>
      </c>
      <c r="AT31" s="43" t="n">
        <f aca="false">+G31</f>
        <v>18428604</v>
      </c>
      <c r="AU31" s="71" t="n">
        <f aca="false">+AS31*AT31/1000</f>
        <v>1956109.78887478</v>
      </c>
    </row>
    <row r="32" customFormat="false" ht="12.75" hidden="false" customHeight="false" outlineLevel="0" collapsed="false">
      <c r="B32" s="0" t="s">
        <v>176</v>
      </c>
      <c r="C32" s="8" t="n">
        <v>29732503</v>
      </c>
      <c r="D32" s="71" t="n">
        <f aca="false">E32*C32/1000</f>
        <v>2021810.204</v>
      </c>
      <c r="E32" s="71" t="n">
        <v>68</v>
      </c>
      <c r="G32" s="8" t="n">
        <v>19684263</v>
      </c>
      <c r="H32" s="71" t="n">
        <f aca="false">I32*G32/1000</f>
        <v>1318845.621</v>
      </c>
      <c r="I32" s="71" t="n">
        <v>67</v>
      </c>
      <c r="K32" s="8" t="n">
        <v>10048240</v>
      </c>
      <c r="L32" s="71" t="n">
        <f aca="false">K32*M32/1000</f>
        <v>703376.8</v>
      </c>
      <c r="M32" s="71" t="n">
        <f aca="false">IF($AA$5=1,AK32,IF($AA$5=2,$AA$10*AJ32+(1-$AA$10)*AI32,$AA$10*AF32+(1-$AA$10)*AE32))</f>
        <v>70</v>
      </c>
      <c r="O32" s="71" t="n">
        <f aca="false">(I32-M32)*G32/1000</f>
        <v>-59052.789</v>
      </c>
      <c r="Q32" s="71" t="n">
        <f aca="false">O32+Q31*(1+$AB$2)^0.25</f>
        <v>-14255962.5093917</v>
      </c>
      <c r="S32" s="106" t="n">
        <v>39355</v>
      </c>
      <c r="T32" s="71" t="n">
        <f aca="false">XNPV($AB$2,O32:$O$45,S32:$S$45)</f>
        <v>-2788199.62597535</v>
      </c>
      <c r="U32" s="71"/>
      <c r="V32" s="71" t="n">
        <f aca="false">L32+H32</f>
        <v>2022222.421</v>
      </c>
      <c r="W32" s="71" t="n">
        <f aca="false">$V$5/$X$2</f>
        <v>1437066.25668452</v>
      </c>
      <c r="X32" s="105"/>
      <c r="AB32" s="107"/>
      <c r="AD32" s="0" t="s">
        <v>176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71" t="n">
        <v>70</v>
      </c>
      <c r="AL32" s="0" t="n">
        <f aca="false">AL31*(1+$AA$12)^0.25</f>
        <v>1.09752081112264</v>
      </c>
      <c r="AN32" s="95" t="n">
        <f aca="false">(AJ32+AK32)/2</f>
        <v>62.48191332954</v>
      </c>
      <c r="AO32" s="0" t="n">
        <f aca="false">+AO31</f>
        <v>82.7545820152566</v>
      </c>
      <c r="AQ32" s="95" t="n">
        <f aca="false">+D32</f>
        <v>2021810.204</v>
      </c>
      <c r="AS32" s="95" t="n">
        <f aca="false">+AS31</f>
        <v>106.145304813907</v>
      </c>
      <c r="AT32" s="43" t="n">
        <f aca="false">+G32</f>
        <v>19684263</v>
      </c>
      <c r="AU32" s="71" t="n">
        <f aca="false">+AS32*AT32/1000</f>
        <v>2089392.0961721</v>
      </c>
    </row>
    <row r="33" customFormat="false" ht="12.75" hidden="false" customHeight="false" outlineLevel="0" collapsed="false">
      <c r="B33" s="0" t="s">
        <v>177</v>
      </c>
      <c r="C33" s="8" t="n">
        <v>26183861</v>
      </c>
      <c r="D33" s="71" t="n">
        <f aca="false">E33*C33/1000</f>
        <v>1623399.382</v>
      </c>
      <c r="E33" s="71" t="n">
        <v>62</v>
      </c>
      <c r="G33" s="8" t="n">
        <v>19591520</v>
      </c>
      <c r="H33" s="71" t="n">
        <f aca="false">I33*G33/1000</f>
        <v>1155899.68</v>
      </c>
      <c r="I33" s="71" t="n">
        <v>59</v>
      </c>
      <c r="K33" s="8" t="n">
        <v>6592341</v>
      </c>
      <c r="L33" s="71" t="n">
        <f aca="false">K33*M33/1000</f>
        <v>468056.211</v>
      </c>
      <c r="M33" s="71" t="n">
        <f aca="false">IF($AA$5=1,AK33,IF($AA$5=2,$AA$10*AJ33+(1-$AA$10)*AI33,$AA$10*AF33+(1-$AA$10)*AE33))</f>
        <v>71</v>
      </c>
      <c r="O33" s="71" t="n">
        <f aca="false">(I33-M33)*G33/1000</f>
        <v>-235098.24</v>
      </c>
      <c r="Q33" s="71" t="n">
        <f aca="false">O33+Q32*(1+$AB$2)^0.25</f>
        <v>-14745750.7578572</v>
      </c>
      <c r="S33" s="106" t="n">
        <v>39447</v>
      </c>
      <c r="T33" s="71" t="n">
        <f aca="false">XNPV($AB$2,O33:$O$45,S33:$S$45)</f>
        <v>-2778308.76631668</v>
      </c>
      <c r="U33" s="71"/>
      <c r="V33" s="71" t="n">
        <f aca="false">L33+H33</f>
        <v>1623955.891</v>
      </c>
      <c r="W33" s="71" t="n">
        <f aca="false">$V$5/$X$2</f>
        <v>1437066.25668452</v>
      </c>
      <c r="X33" s="105"/>
      <c r="AB33" s="107"/>
      <c r="AD33" s="0" t="s">
        <v>177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71" t="n">
        <v>71</v>
      </c>
      <c r="AL33" s="0" t="n">
        <f aca="false">AL32*(1+$AA$12)^0.25</f>
        <v>1.10161356383873</v>
      </c>
      <c r="AN33" s="95" t="n">
        <f aca="false">(AJ33+AK33)/2</f>
        <v>58.2716999351704</v>
      </c>
      <c r="AO33" s="0" t="n">
        <f aca="false">+AO32</f>
        <v>82.7545820152566</v>
      </c>
      <c r="AQ33" s="95" t="n">
        <f aca="false">+D33</f>
        <v>1623399.382</v>
      </c>
      <c r="AS33" s="95" t="n">
        <f aca="false">+AS32</f>
        <v>106.145304813907</v>
      </c>
      <c r="AT33" s="43" t="n">
        <f aca="false">+G33</f>
        <v>19591520</v>
      </c>
      <c r="AU33" s="71" t="n">
        <f aca="false">+AS33*AT33/1000</f>
        <v>2079547.86216775</v>
      </c>
    </row>
    <row r="34" customFormat="false" ht="12.75" hidden="false" customHeight="false" outlineLevel="0" collapsed="false">
      <c r="A34" s="0" t="n">
        <v>2008</v>
      </c>
      <c r="B34" s="0" t="s">
        <v>174</v>
      </c>
      <c r="C34" s="8" t="n">
        <v>22554855</v>
      </c>
      <c r="D34" s="71" t="n">
        <f aca="false">E34*C34/1000</f>
        <v>1375846.155</v>
      </c>
      <c r="E34" s="71" t="n">
        <v>61</v>
      </c>
      <c r="G34" s="8" t="n">
        <v>19153515</v>
      </c>
      <c r="H34" s="71" t="n">
        <f aca="false">I34*G34/1000</f>
        <v>1110903.87</v>
      </c>
      <c r="I34" s="71" t="n">
        <v>58</v>
      </c>
      <c r="K34" s="8" t="n">
        <v>3401340</v>
      </c>
      <c r="L34" s="71" t="n">
        <f aca="false">K34*M34/1000</f>
        <v>268705.86</v>
      </c>
      <c r="M34" s="71" t="n">
        <f aca="false">IF($AA$5=1,AK34,IF($AA$5=2,$AA$10*AJ34+(1-$AA$10)*AI34,$AA$10*AF34+(1-$AA$10)*AE34))</f>
        <v>79</v>
      </c>
      <c r="O34" s="71" t="n">
        <f aca="false">(I34-M34)*G34/1000</f>
        <v>-402223.815</v>
      </c>
      <c r="Q34" s="71" t="n">
        <f aca="false">O34+Q33*(1+$AB$2)^0.25</f>
        <v>-15411414.8970636</v>
      </c>
      <c r="S34" s="106" t="n">
        <v>39538</v>
      </c>
      <c r="T34" s="71" t="n">
        <f aca="false">XNPV($AB$2,O34:$O$45,S34:$S$45)</f>
        <v>-2588520.68979111</v>
      </c>
      <c r="U34" s="71"/>
      <c r="V34" s="71" t="n">
        <f aca="false">L34+H34</f>
        <v>1379609.73</v>
      </c>
      <c r="W34" s="71" t="n">
        <f aca="false">$V$5/$X$2</f>
        <v>1437066.25668452</v>
      </c>
      <c r="X34" s="105"/>
      <c r="AB34" s="107"/>
      <c r="AC34" s="0" t="n">
        <v>2008</v>
      </c>
      <c r="AD34" s="0" t="s">
        <v>174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71" t="n">
        <v>79</v>
      </c>
      <c r="AL34" s="0" t="n">
        <f aca="false">AL33*(1+$AA$12)^0.25</f>
        <v>1.10572157879369</v>
      </c>
      <c r="AN34" s="95" t="n">
        <f aca="false">(AJ34+AK34)/2</f>
        <v>55.8420997097502</v>
      </c>
      <c r="AO34" s="0" t="n">
        <f aca="false">+AO33</f>
        <v>82.7545820152566</v>
      </c>
      <c r="AQ34" s="95" t="n">
        <f aca="false">+D34</f>
        <v>1375846.155</v>
      </c>
      <c r="AS34" s="95" t="n">
        <f aca="false">+AS33</f>
        <v>106.145304813907</v>
      </c>
      <c r="AT34" s="43" t="n">
        <f aca="false">+G34</f>
        <v>19153515</v>
      </c>
      <c r="AU34" s="71" t="n">
        <f aca="false">+AS34*AT34/1000</f>
        <v>2033055.68793273</v>
      </c>
    </row>
    <row r="35" customFormat="false" ht="12.75" hidden="false" customHeight="false" outlineLevel="0" collapsed="false">
      <c r="B35" s="0" t="s">
        <v>175</v>
      </c>
      <c r="C35" s="8" t="n">
        <v>23429388</v>
      </c>
      <c r="D35" s="71" t="n">
        <f aca="false">E35*C35/1000</f>
        <v>1476051.444</v>
      </c>
      <c r="E35" s="71" t="n">
        <v>63</v>
      </c>
      <c r="G35" s="8" t="n">
        <v>18763391</v>
      </c>
      <c r="H35" s="71" t="n">
        <f aca="false">I35*G35/1000</f>
        <v>1125803.46</v>
      </c>
      <c r="I35" s="71" t="n">
        <v>60</v>
      </c>
      <c r="K35" s="8" t="n">
        <v>4665997</v>
      </c>
      <c r="L35" s="71" t="n">
        <f aca="false">K35*M35/1000</f>
        <v>359281.769</v>
      </c>
      <c r="M35" s="71" t="n">
        <f aca="false">IF($AA$5=1,AK35,IF($AA$5=2,$AA$10*AJ35+(1-$AA$10)*AI35,$AA$10*AF35+(1-$AA$10)*AE35))</f>
        <v>77</v>
      </c>
      <c r="O35" s="71" t="n">
        <f aca="false">(I35-M35)*G35/1000</f>
        <v>-318977.647</v>
      </c>
      <c r="Q35" s="71" t="n">
        <f aca="false">O35+Q34*(1+$AB$2)^0.25</f>
        <v>-16005725.2960971</v>
      </c>
      <c r="S35" s="106" t="n">
        <v>39629</v>
      </c>
      <c r="T35" s="71" t="n">
        <f aca="false">XNPV($AB$2,O35:$O$45,S35:$S$45)</f>
        <v>-2225248.21907634</v>
      </c>
      <c r="U35" s="71"/>
      <c r="V35" s="71" t="n">
        <f aca="false">L35+H35</f>
        <v>1485085.229</v>
      </c>
      <c r="W35" s="71" t="n">
        <f aca="false">$V$5/$X$2</f>
        <v>1437066.25668452</v>
      </c>
      <c r="X35" s="105"/>
      <c r="AB35" s="107"/>
      <c r="AD35" s="0" t="s">
        <v>175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71" t="n">
        <v>77</v>
      </c>
      <c r="AL35" s="0" t="n">
        <f aca="false">AL34*(1+$AA$12)^0.25</f>
        <v>1.10984491290178</v>
      </c>
      <c r="AN35" s="95" t="n">
        <f aca="false">(AJ35+AK35)/2</f>
        <v>52.8554704264217</v>
      </c>
      <c r="AO35" s="0" t="n">
        <f aca="false">+AO34</f>
        <v>82.7545820152566</v>
      </c>
      <c r="AQ35" s="95" t="n">
        <f aca="false">+D35</f>
        <v>1476051.444</v>
      </c>
      <c r="AS35" s="95" t="n">
        <f aca="false">+AS34</f>
        <v>106.145304813907</v>
      </c>
      <c r="AT35" s="43" t="n">
        <f aca="false">+G35</f>
        <v>18763391</v>
      </c>
      <c r="AU35" s="71" t="n">
        <f aca="false">+AS35*AT35/1000</f>
        <v>1991645.85703751</v>
      </c>
    </row>
    <row r="36" customFormat="false" ht="12.75" hidden="false" customHeight="false" outlineLevel="0" collapsed="false">
      <c r="B36" s="0" t="s">
        <v>176</v>
      </c>
      <c r="C36" s="8" t="n">
        <v>31332995</v>
      </c>
      <c r="D36" s="71" t="n">
        <f aca="false">E36*C36/1000</f>
        <v>2130643.66</v>
      </c>
      <c r="E36" s="71" t="n">
        <v>68</v>
      </c>
      <c r="G36" s="8" t="n">
        <v>19294144</v>
      </c>
      <c r="H36" s="71" t="n">
        <f aca="false">I36*G36/1000</f>
        <v>1292707.648</v>
      </c>
      <c r="I36" s="71" t="n">
        <v>67</v>
      </c>
      <c r="K36" s="8" t="n">
        <v>12038851</v>
      </c>
      <c r="L36" s="71" t="n">
        <f aca="false">K36*M36/1000</f>
        <v>854758.421</v>
      </c>
      <c r="M36" s="71" t="n">
        <f aca="false">IF($AA$5=1,AK36,IF($AA$5=2,$AA$10*AJ36+(1-$AA$10)*AI36,$AA$10*AF36+(1-$AA$10)*AE36))</f>
        <v>71</v>
      </c>
      <c r="O36" s="71" t="n">
        <f aca="false">(I36-M36)*G36/1000</f>
        <v>-77176.576</v>
      </c>
      <c r="Q36" s="71" t="n">
        <f aca="false">O36+Q35*(1+$AB$2)^0.25</f>
        <v>-16368852.281161</v>
      </c>
      <c r="S36" s="106" t="n">
        <v>39721</v>
      </c>
      <c r="T36" s="71" t="n">
        <f aca="false">XNPV($AB$2,O36:$O$45,S36:$S$45)</f>
        <v>-1940609.48631144</v>
      </c>
      <c r="U36" s="71"/>
      <c r="V36" s="71" t="n">
        <f aca="false">L36+H36</f>
        <v>2147466.069</v>
      </c>
      <c r="W36" s="71" t="n">
        <f aca="false">$V$5/$X$2</f>
        <v>1437066.25668452</v>
      </c>
      <c r="X36" s="105"/>
      <c r="AB36" s="107"/>
      <c r="AD36" s="0" t="s">
        <v>176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71" t="n">
        <v>71</v>
      </c>
      <c r="AL36" s="0" t="n">
        <f aca="false">AL35*(1+$AA$12)^0.25</f>
        <v>1.11398362328948</v>
      </c>
      <c r="AN36" s="95" t="n">
        <f aca="false">(AJ36+AK36)/2</f>
        <v>63.2423135851996</v>
      </c>
      <c r="AO36" s="0" t="n">
        <f aca="false">+AO35</f>
        <v>82.7545820152566</v>
      </c>
      <c r="AQ36" s="95" t="n">
        <f aca="false">+D36</f>
        <v>2130643.66</v>
      </c>
      <c r="AS36" s="95" t="n">
        <f aca="false">+AS35</f>
        <v>106.145304813907</v>
      </c>
      <c r="AT36" s="43" t="n">
        <f aca="false">+G36</f>
        <v>19294144</v>
      </c>
      <c r="AU36" s="71" t="n">
        <f aca="false">+AS36*AT36/1000</f>
        <v>2047982.79600341</v>
      </c>
    </row>
    <row r="37" customFormat="false" ht="12.75" hidden="false" customHeight="false" outlineLevel="0" collapsed="false">
      <c r="B37" s="0" t="s">
        <v>177</v>
      </c>
      <c r="C37" s="8" t="n">
        <v>27099273</v>
      </c>
      <c r="D37" s="71" t="n">
        <f aca="false">E37*C37/1000</f>
        <v>1680154.926</v>
      </c>
      <c r="E37" s="71" t="n">
        <v>62</v>
      </c>
      <c r="G37" s="8" t="n">
        <v>18854008</v>
      </c>
      <c r="H37" s="71" t="n">
        <f aca="false">I37*G37/1000</f>
        <v>1112386.472</v>
      </c>
      <c r="I37" s="71" t="n">
        <v>59</v>
      </c>
      <c r="K37" s="8" t="n">
        <v>8245265</v>
      </c>
      <c r="L37" s="71" t="n">
        <f aca="false">K37*M37/1000</f>
        <v>577168.55</v>
      </c>
      <c r="M37" s="71" t="n">
        <f aca="false">IF($AA$5=1,AK37,IF($AA$5=2,$AA$10*AJ37+(1-$AA$10)*AI37,$AA$10*AF37+(1-$AA$10)*AE37))</f>
        <v>70</v>
      </c>
      <c r="O37" s="71" t="n">
        <f aca="false">(I37-M37)*G37/1000</f>
        <v>-207394.088</v>
      </c>
      <c r="Q37" s="71" t="n">
        <f aca="false">O37+Q36*(1+$AB$2)^0.25</f>
        <v>-16868684.2261848</v>
      </c>
      <c r="S37" s="106" t="n">
        <v>39813</v>
      </c>
      <c r="T37" s="71" t="n">
        <f aca="false">XNPV($AB$2,O37:$O$45,S37:$S$45)</f>
        <v>-1897000.16137608</v>
      </c>
      <c r="U37" s="71"/>
      <c r="V37" s="71" t="n">
        <f aca="false">L37+H37</f>
        <v>1689555.022</v>
      </c>
      <c r="W37" s="71" t="n">
        <f aca="false">$V$5/$X$2</f>
        <v>1437066.25668452</v>
      </c>
      <c r="X37" s="105"/>
      <c r="AB37" s="107"/>
      <c r="AD37" s="0" t="s">
        <v>177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71" t="n">
        <v>70</v>
      </c>
      <c r="AL37" s="0" t="n">
        <f aca="false">AL36*(1+$AA$12)^0.25</f>
        <v>1.11813776729631</v>
      </c>
      <c r="AN37" s="95" t="n">
        <f aca="false">(AJ37+AK37)/2</f>
        <v>57.3626795159732</v>
      </c>
      <c r="AO37" s="0" t="n">
        <f aca="false">+AO36</f>
        <v>82.7545820152566</v>
      </c>
      <c r="AQ37" s="95" t="n">
        <f aca="false">+D37</f>
        <v>1680154.926</v>
      </c>
      <c r="AS37" s="95" t="n">
        <f aca="false">+AS36</f>
        <v>106.145304813907</v>
      </c>
      <c r="AT37" s="43" t="n">
        <f aca="false">+G37</f>
        <v>18854008</v>
      </c>
      <c r="AU37" s="71" t="n">
        <f aca="false">+AS37*AT37/1000</f>
        <v>2001264.42612383</v>
      </c>
    </row>
    <row r="38" customFormat="false" ht="12.75" hidden="false" customHeight="false" outlineLevel="0" collapsed="false">
      <c r="A38" s="0" t="n">
        <v>2009</v>
      </c>
      <c r="B38" s="0" t="s">
        <v>174</v>
      </c>
      <c r="C38" s="8" t="n">
        <v>23076526</v>
      </c>
      <c r="D38" s="71" t="n">
        <f aca="false">E38*C38/1000</f>
        <v>1407668.086</v>
      </c>
      <c r="E38" s="71" t="n">
        <v>61</v>
      </c>
      <c r="G38" s="8" t="n">
        <v>18797465</v>
      </c>
      <c r="H38" s="71" t="n">
        <f aca="false">I38*G38/1000</f>
        <v>1090252.97</v>
      </c>
      <c r="I38" s="71" t="n">
        <v>58</v>
      </c>
      <c r="K38" s="8" t="n">
        <v>4279061</v>
      </c>
      <c r="L38" s="71" t="n">
        <f aca="false">K38*M38/1000</f>
        <v>329487.697</v>
      </c>
      <c r="M38" s="71" t="n">
        <f aca="false">IF($AA$5=1,AK38,IF($AA$5=2,$AA$10*AJ38+(1-$AA$10)*AI38,$AA$10*AF38+(1-$AA$10)*AE38))</f>
        <v>77</v>
      </c>
      <c r="O38" s="71" t="n">
        <f aca="false">(I38-M38)*G38/1000</f>
        <v>-357151.835</v>
      </c>
      <c r="Q38" s="71" t="n">
        <f aca="false">O38+Q37*(1+$AB$2)^0.25</f>
        <v>-17527203.6696881</v>
      </c>
      <c r="S38" s="106" t="n">
        <v>39903</v>
      </c>
      <c r="T38" s="71" t="n">
        <f aca="false">XNPV($AB$2,O38:$O$45,S38:$S$45)</f>
        <v>-1719374.62009448</v>
      </c>
      <c r="U38" s="71"/>
      <c r="V38" s="71" t="n">
        <f aca="false">L38+H38</f>
        <v>1419740.667</v>
      </c>
      <c r="W38" s="71" t="n">
        <f aca="false">$V$5/$X$2</f>
        <v>1437066.25668452</v>
      </c>
      <c r="X38" s="105"/>
      <c r="AB38" s="107"/>
      <c r="AC38" s="0" t="n">
        <v>2009</v>
      </c>
      <c r="AD38" s="0" t="s">
        <v>174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71" t="n">
        <v>77</v>
      </c>
      <c r="AL38" s="0" t="n">
        <f aca="false">AL37*(1+$AA$12)^0.25</f>
        <v>1.12230740247559</v>
      </c>
      <c r="AN38" s="95" t="n">
        <f aca="false">(AJ38+AK38)/2</f>
        <v>55.2921148831192</v>
      </c>
      <c r="AO38" s="0" t="n">
        <f aca="false">+AO37</f>
        <v>82.7545820152566</v>
      </c>
      <c r="AQ38" s="95" t="n">
        <f aca="false">+D38</f>
        <v>1407668.086</v>
      </c>
      <c r="AS38" s="95" t="n">
        <f aca="false">+AS37</f>
        <v>106.145304813907</v>
      </c>
      <c r="AT38" s="43" t="n">
        <f aca="false">+G38</f>
        <v>18797465</v>
      </c>
      <c r="AU38" s="71" t="n">
        <f aca="false">+AS38*AT38/1000</f>
        <v>1995262.65215374</v>
      </c>
    </row>
    <row r="39" customFormat="false" ht="12.75" hidden="false" customHeight="false" outlineLevel="0" collapsed="false">
      <c r="B39" s="0" t="s">
        <v>175</v>
      </c>
      <c r="C39" s="8" t="n">
        <v>24316954</v>
      </c>
      <c r="D39" s="71" t="n">
        <f aca="false">E39*C39/1000</f>
        <v>1531968.102</v>
      </c>
      <c r="E39" s="71" t="n">
        <v>63</v>
      </c>
      <c r="G39" s="8" t="n">
        <v>18709911</v>
      </c>
      <c r="H39" s="71" t="n">
        <f aca="false">I39*G39/1000</f>
        <v>1122594.66</v>
      </c>
      <c r="I39" s="71" t="n">
        <v>60</v>
      </c>
      <c r="K39" s="8" t="n">
        <v>5607044</v>
      </c>
      <c r="L39" s="71" t="n">
        <f aca="false">K39*M39/1000</f>
        <v>420528.3</v>
      </c>
      <c r="M39" s="71" t="n">
        <f aca="false">IF($AA$5=1,AK39,IF($AA$5=2,$AA$10*AJ39+(1-$AA$10)*AI39,$AA$10*AF39+(1-$AA$10)*AE39))</f>
        <v>75</v>
      </c>
      <c r="O39" s="71" t="n">
        <f aca="false">(I39-M39)*G39/1000</f>
        <v>-280648.665</v>
      </c>
      <c r="Q39" s="71" t="n">
        <f aca="false">O39+Q38*(1+$AB$2)^0.25</f>
        <v>-18120984.7274023</v>
      </c>
      <c r="S39" s="106" t="n">
        <v>39994</v>
      </c>
      <c r="T39" s="71" t="n">
        <f aca="false">XNPV($AB$2,O39:$O$45,S39:$S$45)</f>
        <v>-1386492.32017328</v>
      </c>
      <c r="U39" s="71"/>
      <c r="V39" s="71" t="n">
        <f aca="false">L39+H39</f>
        <v>1543122.96</v>
      </c>
      <c r="W39" s="71" t="n">
        <f aca="false">$V$5/$X$2</f>
        <v>1437066.25668452</v>
      </c>
      <c r="X39" s="105"/>
      <c r="AB39" s="107"/>
      <c r="AD39" s="0" t="s">
        <v>175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71" t="n">
        <v>75</v>
      </c>
      <c r="AL39" s="0" t="n">
        <f aca="false">AL38*(1+$AA$12)^0.25</f>
        <v>1.12649258659531</v>
      </c>
      <c r="AN39" s="95" t="n">
        <f aca="false">(AJ39+AK39)/2</f>
        <v>51.75303953712</v>
      </c>
      <c r="AO39" s="0" t="n">
        <f aca="false">+AO38</f>
        <v>82.7545820152566</v>
      </c>
      <c r="AQ39" s="95" t="n">
        <f aca="false">+D39</f>
        <v>1531968.102</v>
      </c>
      <c r="AS39" s="95" t="n">
        <f aca="false">+AS38</f>
        <v>106.145304813907</v>
      </c>
      <c r="AT39" s="43" t="n">
        <f aca="false">+G39</f>
        <v>18709911</v>
      </c>
      <c r="AU39" s="71" t="n">
        <f aca="false">+AS39*AT39/1000</f>
        <v>1985969.20613606</v>
      </c>
    </row>
    <row r="40" customFormat="false" ht="12.75" hidden="false" customHeight="false" outlineLevel="0" collapsed="false">
      <c r="B40" s="0" t="s">
        <v>176</v>
      </c>
      <c r="C40" s="8" t="n">
        <v>32144744</v>
      </c>
      <c r="D40" s="71" t="n">
        <f aca="false">E40*C40/1000</f>
        <v>2185842.592</v>
      </c>
      <c r="E40" s="71" t="n">
        <v>68</v>
      </c>
      <c r="G40" s="8" t="n">
        <v>19293801</v>
      </c>
      <c r="H40" s="71" t="n">
        <f aca="false">I40*G40/1000</f>
        <v>1292684.667</v>
      </c>
      <c r="I40" s="71" t="n">
        <v>67</v>
      </c>
      <c r="K40" s="8" t="n">
        <v>12850943</v>
      </c>
      <c r="L40" s="71" t="n">
        <f aca="false">K40*M40/1000</f>
        <v>912416.953</v>
      </c>
      <c r="M40" s="71" t="n">
        <f aca="false">IF($AA$5=1,AK40,IF($AA$5=2,$AA$10*AJ40+(1-$AA$10)*AI40,$AA$10*AF40+(1-$AA$10)*AE40))</f>
        <v>71</v>
      </c>
      <c r="O40" s="71" t="n">
        <f aca="false">(I40-M40)*G40/1000</f>
        <v>-77175.204</v>
      </c>
      <c r="Q40" s="71" t="n">
        <f aca="false">O40+Q39*(1+$AB$2)^0.25</f>
        <v>-18521900.5241952</v>
      </c>
      <c r="S40" s="106" t="n">
        <v>40086</v>
      </c>
      <c r="T40" s="71" t="n">
        <f aca="false">XNPV($AB$2,O40:$O$45,S40:$S$45)</f>
        <v>-1125763.94927458</v>
      </c>
      <c r="U40" s="71"/>
      <c r="V40" s="71" t="n">
        <f aca="false">L40+H40</f>
        <v>2205101.62</v>
      </c>
      <c r="W40" s="71" t="n">
        <f aca="false">$V$5/$X$2</f>
        <v>1437066.25668452</v>
      </c>
      <c r="X40" s="105"/>
      <c r="AB40" s="107"/>
      <c r="AD40" s="0" t="s">
        <v>176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71" t="n">
        <v>71</v>
      </c>
      <c r="AL40" s="0" t="n">
        <f aca="false">AL39*(1+$AA$12)^0.25</f>
        <v>1.13069337763882</v>
      </c>
      <c r="AN40" s="95" t="n">
        <f aca="false">(AJ40+AK40)/2</f>
        <v>63.1690691231508</v>
      </c>
      <c r="AO40" s="0" t="n">
        <f aca="false">+AO39</f>
        <v>82.7545820152566</v>
      </c>
      <c r="AQ40" s="95" t="n">
        <f aca="false">+D40</f>
        <v>2185842.592</v>
      </c>
      <c r="AS40" s="95" t="n">
        <f aca="false">+AS39</f>
        <v>106.145304813907</v>
      </c>
      <c r="AT40" s="43" t="n">
        <f aca="false">+G40</f>
        <v>19293801</v>
      </c>
      <c r="AU40" s="71" t="n">
        <f aca="false">+AS40*AT40/1000</f>
        <v>2047946.38816385</v>
      </c>
    </row>
    <row r="41" customFormat="false" ht="12.75" hidden="false" customHeight="false" outlineLevel="0" collapsed="false">
      <c r="B41" s="0" t="s">
        <v>177</v>
      </c>
      <c r="C41" s="8" t="n">
        <v>27451467</v>
      </c>
      <c r="D41" s="71" t="n">
        <f aca="false">E41*C41/1000</f>
        <v>1729442.421</v>
      </c>
      <c r="E41" s="71" t="n">
        <v>63</v>
      </c>
      <c r="G41" s="8" t="n">
        <v>18779557</v>
      </c>
      <c r="H41" s="71" t="n">
        <f aca="false">I41*G41/1000</f>
        <v>1107993.863</v>
      </c>
      <c r="I41" s="71" t="n">
        <v>59</v>
      </c>
      <c r="K41" s="8" t="n">
        <v>8671910</v>
      </c>
      <c r="L41" s="71" t="n">
        <f aca="false">K41*M41/1000</f>
        <v>607033.7</v>
      </c>
      <c r="M41" s="71" t="n">
        <f aca="false">IF($AA$5=1,AK41,IF($AA$5=2,$AA$10*AJ41+(1-$AA$10)*AI41,$AA$10*AF41+(1-$AA$10)*AE41))</f>
        <v>70</v>
      </c>
      <c r="O41" s="71" t="n">
        <f aca="false">(I41-M41)*G41/1000</f>
        <v>-206575.127</v>
      </c>
      <c r="Q41" s="71" t="n">
        <f aca="false">O41+Q40*(1+$AB$2)^0.25</f>
        <v>-19059378.8082564</v>
      </c>
      <c r="S41" s="106" t="n">
        <v>40178</v>
      </c>
      <c r="T41" s="71" t="n">
        <f aca="false">XNPV($AB$2,O41:$O$45,S41:$S$45)</f>
        <v>-1067477.66876703</v>
      </c>
      <c r="U41" s="71"/>
      <c r="V41" s="71" t="n">
        <f aca="false">L41+H41</f>
        <v>1715027.563</v>
      </c>
      <c r="W41" s="71" t="n">
        <f aca="false">$V$5/$X$2</f>
        <v>1437066.25668452</v>
      </c>
      <c r="X41" s="105"/>
      <c r="AB41" s="107"/>
      <c r="AD41" s="0" t="s">
        <v>177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71" t="n">
        <v>70</v>
      </c>
      <c r="AL41" s="0" t="n">
        <f aca="false">AL40*(1+$AA$12)^0.25</f>
        <v>1.13490983380575</v>
      </c>
      <c r="AN41" s="95" t="n">
        <f aca="false">(AJ41+AK41)/2</f>
        <v>56.8947039954546</v>
      </c>
      <c r="AO41" s="0" t="n">
        <f aca="false">+AO40</f>
        <v>82.7545820152566</v>
      </c>
      <c r="AQ41" s="95" t="n">
        <f aca="false">+D41</f>
        <v>1729442.421</v>
      </c>
      <c r="AS41" s="95" t="n">
        <f aca="false">+AS40</f>
        <v>106.145304813907</v>
      </c>
      <c r="AT41" s="43" t="n">
        <f aca="false">+G41</f>
        <v>18779557</v>
      </c>
      <c r="AU41" s="71" t="n">
        <f aca="false">+AS41*AT41/1000</f>
        <v>1993361.80203513</v>
      </c>
    </row>
    <row r="42" customFormat="false" ht="12.75" hidden="false" customHeight="false" outlineLevel="0" collapsed="false">
      <c r="A42" s="0" t="n">
        <v>2010</v>
      </c>
      <c r="B42" s="0" t="s">
        <v>174</v>
      </c>
      <c r="C42" s="8" t="n">
        <v>23781978</v>
      </c>
      <c r="D42" s="71" t="n">
        <f aca="false">E42*C42/1000</f>
        <v>1474482.636</v>
      </c>
      <c r="E42" s="71" t="n">
        <v>62</v>
      </c>
      <c r="G42" s="8" t="n">
        <v>18709260</v>
      </c>
      <c r="H42" s="71" t="n">
        <f aca="false">I42*G42/1000</f>
        <v>1085137.08</v>
      </c>
      <c r="I42" s="71" t="n">
        <v>58</v>
      </c>
      <c r="K42" s="8" t="n">
        <v>5072718</v>
      </c>
      <c r="L42" s="71" t="n">
        <f aca="false">K42*M42/1000</f>
        <v>385526.568</v>
      </c>
      <c r="M42" s="71" t="n">
        <f aca="false">IF($AA$5=1,AK42,IF($AA$5=2,$AA$10*AJ42+(1-$AA$10)*AI42,$AA$10*AF42+(1-$AA$10)*AE42))</f>
        <v>76</v>
      </c>
      <c r="O42" s="71" t="n">
        <f aca="false">(I42-M42)*G42/1000</f>
        <v>-336766.68</v>
      </c>
      <c r="Q42" s="71" t="n">
        <f aca="false">O42+Q41*(1+$AB$2)^0.25</f>
        <v>-19736650.9677583</v>
      </c>
      <c r="S42" s="106" t="n">
        <v>40268</v>
      </c>
      <c r="T42" s="71" t="n">
        <f aca="false">XNPV($AB$2,O42:$O$45,S42:$S$45)</f>
        <v>-876070.466372897</v>
      </c>
      <c r="U42" s="71"/>
      <c r="V42" s="71" t="n">
        <f aca="false">L42+H42</f>
        <v>1470663.648</v>
      </c>
      <c r="W42" s="71" t="n">
        <f aca="false">$V$5/$X$2</f>
        <v>1437066.25668452</v>
      </c>
      <c r="X42" s="105"/>
      <c r="AB42" s="107"/>
      <c r="AC42" s="0" t="n">
        <v>2010</v>
      </c>
      <c r="AD42" s="0" t="s">
        <v>174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71" t="n">
        <v>76</v>
      </c>
      <c r="AL42" s="0" t="n">
        <f aca="false">AL41*(1+$AA$12)^0.25</f>
        <v>1.13914201351273</v>
      </c>
      <c r="AN42" s="95" t="n">
        <f aca="false">(AJ42+AK42)/2</f>
        <v>54.8921438875993</v>
      </c>
      <c r="AO42" s="0" t="n">
        <f aca="false">+AO41</f>
        <v>82.7545820152566</v>
      </c>
      <c r="AQ42" s="95" t="n">
        <f aca="false">+D42</f>
        <v>1474482.636</v>
      </c>
      <c r="AS42" s="95" t="n">
        <f aca="false">+AS41</f>
        <v>106.145304813907</v>
      </c>
      <c r="AT42" s="43" t="n">
        <f aca="false">+G42</f>
        <v>18709260</v>
      </c>
      <c r="AU42" s="71" t="n">
        <f aca="false">+AS42*AT42/1000</f>
        <v>1985900.10554263</v>
      </c>
    </row>
    <row r="43" customFormat="false" ht="12.75" hidden="false" customHeight="false" outlineLevel="0" collapsed="false">
      <c r="B43" s="0" t="s">
        <v>175</v>
      </c>
      <c r="C43" s="8" t="n">
        <v>24950229</v>
      </c>
      <c r="D43" s="71" t="n">
        <f aca="false">E43*C43/1000</f>
        <v>1596814.656</v>
      </c>
      <c r="E43" s="71" t="n">
        <v>64</v>
      </c>
      <c r="G43" s="8" t="n">
        <v>18604505</v>
      </c>
      <c r="H43" s="71" t="n">
        <f aca="false">I43*G43/1000</f>
        <v>1116270.3</v>
      </c>
      <c r="I43" s="71" t="n">
        <v>60</v>
      </c>
      <c r="K43" s="8" t="n">
        <v>6342724</v>
      </c>
      <c r="L43" s="71" t="n">
        <f aca="false">K43*M43/1000</f>
        <v>469361.576</v>
      </c>
      <c r="M43" s="71" t="n">
        <f aca="false">IF($AA$5=1,AK43,IF($AA$5=2,$AA$10*AJ43+(1-$AA$10)*AI43,$AA$10*AF43+(1-$AA$10)*AE43))</f>
        <v>74</v>
      </c>
      <c r="O43" s="71" t="n">
        <f aca="false">(I43-M43)*G43/1000</f>
        <v>-260463.07</v>
      </c>
      <c r="Q43" s="71" t="n">
        <f aca="false">O43+Q42*(1+$AB$2)^0.25</f>
        <v>-20349719.3282637</v>
      </c>
      <c r="S43" s="106" t="n">
        <v>40359</v>
      </c>
      <c r="T43" s="71" t="n">
        <f aca="false">XNPV($AB$2,O43:$O$45,S43:$S$45)</f>
        <v>-548912.091493559</v>
      </c>
      <c r="U43" s="71"/>
      <c r="V43" s="71" t="n">
        <f aca="false">L43+H43</f>
        <v>1585631.876</v>
      </c>
      <c r="W43" s="71" t="n">
        <f aca="false">$V$5/$X$2</f>
        <v>1437066.25668452</v>
      </c>
      <c r="X43" s="105"/>
      <c r="AB43" s="107"/>
      <c r="AD43" s="0" t="s">
        <v>175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71" t="n">
        <v>74</v>
      </c>
      <c r="AL43" s="0" t="n">
        <f aca="false">AL42*(1+$AA$12)^0.25</f>
        <v>1.14338997539424</v>
      </c>
      <c r="AN43" s="95" t="n">
        <f aca="false">(AJ43+AK43)/2</f>
        <v>51.4618389557321</v>
      </c>
      <c r="AO43" s="0" t="n">
        <f aca="false">+AO42</f>
        <v>82.7545820152566</v>
      </c>
      <c r="AQ43" s="95" t="n">
        <f aca="false">+D43</f>
        <v>1596814.656</v>
      </c>
      <c r="AS43" s="95" t="n">
        <f aca="false">+AS42</f>
        <v>106.145304813907</v>
      </c>
      <c r="AT43" s="43" t="n">
        <f aca="false">+G43</f>
        <v>18604505</v>
      </c>
      <c r="AU43" s="71" t="n">
        <f aca="false">+AS43*AT43/1000</f>
        <v>1974780.85413685</v>
      </c>
    </row>
    <row r="44" customFormat="false" ht="12.75" hidden="false" customHeight="false" outlineLevel="0" collapsed="false">
      <c r="B44" s="0" t="s">
        <v>176</v>
      </c>
      <c r="C44" s="8" t="n">
        <v>33368529</v>
      </c>
      <c r="D44" s="71" t="n">
        <f aca="false">E44*C44/1000</f>
        <v>2302428.501</v>
      </c>
      <c r="E44" s="71" t="n">
        <v>69</v>
      </c>
      <c r="G44" s="8" t="n">
        <v>18922185</v>
      </c>
      <c r="H44" s="71" t="n">
        <f aca="false">I44*G44/1000</f>
        <v>1267786.395</v>
      </c>
      <c r="I44" s="71" t="n">
        <v>67</v>
      </c>
      <c r="K44" s="8" t="n">
        <v>14446344</v>
      </c>
      <c r="L44" s="71" t="n">
        <f aca="false">K44*M44/1000</f>
        <v>1025690.424</v>
      </c>
      <c r="M44" s="71" t="n">
        <f aca="false">IF($AA$5=1,AK44,IF($AA$5=2,$AA$10*AJ44+(1-$AA$10)*AI44,$AA$10*AF44+(1-$AA$10)*AE44))</f>
        <v>71</v>
      </c>
      <c r="O44" s="71" t="n">
        <f aca="false">(I44-M44)*G44/1000</f>
        <v>-75688.74</v>
      </c>
      <c r="Q44" s="71" t="n">
        <f aca="false">O44+Q43*(1+$AB$2)^0.25</f>
        <v>-20788966.1363051</v>
      </c>
      <c r="S44" s="106" t="n">
        <v>40451</v>
      </c>
      <c r="T44" s="71" t="n">
        <f aca="false">XNPV($AB$2,O44:$O$45,S44:$S$45)</f>
        <v>-293645.044741967</v>
      </c>
      <c r="U44" s="71"/>
      <c r="V44" s="71" t="n">
        <f aca="false">L44+H44</f>
        <v>2293476.819</v>
      </c>
      <c r="W44" s="71" t="n">
        <f aca="false">$V$5/$X$2</f>
        <v>1437066.25668452</v>
      </c>
      <c r="X44" s="105"/>
      <c r="AB44" s="107"/>
      <c r="AD44" s="0" t="s">
        <v>176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71" t="n">
        <v>71</v>
      </c>
      <c r="AL44" s="0" t="n">
        <f aca="false">AL43*(1+$AA$12)^0.25</f>
        <v>1.1476537783034</v>
      </c>
      <c r="AN44" s="95" t="n">
        <f aca="false">(AJ44+AK44)/2</f>
        <v>62.7534380986043</v>
      </c>
      <c r="AO44" s="0" t="n">
        <f aca="false">+AO43</f>
        <v>82.7545820152566</v>
      </c>
      <c r="AQ44" s="95" t="n">
        <f aca="false">+D44</f>
        <v>2302428.501</v>
      </c>
      <c r="AS44" s="95" t="n">
        <f aca="false">+AS43</f>
        <v>106.145304813907</v>
      </c>
      <c r="AT44" s="43" t="n">
        <f aca="false">+G44</f>
        <v>18922185</v>
      </c>
      <c r="AU44" s="71" t="n">
        <f aca="false">+AS44*AT44/1000</f>
        <v>2008501.09457013</v>
      </c>
    </row>
    <row r="45" customFormat="false" ht="12.75" hidden="false" customHeight="false" outlineLevel="0" collapsed="false">
      <c r="B45" s="0" t="s">
        <v>177</v>
      </c>
      <c r="C45" s="8" t="n">
        <v>28418492</v>
      </c>
      <c r="D45" s="71" t="n">
        <f aca="false">E45*C45/1000</f>
        <v>1790364.996</v>
      </c>
      <c r="E45" s="71" t="n">
        <v>63</v>
      </c>
      <c r="G45" s="8" t="n">
        <v>18490208</v>
      </c>
      <c r="H45" s="71" t="n">
        <f aca="false">I45*G45/1000</f>
        <v>1090922.272</v>
      </c>
      <c r="I45" s="71" t="n">
        <v>59</v>
      </c>
      <c r="K45" s="8" t="n">
        <v>9928284</v>
      </c>
      <c r="L45" s="71" t="n">
        <f aca="false">K45*M45/1000</f>
        <v>704908.164</v>
      </c>
      <c r="M45" s="71" t="n">
        <f aca="false">IF($AA$5=1,AK45,IF($AA$5=2,$AA$10*AJ45+(1-$AA$10)*AI45,$AA$10*AF45+(1-$AA$10)*AE45))</f>
        <v>71</v>
      </c>
      <c r="O45" s="71" t="n">
        <f aca="false">(I45-M45)*G45/1000</f>
        <v>-221882.496</v>
      </c>
      <c r="Q45" s="71" t="n">
        <f aca="false">O45+Q44*(1+$AB$2)^0.25</f>
        <v>-21382254.0675927</v>
      </c>
      <c r="S45" s="106" t="n">
        <v>40543</v>
      </c>
      <c r="T45" s="71" t="e">
        <f aca="false">XNPV($AB$2,O45:$O$45,S45:$S$45)</f>
        <v>#VALUE!</v>
      </c>
      <c r="U45" s="71"/>
      <c r="V45" s="71" t="n">
        <f aca="false">L45+H45</f>
        <v>1795830.436</v>
      </c>
      <c r="W45" s="71" t="n">
        <f aca="false">$V$5/$X$2</f>
        <v>1437066.25668452</v>
      </c>
      <c r="X45" s="105"/>
      <c r="AB45" s="107"/>
      <c r="AD45" s="0" t="s">
        <v>177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71" t="n">
        <v>71</v>
      </c>
      <c r="AL45" s="0" t="n">
        <f aca="false">AL44*(1+$AA$12)^0.25</f>
        <v>1.15193348131284</v>
      </c>
      <c r="AN45" s="95" t="n">
        <f aca="false">(AJ45+AK45)/2</f>
        <v>57.0936654951484</v>
      </c>
      <c r="AO45" s="0" t="n">
        <f aca="false">+AO44</f>
        <v>82.7545820152566</v>
      </c>
      <c r="AQ45" s="95" t="n">
        <f aca="false">+D45</f>
        <v>1790364.996</v>
      </c>
      <c r="AS45" s="95" t="n">
        <f aca="false">+AS44</f>
        <v>106.145304813907</v>
      </c>
      <c r="AT45" s="43" t="n">
        <f aca="false">+G45</f>
        <v>18490208</v>
      </c>
      <c r="AU45" s="71" t="n">
        <f aca="false">+AS45*AT45/1000</f>
        <v>1962648.76423253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2" min="17" style="0" width="9.28"/>
    <col collapsed="false" customWidth="true" hidden="false" outlineLevel="0" max="25" min="24" style="0" width="10.28"/>
    <col collapsed="false" customWidth="true" hidden="false" outlineLevel="0" max="29" min="26" style="0" width="9.28"/>
  </cols>
  <sheetData>
    <row r="1" customFormat="false" ht="30" hidden="false" customHeight="false" outlineLevel="0" collapsed="false">
      <c r="A1" s="109" t="s">
        <v>307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customFormat="false" ht="30" hidden="false" customHeight="false" outlineLevel="0" collapsed="false">
      <c r="A2" s="109" t="s">
        <v>308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customFormat="false" ht="12.75" hidden="false" customHeight="false" outlineLevel="0" collapsed="fals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customFormat="false" ht="12.75" hidden="false" customHeight="false" outlineLevel="0" collapsed="false">
      <c r="A4" s="110" t="s">
        <v>309</v>
      </c>
      <c r="B4" s="111"/>
      <c r="C4" s="111"/>
      <c r="D4" s="21"/>
      <c r="E4" s="111"/>
      <c r="F4" s="111"/>
      <c r="G4" s="111"/>
      <c r="H4" s="111"/>
      <c r="I4" s="111"/>
      <c r="J4" s="111"/>
      <c r="K4" s="111"/>
      <c r="L4" s="44"/>
      <c r="M4" s="44"/>
      <c r="N4" s="44"/>
    </row>
    <row r="5" customFormat="false" ht="12.75" hidden="false" customHeight="false" outlineLevel="0" collapsed="false">
      <c r="A5" s="110" t="s">
        <v>310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44"/>
      <c r="M5" s="44"/>
      <c r="N5" s="44"/>
    </row>
    <row r="6" customFormat="false" ht="12.75" hidden="false" customHeight="false" outlineLevel="0" collapsed="false">
      <c r="A6" s="44"/>
      <c r="B6" s="61" t="s">
        <v>311</v>
      </c>
      <c r="C6" s="61"/>
      <c r="D6" s="61"/>
      <c r="E6" s="61"/>
      <c r="F6" s="61"/>
      <c r="G6" s="61"/>
      <c r="H6" s="61"/>
      <c r="I6" s="61"/>
      <c r="J6" s="61"/>
      <c r="K6" s="61"/>
      <c r="L6" s="61" t="s">
        <v>312</v>
      </c>
      <c r="M6" s="61"/>
      <c r="N6" s="61"/>
      <c r="S6" s="66" t="s">
        <v>313</v>
      </c>
      <c r="Z6" s="66" t="s">
        <v>314</v>
      </c>
    </row>
    <row r="7" customFormat="false" ht="38.25" hidden="false" customHeight="false" outlineLevel="0" collapsed="false">
      <c r="A7" s="44" t="s">
        <v>315</v>
      </c>
      <c r="B7" s="111" t="s">
        <v>316</v>
      </c>
      <c r="C7" s="111" t="s">
        <v>317</v>
      </c>
      <c r="D7" s="111" t="s">
        <v>318</v>
      </c>
      <c r="E7" s="111" t="s">
        <v>319</v>
      </c>
      <c r="F7" s="112" t="s">
        <v>320</v>
      </c>
      <c r="G7" s="112" t="s">
        <v>321</v>
      </c>
      <c r="H7" s="112" t="s">
        <v>322</v>
      </c>
      <c r="I7" s="112" t="s">
        <v>323</v>
      </c>
      <c r="J7" s="112" t="s">
        <v>324</v>
      </c>
      <c r="K7" s="112" t="s">
        <v>325</v>
      </c>
      <c r="L7" s="111" t="s">
        <v>326</v>
      </c>
      <c r="M7" s="112" t="s">
        <v>327</v>
      </c>
      <c r="N7" s="112" t="s">
        <v>328</v>
      </c>
      <c r="Q7" s="112" t="s">
        <v>320</v>
      </c>
      <c r="R7" s="112" t="s">
        <v>321</v>
      </c>
      <c r="S7" s="112" t="s">
        <v>322</v>
      </c>
      <c r="T7" s="112" t="s">
        <v>323</v>
      </c>
      <c r="U7" s="112" t="s">
        <v>324</v>
      </c>
      <c r="V7" s="112" t="s">
        <v>325</v>
      </c>
      <c r="X7" s="112" t="s">
        <v>320</v>
      </c>
      <c r="Y7" s="112" t="s">
        <v>321</v>
      </c>
      <c r="Z7" s="112" t="s">
        <v>322</v>
      </c>
      <c r="AA7" s="112" t="s">
        <v>323</v>
      </c>
      <c r="AB7" s="112" t="s">
        <v>324</v>
      </c>
      <c r="AC7" s="112" t="s">
        <v>325</v>
      </c>
    </row>
    <row r="8" customFormat="false" ht="12.75" hidden="false" customHeight="false" outlineLevel="0" collapsed="false">
      <c r="A8" s="44"/>
      <c r="B8" s="111"/>
      <c r="C8" s="111"/>
      <c r="D8" s="111"/>
      <c r="E8" s="111"/>
      <c r="F8" s="113" t="s">
        <v>329</v>
      </c>
      <c r="G8" s="113"/>
      <c r="H8" s="113"/>
      <c r="I8" s="113"/>
      <c r="J8" s="113"/>
      <c r="K8" s="113"/>
      <c r="L8" s="44"/>
      <c r="M8" s="44"/>
      <c r="N8" s="44"/>
    </row>
    <row r="9" customFormat="false" ht="12.75" hidden="false" customHeight="false" outlineLevel="0" collapsed="false">
      <c r="A9" s="110" t="s">
        <v>330</v>
      </c>
      <c r="B9" s="114"/>
      <c r="C9" s="111"/>
      <c r="D9" s="111"/>
      <c r="E9" s="111"/>
      <c r="F9" s="111"/>
      <c r="G9" s="111"/>
      <c r="H9" s="111"/>
      <c r="I9" s="111"/>
      <c r="J9" s="111"/>
      <c r="K9" s="111"/>
      <c r="L9" s="115"/>
      <c r="M9" s="44"/>
      <c r="N9" s="44"/>
    </row>
    <row r="10" customFormat="false" ht="12.75" hidden="false" customHeight="false" outlineLevel="0" collapsed="false">
      <c r="A10" s="111"/>
      <c r="B10" s="114"/>
      <c r="C10" s="111"/>
      <c r="D10" s="111"/>
      <c r="E10" s="111"/>
      <c r="F10" s="116"/>
      <c r="G10" s="116"/>
      <c r="H10" s="116"/>
      <c r="I10" s="116"/>
      <c r="J10" s="116"/>
      <c r="K10" s="116"/>
      <c r="L10" s="114"/>
      <c r="M10" s="114"/>
      <c r="N10" s="111"/>
    </row>
    <row r="11" customFormat="false" ht="12.75" hidden="false" customHeight="false" outlineLevel="0" collapsed="false">
      <c r="A11" s="1" t="n">
        <v>1</v>
      </c>
      <c r="B11" s="117" t="n">
        <v>36931</v>
      </c>
      <c r="C11" s="1" t="s">
        <v>331</v>
      </c>
      <c r="D11" s="1" t="s">
        <v>332</v>
      </c>
      <c r="E11" s="1" t="s">
        <v>292</v>
      </c>
      <c r="F11" s="118" t="n">
        <v>50</v>
      </c>
      <c r="G11" s="118" t="n">
        <v>50</v>
      </c>
      <c r="H11" s="118" t="n">
        <v>50</v>
      </c>
      <c r="I11" s="118" t="n">
        <v>50</v>
      </c>
      <c r="J11" s="118" t="n">
        <v>50</v>
      </c>
      <c r="K11" s="118"/>
      <c r="L11" s="117" t="n">
        <v>36928</v>
      </c>
      <c r="M11" s="117" t="n">
        <v>36929</v>
      </c>
      <c r="N11" s="117" t="n">
        <v>36935</v>
      </c>
      <c r="Q11" s="8" t="n">
        <f aca="false">IF($D11="Peak",+F11,0)</f>
        <v>50</v>
      </c>
      <c r="R11" s="8" t="n">
        <f aca="false">IF($D11="Peak",+G11,0)</f>
        <v>50</v>
      </c>
      <c r="S11" s="8" t="n">
        <f aca="false">IF($D11="Peak",+H11,0)</f>
        <v>50</v>
      </c>
      <c r="T11" s="8" t="n">
        <f aca="false">IF($D11="Peak",+I11,0)</f>
        <v>50</v>
      </c>
      <c r="U11" s="8" t="n">
        <f aca="false">IF($D11="Peak",+J11,0)</f>
        <v>50</v>
      </c>
      <c r="V11" s="8" t="n">
        <f aca="false">IF($D11="Peak",+K11,0)</f>
        <v>0</v>
      </c>
      <c r="W11" s="8"/>
      <c r="X11" s="8" t="n">
        <f aca="false">IF($D11="Peak",+F11,0)</f>
        <v>50</v>
      </c>
      <c r="Y11" s="8" t="n">
        <f aca="false">IF($F11="Peak",+N11,0)</f>
        <v>0</v>
      </c>
      <c r="Z11" s="8" t="n">
        <f aca="false">IF($F11="Peak",+O11,0)</f>
        <v>0</v>
      </c>
      <c r="AA11" s="8" t="n">
        <f aca="false">IF($F11="Peak",+P11,0)</f>
        <v>0</v>
      </c>
      <c r="AB11" s="8" t="n">
        <f aca="false">IF($F11="Peak",+Q11,0)</f>
        <v>0</v>
      </c>
      <c r="AC11" s="8" t="n">
        <f aca="false">IF($F11="Peak",+R11,0)</f>
        <v>0</v>
      </c>
      <c r="AD11" s="8"/>
    </row>
    <row r="12" customFormat="false" ht="12.75" hidden="false" customHeight="false" outlineLevel="0" collapsed="false">
      <c r="A12" s="1" t="n">
        <v>2</v>
      </c>
      <c r="B12" s="117" t="n">
        <v>36931</v>
      </c>
      <c r="C12" s="1" t="s">
        <v>331</v>
      </c>
      <c r="D12" s="1" t="s">
        <v>332</v>
      </c>
      <c r="E12" s="1" t="s">
        <v>293</v>
      </c>
      <c r="F12" s="118" t="n">
        <v>50</v>
      </c>
      <c r="G12" s="118" t="n">
        <v>50</v>
      </c>
      <c r="H12" s="118" t="n">
        <v>50</v>
      </c>
      <c r="I12" s="118" t="n">
        <v>50</v>
      </c>
      <c r="J12" s="118" t="n">
        <v>50</v>
      </c>
      <c r="K12" s="118"/>
      <c r="L12" s="117" t="n">
        <v>36928</v>
      </c>
      <c r="M12" s="117" t="n">
        <v>36929</v>
      </c>
      <c r="N12" s="117" t="n">
        <v>36935</v>
      </c>
      <c r="Q12" s="8" t="n">
        <f aca="false">IF($D12="Peak",+F12,0)</f>
        <v>50</v>
      </c>
      <c r="R12" s="8" t="n">
        <f aca="false">IF($D12="Peak",+G12,0)</f>
        <v>50</v>
      </c>
      <c r="S12" s="8" t="n">
        <f aca="false">IF($D12="Peak",+H12,0)</f>
        <v>50</v>
      </c>
      <c r="T12" s="8" t="n">
        <f aca="false">IF($D12="Peak",+I12,0)</f>
        <v>50</v>
      </c>
      <c r="U12" s="8" t="n">
        <f aca="false">IF($D12="Peak",+J12,0)</f>
        <v>50</v>
      </c>
      <c r="V12" s="8" t="n">
        <f aca="false">IF($D12="Peak",+K12,0)</f>
        <v>0</v>
      </c>
      <c r="W12" s="8"/>
      <c r="X12" s="8" t="n">
        <f aca="false">IF($F12="Peak",+M12,0)</f>
        <v>0</v>
      </c>
      <c r="Y12" s="8" t="n">
        <f aca="false">IF($F12="Peak",+N12,0)</f>
        <v>0</v>
      </c>
      <c r="Z12" s="8" t="n">
        <f aca="false">IF($F12="Peak",+O12,0)</f>
        <v>0</v>
      </c>
      <c r="AA12" s="8" t="n">
        <f aca="false">IF($F12="Peak",+P12,0)</f>
        <v>0</v>
      </c>
      <c r="AB12" s="8" t="n">
        <f aca="false">IF($F12="Peak",+Q12,0)</f>
        <v>0</v>
      </c>
      <c r="AC12" s="8" t="n">
        <f aca="false">IF($F12="Peak",+R12,0)</f>
        <v>0</v>
      </c>
      <c r="AD12" s="8"/>
    </row>
    <row r="13" customFormat="false" ht="12.75" hidden="false" customHeight="false" outlineLevel="0" collapsed="false">
      <c r="A13" s="1" t="n">
        <v>3</v>
      </c>
      <c r="B13" s="114" t="n">
        <v>36935</v>
      </c>
      <c r="C13" s="111" t="s">
        <v>333</v>
      </c>
      <c r="D13" s="111" t="s">
        <v>334</v>
      </c>
      <c r="E13" s="111" t="s">
        <v>293</v>
      </c>
      <c r="F13" s="116" t="n">
        <v>12</v>
      </c>
      <c r="G13" s="116" t="s">
        <v>335</v>
      </c>
      <c r="H13" s="116"/>
      <c r="I13" s="116"/>
      <c r="J13" s="116"/>
      <c r="K13" s="116"/>
      <c r="L13" s="114"/>
      <c r="M13" s="114"/>
      <c r="N13" s="114" t="s">
        <v>336</v>
      </c>
      <c r="Q13" s="8" t="n">
        <f aca="false">IF($D13="Peak",+F13,0)</f>
        <v>0</v>
      </c>
      <c r="R13" s="8" t="n">
        <f aca="false">IF($D13="Peak",+G13,0)</f>
        <v>0</v>
      </c>
      <c r="S13" s="8" t="n">
        <f aca="false">IF($D13="Peak",+H13,0)</f>
        <v>0</v>
      </c>
      <c r="T13" s="8" t="n">
        <f aca="false">IF($D13="Peak",+I13,0)</f>
        <v>0</v>
      </c>
      <c r="U13" s="8" t="n">
        <f aca="false">IF($D13="Peak",+J13,0)</f>
        <v>0</v>
      </c>
      <c r="V13" s="8" t="n">
        <f aca="false">IF($D13="Peak",+K13,0)</f>
        <v>0</v>
      </c>
      <c r="W13" s="8"/>
      <c r="X13" s="8" t="n">
        <f aca="false">IF($F13="Peak",+M13,0)</f>
        <v>0</v>
      </c>
      <c r="Y13" s="8" t="n">
        <f aca="false">IF($F13="Peak",+N13,0)</f>
        <v>0</v>
      </c>
      <c r="Z13" s="8" t="n">
        <f aca="false">IF($F13="Peak",+O13,0)</f>
        <v>0</v>
      </c>
      <c r="AA13" s="8" t="n">
        <f aca="false">IF($F13="Peak",+P13,0)</f>
        <v>0</v>
      </c>
      <c r="AB13" s="8" t="n">
        <f aca="false">IF($F13="Peak",+Q13,0)</f>
        <v>0</v>
      </c>
      <c r="AC13" s="8" t="n">
        <f aca="false">IF($F13="Peak",+R13,0)</f>
        <v>0</v>
      </c>
      <c r="AD13" s="8"/>
    </row>
    <row r="14" customFormat="false" ht="12.75" hidden="false" customHeight="false" outlineLevel="0" collapsed="false">
      <c r="A14" s="1" t="n">
        <v>4</v>
      </c>
      <c r="B14" s="117" t="n">
        <v>36937</v>
      </c>
      <c r="C14" s="1" t="s">
        <v>331</v>
      </c>
      <c r="D14" s="1" t="s">
        <v>334</v>
      </c>
      <c r="E14" s="1" t="s">
        <v>292</v>
      </c>
      <c r="F14" s="118" t="n">
        <v>50</v>
      </c>
      <c r="G14" s="118" t="n">
        <v>50</v>
      </c>
      <c r="H14" s="118" t="n">
        <v>50</v>
      </c>
      <c r="I14" s="118" t="n">
        <v>50</v>
      </c>
      <c r="J14" s="118" t="n">
        <v>50</v>
      </c>
      <c r="K14" s="118"/>
      <c r="L14" s="117" t="n">
        <v>36928</v>
      </c>
      <c r="M14" s="117" t="n">
        <v>36929</v>
      </c>
      <c r="N14" s="117" t="n">
        <v>36942</v>
      </c>
      <c r="Q14" s="8" t="n">
        <f aca="false">IF($D14="Peak",+F14,0)</f>
        <v>0</v>
      </c>
      <c r="R14" s="8" t="n">
        <f aca="false">IF($D14="Peak",+G14,0)</f>
        <v>0</v>
      </c>
      <c r="S14" s="8" t="n">
        <f aca="false">IF($D14="Peak",+H14,0)</f>
        <v>0</v>
      </c>
      <c r="T14" s="8" t="n">
        <f aca="false">IF($D14="Peak",+I14,0)</f>
        <v>0</v>
      </c>
      <c r="U14" s="8" t="n">
        <f aca="false">IF($D14="Peak",+J14,0)</f>
        <v>0</v>
      </c>
      <c r="V14" s="8" t="n">
        <f aca="false">IF($D14="Peak",+K14,0)</f>
        <v>0</v>
      </c>
      <c r="W14" s="8"/>
      <c r="X14" s="8" t="n">
        <f aca="false">IF($F14="Peak",+M14,0)</f>
        <v>0</v>
      </c>
      <c r="Y14" s="8" t="n">
        <f aca="false">IF($F14="Peak",+N14,0)</f>
        <v>0</v>
      </c>
      <c r="Z14" s="8" t="n">
        <f aca="false">IF($F14="Peak",+O14,0)</f>
        <v>0</v>
      </c>
      <c r="AA14" s="8" t="n">
        <f aca="false">IF($F14="Peak",+P14,0)</f>
        <v>0</v>
      </c>
      <c r="AB14" s="8" t="n">
        <f aca="false">IF($F14="Peak",+Q14,0)</f>
        <v>0</v>
      </c>
      <c r="AC14" s="8" t="n">
        <f aca="false">IF($F14="Peak",+R14,0)</f>
        <v>0</v>
      </c>
      <c r="AD14" s="8"/>
    </row>
    <row r="15" customFormat="false" ht="12.75" hidden="false" customHeight="false" outlineLevel="0" collapsed="false">
      <c r="A15" s="1" t="n">
        <v>5</v>
      </c>
      <c r="B15" s="117" t="s">
        <v>337</v>
      </c>
      <c r="C15" s="1" t="s">
        <v>338</v>
      </c>
      <c r="D15" s="1" t="s">
        <v>339</v>
      </c>
      <c r="E15" s="1" t="s">
        <v>293</v>
      </c>
      <c r="F15" s="118" t="s">
        <v>340</v>
      </c>
      <c r="G15" s="118"/>
      <c r="H15" s="118"/>
      <c r="I15" s="118"/>
      <c r="J15" s="118"/>
      <c r="K15" s="118"/>
      <c r="L15" s="117" t="n">
        <v>36931</v>
      </c>
      <c r="M15" s="117" t="n">
        <v>36936</v>
      </c>
      <c r="N15" s="117" t="n">
        <v>36942</v>
      </c>
      <c r="Q15" s="8" t="n">
        <f aca="false">IF($D15="Peak",+F15,0)</f>
        <v>0</v>
      </c>
      <c r="R15" s="8" t="n">
        <f aca="false">IF($D15="Peak",+G15,0)</f>
        <v>0</v>
      </c>
      <c r="S15" s="8" t="n">
        <f aca="false">IF($D15="Peak",+H15,0)</f>
        <v>0</v>
      </c>
      <c r="T15" s="8" t="n">
        <f aca="false">IF($D15="Peak",+I15,0)</f>
        <v>0</v>
      </c>
      <c r="U15" s="8" t="n">
        <f aca="false">IF($D15="Peak",+J15,0)</f>
        <v>0</v>
      </c>
      <c r="V15" s="8" t="n">
        <f aca="false">IF($D15="Peak",+K15,0)</f>
        <v>0</v>
      </c>
      <c r="W15" s="8"/>
      <c r="X15" s="8" t="n">
        <f aca="false">IF($F15="Peak",+M15,0)</f>
        <v>0</v>
      </c>
      <c r="Y15" s="8" t="n">
        <f aca="false">IF($F15="Peak",+N15,0)</f>
        <v>0</v>
      </c>
      <c r="Z15" s="8" t="n">
        <f aca="false">IF($F15="Peak",+O15,0)</f>
        <v>0</v>
      </c>
      <c r="AA15" s="8" t="n">
        <f aca="false">IF($F15="Peak",+P15,0)</f>
        <v>0</v>
      </c>
      <c r="AB15" s="8" t="n">
        <f aca="false">IF($F15="Peak",+Q15,0)</f>
        <v>0</v>
      </c>
      <c r="AC15" s="8" t="n">
        <f aca="false">IF($F15="Peak",+R15,0)</f>
        <v>0</v>
      </c>
      <c r="AD15" s="8"/>
    </row>
    <row r="16" customFormat="false" ht="12.75" hidden="false" customHeight="false" outlineLevel="0" collapsed="false">
      <c r="A16" s="1" t="n">
        <v>6</v>
      </c>
      <c r="B16" s="117" t="n">
        <v>36945</v>
      </c>
      <c r="C16" s="117" t="n">
        <v>38806</v>
      </c>
      <c r="D16" s="1" t="s">
        <v>332</v>
      </c>
      <c r="E16" s="1" t="s">
        <v>293</v>
      </c>
      <c r="F16" s="118" t="n">
        <v>200</v>
      </c>
      <c r="G16" s="118" t="n">
        <v>200</v>
      </c>
      <c r="H16" s="118" t="n">
        <v>200</v>
      </c>
      <c r="I16" s="118" t="n">
        <v>200</v>
      </c>
      <c r="J16" s="118" t="n">
        <v>200</v>
      </c>
      <c r="K16" s="118"/>
      <c r="L16" s="117" t="n">
        <v>36928</v>
      </c>
      <c r="M16" s="117" t="n">
        <v>36929</v>
      </c>
      <c r="N16" s="117" t="n">
        <v>36944</v>
      </c>
      <c r="Q16" s="8" t="n">
        <f aca="false">IF($D16="Peak",+F16,0)</f>
        <v>200</v>
      </c>
      <c r="R16" s="8" t="n">
        <f aca="false">IF($D16="Peak",+G16,0)</f>
        <v>200</v>
      </c>
      <c r="S16" s="8" t="n">
        <f aca="false">IF($D16="Peak",+H16,0)</f>
        <v>200</v>
      </c>
      <c r="T16" s="8" t="n">
        <f aca="false">IF($D16="Peak",+I16,0)</f>
        <v>200</v>
      </c>
      <c r="U16" s="8" t="n">
        <f aca="false">IF($D16="Peak",+J16,0)</f>
        <v>200</v>
      </c>
      <c r="V16" s="8" t="n">
        <f aca="false">IF($D16="Peak",+K16,0)</f>
        <v>0</v>
      </c>
      <c r="W16" s="8"/>
      <c r="X16" s="8" t="n">
        <f aca="false">IF($F16="Peak",+M16,0)</f>
        <v>0</v>
      </c>
      <c r="Y16" s="8" t="n">
        <f aca="false">IF($F16="Peak",+N16,0)</f>
        <v>0</v>
      </c>
      <c r="Z16" s="8" t="n">
        <f aca="false">IF($F16="Peak",+O16,0)</f>
        <v>0</v>
      </c>
      <c r="AA16" s="8" t="n">
        <f aca="false">IF($F16="Peak",+P16,0)</f>
        <v>0</v>
      </c>
      <c r="AB16" s="8" t="n">
        <f aca="false">IF($F16="Peak",+Q16,0)</f>
        <v>0</v>
      </c>
      <c r="AC16" s="8" t="n">
        <f aca="false">IF($F16="Peak",+R16,0)</f>
        <v>0</v>
      </c>
      <c r="AD16" s="8"/>
    </row>
    <row r="17" customFormat="false" ht="12.75" hidden="false" customHeight="false" outlineLevel="0" collapsed="false">
      <c r="A17" s="1" t="n">
        <v>7</v>
      </c>
      <c r="B17" s="117" t="n">
        <v>36951</v>
      </c>
      <c r="C17" s="1" t="s">
        <v>341</v>
      </c>
      <c r="D17" s="1" t="s">
        <v>332</v>
      </c>
      <c r="E17" s="1" t="s">
        <v>292</v>
      </c>
      <c r="F17" s="1" t="n">
        <v>1000</v>
      </c>
      <c r="G17" s="1"/>
      <c r="H17" s="1"/>
      <c r="I17" s="1"/>
      <c r="J17" s="1"/>
      <c r="K17" s="1"/>
      <c r="L17" s="117" t="n">
        <v>36944</v>
      </c>
      <c r="M17" s="117" t="n">
        <v>36945</v>
      </c>
      <c r="N17" s="117" t="n">
        <v>36952</v>
      </c>
      <c r="Q17" s="8" t="n">
        <f aca="false">IF($D17="Peak",+F17,0)</f>
        <v>1000</v>
      </c>
      <c r="R17" s="8" t="n">
        <f aca="false">IF($D17="Peak",+G17,0)</f>
        <v>0</v>
      </c>
      <c r="S17" s="8" t="n">
        <f aca="false">IF($D17="Peak",+H17,0)</f>
        <v>0</v>
      </c>
      <c r="T17" s="8" t="n">
        <f aca="false">IF($D17="Peak",+I17,0)</f>
        <v>0</v>
      </c>
      <c r="U17" s="8" t="n">
        <f aca="false">IF($D17="Peak",+J17,0)</f>
        <v>0</v>
      </c>
      <c r="V17" s="8" t="n">
        <f aca="false">IF($D17="Peak",+K17,0)</f>
        <v>0</v>
      </c>
      <c r="W17" s="8"/>
      <c r="X17" s="8" t="n">
        <f aca="false">IF($F17="Peak",+M17,0)</f>
        <v>0</v>
      </c>
      <c r="Y17" s="8" t="n">
        <f aca="false">IF($F17="Peak",+N17,0)</f>
        <v>0</v>
      </c>
      <c r="Z17" s="8" t="n">
        <f aca="false">IF($F17="Peak",+O17,0)</f>
        <v>0</v>
      </c>
      <c r="AA17" s="8" t="n">
        <f aca="false">IF($F17="Peak",+P17,0)</f>
        <v>0</v>
      </c>
      <c r="AB17" s="8" t="n">
        <f aca="false">IF($F17="Peak",+Q17,0)</f>
        <v>0</v>
      </c>
      <c r="AC17" s="8" t="n">
        <f aca="false">IF($F17="Peak",+R17,0)</f>
        <v>0</v>
      </c>
      <c r="AD17" s="8"/>
    </row>
    <row r="18" customFormat="false" ht="12.75" hidden="false" customHeight="false" outlineLevel="0" collapsed="false">
      <c r="A18" s="1" t="n">
        <v>8</v>
      </c>
      <c r="B18" s="117" t="n">
        <v>36951</v>
      </c>
      <c r="C18" s="1" t="s">
        <v>338</v>
      </c>
      <c r="D18" s="1" t="s">
        <v>342</v>
      </c>
      <c r="E18" s="1" t="s">
        <v>292</v>
      </c>
      <c r="F18" s="1" t="s">
        <v>343</v>
      </c>
      <c r="G18" s="1"/>
      <c r="H18" s="1"/>
      <c r="I18" s="1"/>
      <c r="J18" s="1"/>
      <c r="K18" s="1"/>
      <c r="L18" s="117" t="n">
        <v>36944</v>
      </c>
      <c r="M18" s="117" t="n">
        <v>36945</v>
      </c>
      <c r="N18" s="117" t="n">
        <v>36952</v>
      </c>
      <c r="Q18" s="8" t="n">
        <f aca="false">IF($D18="Peak",+F18,0)</f>
        <v>0</v>
      </c>
      <c r="R18" s="8" t="n">
        <f aca="false">IF($D18="Peak",+G18,0)</f>
        <v>0</v>
      </c>
      <c r="S18" s="8" t="n">
        <f aca="false">IF($D18="Peak",+H18,0)</f>
        <v>0</v>
      </c>
      <c r="T18" s="8" t="n">
        <f aca="false">IF($D18="Peak",+I18,0)</f>
        <v>0</v>
      </c>
      <c r="U18" s="8" t="n">
        <f aca="false">IF($D18="Peak",+J18,0)</f>
        <v>0</v>
      </c>
      <c r="V18" s="8" t="n">
        <f aca="false">IF($D18="Peak",+K18,0)</f>
        <v>0</v>
      </c>
      <c r="W18" s="8"/>
      <c r="X18" s="8" t="n">
        <f aca="false">IF($F18="Peak",+M18,0)</f>
        <v>0</v>
      </c>
      <c r="Y18" s="8" t="n">
        <f aca="false">IF($F18="Peak",+N18,0)</f>
        <v>0</v>
      </c>
      <c r="Z18" s="8" t="n">
        <f aca="false">IF($F18="Peak",+O18,0)</f>
        <v>0</v>
      </c>
      <c r="AA18" s="8" t="n">
        <f aca="false">IF($F18="Peak",+P18,0)</f>
        <v>0</v>
      </c>
      <c r="AB18" s="8" t="n">
        <f aca="false">IF($F18="Peak",+Q18,0)</f>
        <v>0</v>
      </c>
      <c r="AC18" s="8" t="n">
        <f aca="false">IF($F18="Peak",+R18,0)</f>
        <v>0</v>
      </c>
      <c r="AD18" s="8"/>
    </row>
    <row r="19" customFormat="false" ht="12.75" hidden="false" customHeight="false" outlineLevel="0" collapsed="false">
      <c r="A19" s="1" t="n">
        <v>9</v>
      </c>
      <c r="B19" s="117" t="n">
        <v>36982</v>
      </c>
      <c r="C19" s="1" t="s">
        <v>344</v>
      </c>
      <c r="D19" s="1" t="s">
        <v>332</v>
      </c>
      <c r="E19" s="1" t="s">
        <v>292</v>
      </c>
      <c r="F19" s="118" t="n">
        <v>175</v>
      </c>
      <c r="G19" s="118" t="n">
        <v>200</v>
      </c>
      <c r="H19" s="118" t="n">
        <v>250</v>
      </c>
      <c r="I19" s="118" t="n">
        <v>250</v>
      </c>
      <c r="J19" s="118" t="n">
        <v>300</v>
      </c>
      <c r="K19" s="118" t="n">
        <v>300</v>
      </c>
      <c r="L19" s="117" t="n">
        <v>36927</v>
      </c>
      <c r="M19" s="117" t="n">
        <v>36928</v>
      </c>
      <c r="N19" s="117" t="n">
        <v>36938</v>
      </c>
      <c r="Q19" s="8" t="n">
        <f aca="false">IF($D19="Peak",+F19,0)</f>
        <v>175</v>
      </c>
      <c r="R19" s="8" t="n">
        <f aca="false">IF($D19="Peak",+G19,0)</f>
        <v>200</v>
      </c>
      <c r="S19" s="8" t="n">
        <f aca="false">IF($D19="Peak",+H19,0)</f>
        <v>250</v>
      </c>
      <c r="T19" s="8" t="n">
        <f aca="false">IF($D19="Peak",+I19,0)</f>
        <v>250</v>
      </c>
      <c r="U19" s="8" t="n">
        <f aca="false">IF($D19="Peak",+J19,0)</f>
        <v>300</v>
      </c>
      <c r="V19" s="8" t="n">
        <f aca="false">IF($D19="Peak",+K19,0)</f>
        <v>300</v>
      </c>
      <c r="W19" s="8"/>
      <c r="X19" s="8" t="n">
        <f aca="false">IF($F19="Peak",+M19,0)</f>
        <v>0</v>
      </c>
      <c r="Y19" s="8" t="n">
        <f aca="false">IF($F19="Peak",+N19,0)</f>
        <v>0</v>
      </c>
      <c r="Z19" s="8" t="n">
        <f aca="false">IF($F19="Peak",+O19,0)</f>
        <v>0</v>
      </c>
      <c r="AA19" s="8" t="n">
        <f aca="false">IF($F19="Peak",+P19,0)</f>
        <v>0</v>
      </c>
      <c r="AB19" s="8" t="n">
        <f aca="false">IF($F19="Peak",+Q19,0)</f>
        <v>0</v>
      </c>
      <c r="AC19" s="8" t="n">
        <f aca="false">IF($F19="Peak",+R19,0)</f>
        <v>0</v>
      </c>
      <c r="AD19" s="8"/>
    </row>
    <row r="20" customFormat="false" ht="12.75" hidden="false" customHeight="false" outlineLevel="0" collapsed="false">
      <c r="A20" s="1" t="n">
        <v>10</v>
      </c>
      <c r="B20" s="117" t="n">
        <v>37043</v>
      </c>
      <c r="C20" s="1" t="s">
        <v>345</v>
      </c>
      <c r="D20" s="1" t="s">
        <v>332</v>
      </c>
      <c r="E20" s="1" t="s">
        <v>292</v>
      </c>
      <c r="F20" s="118" t="n">
        <v>140</v>
      </c>
      <c r="G20" s="118" t="n">
        <v>160</v>
      </c>
      <c r="H20" s="118" t="n">
        <v>240</v>
      </c>
      <c r="I20" s="118" t="n">
        <v>320</v>
      </c>
      <c r="J20" s="118" t="n">
        <v>400</v>
      </c>
      <c r="K20" s="118"/>
      <c r="L20" s="117" t="n">
        <v>36931</v>
      </c>
      <c r="M20" s="117" t="n">
        <v>36931</v>
      </c>
      <c r="N20" s="117" t="n">
        <v>36943</v>
      </c>
      <c r="Q20" s="8" t="n">
        <f aca="false">IF($D20="Peak",+F20,0)</f>
        <v>140</v>
      </c>
      <c r="R20" s="8" t="n">
        <f aca="false">IF($D20="Peak",+G20,0)</f>
        <v>160</v>
      </c>
      <c r="S20" s="8" t="n">
        <f aca="false">IF($D20="Peak",+H20,0)</f>
        <v>240</v>
      </c>
      <c r="T20" s="8" t="n">
        <f aca="false">IF($D20="Peak",+I20,0)</f>
        <v>320</v>
      </c>
      <c r="U20" s="8" t="n">
        <f aca="false">IF($D20="Peak",+J20,0)</f>
        <v>400</v>
      </c>
      <c r="V20" s="8" t="n">
        <f aca="false">IF($D20="Peak",+K20,0)</f>
        <v>0</v>
      </c>
      <c r="W20" s="8"/>
      <c r="X20" s="8" t="n">
        <f aca="false">IF($F20="Peak",+M20,0)</f>
        <v>0</v>
      </c>
      <c r="Y20" s="8" t="n">
        <f aca="false">IF($F20="Peak",+N20,0)</f>
        <v>0</v>
      </c>
      <c r="Z20" s="8" t="n">
        <f aca="false">IF($F20="Peak",+O20,0)</f>
        <v>0</v>
      </c>
      <c r="AA20" s="8" t="n">
        <f aca="false">IF($F20="Peak",+P20,0)</f>
        <v>0</v>
      </c>
      <c r="AB20" s="8" t="n">
        <f aca="false">IF($F20="Peak",+Q20,0)</f>
        <v>0</v>
      </c>
      <c r="AC20" s="8" t="n">
        <f aca="false">IF($F20="Peak",+R20,0)</f>
        <v>0</v>
      </c>
      <c r="AD20" s="8"/>
    </row>
    <row r="21" customFormat="false" ht="12.75" hidden="false" customHeight="false" outlineLevel="0" collapsed="false">
      <c r="A21" s="1" t="n">
        <v>11</v>
      </c>
      <c r="B21" s="117" t="n">
        <v>37043</v>
      </c>
      <c r="C21" s="1" t="s">
        <v>346</v>
      </c>
      <c r="D21" s="1" t="s">
        <v>334</v>
      </c>
      <c r="E21" s="1" t="s">
        <v>292</v>
      </c>
      <c r="F21" s="118" t="n">
        <v>35</v>
      </c>
      <c r="G21" s="118" t="n">
        <v>40</v>
      </c>
      <c r="H21" s="118" t="n">
        <v>60</v>
      </c>
      <c r="I21" s="118" t="n">
        <v>80</v>
      </c>
      <c r="J21" s="118" t="n">
        <v>100</v>
      </c>
      <c r="K21" s="118" t="n">
        <v>600</v>
      </c>
      <c r="L21" s="117" t="n">
        <v>36931</v>
      </c>
      <c r="M21" s="117" t="n">
        <v>36931</v>
      </c>
      <c r="N21" s="117" t="n">
        <v>36943</v>
      </c>
      <c r="Q21" s="8" t="n">
        <f aca="false">IF($D21="Peak",+F21,0)</f>
        <v>0</v>
      </c>
      <c r="R21" s="8" t="n">
        <f aca="false">IF($D21="Peak",+G21,0)</f>
        <v>0</v>
      </c>
      <c r="S21" s="8" t="n">
        <f aca="false">IF($D21="Peak",+H21,0)</f>
        <v>0</v>
      </c>
      <c r="T21" s="8" t="n">
        <f aca="false">IF($D21="Peak",+I21,0)</f>
        <v>0</v>
      </c>
      <c r="U21" s="8" t="n">
        <f aca="false">IF($D21="Peak",+J21,0)</f>
        <v>0</v>
      </c>
      <c r="V21" s="8" t="n">
        <f aca="false">IF($D21="Peak",+K21,0)</f>
        <v>0</v>
      </c>
      <c r="W21" s="8"/>
      <c r="X21" s="8" t="n">
        <f aca="false">IF($F21="Peak",+M21,0)</f>
        <v>0</v>
      </c>
      <c r="Y21" s="8" t="n">
        <f aca="false">IF($F21="Peak",+N21,0)</f>
        <v>0</v>
      </c>
      <c r="Z21" s="8" t="n">
        <f aca="false">IF($F21="Peak",+O21,0)</f>
        <v>0</v>
      </c>
      <c r="AA21" s="8" t="n">
        <f aca="false">IF($F21="Peak",+P21,0)</f>
        <v>0</v>
      </c>
      <c r="AB21" s="8" t="n">
        <f aca="false">IF($F21="Peak",+Q21,0)</f>
        <v>0</v>
      </c>
      <c r="AC21" s="8" t="n">
        <f aca="false">IF($F21="Peak",+R21,0)</f>
        <v>0</v>
      </c>
      <c r="AD21" s="8"/>
    </row>
    <row r="22" customFormat="false" ht="12.75" hidden="false" customHeight="false" outlineLevel="0" collapsed="false">
      <c r="A22" s="1" t="n">
        <v>12</v>
      </c>
      <c r="B22" s="117" t="n">
        <v>37073</v>
      </c>
      <c r="C22" s="1" t="s">
        <v>346</v>
      </c>
      <c r="D22" s="1" t="s">
        <v>334</v>
      </c>
      <c r="E22" s="1" t="s">
        <v>293</v>
      </c>
      <c r="F22" s="118" t="n">
        <v>200</v>
      </c>
      <c r="G22" s="118" t="n">
        <v>1000</v>
      </c>
      <c r="H22" s="118" t="n">
        <v>1000</v>
      </c>
      <c r="I22" s="118" t="n">
        <v>1000</v>
      </c>
      <c r="J22" s="118" t="n">
        <v>1000</v>
      </c>
      <c r="K22" s="118" t="n">
        <v>1000</v>
      </c>
      <c r="L22" s="117"/>
      <c r="M22" s="117" t="n">
        <v>36943</v>
      </c>
      <c r="N22" s="117" t="n">
        <v>36949</v>
      </c>
      <c r="Q22" s="8" t="n">
        <f aca="false">IF($D22="Peak",+F22,0)</f>
        <v>0</v>
      </c>
      <c r="R22" s="8" t="n">
        <f aca="false">IF($D22="Peak",+G22,0)</f>
        <v>0</v>
      </c>
      <c r="S22" s="8" t="n">
        <f aca="false">IF($D22="Peak",+H22,0)</f>
        <v>0</v>
      </c>
      <c r="T22" s="8" t="n">
        <f aca="false">IF($D22="Peak",+I22,0)</f>
        <v>0</v>
      </c>
      <c r="U22" s="8" t="n">
        <f aca="false">IF($D22="Peak",+J22,0)</f>
        <v>0</v>
      </c>
      <c r="V22" s="8" t="n">
        <f aca="false">IF($D22="Peak",+K22,0)</f>
        <v>0</v>
      </c>
      <c r="W22" s="8"/>
      <c r="X22" s="8" t="n">
        <f aca="false">IF($F22="Peak",+M22,0)</f>
        <v>0</v>
      </c>
      <c r="Y22" s="8" t="n">
        <f aca="false">IF($F22="Peak",+N22,0)</f>
        <v>0</v>
      </c>
      <c r="Z22" s="8" t="n">
        <f aca="false">IF($F22="Peak",+O22,0)</f>
        <v>0</v>
      </c>
      <c r="AA22" s="8" t="n">
        <f aca="false">IF($F22="Peak",+P22,0)</f>
        <v>0</v>
      </c>
      <c r="AB22" s="8" t="n">
        <f aca="false">IF($F22="Peak",+Q22,0)</f>
        <v>0</v>
      </c>
      <c r="AC22" s="8" t="n">
        <f aca="false">IF($F22="Peak",+R22,0)</f>
        <v>0</v>
      </c>
      <c r="AD22" s="8"/>
    </row>
    <row r="23" customFormat="false" ht="12.75" hidden="false" customHeight="false" outlineLevel="0" collapsed="false">
      <c r="A23" s="1" t="n">
        <v>13</v>
      </c>
      <c r="B23" s="117" t="n">
        <v>37104</v>
      </c>
      <c r="C23" s="1" t="s">
        <v>347</v>
      </c>
      <c r="D23" s="1" t="s">
        <v>332</v>
      </c>
      <c r="E23" s="1" t="s">
        <v>293</v>
      </c>
      <c r="F23" s="118" t="s">
        <v>335</v>
      </c>
      <c r="G23" s="118" t="n">
        <v>450</v>
      </c>
      <c r="H23" s="118" t="n">
        <v>495</v>
      </c>
      <c r="I23" s="118" t="n">
        <v>495</v>
      </c>
      <c r="J23" s="118" t="n">
        <v>495</v>
      </c>
      <c r="K23" s="118" t="n">
        <v>495</v>
      </c>
      <c r="L23" s="117"/>
      <c r="M23" s="117" t="n">
        <v>36943</v>
      </c>
      <c r="N23" s="117" t="n">
        <v>36949</v>
      </c>
      <c r="Q23" s="8" t="str">
        <f aca="false">IF($D23="Peak",+F23,0)</f>
        <v>*</v>
      </c>
      <c r="R23" s="8" t="n">
        <f aca="false">IF($D23="Peak",+G23,0)</f>
        <v>450</v>
      </c>
      <c r="S23" s="8" t="n">
        <f aca="false">IF($D23="Peak",+H23,0)</f>
        <v>495</v>
      </c>
      <c r="T23" s="8" t="n">
        <f aca="false">IF($D23="Peak",+I23,0)</f>
        <v>495</v>
      </c>
      <c r="U23" s="8" t="n">
        <f aca="false">IF($D23="Peak",+J23,0)</f>
        <v>495</v>
      </c>
      <c r="V23" s="8" t="n">
        <f aca="false">IF($D23="Peak",+K23,0)</f>
        <v>495</v>
      </c>
      <c r="W23" s="8"/>
      <c r="X23" s="8" t="n">
        <f aca="false">IF($F23="Peak",+M23,0)</f>
        <v>0</v>
      </c>
      <c r="Y23" s="8" t="n">
        <f aca="false">IF($F23="Peak",+N23,0)</f>
        <v>0</v>
      </c>
      <c r="Z23" s="8" t="n">
        <f aca="false">IF($F23="Peak",+O23,0)</f>
        <v>0</v>
      </c>
      <c r="AA23" s="8" t="n">
        <f aca="false">IF($F23="Peak",+P23,0)</f>
        <v>0</v>
      </c>
      <c r="AB23" s="8" t="n">
        <f aca="false">IF($F23="Peak",+Q23,0)</f>
        <v>0</v>
      </c>
      <c r="AC23" s="8" t="n">
        <f aca="false">IF($F23="Peak",+R23,0)</f>
        <v>0</v>
      </c>
      <c r="AD23" s="8"/>
    </row>
    <row r="24" customFormat="false" ht="12.75" hidden="false" customHeight="false" outlineLevel="0" collapsed="false">
      <c r="A24" s="1" t="n">
        <v>14</v>
      </c>
      <c r="B24" s="114" t="n">
        <v>37165</v>
      </c>
      <c r="C24" s="111" t="s">
        <v>344</v>
      </c>
      <c r="D24" s="111" t="s">
        <v>334</v>
      </c>
      <c r="E24" s="111" t="s">
        <v>293</v>
      </c>
      <c r="F24" s="116" t="s">
        <v>335</v>
      </c>
      <c r="G24" s="116" t="n">
        <v>350</v>
      </c>
      <c r="H24" s="116" t="n">
        <v>600</v>
      </c>
      <c r="I24" s="116" t="n">
        <v>1000</v>
      </c>
      <c r="J24" s="116" t="n">
        <v>1000</v>
      </c>
      <c r="K24" s="116" t="n">
        <v>1000</v>
      </c>
      <c r="L24" s="114" t="n">
        <v>36915</v>
      </c>
      <c r="M24" s="114" t="n">
        <v>36928</v>
      </c>
      <c r="N24" s="114" t="n">
        <v>36928</v>
      </c>
      <c r="Q24" s="8" t="n">
        <f aca="false">IF($D24="Peak",+F24,0)</f>
        <v>0</v>
      </c>
      <c r="R24" s="8" t="n">
        <f aca="false">IF($D24="Peak",+G24,0)</f>
        <v>0</v>
      </c>
      <c r="S24" s="8" t="n">
        <f aca="false">IF($D24="Peak",+H24,0)</f>
        <v>0</v>
      </c>
      <c r="T24" s="8" t="n">
        <f aca="false">IF($D24="Peak",+I24,0)</f>
        <v>0</v>
      </c>
      <c r="U24" s="8" t="n">
        <f aca="false">IF($D24="Peak",+J24,0)</f>
        <v>0</v>
      </c>
      <c r="V24" s="8" t="n">
        <f aca="false">IF($D24="Peak",+K24,0)</f>
        <v>0</v>
      </c>
      <c r="W24" s="8"/>
      <c r="X24" s="8" t="n">
        <f aca="false">IF($F24="Peak",+M24,0)</f>
        <v>0</v>
      </c>
      <c r="Y24" s="8" t="n">
        <f aca="false">IF($F24="Peak",+N24,0)</f>
        <v>0</v>
      </c>
      <c r="Z24" s="8" t="n">
        <f aca="false">IF($F24="Peak",+O24,0)</f>
        <v>0</v>
      </c>
      <c r="AA24" s="8" t="n">
        <f aca="false">IF($F24="Peak",+P24,0)</f>
        <v>0</v>
      </c>
      <c r="AB24" s="8" t="n">
        <f aca="false">IF($F24="Peak",+Q24,0)</f>
        <v>0</v>
      </c>
      <c r="AC24" s="8" t="n">
        <f aca="false">IF($F24="Peak",+R24,0)</f>
        <v>0</v>
      </c>
      <c r="AD24" s="8"/>
    </row>
    <row r="25" customFormat="false" ht="12.75" hidden="false" customHeight="false" outlineLevel="0" collapsed="false">
      <c r="A25" s="1" t="n">
        <v>15</v>
      </c>
      <c r="B25" s="117" t="n">
        <v>37257</v>
      </c>
      <c r="C25" s="1" t="s">
        <v>348</v>
      </c>
      <c r="D25" s="1" t="s">
        <v>334</v>
      </c>
      <c r="E25" s="1" t="s">
        <v>292</v>
      </c>
      <c r="F25" s="118"/>
      <c r="G25" s="118" t="n">
        <v>200</v>
      </c>
      <c r="H25" s="118" t="n">
        <v>200</v>
      </c>
      <c r="I25" s="118" t="n">
        <v>200</v>
      </c>
      <c r="J25" s="118"/>
      <c r="K25" s="118"/>
      <c r="L25" s="117" t="n">
        <v>36944</v>
      </c>
      <c r="M25" s="117" t="n">
        <v>36945</v>
      </c>
      <c r="N25" s="117" t="n">
        <v>36952</v>
      </c>
      <c r="Q25" s="8" t="n">
        <f aca="false">IF($D25="Peak",+F25,0)</f>
        <v>0</v>
      </c>
      <c r="R25" s="8" t="n">
        <f aca="false">IF($D25="Peak",+G25,0)</f>
        <v>0</v>
      </c>
      <c r="S25" s="8" t="n">
        <f aca="false">IF($D25="Peak",+H25,0)</f>
        <v>0</v>
      </c>
      <c r="T25" s="8" t="n">
        <f aca="false">IF($D25="Peak",+I25,0)</f>
        <v>0</v>
      </c>
      <c r="U25" s="8" t="n">
        <f aca="false">IF($D25="Peak",+J25,0)</f>
        <v>0</v>
      </c>
      <c r="V25" s="8" t="n">
        <f aca="false">IF($D25="Peak",+K25,0)</f>
        <v>0</v>
      </c>
      <c r="W25" s="8"/>
      <c r="X25" s="8" t="n">
        <f aca="false">IF($F25="Peak",+M25,0)</f>
        <v>0</v>
      </c>
      <c r="Y25" s="8" t="n">
        <f aca="false">IF($F25="Peak",+N25,0)</f>
        <v>0</v>
      </c>
      <c r="Z25" s="8" t="n">
        <f aca="false">IF($F25="Peak",+O25,0)</f>
        <v>0</v>
      </c>
      <c r="AA25" s="8" t="n">
        <f aca="false">IF($F25="Peak",+P25,0)</f>
        <v>0</v>
      </c>
      <c r="AB25" s="8" t="n">
        <f aca="false">IF($F25="Peak",+Q25,0)</f>
        <v>0</v>
      </c>
      <c r="AC25" s="8" t="n">
        <f aca="false">IF($F25="Peak",+R25,0)</f>
        <v>0</v>
      </c>
      <c r="AD25" s="8"/>
    </row>
    <row r="26" customFormat="false" ht="12.75" hidden="false" customHeight="false" outlineLevel="0" collapsed="false">
      <c r="A26" s="1" t="n">
        <v>16</v>
      </c>
      <c r="B26" s="117" t="n">
        <v>37257</v>
      </c>
      <c r="C26" s="1" t="s">
        <v>348</v>
      </c>
      <c r="D26" s="1" t="s">
        <v>332</v>
      </c>
      <c r="E26" s="1" t="s">
        <v>292</v>
      </c>
      <c r="F26" s="118"/>
      <c r="G26" s="118" t="n">
        <v>600</v>
      </c>
      <c r="H26" s="118" t="n">
        <v>600</v>
      </c>
      <c r="I26" s="118" t="n">
        <v>600</v>
      </c>
      <c r="J26" s="118"/>
      <c r="K26" s="118"/>
      <c r="L26" s="117" t="n">
        <v>36944</v>
      </c>
      <c r="M26" s="117" t="n">
        <v>36945</v>
      </c>
      <c r="N26" s="117" t="n">
        <v>36952</v>
      </c>
      <c r="Q26" s="8" t="n">
        <f aca="false">IF($D26="Peak",+F26,0)</f>
        <v>0</v>
      </c>
      <c r="R26" s="8" t="n">
        <f aca="false">IF($D26="Peak",+G26,0)</f>
        <v>600</v>
      </c>
      <c r="S26" s="8" t="n">
        <f aca="false">IF($D26="Peak",+H26,0)</f>
        <v>600</v>
      </c>
      <c r="T26" s="8" t="n">
        <f aca="false">IF($D26="Peak",+I26,0)</f>
        <v>600</v>
      </c>
      <c r="U26" s="8" t="n">
        <f aca="false">IF($D26="Peak",+J26,0)</f>
        <v>0</v>
      </c>
      <c r="V26" s="8" t="n">
        <f aca="false">IF($D26="Peak",+K26,0)</f>
        <v>0</v>
      </c>
      <c r="W26" s="8"/>
      <c r="X26" s="8" t="n">
        <f aca="false">IF($F26="Peak",+M26,0)</f>
        <v>0</v>
      </c>
      <c r="Y26" s="8" t="n">
        <f aca="false">IF($F26="Peak",+N26,0)</f>
        <v>0</v>
      </c>
      <c r="Z26" s="8" t="n">
        <f aca="false">IF($F26="Peak",+O26,0)</f>
        <v>0</v>
      </c>
      <c r="AA26" s="8" t="n">
        <f aca="false">IF($F26="Peak",+P26,0)</f>
        <v>0</v>
      </c>
      <c r="AB26" s="8" t="n">
        <f aca="false">IF($F26="Peak",+Q26,0)</f>
        <v>0</v>
      </c>
      <c r="AC26" s="8" t="n">
        <f aca="false">IF($F26="Peak",+R26,0)</f>
        <v>0</v>
      </c>
      <c r="AD26" s="8"/>
    </row>
    <row r="27" customFormat="false" ht="12.75" hidden="false" customHeight="false" outlineLevel="0" collapsed="false">
      <c r="A27" s="1" t="n">
        <v>17</v>
      </c>
      <c r="B27" s="117" t="n">
        <v>37257</v>
      </c>
      <c r="C27" s="1" t="s">
        <v>348</v>
      </c>
      <c r="D27" s="1" t="s">
        <v>332</v>
      </c>
      <c r="E27" s="1" t="s">
        <v>292</v>
      </c>
      <c r="F27" s="118"/>
      <c r="G27" s="118" t="n">
        <v>500</v>
      </c>
      <c r="H27" s="118" t="n">
        <v>500</v>
      </c>
      <c r="I27" s="118" t="n">
        <v>500</v>
      </c>
      <c r="J27" s="118"/>
      <c r="K27" s="118"/>
      <c r="L27" s="117" t="n">
        <v>36944</v>
      </c>
      <c r="M27" s="117" t="n">
        <v>36945</v>
      </c>
      <c r="N27" s="117" t="n">
        <v>36952</v>
      </c>
      <c r="Q27" s="8" t="n">
        <f aca="false">IF($D27="Peak",+F27,0)</f>
        <v>0</v>
      </c>
      <c r="R27" s="8" t="n">
        <f aca="false">IF($D27="Peak",+G27,0)</f>
        <v>500</v>
      </c>
      <c r="S27" s="8" t="n">
        <f aca="false">IF($D27="Peak",+H27,0)</f>
        <v>500</v>
      </c>
      <c r="T27" s="8" t="n">
        <f aca="false">IF($D27="Peak",+I27,0)</f>
        <v>500</v>
      </c>
      <c r="U27" s="8" t="n">
        <f aca="false">IF($D27="Peak",+J27,0)</f>
        <v>0</v>
      </c>
      <c r="V27" s="8" t="n">
        <f aca="false">IF($D27="Peak",+K27,0)</f>
        <v>0</v>
      </c>
      <c r="W27" s="8"/>
      <c r="X27" s="8" t="n">
        <f aca="false">IF($F27="Peak",+M27,0)</f>
        <v>0</v>
      </c>
      <c r="Y27" s="8" t="n">
        <f aca="false">IF($F27="Peak",+N27,0)</f>
        <v>0</v>
      </c>
      <c r="Z27" s="8" t="n">
        <f aca="false">IF($F27="Peak",+O27,0)</f>
        <v>0</v>
      </c>
      <c r="AA27" s="8" t="n">
        <f aca="false">IF($F27="Peak",+P27,0)</f>
        <v>0</v>
      </c>
      <c r="AB27" s="8" t="n">
        <f aca="false">IF($F27="Peak",+Q27,0)</f>
        <v>0</v>
      </c>
      <c r="AC27" s="8" t="n">
        <f aca="false">IF($F27="Peak",+R27,0)</f>
        <v>0</v>
      </c>
      <c r="AD27" s="8"/>
    </row>
    <row r="28" customFormat="false" ht="12.75" hidden="false" customHeight="false" outlineLevel="0" collapsed="false">
      <c r="A28" s="1" t="n">
        <v>18</v>
      </c>
      <c r="B28" s="117" t="n">
        <v>37257</v>
      </c>
      <c r="C28" s="1" t="s">
        <v>348</v>
      </c>
      <c r="D28" s="1" t="s">
        <v>342</v>
      </c>
      <c r="E28" s="1" t="s">
        <v>292</v>
      </c>
      <c r="F28" s="118"/>
      <c r="G28" s="119" t="s">
        <v>343</v>
      </c>
      <c r="H28" s="119" t="s">
        <v>343</v>
      </c>
      <c r="I28" s="119" t="s">
        <v>343</v>
      </c>
      <c r="J28" s="118"/>
      <c r="K28" s="118"/>
      <c r="L28" s="117" t="n">
        <v>36944</v>
      </c>
      <c r="M28" s="117" t="n">
        <v>36945</v>
      </c>
      <c r="N28" s="117" t="n">
        <v>36952</v>
      </c>
      <c r="Q28" s="8" t="n">
        <f aca="false">IF($D28="Peak",+F28,0)</f>
        <v>0</v>
      </c>
      <c r="R28" s="8" t="n">
        <f aca="false">IF($D28="Peak",+G28,0)</f>
        <v>0</v>
      </c>
      <c r="S28" s="8" t="n">
        <f aca="false">IF($D28="Peak",+H28,0)</f>
        <v>0</v>
      </c>
      <c r="T28" s="8" t="n">
        <f aca="false">IF($D28="Peak",+I28,0)</f>
        <v>0</v>
      </c>
      <c r="U28" s="8" t="n">
        <f aca="false">IF($D28="Peak",+J28,0)</f>
        <v>0</v>
      </c>
      <c r="V28" s="8" t="n">
        <f aca="false">IF($D28="Peak",+K28,0)</f>
        <v>0</v>
      </c>
      <c r="W28" s="8"/>
      <c r="X28" s="8" t="n">
        <f aca="false">IF($F28="Peak",+M28,0)</f>
        <v>0</v>
      </c>
      <c r="Y28" s="8" t="n">
        <f aca="false">IF($F28="Peak",+N28,0)</f>
        <v>0</v>
      </c>
      <c r="Z28" s="8" t="n">
        <f aca="false">IF($F28="Peak",+O28,0)</f>
        <v>0</v>
      </c>
      <c r="AA28" s="8" t="n">
        <f aca="false">IF($F28="Peak",+P28,0)</f>
        <v>0</v>
      </c>
      <c r="AB28" s="8" t="n">
        <f aca="false">IF($F28="Peak",+Q28,0)</f>
        <v>0</v>
      </c>
      <c r="AC28" s="8" t="n">
        <f aca="false">IF($F28="Peak",+R28,0)</f>
        <v>0</v>
      </c>
      <c r="AD28" s="8"/>
    </row>
    <row r="29" customFormat="false" ht="12.75" hidden="false" customHeight="false" outlineLevel="0" collapsed="false">
      <c r="A29" s="1" t="n">
        <v>19</v>
      </c>
      <c r="B29" s="117" t="n">
        <v>37622</v>
      </c>
      <c r="C29" s="1" t="s">
        <v>349</v>
      </c>
      <c r="D29" s="1" t="s">
        <v>332</v>
      </c>
      <c r="E29" s="1" t="s">
        <v>292</v>
      </c>
      <c r="F29" s="120"/>
      <c r="G29" s="120"/>
      <c r="H29" s="120" t="n">
        <v>500</v>
      </c>
      <c r="I29" s="120" t="n">
        <v>500</v>
      </c>
      <c r="J29" s="120" t="n">
        <v>500</v>
      </c>
      <c r="K29" s="120" t="n">
        <v>500</v>
      </c>
      <c r="L29" s="117"/>
      <c r="M29" s="1"/>
      <c r="N29" s="117" t="n">
        <v>36943</v>
      </c>
      <c r="Q29" s="8" t="n">
        <f aca="false">IF($D29="Peak",+F29,0)</f>
        <v>0</v>
      </c>
      <c r="R29" s="8" t="n">
        <f aca="false">IF($D29="Peak",+G29,0)</f>
        <v>0</v>
      </c>
      <c r="S29" s="8" t="n">
        <f aca="false">IF($D29="Peak",+H29,0)</f>
        <v>500</v>
      </c>
      <c r="T29" s="8" t="n">
        <f aca="false">IF($D29="Peak",+I29,0)</f>
        <v>500</v>
      </c>
      <c r="U29" s="8" t="n">
        <f aca="false">IF($D29="Peak",+J29,0)</f>
        <v>500</v>
      </c>
      <c r="V29" s="8" t="n">
        <f aca="false">IF($D29="Peak",+K29,0)</f>
        <v>500</v>
      </c>
      <c r="W29" s="8"/>
      <c r="X29" s="8" t="n">
        <f aca="false">IF($F29="Peak",+M29,0)</f>
        <v>0</v>
      </c>
      <c r="Y29" s="8" t="n">
        <f aca="false">IF($F29="Peak",+N29,0)</f>
        <v>0</v>
      </c>
      <c r="Z29" s="8" t="n">
        <f aca="false">IF($F29="Peak",+O29,0)</f>
        <v>0</v>
      </c>
      <c r="AA29" s="8" t="n">
        <f aca="false">IF($F29="Peak",+P29,0)</f>
        <v>0</v>
      </c>
      <c r="AB29" s="8" t="n">
        <f aca="false">IF($F29="Peak",+Q29,0)</f>
        <v>0</v>
      </c>
      <c r="AC29" s="8" t="n">
        <f aca="false">IF($F29="Peak",+R29,0)</f>
        <v>0</v>
      </c>
      <c r="AD29" s="8"/>
    </row>
    <row r="30" customFormat="false" ht="12.75" hidden="false" customHeight="false" outlineLevel="0" collapsed="false">
      <c r="A30" s="1"/>
      <c r="B30" s="117"/>
      <c r="C30" s="1"/>
      <c r="D30" s="1"/>
      <c r="E30" s="1"/>
      <c r="F30" s="120"/>
      <c r="G30" s="120"/>
      <c r="H30" s="120"/>
      <c r="I30" s="120"/>
      <c r="J30" s="120"/>
      <c r="K30" s="120"/>
      <c r="L30" s="117"/>
      <c r="M30" s="1"/>
      <c r="N30" s="117"/>
      <c r="Q30" s="8" t="n">
        <f aca="false">IF($D30="Peak",+F30,0)</f>
        <v>0</v>
      </c>
      <c r="R30" s="8" t="n">
        <f aca="false">IF($D30="Peak",+G30,0)</f>
        <v>0</v>
      </c>
      <c r="S30" s="8" t="n">
        <f aca="false">IF($D30="Peak",+H30,0)</f>
        <v>0</v>
      </c>
      <c r="T30" s="8" t="n">
        <f aca="false">IF($D30="Peak",+I30,0)</f>
        <v>0</v>
      </c>
      <c r="U30" s="8" t="n">
        <f aca="false">IF($D30="Peak",+J30,0)</f>
        <v>0</v>
      </c>
      <c r="V30" s="8" t="n">
        <f aca="false">IF($D30="Peak",+K30,0)</f>
        <v>0</v>
      </c>
      <c r="W30" s="8"/>
      <c r="X30" s="8" t="n">
        <f aca="false">IF($F30="Peak",+M30,0)</f>
        <v>0</v>
      </c>
      <c r="Y30" s="8" t="n">
        <f aca="false">IF($F30="Peak",+N30,0)</f>
        <v>0</v>
      </c>
      <c r="Z30" s="8" t="n">
        <f aca="false">IF($F30="Peak",+O30,0)</f>
        <v>0</v>
      </c>
      <c r="AA30" s="8" t="n">
        <f aca="false">IF($F30="Peak",+P30,0)</f>
        <v>0</v>
      </c>
      <c r="AB30" s="8" t="n">
        <f aca="false">IF($F30="Peak",+Q30,0)</f>
        <v>0</v>
      </c>
      <c r="AC30" s="8" t="n">
        <f aca="false">IF($F30="Peak",+R30,0)</f>
        <v>0</v>
      </c>
      <c r="AD30" s="8"/>
    </row>
    <row r="31" customFormat="false" ht="12.75" hidden="false" customHeight="false" outlineLevel="0" collapsed="false">
      <c r="A31" s="1" t="n">
        <v>20</v>
      </c>
      <c r="B31" s="117" t="n">
        <v>37803</v>
      </c>
      <c r="C31" s="1" t="s">
        <v>350</v>
      </c>
      <c r="D31" s="1" t="s">
        <v>334</v>
      </c>
      <c r="E31" s="1" t="s">
        <v>292</v>
      </c>
      <c r="F31" s="1"/>
      <c r="G31" s="1"/>
      <c r="H31" s="1" t="n">
        <v>730</v>
      </c>
      <c r="I31" s="1" t="n">
        <v>730</v>
      </c>
      <c r="J31" s="1" t="n">
        <v>730</v>
      </c>
      <c r="K31" s="1" t="n">
        <v>730</v>
      </c>
      <c r="L31" s="117" t="n">
        <v>36949</v>
      </c>
      <c r="M31" s="117" t="n">
        <v>36950</v>
      </c>
      <c r="N31" s="117" t="n">
        <v>36965</v>
      </c>
      <c r="Q31" s="8" t="n">
        <f aca="false">IF($D31="Peak",+F31,0)</f>
        <v>0</v>
      </c>
      <c r="R31" s="8" t="n">
        <f aca="false">IF($D31="Peak",+G31,0)</f>
        <v>0</v>
      </c>
      <c r="S31" s="8" t="n">
        <f aca="false">IF($D31="Peak",+H31,0)</f>
        <v>0</v>
      </c>
      <c r="T31" s="8" t="n">
        <f aca="false">IF($D31="Peak",+I31,0)</f>
        <v>0</v>
      </c>
      <c r="U31" s="8" t="n">
        <f aca="false">IF($D31="Peak",+J31,0)</f>
        <v>0</v>
      </c>
      <c r="V31" s="8" t="n">
        <f aca="false">IF($D31="Peak",+K31,0)</f>
        <v>0</v>
      </c>
      <c r="W31" s="8"/>
      <c r="X31" s="8" t="n">
        <f aca="false">IF($F31="Peak",+M31,0)</f>
        <v>0</v>
      </c>
      <c r="Y31" s="8" t="n">
        <f aca="false">IF($F31="Peak",+N31,0)</f>
        <v>0</v>
      </c>
      <c r="Z31" s="8" t="n">
        <f aca="false">IF($F31="Peak",+O31,0)</f>
        <v>0</v>
      </c>
      <c r="AA31" s="8" t="n">
        <f aca="false">IF($F31="Peak",+P31,0)</f>
        <v>0</v>
      </c>
      <c r="AB31" s="8" t="n">
        <f aca="false">IF($F31="Peak",+Q31,0)</f>
        <v>0</v>
      </c>
      <c r="AC31" s="8" t="n">
        <f aca="false">IF($F31="Peak",+R31,0)</f>
        <v>0</v>
      </c>
      <c r="AD31" s="8"/>
    </row>
    <row r="32" customFormat="false" ht="12.75" hidden="false" customHeight="false" outlineLevel="0" collapsed="false">
      <c r="A32" s="1" t="n">
        <v>21</v>
      </c>
      <c r="B32" s="117" t="n">
        <v>36982</v>
      </c>
      <c r="C32" s="1" t="s">
        <v>351</v>
      </c>
      <c r="D32" s="1" t="s">
        <v>332</v>
      </c>
      <c r="E32" s="1" t="s">
        <v>292</v>
      </c>
      <c r="F32" s="1" t="n">
        <v>200</v>
      </c>
      <c r="G32" s="1" t="n">
        <v>200</v>
      </c>
      <c r="H32" s="1" t="s">
        <v>335</v>
      </c>
      <c r="I32" s="1"/>
      <c r="J32" s="1"/>
      <c r="K32" s="1"/>
      <c r="L32" s="117" t="n">
        <v>36949</v>
      </c>
      <c r="M32" s="117" t="n">
        <v>36950</v>
      </c>
      <c r="N32" s="117" t="n">
        <v>36965</v>
      </c>
      <c r="Q32" s="8" t="n">
        <f aca="false">IF($D32="Peak",+F32,0)</f>
        <v>200</v>
      </c>
      <c r="R32" s="8" t="n">
        <f aca="false">IF($D32="Peak",+G32,0)</f>
        <v>200</v>
      </c>
      <c r="S32" s="8" t="str">
        <f aca="false">IF($D32="Peak",+H32,0)</f>
        <v>*</v>
      </c>
      <c r="T32" s="8" t="n">
        <f aca="false">IF($D32="Peak",+I32,0)</f>
        <v>0</v>
      </c>
      <c r="U32" s="8" t="n">
        <f aca="false">IF($D32="Peak",+J32,0)</f>
        <v>0</v>
      </c>
      <c r="V32" s="8" t="n">
        <f aca="false">IF($D32="Peak",+K32,0)</f>
        <v>0</v>
      </c>
      <c r="W32" s="8"/>
      <c r="X32" s="8" t="n">
        <f aca="false">IF($F32="Peak",+M32,0)</f>
        <v>0</v>
      </c>
      <c r="Y32" s="8" t="n">
        <f aca="false">IF($F32="Peak",+N32,0)</f>
        <v>0</v>
      </c>
      <c r="Z32" s="8" t="n">
        <f aca="false">IF($F32="Peak",+O32,0)</f>
        <v>0</v>
      </c>
      <c r="AA32" s="8" t="n">
        <f aca="false">IF($F32="Peak",+P32,0)</f>
        <v>0</v>
      </c>
      <c r="AB32" s="8" t="n">
        <f aca="false">IF($F32="Peak",+Q32,0)</f>
        <v>0</v>
      </c>
      <c r="AC32" s="8" t="n">
        <f aca="false">IF($F32="Peak",+R32,0)</f>
        <v>0</v>
      </c>
      <c r="AD32" s="8"/>
    </row>
    <row r="33" customFormat="false" ht="12.75" hidden="false" customHeight="false" outlineLevel="0" collapsed="false">
      <c r="A33" s="1" t="n">
        <v>22</v>
      </c>
      <c r="B33" s="114" t="n">
        <v>36965</v>
      </c>
      <c r="C33" s="111" t="s">
        <v>352</v>
      </c>
      <c r="D33" s="111" t="s">
        <v>332</v>
      </c>
      <c r="E33" s="111" t="s">
        <v>292</v>
      </c>
      <c r="F33" s="116" t="n">
        <v>250</v>
      </c>
      <c r="G33" s="1"/>
      <c r="H33" s="1"/>
      <c r="I33" s="1"/>
      <c r="J33" s="1"/>
      <c r="K33" s="1"/>
      <c r="L33" s="114" t="n">
        <v>36934</v>
      </c>
      <c r="M33" s="114" t="n">
        <v>36948</v>
      </c>
      <c r="N33" s="114" t="n">
        <v>36976</v>
      </c>
      <c r="Q33" s="8" t="n">
        <f aca="false">IF($D33="Peak",+F33,0)</f>
        <v>250</v>
      </c>
      <c r="R33" s="8" t="n">
        <f aca="false">IF($D33="Peak",+G33,0)</f>
        <v>0</v>
      </c>
      <c r="S33" s="8" t="n">
        <f aca="false">IF($D33="Peak",+H33,0)</f>
        <v>0</v>
      </c>
      <c r="T33" s="8" t="n">
        <f aca="false">IF($D33="Peak",+I33,0)</f>
        <v>0</v>
      </c>
      <c r="U33" s="8" t="n">
        <f aca="false">IF($D33="Peak",+J33,0)</f>
        <v>0</v>
      </c>
      <c r="V33" s="8" t="n">
        <f aca="false">IF($D33="Peak",+K33,0)</f>
        <v>0</v>
      </c>
      <c r="W33" s="8"/>
      <c r="X33" s="8" t="n">
        <f aca="false">IF($F33="Peak",+M33,0)</f>
        <v>0</v>
      </c>
      <c r="Y33" s="8" t="n">
        <f aca="false">IF($F33="Peak",+N33,0)</f>
        <v>0</v>
      </c>
      <c r="Z33" s="8" t="n">
        <f aca="false">IF($F33="Peak",+O33,0)</f>
        <v>0</v>
      </c>
      <c r="AA33" s="8" t="n">
        <f aca="false">IF($F33="Peak",+P33,0)</f>
        <v>0</v>
      </c>
      <c r="AB33" s="8" t="n">
        <f aca="false">IF($F33="Peak",+Q33,0)</f>
        <v>0</v>
      </c>
      <c r="AC33" s="8" t="n">
        <f aca="false">IF($F33="Peak",+R33,0)</f>
        <v>0</v>
      </c>
      <c r="AD33" s="8"/>
    </row>
    <row r="34" customFormat="false" ht="12.75" hidden="false" customHeight="false" outlineLevel="0" collapsed="false">
      <c r="A34" s="1" t="n">
        <v>23</v>
      </c>
      <c r="B34" s="114" t="n">
        <v>37165</v>
      </c>
      <c r="C34" s="111" t="s">
        <v>353</v>
      </c>
      <c r="D34" s="111" t="s">
        <v>334</v>
      </c>
      <c r="E34" s="111" t="s">
        <v>292</v>
      </c>
      <c r="F34" s="116" t="s">
        <v>335</v>
      </c>
      <c r="G34" s="116" t="n">
        <v>250</v>
      </c>
      <c r="H34" s="116" t="n">
        <v>250</v>
      </c>
      <c r="I34" s="116" t="n">
        <v>500</v>
      </c>
      <c r="J34" s="116" t="n">
        <v>1000</v>
      </c>
      <c r="K34" s="116" t="n">
        <v>1000</v>
      </c>
      <c r="L34" s="114" t="n">
        <v>36934</v>
      </c>
      <c r="M34" s="114" t="n">
        <v>36948</v>
      </c>
      <c r="N34" s="114" t="n">
        <v>36976</v>
      </c>
      <c r="Q34" s="8" t="n">
        <f aca="false">IF($D34="Peak",+F34,0)</f>
        <v>0</v>
      </c>
      <c r="R34" s="8" t="n">
        <f aca="false">IF($D34="Peak",+G34,0)</f>
        <v>0</v>
      </c>
      <c r="S34" s="8" t="n">
        <f aca="false">IF($D34="Peak",+H34,0)</f>
        <v>0</v>
      </c>
      <c r="T34" s="8" t="n">
        <f aca="false">IF($D34="Peak",+I34,0)</f>
        <v>0</v>
      </c>
      <c r="U34" s="8" t="n">
        <f aca="false">IF($D34="Peak",+J34,0)</f>
        <v>0</v>
      </c>
      <c r="V34" s="8" t="n">
        <f aca="false">IF($D34="Peak",+K34,0)</f>
        <v>0</v>
      </c>
      <c r="W34" s="8"/>
      <c r="X34" s="8" t="n">
        <f aca="false">IF($F34="Peak",+M34,0)</f>
        <v>0</v>
      </c>
      <c r="Y34" s="8" t="n">
        <f aca="false">IF($F34="Peak",+N34,0)</f>
        <v>0</v>
      </c>
      <c r="Z34" s="8" t="n">
        <f aca="false">IF($F34="Peak",+O34,0)</f>
        <v>0</v>
      </c>
      <c r="AA34" s="8" t="n">
        <f aca="false">IF($F34="Peak",+P34,0)</f>
        <v>0</v>
      </c>
      <c r="AB34" s="8" t="n">
        <f aca="false">IF($F34="Peak",+Q34,0)</f>
        <v>0</v>
      </c>
      <c r="AC34" s="8" t="n">
        <f aca="false">IF($F34="Peak",+R34,0)</f>
        <v>0</v>
      </c>
      <c r="AD34" s="8"/>
    </row>
    <row r="35" customFormat="false" ht="12.75" hidden="false" customHeight="false" outlineLevel="0" collapsed="false">
      <c r="A35" s="1" t="n">
        <v>24</v>
      </c>
      <c r="B35" s="117" t="n">
        <v>37043</v>
      </c>
      <c r="C35" s="1" t="s">
        <v>354</v>
      </c>
      <c r="D35" s="1" t="s">
        <v>334</v>
      </c>
      <c r="E35" s="1" t="s">
        <v>292</v>
      </c>
      <c r="F35" s="118" t="n">
        <v>16</v>
      </c>
      <c r="G35" s="118" t="n">
        <v>16</v>
      </c>
      <c r="H35" s="118" t="n">
        <v>16</v>
      </c>
      <c r="I35" s="118"/>
      <c r="J35" s="118"/>
      <c r="K35" s="118"/>
      <c r="L35" s="117" t="n">
        <v>36928</v>
      </c>
      <c r="M35" s="117" t="n">
        <v>36929</v>
      </c>
      <c r="N35" s="117" t="n">
        <v>36963</v>
      </c>
      <c r="Q35" s="8" t="n">
        <f aca="false">IF($D35="Peak",+F35,0)</f>
        <v>0</v>
      </c>
      <c r="R35" s="8" t="n">
        <f aca="false">IF($D35="Peak",+G35,0)</f>
        <v>0</v>
      </c>
      <c r="S35" s="8" t="n">
        <f aca="false">IF($D35="Peak",+H35,0)</f>
        <v>0</v>
      </c>
      <c r="T35" s="8" t="n">
        <f aca="false">IF($D35="Peak",+I35,0)</f>
        <v>0</v>
      </c>
      <c r="U35" s="8" t="n">
        <f aca="false">IF($D35="Peak",+J35,0)</f>
        <v>0</v>
      </c>
      <c r="V35" s="8" t="n">
        <f aca="false">IF($D35="Peak",+K35,0)</f>
        <v>0</v>
      </c>
      <c r="W35" s="8"/>
      <c r="X35" s="8" t="n">
        <f aca="false">IF($F35="Peak",+M35,0)</f>
        <v>0</v>
      </c>
      <c r="Y35" s="8" t="n">
        <f aca="false">IF($F35="Peak",+N35,0)</f>
        <v>0</v>
      </c>
      <c r="Z35" s="8" t="n">
        <f aca="false">IF($F35="Peak",+O35,0)</f>
        <v>0</v>
      </c>
      <c r="AA35" s="8" t="n">
        <f aca="false">IF($F35="Peak",+P35,0)</f>
        <v>0</v>
      </c>
      <c r="AB35" s="8" t="n">
        <f aca="false">IF($F35="Peak",+Q35,0)</f>
        <v>0</v>
      </c>
      <c r="AC35" s="8" t="n">
        <f aca="false">IF($F35="Peak",+R35,0)</f>
        <v>0</v>
      </c>
      <c r="AD35" s="8"/>
    </row>
    <row r="36" customFormat="false" ht="12.75" hidden="false" customHeight="false" outlineLevel="0" collapsed="false">
      <c r="A36" s="1"/>
      <c r="B36" s="117"/>
      <c r="C36" s="1"/>
      <c r="D36" s="1"/>
      <c r="E36" s="1"/>
      <c r="F36" s="118"/>
      <c r="G36" s="118"/>
      <c r="H36" s="118"/>
      <c r="I36" s="118"/>
      <c r="J36" s="118"/>
      <c r="K36" s="118"/>
      <c r="L36" s="117"/>
      <c r="M36" s="117"/>
      <c r="N36" s="117"/>
      <c r="Q36" s="8" t="n">
        <f aca="false">IF($D36="Peak",+F36,0)</f>
        <v>0</v>
      </c>
      <c r="R36" s="8" t="n">
        <f aca="false">IF($D36="Peak",+G36,0)</f>
        <v>0</v>
      </c>
      <c r="S36" s="8" t="n">
        <f aca="false">IF($D36="Peak",+H36,0)</f>
        <v>0</v>
      </c>
      <c r="T36" s="8" t="n">
        <f aca="false">IF($D36="Peak",+I36,0)</f>
        <v>0</v>
      </c>
      <c r="U36" s="8" t="n">
        <f aca="false">IF($D36="Peak",+J36,0)</f>
        <v>0</v>
      </c>
      <c r="V36" s="8" t="n">
        <f aca="false">IF($D36="Peak",+K36,0)</f>
        <v>0</v>
      </c>
      <c r="W36" s="8"/>
      <c r="X36" s="8" t="n">
        <f aca="false">IF($F36="Peak",+M36,0)</f>
        <v>0</v>
      </c>
      <c r="Y36" s="8" t="n">
        <f aca="false">IF($F36="Peak",+N36,0)</f>
        <v>0</v>
      </c>
      <c r="Z36" s="8" t="n">
        <f aca="false">IF($F36="Peak",+O36,0)</f>
        <v>0</v>
      </c>
      <c r="AA36" s="8" t="n">
        <f aca="false">IF($F36="Peak",+P36,0)</f>
        <v>0</v>
      </c>
      <c r="AB36" s="8" t="n">
        <f aca="false">IF($F36="Peak",+Q36,0)</f>
        <v>0</v>
      </c>
      <c r="AC36" s="8" t="n">
        <f aca="false">IF($F36="Peak",+R36,0)</f>
        <v>0</v>
      </c>
      <c r="AD36" s="8"/>
    </row>
    <row r="37" customFormat="false" ht="12.75" hidden="false" customHeight="false" outlineLevel="0" collapsed="false">
      <c r="A37" s="1" t="n">
        <v>25</v>
      </c>
      <c r="B37" s="117" t="n">
        <v>36951</v>
      </c>
      <c r="C37" s="1" t="s">
        <v>355</v>
      </c>
      <c r="D37" s="1" t="s">
        <v>334</v>
      </c>
      <c r="E37" s="1" t="s">
        <v>292</v>
      </c>
      <c r="F37" s="118" t="s">
        <v>335</v>
      </c>
      <c r="G37" s="118"/>
      <c r="H37" s="118"/>
      <c r="I37" s="118"/>
      <c r="J37" s="118"/>
      <c r="K37" s="118"/>
      <c r="L37" s="117" t="n">
        <v>36934</v>
      </c>
      <c r="M37" s="117" t="n">
        <v>36937</v>
      </c>
      <c r="N37" s="117"/>
      <c r="Q37" s="8" t="n">
        <f aca="false">IF($D37="Peak",+F37,0)</f>
        <v>0</v>
      </c>
      <c r="R37" s="8" t="n">
        <f aca="false">IF($D37="Peak",+G37,0)</f>
        <v>0</v>
      </c>
      <c r="S37" s="8" t="n">
        <f aca="false">IF($D37="Peak",+H37,0)</f>
        <v>0</v>
      </c>
      <c r="T37" s="8" t="n">
        <f aca="false">IF($D37="Peak",+I37,0)</f>
        <v>0</v>
      </c>
      <c r="U37" s="8" t="n">
        <f aca="false">IF($D37="Peak",+J37,0)</f>
        <v>0</v>
      </c>
      <c r="V37" s="8" t="n">
        <f aca="false">IF($D37="Peak",+K37,0)</f>
        <v>0</v>
      </c>
      <c r="W37" s="8"/>
      <c r="X37" s="8" t="n">
        <f aca="false">IF($F37="Peak",+M37,0)</f>
        <v>0</v>
      </c>
      <c r="Y37" s="8" t="n">
        <f aca="false">IF($F37="Peak",+N37,0)</f>
        <v>0</v>
      </c>
      <c r="Z37" s="8" t="n">
        <f aca="false">IF($F37="Peak",+O37,0)</f>
        <v>0</v>
      </c>
      <c r="AA37" s="8" t="n">
        <f aca="false">IF($F37="Peak",+P37,0)</f>
        <v>0</v>
      </c>
      <c r="AB37" s="8" t="n">
        <f aca="false">IF($F37="Peak",+Q37,0)</f>
        <v>0</v>
      </c>
      <c r="AC37" s="8" t="n">
        <f aca="false">IF($F37="Peak",+R37,0)</f>
        <v>0</v>
      </c>
      <c r="AD37" s="8"/>
    </row>
    <row r="38" customFormat="false" ht="12.75" hidden="false" customHeight="false" outlineLevel="0" collapsed="false">
      <c r="A38" s="1" t="n">
        <v>26</v>
      </c>
      <c r="B38" s="117" t="n">
        <v>36951</v>
      </c>
      <c r="C38" s="1" t="s">
        <v>338</v>
      </c>
      <c r="D38" s="1" t="s">
        <v>332</v>
      </c>
      <c r="E38" s="1" t="s">
        <v>293</v>
      </c>
      <c r="F38" s="1" t="n">
        <v>500</v>
      </c>
      <c r="G38" s="1"/>
      <c r="H38" s="1"/>
      <c r="I38" s="1"/>
      <c r="J38" s="1"/>
      <c r="K38" s="1"/>
      <c r="L38" s="117"/>
      <c r="M38" s="117" t="s">
        <v>356</v>
      </c>
      <c r="N38" s="1"/>
      <c r="Q38" s="8" t="n">
        <f aca="false">IF($D38="Peak",+F38,0)</f>
        <v>500</v>
      </c>
      <c r="R38" s="8" t="n">
        <f aca="false">IF($D38="Peak",+G38,0)</f>
        <v>0</v>
      </c>
      <c r="S38" s="8" t="n">
        <f aca="false">IF($D38="Peak",+H38,0)</f>
        <v>0</v>
      </c>
      <c r="T38" s="8" t="n">
        <f aca="false">IF($D38="Peak",+I38,0)</f>
        <v>0</v>
      </c>
      <c r="U38" s="8" t="n">
        <f aca="false">IF($D38="Peak",+J38,0)</f>
        <v>0</v>
      </c>
      <c r="V38" s="8" t="n">
        <f aca="false">IF($D38="Peak",+K38,0)</f>
        <v>0</v>
      </c>
      <c r="W38" s="8"/>
      <c r="X38" s="8" t="n">
        <f aca="false">IF($F38="Peak",+M38,0)</f>
        <v>0</v>
      </c>
      <c r="Y38" s="8" t="n">
        <f aca="false">IF($F38="Peak",+N38,0)</f>
        <v>0</v>
      </c>
      <c r="Z38" s="8" t="n">
        <f aca="false">IF($F38="Peak",+O38,0)</f>
        <v>0</v>
      </c>
      <c r="AA38" s="8" t="n">
        <f aca="false">IF($F38="Peak",+P38,0)</f>
        <v>0</v>
      </c>
      <c r="AB38" s="8" t="n">
        <f aca="false">IF($F38="Peak",+Q38,0)</f>
        <v>0</v>
      </c>
      <c r="AC38" s="8" t="n">
        <f aca="false">IF($F38="Peak",+R38,0)</f>
        <v>0</v>
      </c>
      <c r="AD38" s="8"/>
    </row>
    <row r="39" customFormat="false" ht="12.75" hidden="false" customHeight="false" outlineLevel="0" collapsed="false">
      <c r="A39" s="1" t="n">
        <v>27</v>
      </c>
      <c r="B39" s="117" t="n">
        <v>36982</v>
      </c>
      <c r="C39" s="1" t="s">
        <v>357</v>
      </c>
      <c r="D39" s="1" t="s">
        <v>332</v>
      </c>
      <c r="E39" s="1" t="s">
        <v>293</v>
      </c>
      <c r="F39" s="120" t="n">
        <v>400</v>
      </c>
      <c r="G39" s="120" t="n">
        <v>400</v>
      </c>
      <c r="H39" s="120"/>
      <c r="I39" s="120"/>
      <c r="J39" s="120"/>
      <c r="K39" s="120"/>
      <c r="L39" s="117" t="n">
        <v>36945</v>
      </c>
      <c r="M39" s="117" t="n">
        <v>36948</v>
      </c>
      <c r="N39" s="1"/>
      <c r="Q39" s="8" t="n">
        <f aca="false">IF($D39="Peak",+F39,0)</f>
        <v>400</v>
      </c>
      <c r="R39" s="8" t="n">
        <f aca="false">IF($D39="Peak",+G39,0)</f>
        <v>400</v>
      </c>
      <c r="S39" s="8" t="n">
        <f aca="false">IF($D39="Peak",+H39,0)</f>
        <v>0</v>
      </c>
      <c r="T39" s="8" t="n">
        <f aca="false">IF($D39="Peak",+I39,0)</f>
        <v>0</v>
      </c>
      <c r="U39" s="8" t="n">
        <f aca="false">IF($D39="Peak",+J39,0)</f>
        <v>0</v>
      </c>
      <c r="V39" s="8" t="n">
        <f aca="false">IF($D39="Peak",+K39,0)</f>
        <v>0</v>
      </c>
      <c r="W39" s="8"/>
      <c r="X39" s="8" t="n">
        <f aca="false">IF($F39="Peak",+M39,0)</f>
        <v>0</v>
      </c>
      <c r="Y39" s="8" t="n">
        <f aca="false">IF($F39="Peak",+N39,0)</f>
        <v>0</v>
      </c>
      <c r="Z39" s="8" t="n">
        <f aca="false">IF($F39="Peak",+O39,0)</f>
        <v>0</v>
      </c>
      <c r="AA39" s="8" t="n">
        <f aca="false">IF($F39="Peak",+P39,0)</f>
        <v>0</v>
      </c>
      <c r="AB39" s="8" t="n">
        <f aca="false">IF($F39="Peak",+Q39,0)</f>
        <v>0</v>
      </c>
      <c r="AC39" s="8" t="n">
        <f aca="false">IF($F39="Peak",+R39,0)</f>
        <v>0</v>
      </c>
      <c r="AD39" s="8"/>
    </row>
    <row r="40" customFormat="false" ht="12.75" hidden="false" customHeight="false" outlineLevel="0" collapsed="false">
      <c r="A40" s="1" t="n">
        <v>28</v>
      </c>
      <c r="B40" s="117" t="n">
        <v>36982</v>
      </c>
      <c r="C40" s="1" t="s">
        <v>338</v>
      </c>
      <c r="D40" s="1" t="s">
        <v>332</v>
      </c>
      <c r="E40" s="1" t="s">
        <v>292</v>
      </c>
      <c r="F40" s="1" t="n">
        <v>925</v>
      </c>
      <c r="G40" s="1"/>
      <c r="H40" s="1"/>
      <c r="I40" s="1"/>
      <c r="J40" s="1"/>
      <c r="K40" s="1"/>
      <c r="L40" s="117"/>
      <c r="M40" s="1" t="s">
        <v>356</v>
      </c>
      <c r="N40" s="1"/>
      <c r="Q40" s="8" t="n">
        <f aca="false">IF($D40="Peak",+F40,0)</f>
        <v>925</v>
      </c>
      <c r="R40" s="8" t="n">
        <f aca="false">IF($D40="Peak",+G40,0)</f>
        <v>0</v>
      </c>
      <c r="S40" s="8" t="n">
        <f aca="false">IF($D40="Peak",+H40,0)</f>
        <v>0</v>
      </c>
      <c r="T40" s="8" t="n">
        <f aca="false">IF($D40="Peak",+I40,0)</f>
        <v>0</v>
      </c>
      <c r="U40" s="8" t="n">
        <f aca="false">IF($D40="Peak",+J40,0)</f>
        <v>0</v>
      </c>
      <c r="V40" s="8" t="n">
        <f aca="false">IF($D40="Peak",+K40,0)</f>
        <v>0</v>
      </c>
      <c r="W40" s="8"/>
      <c r="X40" s="8" t="n">
        <f aca="false">IF($F40="Peak",+M40,0)</f>
        <v>0</v>
      </c>
      <c r="Y40" s="8" t="n">
        <f aca="false">IF($F40="Peak",+N40,0)</f>
        <v>0</v>
      </c>
      <c r="Z40" s="8" t="n">
        <f aca="false">IF($F40="Peak",+O40,0)</f>
        <v>0</v>
      </c>
      <c r="AA40" s="8" t="n">
        <f aca="false">IF($F40="Peak",+P40,0)</f>
        <v>0</v>
      </c>
      <c r="AB40" s="8" t="n">
        <f aca="false">IF($F40="Peak",+Q40,0)</f>
        <v>0</v>
      </c>
      <c r="AC40" s="8" t="n">
        <f aca="false">IF($F40="Peak",+R40,0)</f>
        <v>0</v>
      </c>
      <c r="AD40" s="8"/>
    </row>
    <row r="41" customFormat="false" ht="12.75" hidden="false" customHeight="false" outlineLevel="0" collapsed="false">
      <c r="A41" s="1" t="n">
        <v>29</v>
      </c>
      <c r="B41" s="117" t="n">
        <v>37012</v>
      </c>
      <c r="C41" s="1" t="s">
        <v>345</v>
      </c>
      <c r="D41" s="1" t="s">
        <v>334</v>
      </c>
      <c r="E41" s="1" t="s">
        <v>293</v>
      </c>
      <c r="F41" s="118" t="n">
        <v>13</v>
      </c>
      <c r="G41" s="118" t="n">
        <v>13</v>
      </c>
      <c r="H41" s="118" t="n">
        <v>13</v>
      </c>
      <c r="I41" s="118"/>
      <c r="J41" s="118"/>
      <c r="K41" s="118"/>
      <c r="L41" s="117" t="n">
        <v>36928</v>
      </c>
      <c r="M41" s="117" t="n">
        <v>36937</v>
      </c>
      <c r="N41" s="1"/>
      <c r="Q41" s="8" t="n">
        <f aca="false">IF($D41="Peak",+F41,0)</f>
        <v>0</v>
      </c>
      <c r="R41" s="8" t="n">
        <f aca="false">IF($D41="Peak",+G41,0)</f>
        <v>0</v>
      </c>
      <c r="S41" s="8" t="n">
        <f aca="false">IF($D41="Peak",+H41,0)</f>
        <v>0</v>
      </c>
      <c r="T41" s="8" t="n">
        <f aca="false">IF($D41="Peak",+I41,0)</f>
        <v>0</v>
      </c>
      <c r="U41" s="8" t="n">
        <f aca="false">IF($D41="Peak",+J41,0)</f>
        <v>0</v>
      </c>
      <c r="V41" s="8" t="n">
        <f aca="false">IF($D41="Peak",+K41,0)</f>
        <v>0</v>
      </c>
      <c r="W41" s="8"/>
      <c r="X41" s="8" t="n">
        <f aca="false">IF($F41="Peak",+M41,0)</f>
        <v>0</v>
      </c>
      <c r="Y41" s="8" t="n">
        <f aca="false">IF($F41="Peak",+N41,0)</f>
        <v>0</v>
      </c>
      <c r="Z41" s="8" t="n">
        <f aca="false">IF($F41="Peak",+O41,0)</f>
        <v>0</v>
      </c>
      <c r="AA41" s="8" t="n">
        <f aca="false">IF($F41="Peak",+P41,0)</f>
        <v>0</v>
      </c>
      <c r="AB41" s="8" t="n">
        <f aca="false">IF($F41="Peak",+Q41,0)</f>
        <v>0</v>
      </c>
      <c r="AC41" s="8" t="n">
        <f aca="false">IF($F41="Peak",+R41,0)</f>
        <v>0</v>
      </c>
      <c r="AD41" s="8"/>
    </row>
    <row r="42" customFormat="false" ht="12.75" hidden="false" customHeight="false" outlineLevel="0" collapsed="false">
      <c r="A42" s="1" t="n">
        <v>30</v>
      </c>
      <c r="B42" s="117" t="n">
        <v>37043</v>
      </c>
      <c r="C42" s="1" t="s">
        <v>358</v>
      </c>
      <c r="D42" s="1" t="s">
        <v>332</v>
      </c>
      <c r="E42" s="1" t="s">
        <v>292</v>
      </c>
      <c r="F42" s="118" t="n">
        <v>250</v>
      </c>
      <c r="G42" s="118" t="n">
        <v>300</v>
      </c>
      <c r="H42" s="118" t="n">
        <v>350</v>
      </c>
      <c r="I42" s="118" t="n">
        <v>700</v>
      </c>
      <c r="J42" s="118" t="n">
        <v>700</v>
      </c>
      <c r="K42" s="118" t="n">
        <v>700</v>
      </c>
      <c r="L42" s="117"/>
      <c r="M42" s="117" t="n">
        <v>36950</v>
      </c>
      <c r="N42" s="1"/>
      <c r="Q42" s="8" t="n">
        <f aca="false">IF($D42="Peak",+F42,0)</f>
        <v>250</v>
      </c>
      <c r="R42" s="8" t="n">
        <f aca="false">IF($D42="Peak",+G42,0)</f>
        <v>300</v>
      </c>
      <c r="S42" s="8" t="n">
        <f aca="false">IF($D42="Peak",+H42,0)</f>
        <v>350</v>
      </c>
      <c r="T42" s="8" t="n">
        <f aca="false">IF($D42="Peak",+I42,0)</f>
        <v>700</v>
      </c>
      <c r="U42" s="8" t="n">
        <f aca="false">IF($D42="Peak",+J42,0)</f>
        <v>700</v>
      </c>
      <c r="V42" s="8" t="n">
        <f aca="false">IF($D42="Peak",+K42,0)</f>
        <v>700</v>
      </c>
      <c r="W42" s="8"/>
      <c r="X42" s="8" t="n">
        <f aca="false">IF($F42="Peak",+M42,0)</f>
        <v>0</v>
      </c>
      <c r="Y42" s="8" t="n">
        <f aca="false">IF($F42="Peak",+N42,0)</f>
        <v>0</v>
      </c>
      <c r="Z42" s="8" t="n">
        <f aca="false">IF($F42="Peak",+O42,0)</f>
        <v>0</v>
      </c>
      <c r="AA42" s="8" t="n">
        <f aca="false">IF($F42="Peak",+P42,0)</f>
        <v>0</v>
      </c>
      <c r="AB42" s="8" t="n">
        <f aca="false">IF($F42="Peak",+Q42,0)</f>
        <v>0</v>
      </c>
      <c r="AC42" s="8" t="n">
        <f aca="false">IF($F42="Peak",+R42,0)</f>
        <v>0</v>
      </c>
      <c r="AD42" s="8"/>
    </row>
    <row r="43" customFormat="false" ht="12.75" hidden="false" customHeight="false" outlineLevel="0" collapsed="false">
      <c r="A43" s="1" t="n">
        <v>31</v>
      </c>
      <c r="B43" s="117" t="n">
        <v>37073</v>
      </c>
      <c r="C43" s="1" t="s">
        <v>331</v>
      </c>
      <c r="D43" s="1" t="s">
        <v>332</v>
      </c>
      <c r="E43" s="1" t="s">
        <v>292</v>
      </c>
      <c r="F43" s="118" t="n">
        <v>450</v>
      </c>
      <c r="G43" s="118" t="n">
        <v>450</v>
      </c>
      <c r="H43" s="118" t="n">
        <v>450</v>
      </c>
      <c r="I43" s="118" t="n">
        <v>450</v>
      </c>
      <c r="J43" s="118" t="n">
        <v>450</v>
      </c>
      <c r="K43" s="118"/>
      <c r="L43" s="117" t="n">
        <v>36938</v>
      </c>
      <c r="M43" s="117" t="n">
        <v>36952</v>
      </c>
      <c r="N43" s="117"/>
      <c r="Q43" s="8" t="n">
        <f aca="false">IF($D43="Peak",+F43,0)</f>
        <v>450</v>
      </c>
      <c r="R43" s="8" t="n">
        <f aca="false">IF($D43="Peak",+G43,0)</f>
        <v>450</v>
      </c>
      <c r="S43" s="8" t="n">
        <f aca="false">IF($D43="Peak",+H43,0)</f>
        <v>450</v>
      </c>
      <c r="T43" s="8" t="n">
        <f aca="false">IF($D43="Peak",+I43,0)</f>
        <v>450</v>
      </c>
      <c r="U43" s="8" t="n">
        <f aca="false">IF($D43="Peak",+J43,0)</f>
        <v>450</v>
      </c>
      <c r="V43" s="8" t="n">
        <f aca="false">IF($D43="Peak",+K43,0)</f>
        <v>0</v>
      </c>
      <c r="W43" s="8"/>
      <c r="X43" s="8" t="n">
        <f aca="false">IF($F43="Peak",+M43,0)</f>
        <v>0</v>
      </c>
      <c r="Y43" s="8" t="n">
        <f aca="false">IF($F43="Peak",+N43,0)</f>
        <v>0</v>
      </c>
      <c r="Z43" s="8" t="n">
        <f aca="false">IF($F43="Peak",+O43,0)</f>
        <v>0</v>
      </c>
      <c r="AA43" s="8" t="n">
        <f aca="false">IF($F43="Peak",+P43,0)</f>
        <v>0</v>
      </c>
      <c r="AB43" s="8" t="n">
        <f aca="false">IF($F43="Peak",+Q43,0)</f>
        <v>0</v>
      </c>
      <c r="AC43" s="8" t="n">
        <f aca="false">IF($F43="Peak",+R43,0)</f>
        <v>0</v>
      </c>
      <c r="AD43" s="8"/>
    </row>
    <row r="44" customFormat="false" ht="12.75" hidden="false" customHeight="false" outlineLevel="0" collapsed="false">
      <c r="A44" s="1" t="n">
        <v>32</v>
      </c>
      <c r="B44" s="117" t="n">
        <v>37073</v>
      </c>
      <c r="C44" s="1" t="s">
        <v>331</v>
      </c>
      <c r="D44" s="1" t="s">
        <v>334</v>
      </c>
      <c r="E44" s="1" t="s">
        <v>292</v>
      </c>
      <c r="F44" s="118" t="n">
        <v>90</v>
      </c>
      <c r="G44" s="118" t="n">
        <v>90</v>
      </c>
      <c r="H44" s="118" t="n">
        <v>90</v>
      </c>
      <c r="I44" s="118" t="n">
        <v>90</v>
      </c>
      <c r="J44" s="118" t="n">
        <v>90</v>
      </c>
      <c r="K44" s="118"/>
      <c r="L44" s="117" t="n">
        <v>36938</v>
      </c>
      <c r="M44" s="117" t="n">
        <v>36952</v>
      </c>
      <c r="N44" s="117"/>
      <c r="Q44" s="8" t="n">
        <f aca="false">IF($D44="Peak",+F44,0)</f>
        <v>0</v>
      </c>
      <c r="R44" s="8" t="n">
        <f aca="false">IF($D44="Peak",+G44,0)</f>
        <v>0</v>
      </c>
      <c r="S44" s="8" t="n">
        <f aca="false">IF($D44="Peak",+H44,0)</f>
        <v>0</v>
      </c>
      <c r="T44" s="8" t="n">
        <f aca="false">IF($D44="Peak",+I44,0)</f>
        <v>0</v>
      </c>
      <c r="U44" s="8" t="n">
        <f aca="false">IF($D44="Peak",+J44,0)</f>
        <v>0</v>
      </c>
      <c r="V44" s="8" t="n">
        <f aca="false">IF($D44="Peak",+K44,0)</f>
        <v>0</v>
      </c>
      <c r="W44" s="8"/>
      <c r="X44" s="8" t="n">
        <f aca="false">IF($F44="Peak",+M44,0)</f>
        <v>0</v>
      </c>
      <c r="Y44" s="8" t="n">
        <f aca="false">IF($F44="Peak",+N44,0)</f>
        <v>0</v>
      </c>
      <c r="Z44" s="8" t="n">
        <f aca="false">IF($F44="Peak",+O44,0)</f>
        <v>0</v>
      </c>
      <c r="AA44" s="8" t="n">
        <f aca="false">IF($F44="Peak",+P44,0)</f>
        <v>0</v>
      </c>
      <c r="AB44" s="8" t="n">
        <f aca="false">IF($F44="Peak",+Q44,0)</f>
        <v>0</v>
      </c>
      <c r="AC44" s="8" t="n">
        <f aca="false">IF($F44="Peak",+R44,0)</f>
        <v>0</v>
      </c>
      <c r="AD44" s="8"/>
    </row>
    <row r="45" customFormat="false" ht="12.75" hidden="false" customHeight="false" outlineLevel="0" collapsed="false">
      <c r="A45" s="1" t="n">
        <v>33</v>
      </c>
      <c r="B45" s="117" t="n">
        <v>37073</v>
      </c>
      <c r="C45" s="1" t="s">
        <v>344</v>
      </c>
      <c r="D45" s="1" t="s">
        <v>334</v>
      </c>
      <c r="E45" s="1" t="s">
        <v>293</v>
      </c>
      <c r="F45" s="118" t="n">
        <v>100</v>
      </c>
      <c r="G45" s="118" t="n">
        <v>200</v>
      </c>
      <c r="H45" s="118" t="n">
        <v>200</v>
      </c>
      <c r="I45" s="118" t="n">
        <v>400</v>
      </c>
      <c r="J45" s="118" t="n">
        <v>400</v>
      </c>
      <c r="K45" s="118" t="n">
        <v>400</v>
      </c>
      <c r="L45" s="117" t="n">
        <v>36931</v>
      </c>
      <c r="M45" s="117" t="n">
        <v>36934</v>
      </c>
      <c r="N45" s="1"/>
      <c r="Q45" s="8" t="n">
        <f aca="false">IF($D45="Peak",+F45,0)</f>
        <v>0</v>
      </c>
      <c r="R45" s="8" t="n">
        <f aca="false">IF($D45="Peak",+G45,0)</f>
        <v>0</v>
      </c>
      <c r="S45" s="8" t="n">
        <f aca="false">IF($D45="Peak",+H45,0)</f>
        <v>0</v>
      </c>
      <c r="T45" s="8" t="n">
        <f aca="false">IF($D45="Peak",+I45,0)</f>
        <v>0</v>
      </c>
      <c r="U45" s="8" t="n">
        <f aca="false">IF($D45="Peak",+J45,0)</f>
        <v>0</v>
      </c>
      <c r="V45" s="8" t="n">
        <f aca="false">IF($D45="Peak",+K45,0)</f>
        <v>0</v>
      </c>
      <c r="W45" s="8"/>
      <c r="X45" s="8" t="n">
        <f aca="false">IF($F45="Peak",+M45,0)</f>
        <v>0</v>
      </c>
      <c r="Y45" s="8" t="n">
        <f aca="false">IF($F45="Peak",+N45,0)</f>
        <v>0</v>
      </c>
      <c r="Z45" s="8" t="n">
        <f aca="false">IF($F45="Peak",+O45,0)</f>
        <v>0</v>
      </c>
      <c r="AA45" s="8" t="n">
        <f aca="false">IF($F45="Peak",+P45,0)</f>
        <v>0</v>
      </c>
      <c r="AB45" s="8" t="n">
        <f aca="false">IF($F45="Peak",+Q45,0)</f>
        <v>0</v>
      </c>
      <c r="AC45" s="8" t="n">
        <f aca="false">IF($F45="Peak",+R45,0)</f>
        <v>0</v>
      </c>
      <c r="AD45" s="8"/>
    </row>
    <row r="46" customFormat="false" ht="12.75" hidden="false" customHeight="false" outlineLevel="0" collapsed="false">
      <c r="A46" s="1" t="n">
        <v>34</v>
      </c>
      <c r="B46" s="117" t="n">
        <v>37087</v>
      </c>
      <c r="C46" s="1" t="s">
        <v>359</v>
      </c>
      <c r="D46" s="1" t="s">
        <v>360</v>
      </c>
      <c r="E46" s="1" t="s">
        <v>292</v>
      </c>
      <c r="F46" s="118" t="n">
        <v>325</v>
      </c>
      <c r="G46" s="118" t="n">
        <v>325</v>
      </c>
      <c r="H46" s="118"/>
      <c r="I46" s="118"/>
      <c r="J46" s="118"/>
      <c r="K46" s="118"/>
      <c r="L46" s="117" t="n">
        <v>36937</v>
      </c>
      <c r="M46" s="117" t="n">
        <v>36952</v>
      </c>
      <c r="N46" s="1"/>
      <c r="Q46" s="8" t="n">
        <f aca="false">IF($D46="Peak",+F46,0)</f>
        <v>0</v>
      </c>
      <c r="R46" s="8" t="n">
        <f aca="false">IF($D46="Peak",+G46,0)</f>
        <v>0</v>
      </c>
      <c r="S46" s="8" t="n">
        <f aca="false">IF($D46="Peak",+H46,0)</f>
        <v>0</v>
      </c>
      <c r="T46" s="8" t="n">
        <f aca="false">IF($D46="Peak",+I46,0)</f>
        <v>0</v>
      </c>
      <c r="U46" s="8" t="n">
        <f aca="false">IF($D46="Peak",+J46,0)</f>
        <v>0</v>
      </c>
      <c r="V46" s="8" t="n">
        <f aca="false">IF($D46="Peak",+K46,0)</f>
        <v>0</v>
      </c>
      <c r="W46" s="8"/>
      <c r="X46" s="8" t="n">
        <f aca="false">IF($F46="Peak",+M46,0)</f>
        <v>0</v>
      </c>
      <c r="Y46" s="8" t="n">
        <f aca="false">IF($F46="Peak",+N46,0)</f>
        <v>0</v>
      </c>
      <c r="Z46" s="8" t="n">
        <f aca="false">IF($F46="Peak",+O46,0)</f>
        <v>0</v>
      </c>
      <c r="AA46" s="8" t="n">
        <f aca="false">IF($F46="Peak",+P46,0)</f>
        <v>0</v>
      </c>
      <c r="AB46" s="8" t="n">
        <f aca="false">IF($F46="Peak",+Q46,0)</f>
        <v>0</v>
      </c>
      <c r="AC46" s="8" t="n">
        <f aca="false">IF($F46="Peak",+R46,0)</f>
        <v>0</v>
      </c>
      <c r="AD46" s="8"/>
    </row>
    <row r="47" customFormat="false" ht="12.75" hidden="false" customHeight="false" outlineLevel="0" collapsed="false">
      <c r="A47" s="1" t="n">
        <v>35</v>
      </c>
      <c r="B47" s="117" t="n">
        <v>37773</v>
      </c>
      <c r="C47" s="1" t="s">
        <v>349</v>
      </c>
      <c r="D47" s="1" t="s">
        <v>334</v>
      </c>
      <c r="E47" s="1" t="s">
        <v>292</v>
      </c>
      <c r="F47" s="118"/>
      <c r="G47" s="118"/>
      <c r="H47" s="118" t="n">
        <v>542</v>
      </c>
      <c r="I47" s="118" t="n">
        <v>542</v>
      </c>
      <c r="J47" s="118" t="n">
        <v>542</v>
      </c>
      <c r="K47" s="118" t="n">
        <v>542</v>
      </c>
      <c r="L47" s="117" t="n">
        <v>36937</v>
      </c>
      <c r="M47" s="117" t="n">
        <v>36952</v>
      </c>
      <c r="N47" s="1"/>
      <c r="Q47" s="8" t="n">
        <f aca="false">IF($D47="Peak",+F47,0)</f>
        <v>0</v>
      </c>
      <c r="R47" s="8" t="n">
        <f aca="false">IF($D47="Peak",+G47,0)</f>
        <v>0</v>
      </c>
      <c r="S47" s="8" t="n">
        <f aca="false">IF($D47="Peak",+H47,0)</f>
        <v>0</v>
      </c>
      <c r="T47" s="8" t="n">
        <f aca="false">IF($D47="Peak",+I47,0)</f>
        <v>0</v>
      </c>
      <c r="U47" s="8" t="n">
        <f aca="false">IF($D47="Peak",+J47,0)</f>
        <v>0</v>
      </c>
      <c r="V47" s="8" t="n">
        <f aca="false">IF($D47="Peak",+K47,0)</f>
        <v>0</v>
      </c>
      <c r="W47" s="8"/>
      <c r="X47" s="8" t="n">
        <f aca="false">IF($F47="Peak",+M47,0)</f>
        <v>0</v>
      </c>
      <c r="Y47" s="8" t="n">
        <f aca="false">IF($F47="Peak",+N47,0)</f>
        <v>0</v>
      </c>
      <c r="Z47" s="8" t="n">
        <f aca="false">IF($F47="Peak",+O47,0)</f>
        <v>0</v>
      </c>
      <c r="AA47" s="8" t="n">
        <f aca="false">IF($F47="Peak",+P47,0)</f>
        <v>0</v>
      </c>
      <c r="AB47" s="8" t="n">
        <f aca="false">IF($F47="Peak",+Q47,0)</f>
        <v>0</v>
      </c>
      <c r="AC47" s="8" t="n">
        <f aca="false">IF($F47="Peak",+R47,0)</f>
        <v>0</v>
      </c>
      <c r="AD47" s="8"/>
    </row>
    <row r="48" customFormat="false" ht="12.75" hidden="false" customHeight="false" outlineLevel="0" collapsed="false">
      <c r="A48" s="1" t="n">
        <v>36</v>
      </c>
      <c r="B48" s="117" t="n">
        <v>37257</v>
      </c>
      <c r="C48" s="1" t="s">
        <v>361</v>
      </c>
      <c r="D48" s="1" t="s">
        <v>334</v>
      </c>
      <c r="E48" s="1" t="s">
        <v>292</v>
      </c>
      <c r="F48" s="118"/>
      <c r="G48" s="118" t="n">
        <v>300</v>
      </c>
      <c r="H48" s="118" t="n">
        <v>300</v>
      </c>
      <c r="I48" s="118" t="n">
        <v>300</v>
      </c>
      <c r="J48" s="118" t="n">
        <v>300</v>
      </c>
      <c r="K48" s="118" t="n">
        <v>300</v>
      </c>
      <c r="L48" s="117" t="n">
        <v>36915</v>
      </c>
      <c r="M48" s="117" t="n">
        <v>36950</v>
      </c>
      <c r="N48" s="1"/>
      <c r="Q48" s="8" t="n">
        <f aca="false">IF($D48="Peak",+F48,0)</f>
        <v>0</v>
      </c>
      <c r="R48" s="8" t="n">
        <f aca="false">IF($D48="Peak",+G48,0)</f>
        <v>0</v>
      </c>
      <c r="S48" s="8" t="n">
        <f aca="false">IF($D48="Peak",+H48,0)</f>
        <v>0</v>
      </c>
      <c r="T48" s="8" t="n">
        <f aca="false">IF($D48="Peak",+I48,0)</f>
        <v>0</v>
      </c>
      <c r="U48" s="8" t="n">
        <f aca="false">IF($D48="Peak",+J48,0)</f>
        <v>0</v>
      </c>
      <c r="V48" s="8" t="n">
        <f aca="false">IF($D48="Peak",+K48,0)</f>
        <v>0</v>
      </c>
      <c r="W48" s="8"/>
      <c r="X48" s="8" t="n">
        <f aca="false">IF($F48="Peak",+M48,0)</f>
        <v>0</v>
      </c>
      <c r="Y48" s="8" t="n">
        <f aca="false">IF($F48="Peak",+N48,0)</f>
        <v>0</v>
      </c>
      <c r="Z48" s="8" t="n">
        <f aca="false">IF($F48="Peak",+O48,0)</f>
        <v>0</v>
      </c>
      <c r="AA48" s="8" t="n">
        <f aca="false">IF($F48="Peak",+P48,0)</f>
        <v>0</v>
      </c>
      <c r="AB48" s="8" t="n">
        <f aca="false">IF($F48="Peak",+Q48,0)</f>
        <v>0</v>
      </c>
      <c r="AC48" s="8" t="n">
        <f aca="false">IF($F48="Peak",+R48,0)</f>
        <v>0</v>
      </c>
      <c r="AD48" s="8"/>
    </row>
    <row r="49" customFormat="false" ht="12.75" hidden="false" customHeight="false" outlineLevel="0" collapsed="false">
      <c r="A49" s="1" t="n">
        <v>37</v>
      </c>
      <c r="B49" s="117" t="n">
        <v>37257</v>
      </c>
      <c r="C49" s="1" t="s">
        <v>361</v>
      </c>
      <c r="D49" s="1" t="s">
        <v>334</v>
      </c>
      <c r="E49" s="1" t="s">
        <v>293</v>
      </c>
      <c r="F49" s="116"/>
      <c r="G49" s="116" t="n">
        <v>250</v>
      </c>
      <c r="H49" s="116" t="n">
        <v>500</v>
      </c>
      <c r="I49" s="116" t="n">
        <v>500</v>
      </c>
      <c r="J49" s="116" t="n">
        <v>500</v>
      </c>
      <c r="K49" s="116" t="n">
        <v>500</v>
      </c>
      <c r="L49" s="117" t="n">
        <v>36915</v>
      </c>
      <c r="M49" s="117" t="n">
        <v>36950</v>
      </c>
      <c r="N49" s="1"/>
      <c r="Q49" s="8" t="n">
        <f aca="false">IF($D49="Peak",+F49,0)</f>
        <v>0</v>
      </c>
      <c r="R49" s="8" t="n">
        <f aca="false">IF($D49="Peak",+G49,0)</f>
        <v>0</v>
      </c>
      <c r="S49" s="8" t="n">
        <f aca="false">IF($D49="Peak",+H49,0)</f>
        <v>0</v>
      </c>
      <c r="T49" s="8" t="n">
        <f aca="false">IF($D49="Peak",+I49,0)</f>
        <v>0</v>
      </c>
      <c r="U49" s="8" t="n">
        <f aca="false">IF($D49="Peak",+J49,0)</f>
        <v>0</v>
      </c>
      <c r="V49" s="8" t="n">
        <f aca="false">IF($D49="Peak",+K49,0)</f>
        <v>0</v>
      </c>
      <c r="W49" s="8"/>
      <c r="X49" s="8" t="n">
        <f aca="false">IF($F49="Peak",+M49,0)</f>
        <v>0</v>
      </c>
      <c r="Y49" s="8" t="n">
        <f aca="false">IF($F49="Peak",+N49,0)</f>
        <v>0</v>
      </c>
      <c r="Z49" s="8" t="n">
        <f aca="false">IF($F49="Peak",+O49,0)</f>
        <v>0</v>
      </c>
      <c r="AA49" s="8" t="n">
        <f aca="false">IF($F49="Peak",+P49,0)</f>
        <v>0</v>
      </c>
      <c r="AB49" s="8" t="n">
        <f aca="false">IF($F49="Peak",+Q49,0)</f>
        <v>0</v>
      </c>
      <c r="AC49" s="8" t="n">
        <f aca="false">IF($F49="Peak",+R49,0)</f>
        <v>0</v>
      </c>
      <c r="AD49" s="8"/>
    </row>
    <row r="50" customFormat="false" ht="12.75" hidden="false" customHeight="false" outlineLevel="0" collapsed="false">
      <c r="A50" s="1" t="n">
        <v>38</v>
      </c>
      <c r="B50" s="117" t="n">
        <v>37347</v>
      </c>
      <c r="C50" s="1" t="s">
        <v>346</v>
      </c>
      <c r="D50" s="1" t="s">
        <v>334</v>
      </c>
      <c r="E50" s="1" t="s">
        <v>292</v>
      </c>
      <c r="F50" s="120"/>
      <c r="G50" s="120" t="n">
        <v>150</v>
      </c>
      <c r="H50" s="120" t="n">
        <v>1000</v>
      </c>
      <c r="I50" s="120" t="n">
        <v>1200</v>
      </c>
      <c r="J50" s="120" t="n">
        <v>1200</v>
      </c>
      <c r="K50" s="120" t="n">
        <v>1200</v>
      </c>
      <c r="L50" s="117"/>
      <c r="M50" s="117" t="n">
        <v>36950</v>
      </c>
      <c r="N50" s="1"/>
      <c r="Q50" s="8" t="n">
        <f aca="false">IF($D50="Peak",+F50,0)</f>
        <v>0</v>
      </c>
      <c r="R50" s="8" t="n">
        <f aca="false">IF($D50="Peak",+G50,0)</f>
        <v>0</v>
      </c>
      <c r="S50" s="8" t="n">
        <f aca="false">IF($D50="Peak",+H50,0)</f>
        <v>0</v>
      </c>
      <c r="T50" s="8" t="n">
        <f aca="false">IF($D50="Peak",+I50,0)</f>
        <v>0</v>
      </c>
      <c r="U50" s="8" t="n">
        <f aca="false">IF($D50="Peak",+J50,0)</f>
        <v>0</v>
      </c>
      <c r="V50" s="8" t="n">
        <f aca="false">IF($D50="Peak",+K50,0)</f>
        <v>0</v>
      </c>
      <c r="W50" s="8"/>
      <c r="X50" s="8" t="n">
        <f aca="false">IF($F50="Peak",+M50,0)</f>
        <v>0</v>
      </c>
      <c r="Y50" s="8" t="n">
        <f aca="false">IF($F50="Peak",+N50,0)</f>
        <v>0</v>
      </c>
      <c r="Z50" s="8" t="n">
        <f aca="false">IF($F50="Peak",+O50,0)</f>
        <v>0</v>
      </c>
      <c r="AA50" s="8" t="n">
        <f aca="false">IF($F50="Peak",+P50,0)</f>
        <v>0</v>
      </c>
      <c r="AB50" s="8" t="n">
        <f aca="false">IF($F50="Peak",+Q50,0)</f>
        <v>0</v>
      </c>
      <c r="AC50" s="8" t="n">
        <f aca="false">IF($F50="Peak",+R50,0)</f>
        <v>0</v>
      </c>
      <c r="AD50" s="8"/>
    </row>
    <row r="51" customFormat="false" ht="12.75" hidden="false" customHeight="false" outlineLevel="0" collapsed="false">
      <c r="A51" s="1" t="n">
        <v>39</v>
      </c>
      <c r="B51" s="117" t="n">
        <v>36982</v>
      </c>
      <c r="C51" s="1" t="s">
        <v>362</v>
      </c>
      <c r="D51" s="1" t="s">
        <v>332</v>
      </c>
      <c r="E51" s="1" t="s">
        <v>293</v>
      </c>
      <c r="F51" s="118"/>
      <c r="G51" s="118" t="n">
        <v>150</v>
      </c>
      <c r="H51" s="118" t="n">
        <v>375</v>
      </c>
      <c r="I51" s="118" t="n">
        <v>550</v>
      </c>
      <c r="J51" s="118" t="n">
        <v>550</v>
      </c>
      <c r="K51" s="118" t="n">
        <v>550</v>
      </c>
      <c r="L51" s="117"/>
      <c r="M51" s="117" t="n">
        <v>36966</v>
      </c>
      <c r="N51" s="1"/>
      <c r="Q51" s="8" t="n">
        <f aca="false">IF($D51="Peak",+F51,0)</f>
        <v>0</v>
      </c>
      <c r="R51" s="8" t="n">
        <f aca="false">IF($D51="Peak",+G51,0)</f>
        <v>150</v>
      </c>
      <c r="S51" s="8" t="n">
        <f aca="false">IF($D51="Peak",+H51,0)</f>
        <v>375</v>
      </c>
      <c r="T51" s="8" t="n">
        <f aca="false">IF($D51="Peak",+I51,0)</f>
        <v>550</v>
      </c>
      <c r="U51" s="8" t="n">
        <f aca="false">IF($D51="Peak",+J51,0)</f>
        <v>550</v>
      </c>
      <c r="V51" s="8" t="n">
        <f aca="false">IF($D51="Peak",+K51,0)</f>
        <v>550</v>
      </c>
      <c r="W51" s="8"/>
      <c r="X51" s="8" t="n">
        <f aca="false">IF($F51="Peak",+M51,0)</f>
        <v>0</v>
      </c>
      <c r="Y51" s="8" t="n">
        <f aca="false">IF($F51="Peak",+N51,0)</f>
        <v>0</v>
      </c>
      <c r="Z51" s="8" t="n">
        <f aca="false">IF($F51="Peak",+O51,0)</f>
        <v>0</v>
      </c>
      <c r="AA51" s="8" t="n">
        <f aca="false">IF($F51="Peak",+P51,0)</f>
        <v>0</v>
      </c>
      <c r="AB51" s="8" t="n">
        <f aca="false">IF($F51="Peak",+Q51,0)</f>
        <v>0</v>
      </c>
      <c r="AC51" s="8" t="n">
        <f aca="false">IF($F51="Peak",+R51,0)</f>
        <v>0</v>
      </c>
      <c r="AD51" s="8"/>
    </row>
    <row r="52" customFormat="false" ht="12.75" hidden="false" customHeight="false" outlineLevel="0" collapsed="false">
      <c r="A52" s="1" t="n">
        <v>40</v>
      </c>
      <c r="B52" s="117" t="n">
        <v>36982</v>
      </c>
      <c r="C52" s="1" t="s">
        <v>362</v>
      </c>
      <c r="D52" s="1" t="s">
        <v>332</v>
      </c>
      <c r="E52" s="1" t="s">
        <v>292</v>
      </c>
      <c r="F52" s="118" t="n">
        <v>150</v>
      </c>
      <c r="G52" s="118" t="n">
        <v>150</v>
      </c>
      <c r="H52" s="118" t="n">
        <v>200</v>
      </c>
      <c r="I52" s="118" t="n">
        <v>200</v>
      </c>
      <c r="J52" s="118" t="n">
        <v>200</v>
      </c>
      <c r="K52" s="118" t="n">
        <v>200</v>
      </c>
      <c r="L52" s="117"/>
      <c r="M52" s="117" t="n">
        <v>36966</v>
      </c>
      <c r="N52" s="1"/>
      <c r="Q52" s="8" t="n">
        <f aca="false">IF($D52="Peak",+F52,0)</f>
        <v>150</v>
      </c>
      <c r="R52" s="8" t="n">
        <f aca="false">IF($D52="Peak",+G52,0)</f>
        <v>150</v>
      </c>
      <c r="S52" s="8" t="n">
        <f aca="false">IF($D52="Peak",+H52,0)</f>
        <v>200</v>
      </c>
      <c r="T52" s="8" t="n">
        <f aca="false">IF($D52="Peak",+I52,0)</f>
        <v>200</v>
      </c>
      <c r="U52" s="8" t="n">
        <f aca="false">IF($D52="Peak",+J52,0)</f>
        <v>200</v>
      </c>
      <c r="V52" s="8" t="n">
        <f aca="false">IF($D52="Peak",+K52,0)</f>
        <v>200</v>
      </c>
      <c r="W52" s="8"/>
      <c r="X52" s="8" t="n">
        <f aca="false">IF($F52="Peak",+M52,0)</f>
        <v>0</v>
      </c>
      <c r="Y52" s="8" t="n">
        <f aca="false">IF($F52="Peak",+N52,0)</f>
        <v>0</v>
      </c>
      <c r="Z52" s="8" t="n">
        <f aca="false">IF($F52="Peak",+O52,0)</f>
        <v>0</v>
      </c>
      <c r="AA52" s="8" t="n">
        <f aca="false">IF($F52="Peak",+P52,0)</f>
        <v>0</v>
      </c>
      <c r="AB52" s="8" t="n">
        <f aca="false">IF($F52="Peak",+Q52,0)</f>
        <v>0</v>
      </c>
      <c r="AC52" s="8" t="n">
        <f aca="false">IF($F52="Peak",+R52,0)</f>
        <v>0</v>
      </c>
      <c r="AD52" s="8"/>
    </row>
    <row r="53" customFormat="false" ht="12.75" hidden="false" customHeight="false" outlineLevel="0" collapsed="false">
      <c r="A53" s="1" t="n">
        <v>41</v>
      </c>
      <c r="B53" s="117" t="n">
        <v>37438</v>
      </c>
      <c r="C53" s="1" t="s">
        <v>344</v>
      </c>
      <c r="D53" s="1" t="s">
        <v>334</v>
      </c>
      <c r="E53" s="1" t="s">
        <v>293</v>
      </c>
      <c r="F53" s="118"/>
      <c r="G53" s="118" t="n">
        <v>50</v>
      </c>
      <c r="H53" s="118" t="n">
        <v>50</v>
      </c>
      <c r="I53" s="118" t="n">
        <v>50</v>
      </c>
      <c r="J53" s="118" t="n">
        <v>50</v>
      </c>
      <c r="K53" s="118" t="n">
        <v>50</v>
      </c>
      <c r="L53" s="117"/>
      <c r="M53" s="117" t="n">
        <v>36966</v>
      </c>
      <c r="N53" s="1"/>
      <c r="Q53" s="8" t="n">
        <f aca="false">IF($D53="Peak",+F53,0)</f>
        <v>0</v>
      </c>
      <c r="R53" s="8" t="n">
        <f aca="false">IF($D53="Peak",+G53,0)</f>
        <v>0</v>
      </c>
      <c r="S53" s="8" t="n">
        <f aca="false">IF($D53="Peak",+H53,0)</f>
        <v>0</v>
      </c>
      <c r="T53" s="8" t="n">
        <f aca="false">IF($D53="Peak",+I53,0)</f>
        <v>0</v>
      </c>
      <c r="U53" s="8" t="n">
        <f aca="false">IF($D53="Peak",+J53,0)</f>
        <v>0</v>
      </c>
      <c r="V53" s="8" t="n">
        <f aca="false">IF($D53="Peak",+K53,0)</f>
        <v>0</v>
      </c>
      <c r="W53" s="8"/>
      <c r="X53" s="8" t="n">
        <f aca="false">IF($F53="Peak",+M53,0)</f>
        <v>0</v>
      </c>
      <c r="Y53" s="8" t="n">
        <f aca="false">IF($F53="Peak",+N53,0)</f>
        <v>0</v>
      </c>
      <c r="Z53" s="8" t="n">
        <f aca="false">IF($F53="Peak",+O53,0)</f>
        <v>0</v>
      </c>
      <c r="AA53" s="8" t="n">
        <f aca="false">IF($F53="Peak",+P53,0)</f>
        <v>0</v>
      </c>
      <c r="AB53" s="8" t="n">
        <f aca="false">IF($F53="Peak",+Q53,0)</f>
        <v>0</v>
      </c>
      <c r="AC53" s="8" t="n">
        <f aca="false">IF($F53="Peak",+R53,0)</f>
        <v>0</v>
      </c>
      <c r="AD53" s="8"/>
    </row>
    <row r="54" customFormat="false" ht="12.75" hidden="false" customHeight="false" outlineLevel="0" collapsed="false">
      <c r="A54" s="1" t="n">
        <v>42</v>
      </c>
      <c r="B54" s="117" t="n">
        <v>37438</v>
      </c>
      <c r="C54" s="1" t="s">
        <v>344</v>
      </c>
      <c r="D54" s="1" t="s">
        <v>334</v>
      </c>
      <c r="E54" s="1" t="s">
        <v>292</v>
      </c>
      <c r="F54" s="118"/>
      <c r="G54" s="118" t="n">
        <v>50</v>
      </c>
      <c r="H54" s="118" t="n">
        <v>50</v>
      </c>
      <c r="I54" s="118" t="n">
        <v>50</v>
      </c>
      <c r="J54" s="118" t="n">
        <v>50</v>
      </c>
      <c r="K54" s="118" t="n">
        <v>50</v>
      </c>
      <c r="L54" s="117"/>
      <c r="M54" s="117" t="n">
        <v>36966</v>
      </c>
      <c r="N54" s="1"/>
      <c r="Q54" s="8" t="n">
        <f aca="false">IF($D54="Peak",+F54,0)</f>
        <v>0</v>
      </c>
      <c r="R54" s="8" t="n">
        <f aca="false">IF($D54="Peak",+G54,0)</f>
        <v>0</v>
      </c>
      <c r="S54" s="8" t="n">
        <f aca="false">IF($D54="Peak",+H54,0)</f>
        <v>0</v>
      </c>
      <c r="T54" s="8" t="n">
        <f aca="false">IF($D54="Peak",+I54,0)</f>
        <v>0</v>
      </c>
      <c r="U54" s="8" t="n">
        <f aca="false">IF($D54="Peak",+J54,0)</f>
        <v>0</v>
      </c>
      <c r="V54" s="8" t="n">
        <f aca="false">IF($D54="Peak",+K54,0)</f>
        <v>0</v>
      </c>
      <c r="W54" s="8"/>
      <c r="X54" s="8" t="n">
        <f aca="false">IF($F54="Peak",+M54,0)</f>
        <v>0</v>
      </c>
      <c r="Y54" s="8" t="n">
        <f aca="false">IF($F54="Peak",+N54,0)</f>
        <v>0</v>
      </c>
      <c r="Z54" s="8" t="n">
        <f aca="false">IF($F54="Peak",+O54,0)</f>
        <v>0</v>
      </c>
      <c r="AA54" s="8" t="n">
        <f aca="false">IF($F54="Peak",+P54,0)</f>
        <v>0</v>
      </c>
      <c r="AB54" s="8" t="n">
        <f aca="false">IF($F54="Peak",+Q54,0)</f>
        <v>0</v>
      </c>
      <c r="AC54" s="8" t="n">
        <f aca="false">IF($F54="Peak",+R54,0)</f>
        <v>0</v>
      </c>
      <c r="AD54" s="8"/>
    </row>
    <row r="55" customFormat="false" ht="12.75" hidden="false" customHeight="false" outlineLevel="0" collapsed="false">
      <c r="A55" s="1" t="n">
        <v>43</v>
      </c>
      <c r="B55" s="114" t="n">
        <v>37104</v>
      </c>
      <c r="C55" s="111" t="s">
        <v>344</v>
      </c>
      <c r="D55" s="111" t="s">
        <v>363</v>
      </c>
      <c r="E55" s="111" t="s">
        <v>292</v>
      </c>
      <c r="F55" s="111" t="s">
        <v>335</v>
      </c>
      <c r="G55" s="111" t="n">
        <v>80</v>
      </c>
      <c r="H55" s="111" t="n">
        <v>80</v>
      </c>
      <c r="I55" s="111" t="n">
        <v>80</v>
      </c>
      <c r="J55" s="111" t="n">
        <v>80</v>
      </c>
      <c r="K55" s="111" t="n">
        <v>80</v>
      </c>
      <c r="L55" s="114"/>
      <c r="M55" s="114" t="n">
        <v>36948</v>
      </c>
      <c r="N55" s="111"/>
      <c r="Q55" s="8" t="n">
        <f aca="false">IF($D55="Peak",+F55,0)</f>
        <v>0</v>
      </c>
      <c r="R55" s="8" t="n">
        <f aca="false">IF($D55="Peak",+G55,0)</f>
        <v>0</v>
      </c>
      <c r="S55" s="8" t="n">
        <f aca="false">IF($D55="Peak",+H55,0)</f>
        <v>0</v>
      </c>
      <c r="T55" s="8" t="n">
        <f aca="false">IF($D55="Peak",+I55,0)</f>
        <v>0</v>
      </c>
      <c r="U55" s="8" t="n">
        <f aca="false">IF($D55="Peak",+J55,0)</f>
        <v>0</v>
      </c>
      <c r="V55" s="8" t="n">
        <f aca="false">IF($D55="Peak",+K55,0)</f>
        <v>0</v>
      </c>
      <c r="W55" s="8"/>
      <c r="X55" s="8" t="n">
        <f aca="false">IF($F55="Peak",+M55,0)</f>
        <v>0</v>
      </c>
      <c r="Y55" s="8" t="n">
        <f aca="false">IF($F55="Peak",+N55,0)</f>
        <v>0</v>
      </c>
      <c r="Z55" s="8" t="n">
        <f aca="false">IF($F55="Peak",+O55,0)</f>
        <v>0</v>
      </c>
      <c r="AA55" s="8" t="n">
        <f aca="false">IF($F55="Peak",+P55,0)</f>
        <v>0</v>
      </c>
      <c r="AB55" s="8" t="n">
        <f aca="false">IF($F55="Peak",+Q55,0)</f>
        <v>0</v>
      </c>
      <c r="AC55" s="8" t="n">
        <f aca="false">IF($F55="Peak",+R55,0)</f>
        <v>0</v>
      </c>
      <c r="AD55" s="8"/>
    </row>
    <row r="56" customFormat="false" ht="12.75" hidden="false" customHeight="false" outlineLevel="0" collapsed="false">
      <c r="A56" s="1" t="n">
        <v>44</v>
      </c>
      <c r="B56" s="117" t="n">
        <v>37135</v>
      </c>
      <c r="C56" s="1" t="s">
        <v>344</v>
      </c>
      <c r="D56" s="1" t="s">
        <v>360</v>
      </c>
      <c r="E56" s="1" t="s">
        <v>293</v>
      </c>
      <c r="F56" s="1" t="s">
        <v>335</v>
      </c>
      <c r="G56" s="1" t="n">
        <v>96</v>
      </c>
      <c r="H56" s="1" t="n">
        <v>96</v>
      </c>
      <c r="I56" s="1" t="n">
        <v>96</v>
      </c>
      <c r="J56" s="1" t="n">
        <v>96</v>
      </c>
      <c r="K56" s="1" t="n">
        <v>96</v>
      </c>
      <c r="L56" s="117"/>
      <c r="M56" s="117" t="n">
        <v>36950</v>
      </c>
      <c r="N56" s="1"/>
      <c r="Q56" s="8" t="n">
        <f aca="false">IF($D56="Peak",+F56,0)</f>
        <v>0</v>
      </c>
      <c r="R56" s="8" t="n">
        <f aca="false">IF($D56="Peak",+G56,0)</f>
        <v>0</v>
      </c>
      <c r="S56" s="8" t="n">
        <f aca="false">IF($D56="Peak",+H56,0)</f>
        <v>0</v>
      </c>
      <c r="T56" s="8" t="n">
        <f aca="false">IF($D56="Peak",+I56,0)</f>
        <v>0</v>
      </c>
      <c r="U56" s="8" t="n">
        <f aca="false">IF($D56="Peak",+J56,0)</f>
        <v>0</v>
      </c>
      <c r="V56" s="8" t="n">
        <f aca="false">IF($D56="Peak",+K56,0)</f>
        <v>0</v>
      </c>
      <c r="W56" s="8"/>
      <c r="X56" s="8" t="n">
        <f aca="false">IF($F56="Peak",+M56,0)</f>
        <v>0</v>
      </c>
      <c r="Y56" s="8" t="n">
        <f aca="false">IF($F56="Peak",+N56,0)</f>
        <v>0</v>
      </c>
      <c r="Z56" s="8" t="n">
        <f aca="false">IF($F56="Peak",+O56,0)</f>
        <v>0</v>
      </c>
      <c r="AA56" s="8" t="n">
        <f aca="false">IF($F56="Peak",+P56,0)</f>
        <v>0</v>
      </c>
      <c r="AB56" s="8" t="n">
        <f aca="false">IF($F56="Peak",+Q56,0)</f>
        <v>0</v>
      </c>
      <c r="AC56" s="8" t="n">
        <f aca="false">IF($F56="Peak",+R56,0)</f>
        <v>0</v>
      </c>
      <c r="AD56" s="8"/>
    </row>
    <row r="57" customFormat="false" ht="12.75" hidden="false" customHeight="false" outlineLevel="0" collapsed="false">
      <c r="A57" s="1" t="n">
        <v>45</v>
      </c>
      <c r="B57" s="117" t="n">
        <v>37135</v>
      </c>
      <c r="C57" s="1" t="s">
        <v>344</v>
      </c>
      <c r="D57" s="1" t="s">
        <v>360</v>
      </c>
      <c r="E57" s="1" t="s">
        <v>292</v>
      </c>
      <c r="F57" s="1" t="s">
        <v>335</v>
      </c>
      <c r="G57" s="1" t="n">
        <v>144</v>
      </c>
      <c r="H57" s="1" t="n">
        <v>144</v>
      </c>
      <c r="I57" s="1" t="n">
        <v>144</v>
      </c>
      <c r="J57" s="1" t="n">
        <v>144</v>
      </c>
      <c r="K57" s="1" t="n">
        <v>144</v>
      </c>
      <c r="L57" s="117"/>
      <c r="M57" s="117" t="n">
        <v>36950</v>
      </c>
      <c r="N57" s="1"/>
      <c r="Q57" s="8" t="n">
        <f aca="false">IF($D57="Peak",+F57,0)</f>
        <v>0</v>
      </c>
      <c r="R57" s="8" t="n">
        <f aca="false">IF($D57="Peak",+G57,0)</f>
        <v>0</v>
      </c>
      <c r="S57" s="8" t="n">
        <f aca="false">IF($D57="Peak",+H57,0)</f>
        <v>0</v>
      </c>
      <c r="T57" s="8" t="n">
        <f aca="false">IF($D57="Peak",+I57,0)</f>
        <v>0</v>
      </c>
      <c r="U57" s="8" t="n">
        <f aca="false">IF($D57="Peak",+J57,0)</f>
        <v>0</v>
      </c>
      <c r="V57" s="8" t="n">
        <f aca="false">IF($D57="Peak",+K57,0)</f>
        <v>0</v>
      </c>
      <c r="W57" s="8"/>
      <c r="X57" s="8" t="n">
        <f aca="false">IF($F57="Peak",+M57,0)</f>
        <v>0</v>
      </c>
      <c r="Y57" s="8" t="n">
        <f aca="false">IF($F57="Peak",+N57,0)</f>
        <v>0</v>
      </c>
      <c r="Z57" s="8" t="n">
        <f aca="false">IF($F57="Peak",+O57,0)</f>
        <v>0</v>
      </c>
      <c r="AA57" s="8" t="n">
        <f aca="false">IF($F57="Peak",+P57,0)</f>
        <v>0</v>
      </c>
      <c r="AB57" s="8" t="n">
        <f aca="false">IF($F57="Peak",+Q57,0)</f>
        <v>0</v>
      </c>
      <c r="AC57" s="8" t="n">
        <f aca="false">IF($F57="Peak",+R57,0)</f>
        <v>0</v>
      </c>
      <c r="AD57" s="8"/>
    </row>
    <row r="58" customFormat="false" ht="12.75" hidden="false" customHeight="false" outlineLevel="0" collapsed="false">
      <c r="A58" s="1" t="n">
        <v>46</v>
      </c>
      <c r="B58" s="117" t="n">
        <v>37196</v>
      </c>
      <c r="C58" s="1" t="s">
        <v>344</v>
      </c>
      <c r="D58" s="1" t="s">
        <v>332</v>
      </c>
      <c r="E58" s="1" t="s">
        <v>293</v>
      </c>
      <c r="F58" s="1" t="s">
        <v>335</v>
      </c>
      <c r="G58" s="1" t="s">
        <v>335</v>
      </c>
      <c r="H58" s="1" t="s">
        <v>335</v>
      </c>
      <c r="I58" s="1" t="s">
        <v>335</v>
      </c>
      <c r="J58" s="1" t="s">
        <v>335</v>
      </c>
      <c r="K58" s="1" t="s">
        <v>335</v>
      </c>
      <c r="L58" s="117"/>
      <c r="M58" s="117" t="n">
        <v>36950</v>
      </c>
      <c r="N58" s="1"/>
      <c r="Q58" s="8" t="str">
        <f aca="false">IF($D58="Peak",+F58,0)</f>
        <v>*</v>
      </c>
      <c r="R58" s="8" t="str">
        <f aca="false">IF($D58="Peak",+G58,0)</f>
        <v>*</v>
      </c>
      <c r="S58" s="8" t="str">
        <f aca="false">IF($D58="Peak",+H58,0)</f>
        <v>*</v>
      </c>
      <c r="T58" s="8" t="str">
        <f aca="false">IF($D58="Peak",+I58,0)</f>
        <v>*</v>
      </c>
      <c r="U58" s="8" t="str">
        <f aca="false">IF($D58="Peak",+J58,0)</f>
        <v>*</v>
      </c>
      <c r="V58" s="8" t="str">
        <f aca="false">IF($D58="Peak",+K58,0)</f>
        <v>*</v>
      </c>
      <c r="W58" s="8"/>
      <c r="X58" s="8" t="n">
        <f aca="false">IF($F58="Peak",+M58,0)</f>
        <v>0</v>
      </c>
      <c r="Y58" s="8" t="n">
        <f aca="false">IF($F58="Peak",+N58,0)</f>
        <v>0</v>
      </c>
      <c r="Z58" s="8" t="n">
        <f aca="false">IF($F58="Peak",+O58,0)</f>
        <v>0</v>
      </c>
      <c r="AA58" s="8" t="n">
        <f aca="false">IF($F58="Peak",+P58,0)</f>
        <v>0</v>
      </c>
      <c r="AB58" s="8" t="n">
        <f aca="false">IF($F58="Peak",+Q58,0)</f>
        <v>0</v>
      </c>
      <c r="AC58" s="8" t="n">
        <f aca="false">IF($F58="Peak",+R58,0)</f>
        <v>0</v>
      </c>
      <c r="AD58" s="8"/>
    </row>
    <row r="59" customFormat="false" ht="12.75" hidden="false" customHeight="false" outlineLevel="0" collapsed="false">
      <c r="A59" s="1" t="n">
        <v>47</v>
      </c>
      <c r="B59" s="117" t="n">
        <v>37196</v>
      </c>
      <c r="C59" s="1" t="s">
        <v>344</v>
      </c>
      <c r="D59" s="1" t="s">
        <v>332</v>
      </c>
      <c r="E59" s="1" t="s">
        <v>292</v>
      </c>
      <c r="F59" s="1" t="s">
        <v>335</v>
      </c>
      <c r="G59" s="1" t="s">
        <v>335</v>
      </c>
      <c r="H59" s="1" t="s">
        <v>335</v>
      </c>
      <c r="I59" s="1" t="s">
        <v>335</v>
      </c>
      <c r="J59" s="1" t="s">
        <v>335</v>
      </c>
      <c r="K59" s="1" t="s">
        <v>335</v>
      </c>
      <c r="L59" s="117"/>
      <c r="M59" s="117" t="n">
        <v>36950</v>
      </c>
      <c r="N59" s="1"/>
      <c r="Q59" s="8" t="str">
        <f aca="false">IF($D59="Peak",+F59,0)</f>
        <v>*</v>
      </c>
      <c r="R59" s="8" t="str">
        <f aca="false">IF($D59="Peak",+G59,0)</f>
        <v>*</v>
      </c>
      <c r="S59" s="8" t="str">
        <f aca="false">IF($D59="Peak",+H59,0)</f>
        <v>*</v>
      </c>
      <c r="T59" s="8" t="str">
        <f aca="false">IF($D59="Peak",+I59,0)</f>
        <v>*</v>
      </c>
      <c r="U59" s="8" t="str">
        <f aca="false">IF($D59="Peak",+J59,0)</f>
        <v>*</v>
      </c>
      <c r="V59" s="8" t="str">
        <f aca="false">IF($D59="Peak",+K59,0)</f>
        <v>*</v>
      </c>
      <c r="W59" s="8"/>
      <c r="X59" s="8" t="n">
        <f aca="false">IF($F59="Peak",+M59,0)</f>
        <v>0</v>
      </c>
      <c r="Y59" s="8" t="n">
        <f aca="false">IF($F59="Peak",+N59,0)</f>
        <v>0</v>
      </c>
      <c r="Z59" s="8" t="n">
        <f aca="false">IF($F59="Peak",+O59,0)</f>
        <v>0</v>
      </c>
      <c r="AA59" s="8" t="n">
        <f aca="false">IF($F59="Peak",+P59,0)</f>
        <v>0</v>
      </c>
      <c r="AB59" s="8" t="n">
        <f aca="false">IF($F59="Peak",+Q59,0)</f>
        <v>0</v>
      </c>
      <c r="AC59" s="8" t="n">
        <f aca="false">IF($F59="Peak",+R59,0)</f>
        <v>0</v>
      </c>
      <c r="AD59" s="8"/>
    </row>
    <row r="60" customFormat="false" ht="12.75" hidden="false" customHeight="false" outlineLevel="0" collapsed="false">
      <c r="A60" s="1" t="n">
        <v>48</v>
      </c>
      <c r="B60" s="117" t="n">
        <v>37104</v>
      </c>
      <c r="C60" s="1" t="s">
        <v>364</v>
      </c>
      <c r="D60" s="1" t="s">
        <v>332</v>
      </c>
      <c r="E60" s="1" t="s">
        <v>292</v>
      </c>
      <c r="F60" s="120" t="s">
        <v>335</v>
      </c>
      <c r="G60" s="120" t="n">
        <v>95</v>
      </c>
      <c r="H60" s="120" t="n">
        <v>95</v>
      </c>
      <c r="I60" s="120" t="n">
        <v>95</v>
      </c>
      <c r="J60" s="120" t="n">
        <v>95</v>
      </c>
      <c r="K60" s="120" t="n">
        <v>95</v>
      </c>
      <c r="L60" s="117" t="n">
        <v>36951</v>
      </c>
      <c r="M60" s="117" t="n">
        <v>36977</v>
      </c>
      <c r="N60" s="1"/>
      <c r="Q60" s="8" t="str">
        <f aca="false">IF($D60="Peak",+F60,0)</f>
        <v>*</v>
      </c>
      <c r="R60" s="8" t="n">
        <f aca="false">IF($D60="Peak",+G60,0)</f>
        <v>95</v>
      </c>
      <c r="S60" s="8" t="n">
        <f aca="false">IF($D60="Peak",+H60,0)</f>
        <v>95</v>
      </c>
      <c r="T60" s="8" t="n">
        <f aca="false">IF($D60="Peak",+I60,0)</f>
        <v>95</v>
      </c>
      <c r="U60" s="8" t="n">
        <f aca="false">IF($D60="Peak",+J60,0)</f>
        <v>95</v>
      </c>
      <c r="V60" s="8" t="n">
        <f aca="false">IF($D60="Peak",+K60,0)</f>
        <v>95</v>
      </c>
      <c r="W60" s="8"/>
      <c r="X60" s="8" t="n">
        <f aca="false">IF($F60="Peak",+M60,0)</f>
        <v>0</v>
      </c>
      <c r="Y60" s="8" t="n">
        <f aca="false">IF($F60="Peak",+N60,0)</f>
        <v>0</v>
      </c>
      <c r="Z60" s="8" t="n">
        <f aca="false">IF($F60="Peak",+O60,0)</f>
        <v>0</v>
      </c>
      <c r="AA60" s="8" t="n">
        <f aca="false">IF($F60="Peak",+P60,0)</f>
        <v>0</v>
      </c>
      <c r="AB60" s="8" t="n">
        <f aca="false">IF($F60="Peak",+Q60,0)</f>
        <v>0</v>
      </c>
      <c r="AC60" s="8" t="n">
        <f aca="false">IF($F60="Peak",+R60,0)</f>
        <v>0</v>
      </c>
      <c r="AD60" s="8"/>
    </row>
    <row r="61" customFormat="false" ht="12.75" hidden="false" customHeight="false" outlineLevel="0" collapsed="false">
      <c r="A61" s="111" t="n">
        <v>49</v>
      </c>
      <c r="B61" s="114" t="n">
        <v>37057</v>
      </c>
      <c r="C61" s="111" t="s">
        <v>365</v>
      </c>
      <c r="D61" s="111" t="s">
        <v>332</v>
      </c>
      <c r="E61" s="111" t="s">
        <v>293</v>
      </c>
      <c r="F61" s="116" t="n">
        <v>49</v>
      </c>
      <c r="G61" s="116" t="n">
        <v>94</v>
      </c>
      <c r="H61" s="116" t="n">
        <v>94</v>
      </c>
      <c r="I61" s="116" t="n">
        <v>94</v>
      </c>
      <c r="J61" s="116" t="n">
        <v>94</v>
      </c>
      <c r="K61" s="116" t="n">
        <v>94</v>
      </c>
      <c r="L61" s="114"/>
      <c r="M61" s="114" t="n">
        <v>36990</v>
      </c>
      <c r="N61" s="111"/>
      <c r="Q61" s="8" t="n">
        <f aca="false">IF($D61="Peak",+F61,0)</f>
        <v>49</v>
      </c>
      <c r="R61" s="8" t="n">
        <f aca="false">IF($D61="Peak",+G61,0)</f>
        <v>94</v>
      </c>
      <c r="S61" s="8" t="n">
        <f aca="false">IF($D61="Peak",+H61,0)</f>
        <v>94</v>
      </c>
      <c r="T61" s="8" t="n">
        <f aca="false">IF($D61="Peak",+I61,0)</f>
        <v>94</v>
      </c>
      <c r="U61" s="8" t="n">
        <f aca="false">IF($D61="Peak",+J61,0)</f>
        <v>94</v>
      </c>
      <c r="V61" s="8" t="n">
        <f aca="false">IF($D61="Peak",+K61,0)</f>
        <v>94</v>
      </c>
      <c r="W61" s="8"/>
      <c r="X61" s="8" t="n">
        <f aca="false">IF($F61="Peak",+M61,0)</f>
        <v>0</v>
      </c>
      <c r="Y61" s="8" t="n">
        <f aca="false">IF($F61="Peak",+N61,0)</f>
        <v>0</v>
      </c>
      <c r="Z61" s="8" t="n">
        <f aca="false">IF($F61="Peak",+O61,0)</f>
        <v>0</v>
      </c>
      <c r="AA61" s="8" t="n">
        <f aca="false">IF($F61="Peak",+P61,0)</f>
        <v>0</v>
      </c>
      <c r="AB61" s="8" t="n">
        <f aca="false">IF($F61="Peak",+Q61,0)</f>
        <v>0</v>
      </c>
      <c r="AC61" s="8" t="n">
        <f aca="false">IF($F61="Peak",+R61,0)</f>
        <v>0</v>
      </c>
      <c r="AD61" s="8"/>
    </row>
    <row r="62" customFormat="false" ht="12.75" hidden="false" customHeight="false" outlineLevel="0" collapsed="false">
      <c r="A62" s="111"/>
      <c r="B62" s="114"/>
      <c r="C62" s="111"/>
      <c r="D62" s="111"/>
      <c r="E62" s="111"/>
      <c r="F62" s="116"/>
      <c r="G62" s="116"/>
      <c r="H62" s="116"/>
      <c r="I62" s="116"/>
      <c r="J62" s="116"/>
      <c r="K62" s="116"/>
      <c r="L62" s="114"/>
      <c r="M62" s="114"/>
      <c r="N62" s="111"/>
      <c r="Q62" s="8" t="n">
        <f aca="false">IF($D62="Peak",+F62,0)</f>
        <v>0</v>
      </c>
      <c r="R62" s="8" t="n">
        <f aca="false">IF($D62="Peak",+G62,0)</f>
        <v>0</v>
      </c>
      <c r="S62" s="8" t="n">
        <f aca="false">IF($D62="Peak",+H62,0)</f>
        <v>0</v>
      </c>
      <c r="T62" s="8" t="n">
        <f aca="false">IF($D62="Peak",+I62,0)</f>
        <v>0</v>
      </c>
      <c r="U62" s="8" t="n">
        <f aca="false">IF($D62="Peak",+J62,0)</f>
        <v>0</v>
      </c>
      <c r="V62" s="8" t="n">
        <f aca="false">IF($D62="Peak",+K62,0)</f>
        <v>0</v>
      </c>
      <c r="W62" s="8"/>
      <c r="X62" s="8" t="n">
        <f aca="false">IF($F62="Peak",+M62,0)</f>
        <v>0</v>
      </c>
      <c r="Y62" s="8" t="n">
        <f aca="false">IF($F62="Peak",+N62,0)</f>
        <v>0</v>
      </c>
      <c r="Z62" s="8" t="n">
        <f aca="false">IF($F62="Peak",+O62,0)</f>
        <v>0</v>
      </c>
      <c r="AA62" s="8" t="n">
        <f aca="false">IF($F62="Peak",+P62,0)</f>
        <v>0</v>
      </c>
      <c r="AB62" s="8" t="n">
        <f aca="false">IF($F62="Peak",+Q62,0)</f>
        <v>0</v>
      </c>
      <c r="AC62" s="8" t="n">
        <f aca="false">IF($F62="Peak",+R62,0)</f>
        <v>0</v>
      </c>
      <c r="AD62" s="8"/>
    </row>
    <row r="63" customFormat="false" ht="12.75" hidden="false" customHeight="false" outlineLevel="0" collapsed="false">
      <c r="A63" s="111"/>
      <c r="C63" s="111"/>
      <c r="D63" s="121" t="s">
        <v>293</v>
      </c>
      <c r="E63" s="111"/>
      <c r="F63" s="116" t="n">
        <v>1524</v>
      </c>
      <c r="G63" s="116" t="n">
        <v>3303</v>
      </c>
      <c r="H63" s="116" t="n">
        <v>3673</v>
      </c>
      <c r="I63" s="116" t="n">
        <v>4435</v>
      </c>
      <c r="J63" s="116" t="n">
        <v>4435</v>
      </c>
      <c r="K63" s="116" t="n">
        <v>4185</v>
      </c>
      <c r="L63" s="114"/>
      <c r="M63" s="111"/>
      <c r="N63" s="111"/>
      <c r="Q63" s="8" t="n">
        <f aca="false">IF($D63="Peak",+F63,0)</f>
        <v>0</v>
      </c>
      <c r="R63" s="8" t="n">
        <f aca="false">IF($D63="Peak",+G63,0)</f>
        <v>0</v>
      </c>
      <c r="S63" s="8" t="n">
        <f aca="false">IF($D63="Peak",+H63,0)</f>
        <v>0</v>
      </c>
      <c r="T63" s="8" t="n">
        <f aca="false">IF($D63="Peak",+I63,0)</f>
        <v>0</v>
      </c>
      <c r="U63" s="8" t="n">
        <f aca="false">IF($D63="Peak",+J63,0)</f>
        <v>0</v>
      </c>
      <c r="V63" s="8" t="n">
        <f aca="false">IF($D63="Peak",+K63,0)</f>
        <v>0</v>
      </c>
      <c r="W63" s="8"/>
      <c r="X63" s="8" t="n">
        <f aca="false">IF($F63="Peak",+M63,0)</f>
        <v>0</v>
      </c>
      <c r="Y63" s="8" t="n">
        <f aca="false">IF($F63="Peak",+N63,0)</f>
        <v>0</v>
      </c>
      <c r="Z63" s="8" t="n">
        <f aca="false">IF($F63="Peak",+O63,0)</f>
        <v>0</v>
      </c>
      <c r="AA63" s="8" t="n">
        <f aca="false">IF($F63="Peak",+P63,0)</f>
        <v>0</v>
      </c>
      <c r="AB63" s="8" t="n">
        <f aca="false">IF($F63="Peak",+Q63,0)</f>
        <v>0</v>
      </c>
      <c r="AC63" s="8" t="n">
        <f aca="false">IF($F63="Peak",+R63,0)</f>
        <v>0</v>
      </c>
      <c r="AD63" s="8"/>
    </row>
    <row r="64" customFormat="false" ht="12.75" hidden="false" customHeight="false" outlineLevel="0" collapsed="false">
      <c r="A64" s="111"/>
      <c r="C64" s="111"/>
      <c r="D64" s="121" t="s">
        <v>292</v>
      </c>
      <c r="E64" s="111"/>
      <c r="F64" s="122" t="n">
        <v>4106</v>
      </c>
      <c r="G64" s="122" t="n">
        <v>4400</v>
      </c>
      <c r="H64" s="122" t="n">
        <v>6747</v>
      </c>
      <c r="I64" s="122" t="n">
        <v>7631</v>
      </c>
      <c r="J64" s="122" t="n">
        <v>6981</v>
      </c>
      <c r="K64" s="122" t="n">
        <v>6441</v>
      </c>
      <c r="L64" s="114"/>
      <c r="M64" s="111"/>
      <c r="N64" s="111"/>
      <c r="Q64" s="8" t="n">
        <f aca="false">IF($D64="Peak",+F64,0)</f>
        <v>0</v>
      </c>
      <c r="R64" s="8" t="n">
        <f aca="false">IF($D64="Peak",+G64,0)</f>
        <v>0</v>
      </c>
      <c r="S64" s="8" t="n">
        <f aca="false">IF($D64="Peak",+H64,0)</f>
        <v>0</v>
      </c>
      <c r="T64" s="8" t="n">
        <f aca="false">IF($D64="Peak",+I64,0)</f>
        <v>0</v>
      </c>
      <c r="U64" s="8" t="n">
        <f aca="false">IF($D64="Peak",+J64,0)</f>
        <v>0</v>
      </c>
      <c r="V64" s="8" t="n">
        <f aca="false">IF($D64="Peak",+K64,0)</f>
        <v>0</v>
      </c>
      <c r="W64" s="8"/>
      <c r="X64" s="8" t="n">
        <f aca="false">IF($F64="Peak",+M64,0)</f>
        <v>0</v>
      </c>
      <c r="Y64" s="8" t="n">
        <f aca="false">IF($F64="Peak",+N64,0)</f>
        <v>0</v>
      </c>
      <c r="Z64" s="8" t="n">
        <f aca="false">IF($F64="Peak",+O64,0)</f>
        <v>0</v>
      </c>
      <c r="AA64" s="8" t="n">
        <f aca="false">IF($F64="Peak",+P64,0)</f>
        <v>0</v>
      </c>
      <c r="AB64" s="8" t="n">
        <f aca="false">IF($F64="Peak",+Q64,0)</f>
        <v>0</v>
      </c>
      <c r="AC64" s="8" t="n">
        <f aca="false">IF($F64="Peak",+R64,0)</f>
        <v>0</v>
      </c>
      <c r="AD64" s="8"/>
    </row>
    <row r="65" customFormat="false" ht="12.75" hidden="false" customHeight="false" outlineLevel="0" collapsed="false">
      <c r="A65" s="111"/>
      <c r="C65" s="111"/>
      <c r="D65" s="121" t="s">
        <v>62</v>
      </c>
      <c r="E65" s="111"/>
      <c r="F65" s="116" t="n">
        <v>5630</v>
      </c>
      <c r="G65" s="116" t="n">
        <v>7703</v>
      </c>
      <c r="H65" s="116" t="n">
        <v>10420</v>
      </c>
      <c r="I65" s="116" t="n">
        <v>12066</v>
      </c>
      <c r="J65" s="116" t="n">
        <v>11416</v>
      </c>
      <c r="K65" s="116" t="n">
        <v>10626</v>
      </c>
      <c r="L65" s="114"/>
      <c r="M65" s="111"/>
      <c r="N65" s="111"/>
      <c r="Q65" s="43" t="n">
        <f aca="false">SUM(Q11:Q61)</f>
        <v>4789</v>
      </c>
      <c r="R65" s="43" t="n">
        <f aca="false">SUM(R11:R61)</f>
        <v>4049</v>
      </c>
      <c r="S65" s="43" t="n">
        <f aca="false">SUM(S11:S61)</f>
        <v>4449</v>
      </c>
      <c r="T65" s="43" t="n">
        <f aca="false">SUM(T11:T61)</f>
        <v>5054</v>
      </c>
      <c r="U65" s="43" t="n">
        <f aca="false">SUM(U11:U61)</f>
        <v>4084</v>
      </c>
      <c r="V65" s="43" t="n">
        <f aca="false">SUM(V11:V61)</f>
        <v>2934</v>
      </c>
      <c r="AB65" s="8" t="n">
        <f aca="false">IF($F65="Peak",+Q65,0)</f>
        <v>0</v>
      </c>
    </row>
    <row r="66" customFormat="false" ht="12.75" hidden="false" customHeight="false" outlineLevel="0" collapsed="false">
      <c r="A66" s="111"/>
      <c r="B66" s="121"/>
      <c r="C66" s="111"/>
      <c r="D66" s="111"/>
      <c r="E66" s="111"/>
      <c r="F66" s="116"/>
      <c r="G66" s="116"/>
      <c r="H66" s="116"/>
      <c r="I66" s="116"/>
      <c r="J66" s="116"/>
      <c r="K66" s="116"/>
      <c r="L66" s="114"/>
      <c r="M66" s="111"/>
      <c r="N66" s="111"/>
      <c r="Q66" s="11" t="n">
        <f aca="false">+Q65/F65</f>
        <v>0.850621669626998</v>
      </c>
      <c r="R66" s="11" t="n">
        <f aca="false">+R65/G65</f>
        <v>0.52563936128781</v>
      </c>
      <c r="S66" s="11" t="n">
        <f aca="false">+S65/H65</f>
        <v>0.426967370441459</v>
      </c>
      <c r="T66" s="11" t="n">
        <f aca="false">+T65/I65</f>
        <v>0.418862920603348</v>
      </c>
      <c r="U66" s="11" t="n">
        <f aca="false">+U65/J65</f>
        <v>0.357743517869657</v>
      </c>
      <c r="V66" s="11" t="n">
        <f aca="false">+V65/K65</f>
        <v>0.276115189158667</v>
      </c>
    </row>
    <row r="67" customFormat="false" ht="25.5" hidden="false" customHeight="false" outlineLevel="0" collapsed="false">
      <c r="A67" s="44"/>
      <c r="B67" s="111"/>
      <c r="C67" s="111"/>
      <c r="D67" s="111"/>
      <c r="E67" s="111"/>
      <c r="F67" s="123" t="s">
        <v>320</v>
      </c>
      <c r="G67" s="123" t="s">
        <v>321</v>
      </c>
      <c r="H67" s="123" t="s">
        <v>322</v>
      </c>
      <c r="I67" s="123" t="s">
        <v>323</v>
      </c>
      <c r="J67" s="123" t="s">
        <v>324</v>
      </c>
      <c r="K67" s="123" t="s">
        <v>325</v>
      </c>
      <c r="L67" s="114"/>
      <c r="M67" s="111"/>
      <c r="N67" s="1"/>
    </row>
    <row r="68" customFormat="false" ht="12.75" hidden="false" customHeight="false" outlineLevel="0" collapsed="false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customFormat="false" ht="12.75" hidden="false" customHeight="false" outlineLevel="0" collapsed="false">
      <c r="E69" s="65" t="s">
        <v>366</v>
      </c>
      <c r="F69" s="116" t="n">
        <v>3252</v>
      </c>
      <c r="G69" s="116" t="n">
        <v>3387</v>
      </c>
      <c r="H69" s="116" t="n">
        <v>4629</v>
      </c>
      <c r="I69" s="116" t="n">
        <v>5541</v>
      </c>
      <c r="J69" s="116" t="n">
        <v>5541</v>
      </c>
      <c r="K69" s="116" t="n">
        <v>5001</v>
      </c>
    </row>
    <row r="70" customFormat="false" ht="12.75" hidden="false" customHeight="false" outlineLevel="0" collapsed="false">
      <c r="E70" s="65" t="s">
        <v>367</v>
      </c>
      <c r="F70" s="116" t="n">
        <v>466</v>
      </c>
      <c r="G70" s="116" t="n">
        <v>466</v>
      </c>
      <c r="H70" s="116" t="n">
        <v>996</v>
      </c>
      <c r="I70" s="116" t="n">
        <v>1230</v>
      </c>
      <c r="J70" s="116" t="n">
        <v>1730</v>
      </c>
      <c r="K70" s="116" t="n">
        <v>1730</v>
      </c>
    </row>
    <row r="71" customFormat="false" ht="12.75" hidden="false" customHeight="false" outlineLevel="0" collapsed="false">
      <c r="E71" s="65" t="s">
        <v>368</v>
      </c>
      <c r="F71" s="122" t="n">
        <v>1912</v>
      </c>
      <c r="G71" s="122" t="n">
        <v>3850</v>
      </c>
      <c r="H71" s="122" t="n">
        <v>4795</v>
      </c>
      <c r="I71" s="122" t="n">
        <v>5295</v>
      </c>
      <c r="J71" s="122" t="n">
        <v>4145</v>
      </c>
      <c r="K71" s="122" t="n">
        <v>3895</v>
      </c>
    </row>
    <row r="72" customFormat="false" ht="12.75" hidden="false" customHeight="false" outlineLevel="0" collapsed="false">
      <c r="F72" s="118" t="n">
        <v>5630</v>
      </c>
      <c r="G72" s="118" t="n">
        <v>7703</v>
      </c>
      <c r="H72" s="118" t="n">
        <v>10420</v>
      </c>
      <c r="I72" s="118" t="n">
        <v>12066</v>
      </c>
      <c r="J72" s="118" t="n">
        <v>11416</v>
      </c>
      <c r="K72" s="118" t="n">
        <v>10626</v>
      </c>
    </row>
    <row r="74" customFormat="false" ht="12.75" hidden="false" customHeight="false" outlineLevel="0" collapsed="false">
      <c r="A74" s="1" t="s">
        <v>369</v>
      </c>
      <c r="B74" s="0" t="s">
        <v>370</v>
      </c>
    </row>
    <row r="75" customFormat="false" ht="12.75" hidden="false" customHeight="false" outlineLevel="0" collapsed="false">
      <c r="B75" s="0" t="s">
        <v>371</v>
      </c>
      <c r="F75" s="124"/>
      <c r="G75" s="124"/>
      <c r="H75" s="124"/>
      <c r="I75" s="124"/>
      <c r="J75" s="124"/>
    </row>
    <row r="76" customFormat="false" ht="12.75" hidden="false" customHeight="false" outlineLevel="0" collapsed="false">
      <c r="B76" s="0" t="s">
        <v>372</v>
      </c>
    </row>
  </sheetData>
  <mergeCells count="5">
    <mergeCell ref="A1:P1"/>
    <mergeCell ref="A2:P2"/>
    <mergeCell ref="B6:K6"/>
    <mergeCell ref="L6:N6"/>
    <mergeCell ref="F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85" colorId="64" zoomScale="80" zoomScaleNormal="8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65</v>
      </c>
      <c r="D5" s="1" t="s">
        <v>66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65</v>
      </c>
      <c r="D6" s="1" t="s">
        <v>67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65</v>
      </c>
      <c r="D7" s="1" t="s">
        <v>68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65</v>
      </c>
      <c r="D8" s="1" t="s">
        <v>69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65</v>
      </c>
      <c r="D9" s="1" t="s">
        <v>70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71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72</v>
      </c>
      <c r="C14" s="1" t="s">
        <v>73</v>
      </c>
      <c r="D14" s="1" t="s">
        <v>66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72</v>
      </c>
      <c r="C15" s="1" t="s">
        <v>73</v>
      </c>
      <c r="D15" s="1" t="s">
        <v>67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72</v>
      </c>
      <c r="C16" s="1" t="s">
        <v>73</v>
      </c>
      <c r="D16" s="1" t="s">
        <v>68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72</v>
      </c>
      <c r="C17" s="1" t="s">
        <v>73</v>
      </c>
      <c r="D17" s="1" t="s">
        <v>69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72</v>
      </c>
      <c r="C18" s="1" t="s">
        <v>73</v>
      </c>
      <c r="D18" s="1" t="s">
        <v>70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74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75</v>
      </c>
      <c r="B23" s="1" t="s">
        <v>76</v>
      </c>
      <c r="C23" s="1" t="s">
        <v>77</v>
      </c>
      <c r="D23" s="1" t="s">
        <v>78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75</v>
      </c>
      <c r="B24" s="1" t="s">
        <v>76</v>
      </c>
      <c r="C24" s="1" t="s">
        <v>77</v>
      </c>
      <c r="D24" s="1" t="s">
        <v>79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75</v>
      </c>
      <c r="B25" s="1" t="s">
        <v>76</v>
      </c>
      <c r="C25" s="1" t="s">
        <v>77</v>
      </c>
      <c r="D25" s="1" t="s">
        <v>80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75</v>
      </c>
      <c r="B26" s="1" t="s">
        <v>76</v>
      </c>
      <c r="C26" s="1" t="s">
        <v>77</v>
      </c>
      <c r="D26" s="1" t="s">
        <v>81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75</v>
      </c>
      <c r="B27" s="1" t="s">
        <v>76</v>
      </c>
      <c r="C27" s="1" t="s">
        <v>77</v>
      </c>
      <c r="D27" s="1" t="s">
        <v>82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75</v>
      </c>
      <c r="B28" s="1" t="s">
        <v>76</v>
      </c>
      <c r="C28" s="1" t="s">
        <v>77</v>
      </c>
      <c r="D28" s="1" t="s">
        <v>70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83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75</v>
      </c>
      <c r="B33" s="1" t="s">
        <v>84</v>
      </c>
      <c r="C33" s="1" t="s">
        <v>85</v>
      </c>
      <c r="D33" s="1" t="s">
        <v>78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75</v>
      </c>
      <c r="B34" s="1" t="s">
        <v>84</v>
      </c>
      <c r="C34" s="1" t="s">
        <v>85</v>
      </c>
      <c r="D34" s="1" t="s">
        <v>86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75</v>
      </c>
      <c r="B35" s="1" t="s">
        <v>84</v>
      </c>
      <c r="C35" s="1" t="s">
        <v>85</v>
      </c>
      <c r="D35" s="1" t="s">
        <v>87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75</v>
      </c>
      <c r="B36" s="1" t="s">
        <v>84</v>
      </c>
      <c r="C36" s="1" t="s">
        <v>85</v>
      </c>
      <c r="D36" s="1" t="s">
        <v>88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75</v>
      </c>
      <c r="B37" s="1" t="s">
        <v>84</v>
      </c>
      <c r="C37" s="1" t="s">
        <v>85</v>
      </c>
      <c r="D37" s="1" t="s">
        <v>89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90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75</v>
      </c>
      <c r="B42" s="1" t="s">
        <v>91</v>
      </c>
      <c r="C42" s="1" t="s">
        <v>92</v>
      </c>
      <c r="D42" s="1" t="s">
        <v>78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75</v>
      </c>
      <c r="B43" s="1" t="s">
        <v>91</v>
      </c>
      <c r="C43" s="1" t="s">
        <v>92</v>
      </c>
      <c r="D43" s="1" t="s">
        <v>93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75</v>
      </c>
      <c r="B44" s="1" t="s">
        <v>91</v>
      </c>
      <c r="C44" s="1" t="s">
        <v>92</v>
      </c>
      <c r="D44" s="1" t="s">
        <v>94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95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96</v>
      </c>
      <c r="C49" s="1" t="s">
        <v>97</v>
      </c>
      <c r="D49" s="1" t="s">
        <v>78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96</v>
      </c>
      <c r="C50" s="1" t="s">
        <v>97</v>
      </c>
      <c r="D50" s="1" t="s">
        <v>93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96</v>
      </c>
      <c r="C51" s="1" t="s">
        <v>97</v>
      </c>
      <c r="D51" s="1" t="s">
        <v>94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98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99</v>
      </c>
      <c r="C56" s="1" t="s">
        <v>100</v>
      </c>
      <c r="D56" s="1" t="s">
        <v>78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99</v>
      </c>
      <c r="C57" s="1" t="s">
        <v>100</v>
      </c>
      <c r="D57" s="1" t="s">
        <v>93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99</v>
      </c>
      <c r="C58" s="1" t="s">
        <v>100</v>
      </c>
      <c r="D58" s="1" t="s">
        <v>94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101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102</v>
      </c>
      <c r="C63" s="1" t="s">
        <v>100</v>
      </c>
      <c r="D63" s="1" t="s">
        <v>78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102</v>
      </c>
      <c r="C64" s="1" t="s">
        <v>100</v>
      </c>
      <c r="D64" s="1" t="s">
        <v>93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102</v>
      </c>
      <c r="C65" s="1" t="s">
        <v>100</v>
      </c>
      <c r="D65" s="1" t="s">
        <v>94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103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104</v>
      </c>
      <c r="B70" s="1" t="s">
        <v>105</v>
      </c>
      <c r="C70" s="1" t="s">
        <v>106</v>
      </c>
      <c r="D70" s="1" t="s">
        <v>78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104</v>
      </c>
      <c r="B71" s="1" t="s">
        <v>105</v>
      </c>
      <c r="C71" s="1" t="s">
        <v>106</v>
      </c>
      <c r="D71" s="1" t="s">
        <v>79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104</v>
      </c>
      <c r="B72" s="1" t="s">
        <v>105</v>
      </c>
      <c r="C72" s="1" t="s">
        <v>106</v>
      </c>
      <c r="D72" s="1" t="s">
        <v>80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104</v>
      </c>
      <c r="B73" s="1" t="s">
        <v>105</v>
      </c>
      <c r="C73" s="1" t="s">
        <v>106</v>
      </c>
      <c r="D73" s="1" t="s">
        <v>81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104</v>
      </c>
      <c r="B74" s="1" t="s">
        <v>105</v>
      </c>
      <c r="C74" s="1" t="s">
        <v>106</v>
      </c>
      <c r="D74" s="1" t="s">
        <v>82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107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104</v>
      </c>
      <c r="B79" s="1" t="s">
        <v>108</v>
      </c>
      <c r="C79" s="1" t="s">
        <v>106</v>
      </c>
      <c r="D79" s="1" t="s">
        <v>78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104</v>
      </c>
      <c r="B80" s="1" t="s">
        <v>108</v>
      </c>
      <c r="C80" s="1" t="s">
        <v>106</v>
      </c>
      <c r="D80" s="1" t="s">
        <v>86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104</v>
      </c>
      <c r="B81" s="1" t="s">
        <v>108</v>
      </c>
      <c r="C81" s="1" t="s">
        <v>106</v>
      </c>
      <c r="D81" s="1" t="s">
        <v>87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104</v>
      </c>
      <c r="B82" s="1" t="s">
        <v>108</v>
      </c>
      <c r="C82" s="1" t="s">
        <v>106</v>
      </c>
      <c r="D82" s="1" t="s">
        <v>88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104</v>
      </c>
      <c r="B83" s="1" t="s">
        <v>108</v>
      </c>
      <c r="C83" s="1" t="s">
        <v>106</v>
      </c>
      <c r="D83" s="1" t="s">
        <v>89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109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104</v>
      </c>
      <c r="B88" s="1" t="s">
        <v>110</v>
      </c>
      <c r="C88" s="1" t="s">
        <v>106</v>
      </c>
      <c r="D88" s="1" t="s">
        <v>78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104</v>
      </c>
      <c r="B89" s="1" t="s">
        <v>110</v>
      </c>
      <c r="C89" s="1" t="s">
        <v>106</v>
      </c>
      <c r="D89" s="1" t="s">
        <v>93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104</v>
      </c>
      <c r="B90" s="1" t="s">
        <v>110</v>
      </c>
      <c r="C90" s="1" t="s">
        <v>106</v>
      </c>
      <c r="D90" s="1" t="s">
        <v>94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111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104</v>
      </c>
      <c r="B95" s="1" t="s">
        <v>112</v>
      </c>
      <c r="C95" s="1" t="s">
        <v>106</v>
      </c>
      <c r="D95" s="1" t="s">
        <v>78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104</v>
      </c>
      <c r="B96" s="1" t="s">
        <v>112</v>
      </c>
      <c r="C96" s="1" t="s">
        <v>106</v>
      </c>
      <c r="D96" s="1" t="s">
        <v>93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104</v>
      </c>
      <c r="B97" s="1" t="s">
        <v>112</v>
      </c>
      <c r="C97" s="1" t="s">
        <v>106</v>
      </c>
      <c r="D97" s="1" t="s">
        <v>94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113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114</v>
      </c>
      <c r="B102" s="1" t="s">
        <v>115</v>
      </c>
      <c r="D102" s="1" t="s">
        <v>78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114</v>
      </c>
      <c r="B103" s="1" t="s">
        <v>115</v>
      </c>
      <c r="D103" s="1" t="s">
        <v>79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114</v>
      </c>
      <c r="B104" s="1" t="s">
        <v>115</v>
      </c>
      <c r="D104" s="1" t="s">
        <v>80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114</v>
      </c>
      <c r="B105" s="1" t="s">
        <v>115</v>
      </c>
      <c r="D105" s="1" t="s">
        <v>81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114</v>
      </c>
      <c r="B106" s="1" t="s">
        <v>115</v>
      </c>
      <c r="D106" s="1" t="s">
        <v>82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116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117</v>
      </c>
      <c r="D111" s="1" t="s">
        <v>78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117</v>
      </c>
      <c r="D112" s="1" t="s">
        <v>79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117</v>
      </c>
      <c r="D113" s="1" t="s">
        <v>80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117</v>
      </c>
      <c r="D114" s="1" t="s">
        <v>81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117</v>
      </c>
      <c r="D115" s="1" t="s">
        <v>82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K134" s="12"/>
    </row>
    <row r="135" customFormat="false" ht="12.75" hidden="false" customHeight="false" outlineLevel="0" collapsed="false">
      <c r="D135" s="1" t="s">
        <v>63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64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D58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118</v>
      </c>
    </row>
    <row r="7" customFormat="false" ht="12.75" hidden="false" customHeight="false" outlineLevel="0" collapsed="false">
      <c r="A7" s="1" t="s">
        <v>16</v>
      </c>
      <c r="B7" s="1" t="s">
        <v>119</v>
      </c>
      <c r="D7" s="1" t="s">
        <v>120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119</v>
      </c>
      <c r="D8" s="1" t="s">
        <v>121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119</v>
      </c>
      <c r="D9" s="1" t="s">
        <v>122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119</v>
      </c>
      <c r="D10" s="1" t="s">
        <v>123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124</v>
      </c>
      <c r="C15" s="1" t="s">
        <v>73</v>
      </c>
      <c r="D15" s="1" t="s">
        <v>125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124</v>
      </c>
      <c r="C16" s="1" t="s">
        <v>73</v>
      </c>
      <c r="D16" s="1" t="s">
        <v>121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124</v>
      </c>
      <c r="C17" s="1" t="s">
        <v>73</v>
      </c>
      <c r="D17" s="1" t="s">
        <v>122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124</v>
      </c>
      <c r="C18" s="1" t="s">
        <v>73</v>
      </c>
      <c r="D18" s="1" t="s">
        <v>123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124</v>
      </c>
      <c r="D20" s="1" t="s">
        <v>126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127</v>
      </c>
    </row>
    <row r="24" customFormat="false" ht="12.75" hidden="false" customHeight="false" outlineLevel="0" collapsed="false">
      <c r="D24" s="1" t="s">
        <v>128</v>
      </c>
    </row>
    <row r="25" customFormat="false" ht="12.75" hidden="false" customHeight="false" outlineLevel="0" collapsed="false">
      <c r="A25" s="1" t="s">
        <v>129</v>
      </c>
      <c r="C25" s="1" t="s">
        <v>130</v>
      </c>
      <c r="D25" s="1" t="s">
        <v>78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129</v>
      </c>
      <c r="D26" s="1" t="s">
        <v>131</v>
      </c>
    </row>
    <row r="27" customFormat="false" ht="12.75" hidden="false" customHeight="false" outlineLevel="0" collapsed="false">
      <c r="A27" s="1" t="s">
        <v>129</v>
      </c>
      <c r="B27" s="1" t="s">
        <v>132</v>
      </c>
      <c r="D27" s="1" t="s">
        <v>133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129</v>
      </c>
      <c r="B28" s="1" t="s">
        <v>132</v>
      </c>
      <c r="D28" s="1" t="s">
        <v>134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129</v>
      </c>
      <c r="B29" s="1" t="s">
        <v>132</v>
      </c>
      <c r="D29" s="1" t="s">
        <v>135</v>
      </c>
    </row>
    <row r="30" customFormat="false" ht="12.75" hidden="false" customHeight="false" outlineLevel="0" collapsed="false">
      <c r="A30" s="1" t="s">
        <v>129</v>
      </c>
      <c r="B30" s="1" t="s">
        <v>132</v>
      </c>
      <c r="D30" s="1" t="s">
        <v>133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129</v>
      </c>
      <c r="B31" s="1" t="s">
        <v>132</v>
      </c>
      <c r="D31" s="1" t="s">
        <v>134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137</v>
      </c>
    </row>
    <row r="38" customFormat="false" ht="12.75" hidden="false" customHeight="false" outlineLevel="0" collapsed="false">
      <c r="A38" s="1" t="s">
        <v>33</v>
      </c>
      <c r="C38" s="1" t="s">
        <v>138</v>
      </c>
      <c r="D38" s="1" t="s">
        <v>78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138</v>
      </c>
      <c r="D39" s="1" t="s">
        <v>139</v>
      </c>
    </row>
    <row r="40" customFormat="false" ht="12.75" hidden="false" customHeight="false" outlineLevel="0" collapsed="false">
      <c r="A40" s="1" t="s">
        <v>33</v>
      </c>
      <c r="C40" s="1" t="s">
        <v>138</v>
      </c>
      <c r="D40" s="1" t="s">
        <v>140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138</v>
      </c>
      <c r="D41" s="1" t="s">
        <v>135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138</v>
      </c>
      <c r="D42" s="1" t="s">
        <v>141</v>
      </c>
    </row>
    <row r="43" customFormat="false" ht="12.75" hidden="false" customHeight="false" outlineLevel="0" collapsed="false">
      <c r="A43" s="1" t="s">
        <v>33</v>
      </c>
      <c r="C43" s="1" t="s">
        <v>138</v>
      </c>
      <c r="D43" s="1" t="s">
        <v>140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138</v>
      </c>
      <c r="D44" s="1" t="s">
        <v>135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138</v>
      </c>
      <c r="D45" s="1" t="s">
        <v>142</v>
      </c>
    </row>
    <row r="46" customFormat="false" ht="12.75" hidden="false" customHeight="false" outlineLevel="0" collapsed="false">
      <c r="A46" s="1" t="s">
        <v>33</v>
      </c>
      <c r="C46" s="1" t="s">
        <v>138</v>
      </c>
      <c r="D46" s="1" t="s">
        <v>140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138</v>
      </c>
      <c r="D47" s="1" t="s">
        <v>135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138</v>
      </c>
      <c r="D49" s="1" t="s">
        <v>139</v>
      </c>
    </row>
    <row r="50" customFormat="false" ht="12.75" hidden="false" customHeight="false" outlineLevel="0" collapsed="false">
      <c r="A50" s="1" t="s">
        <v>33</v>
      </c>
      <c r="C50" s="1" t="s">
        <v>138</v>
      </c>
      <c r="D50" s="1" t="s">
        <v>140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138</v>
      </c>
      <c r="D51" s="1" t="s">
        <v>135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138</v>
      </c>
      <c r="D52" s="1" t="s">
        <v>141</v>
      </c>
    </row>
    <row r="53" customFormat="false" ht="12.75" hidden="false" customHeight="false" outlineLevel="0" collapsed="false">
      <c r="A53" s="1" t="s">
        <v>33</v>
      </c>
      <c r="C53" s="1" t="s">
        <v>138</v>
      </c>
      <c r="D53" s="1" t="s">
        <v>140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138</v>
      </c>
      <c r="D54" s="1" t="s">
        <v>135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138</v>
      </c>
      <c r="D55" s="1" t="s">
        <v>142</v>
      </c>
    </row>
    <row r="56" customFormat="false" ht="12.75" hidden="false" customHeight="false" outlineLevel="0" collapsed="false">
      <c r="A56" s="1" t="s">
        <v>33</v>
      </c>
      <c r="C56" s="1" t="s">
        <v>138</v>
      </c>
      <c r="D56" s="1" t="s">
        <v>140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138</v>
      </c>
      <c r="D57" s="1" t="s">
        <v>135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144</v>
      </c>
    </row>
    <row r="63" customFormat="false" ht="12.75" hidden="false" customHeight="false" outlineLevel="0" collapsed="false">
      <c r="A63" s="1" t="s">
        <v>33</v>
      </c>
      <c r="B63" s="1" t="s">
        <v>145</v>
      </c>
      <c r="C63" s="1" t="s">
        <v>146</v>
      </c>
      <c r="D63" s="1" t="s">
        <v>78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145</v>
      </c>
      <c r="C64" s="1" t="s">
        <v>146</v>
      </c>
      <c r="D64" s="1" t="s">
        <v>139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145</v>
      </c>
      <c r="C65" s="1" t="s">
        <v>146</v>
      </c>
      <c r="D65" s="1" t="s">
        <v>147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148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149</v>
      </c>
    </row>
    <row r="71" customFormat="false" ht="12.75" hidden="false" customHeight="false" outlineLevel="0" collapsed="false">
      <c r="D71" s="1" t="s">
        <v>150</v>
      </c>
    </row>
    <row r="72" customFormat="false" ht="12.75" hidden="false" customHeight="false" outlineLevel="0" collapsed="false">
      <c r="A72" s="1" t="s">
        <v>61</v>
      </c>
      <c r="C72" s="1" t="s">
        <v>151</v>
      </c>
      <c r="D72" s="1" t="s">
        <v>152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151</v>
      </c>
      <c r="D73" s="1" t="s">
        <v>153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151</v>
      </c>
      <c r="D74" s="1" t="s">
        <v>154</v>
      </c>
    </row>
    <row r="75" customFormat="false" ht="12.75" hidden="false" customHeight="false" outlineLevel="0" collapsed="false">
      <c r="A75" s="1" t="s">
        <v>61</v>
      </c>
      <c r="C75" s="1" t="s">
        <v>151</v>
      </c>
      <c r="D75" s="1" t="s">
        <v>133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151</v>
      </c>
      <c r="D76" s="1" t="s">
        <v>134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156</v>
      </c>
    </row>
    <row r="82" customFormat="false" ht="12.75" hidden="false" customHeight="false" outlineLevel="0" collapsed="false">
      <c r="A82" s="1" t="s">
        <v>156</v>
      </c>
      <c r="D82" s="1" t="s">
        <v>78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156</v>
      </c>
      <c r="D83" s="1" t="s">
        <v>133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156</v>
      </c>
      <c r="D84" s="1" t="s">
        <v>134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157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63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64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158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159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160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161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162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163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164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164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AA29" activeCellId="0" sqref="A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165</v>
      </c>
      <c r="H3" s="39" t="s">
        <v>166</v>
      </c>
      <c r="L3" s="40" t="s">
        <v>167</v>
      </c>
    </row>
    <row r="5" customFormat="false" ht="12.75" hidden="false" customHeight="false" outlineLevel="0" collapsed="false">
      <c r="C5" s="2" t="s">
        <v>168</v>
      </c>
      <c r="D5" s="2" t="s">
        <v>169</v>
      </c>
      <c r="E5" s="2" t="s">
        <v>170</v>
      </c>
      <c r="G5" s="2" t="s">
        <v>168</v>
      </c>
      <c r="H5" s="2" t="s">
        <v>169</v>
      </c>
      <c r="I5" s="2" t="s">
        <v>170</v>
      </c>
      <c r="K5" s="38" t="s">
        <v>171</v>
      </c>
      <c r="L5" s="2" t="s">
        <v>172</v>
      </c>
      <c r="M5" s="1" t="s">
        <v>173</v>
      </c>
    </row>
    <row r="6" customFormat="false" ht="12.75" hidden="false" customHeight="false" outlineLevel="0" collapsed="false">
      <c r="A6" s="1" t="s">
        <v>174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175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176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177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174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175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176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177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174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175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176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177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174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175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176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177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174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175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176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177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174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175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176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177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174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175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176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177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174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175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176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177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174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175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176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177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174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175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176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177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178</v>
      </c>
    </row>
    <row r="51" customFormat="false" ht="12.75" hidden="false" customHeight="false" outlineLevel="0" collapsed="false">
      <c r="A51" s="1" t="s">
        <v>174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175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176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177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174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175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176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177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174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175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176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177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6.28"/>
  </cols>
  <sheetData>
    <row r="2" customFormat="false" ht="12.75" hidden="false" customHeight="false" outlineLevel="0" collapsed="false">
      <c r="A2" s="44" t="s">
        <v>179</v>
      </c>
      <c r="D2" s="1" t="n">
        <v>1</v>
      </c>
      <c r="G2" s="0" t="n">
        <v>1</v>
      </c>
      <c r="J2" s="0" t="n">
        <v>0</v>
      </c>
      <c r="M2" s="0" t="n">
        <v>0</v>
      </c>
      <c r="P2" s="0" t="n">
        <v>0</v>
      </c>
    </row>
    <row r="3" customFormat="false" ht="12.75" hidden="false" customHeight="false" outlineLevel="0" collapsed="false">
      <c r="A3" s="45" t="s">
        <v>180</v>
      </c>
      <c r="D3" s="1" t="n">
        <v>1</v>
      </c>
      <c r="G3" s="0" t="n">
        <v>0</v>
      </c>
      <c r="J3" s="0" t="n">
        <v>1</v>
      </c>
      <c r="M3" s="0" t="n">
        <v>0</v>
      </c>
      <c r="P3" s="0" t="n">
        <v>0</v>
      </c>
    </row>
    <row r="4" customFormat="false" ht="12.75" hidden="false" customHeight="false" outlineLevel="0" collapsed="false">
      <c r="A4" s="44"/>
    </row>
    <row r="5" customFormat="false" ht="12.75" hidden="false" customHeight="false" outlineLevel="0" collapsed="false">
      <c r="A5" s="44" t="s">
        <v>181</v>
      </c>
      <c r="C5" s="46" t="s">
        <v>182</v>
      </c>
      <c r="D5" s="47"/>
      <c r="E5" s="48"/>
      <c r="F5" s="46" t="s">
        <v>182</v>
      </c>
      <c r="G5" s="47"/>
      <c r="H5" s="48"/>
      <c r="I5" s="46" t="s">
        <v>182</v>
      </c>
      <c r="J5" s="47"/>
      <c r="K5" s="48"/>
      <c r="L5" s="46" t="s">
        <v>182</v>
      </c>
      <c r="M5" s="47"/>
      <c r="O5" s="46" t="s">
        <v>182</v>
      </c>
      <c r="P5" s="47"/>
    </row>
    <row r="6" customFormat="false" ht="12.75" hidden="false" customHeight="false" outlineLevel="0" collapsed="false">
      <c r="A6" s="44"/>
      <c r="C6" s="49" t="s">
        <v>183</v>
      </c>
      <c r="D6" s="50" t="s">
        <v>159</v>
      </c>
      <c r="E6" s="51"/>
      <c r="F6" s="49" t="s">
        <v>183</v>
      </c>
      <c r="G6" s="50" t="s">
        <v>159</v>
      </c>
      <c r="H6" s="51"/>
      <c r="I6" s="49" t="s">
        <v>183</v>
      </c>
      <c r="J6" s="50" t="s">
        <v>159</v>
      </c>
      <c r="K6" s="51"/>
      <c r="L6" s="49" t="s">
        <v>183</v>
      </c>
      <c r="M6" s="50" t="s">
        <v>159</v>
      </c>
      <c r="O6" s="49" t="s">
        <v>183</v>
      </c>
      <c r="P6" s="50" t="s">
        <v>159</v>
      </c>
    </row>
    <row r="7" customFormat="false" ht="12.75" hidden="false" customHeight="false" outlineLevel="0" collapsed="false">
      <c r="A7" s="44" t="s">
        <v>184</v>
      </c>
      <c r="C7" s="49" t="n">
        <v>0.992060455930207</v>
      </c>
      <c r="D7" s="50" t="n">
        <v>0.47744091668656</v>
      </c>
      <c r="E7" s="51"/>
      <c r="F7" s="49" t="n">
        <v>0.992060455930207</v>
      </c>
      <c r="G7" s="50" t="n">
        <v>0.47744091668656</v>
      </c>
      <c r="H7" s="51"/>
      <c r="I7" s="49" t="n">
        <v>0.992060455930207</v>
      </c>
      <c r="J7" s="50" t="n">
        <v>0.47744091668656</v>
      </c>
      <c r="K7" s="51"/>
      <c r="L7" s="49" t="n">
        <v>0.992060455930207</v>
      </c>
      <c r="M7" s="50" t="n">
        <v>0.47744091668656</v>
      </c>
      <c r="O7" s="49" t="n">
        <v>0.992060455930207</v>
      </c>
      <c r="P7" s="50" t="n">
        <v>0.47744091668656</v>
      </c>
    </row>
    <row r="8" customFormat="false" ht="12.75" hidden="false" customHeight="false" outlineLevel="0" collapsed="false">
      <c r="A8" s="44" t="s">
        <v>185</v>
      </c>
      <c r="C8" s="49" t="n">
        <v>0</v>
      </c>
      <c r="D8" s="50" t="n">
        <v>0.645626290539639</v>
      </c>
      <c r="E8" s="51"/>
      <c r="F8" s="49" t="n">
        <v>0</v>
      </c>
      <c r="G8" s="50" t="n">
        <v>0.645626290539639</v>
      </c>
      <c r="H8" s="51"/>
      <c r="I8" s="49" t="n">
        <v>0</v>
      </c>
      <c r="J8" s="50" t="n">
        <v>0.513707457136107</v>
      </c>
      <c r="K8" s="51"/>
      <c r="L8" s="49" t="n">
        <v>0</v>
      </c>
      <c r="M8" s="50" t="n">
        <v>0.513707457136107</v>
      </c>
      <c r="O8" s="49" t="n">
        <v>0</v>
      </c>
      <c r="P8" s="50" t="n">
        <v>0.513707457136107</v>
      </c>
    </row>
    <row r="9" customFormat="false" ht="12.75" hidden="false" customHeight="false" outlineLevel="0" collapsed="false">
      <c r="A9" s="52" t="s">
        <v>186</v>
      </c>
      <c r="C9" s="49" t="n">
        <v>-0.382398070606219</v>
      </c>
      <c r="D9" s="50" t="n">
        <v>0</v>
      </c>
      <c r="E9" s="51"/>
      <c r="F9" s="49" t="n">
        <v>-0.382398070606219</v>
      </c>
      <c r="G9" s="50" t="n">
        <v>0</v>
      </c>
      <c r="H9" s="51"/>
      <c r="I9" s="49" t="n">
        <v>-0.304263849448699</v>
      </c>
      <c r="J9" s="50" t="n">
        <v>0</v>
      </c>
      <c r="K9" s="51"/>
      <c r="L9" s="49" t="n">
        <v>-0.304263849448699</v>
      </c>
      <c r="M9" s="50" t="n">
        <v>0</v>
      </c>
      <c r="O9" s="49" t="n">
        <v>-0.304263849448699</v>
      </c>
      <c r="P9" s="50" t="n">
        <v>0</v>
      </c>
    </row>
    <row r="10" customFormat="false" ht="12.75" hidden="false" customHeight="false" outlineLevel="0" collapsed="false">
      <c r="A10" s="52" t="s">
        <v>187</v>
      </c>
      <c r="C10" s="49" t="n">
        <v>6.72269956998405</v>
      </c>
      <c r="D10" s="50" t="n">
        <v>6.67741902345315</v>
      </c>
      <c r="E10" s="51"/>
      <c r="F10" s="49" t="n">
        <v>6.72269956998405</v>
      </c>
      <c r="G10" s="50" t="n">
        <v>6.67741902345315</v>
      </c>
      <c r="H10" s="51"/>
      <c r="I10" s="49" t="n">
        <v>6.72269956998405</v>
      </c>
      <c r="J10" s="50" t="n">
        <v>6.67741902345315</v>
      </c>
      <c r="K10" s="51"/>
      <c r="L10" s="49" t="n">
        <v>6.72269956998405</v>
      </c>
      <c r="M10" s="50" t="n">
        <v>6.67741902345315</v>
      </c>
      <c r="O10" s="49" t="n">
        <v>6.72269956998405</v>
      </c>
      <c r="P10" s="50" t="n">
        <v>6.67741902345315</v>
      </c>
    </row>
    <row r="11" customFormat="false" ht="12.75" hidden="false" customHeight="false" outlineLevel="0" collapsed="false">
      <c r="A11" s="44" t="s">
        <v>188</v>
      </c>
      <c r="C11" s="49" t="n">
        <v>0.605831479227459</v>
      </c>
      <c r="D11" s="50" t="n">
        <v>0.312389591788016</v>
      </c>
      <c r="E11" s="51"/>
      <c r="F11" s="49" t="n">
        <v>0.30291573961373</v>
      </c>
      <c r="G11" s="50" t="n">
        <v>0.156194795894008</v>
      </c>
      <c r="H11" s="51"/>
      <c r="I11" s="49" t="n">
        <v>0.605831479227459</v>
      </c>
      <c r="J11" s="50" t="n">
        <v>0.312389591788016</v>
      </c>
      <c r="K11" s="51"/>
      <c r="L11" s="49" t="n">
        <v>0.30291573961373</v>
      </c>
      <c r="M11" s="50" t="n">
        <v>0.156194795894008</v>
      </c>
      <c r="O11" s="49" t="n">
        <v>0</v>
      </c>
      <c r="P11" s="50" t="n">
        <v>0</v>
      </c>
    </row>
    <row r="12" customFormat="false" ht="12.75" hidden="false" customHeight="false" outlineLevel="0" collapsed="false">
      <c r="A12" s="44"/>
      <c r="C12" s="49"/>
      <c r="D12" s="50"/>
      <c r="E12" s="51"/>
      <c r="F12" s="49"/>
      <c r="G12" s="50"/>
      <c r="H12" s="51"/>
      <c r="I12" s="49"/>
      <c r="J12" s="50"/>
      <c r="K12" s="51"/>
      <c r="L12" s="49"/>
      <c r="M12" s="50"/>
      <c r="O12" s="49"/>
      <c r="P12" s="50"/>
    </row>
    <row r="13" customFormat="false" ht="12.75" hidden="false" customHeight="false" outlineLevel="0" collapsed="false">
      <c r="A13" s="44" t="s">
        <v>189</v>
      </c>
      <c r="C13" s="49" t="n">
        <v>7.9381934345355</v>
      </c>
      <c r="D13" s="50" t="n">
        <v>8.11287582246736</v>
      </c>
      <c r="E13" s="51"/>
      <c r="F13" s="49" t="n">
        <v>7.63527769492177</v>
      </c>
      <c r="G13" s="50" t="n">
        <v>7.95668102657336</v>
      </c>
      <c r="H13" s="51"/>
      <c r="I13" s="49" t="n">
        <v>8.01632765569302</v>
      </c>
      <c r="J13" s="50" t="n">
        <v>7.98095698906383</v>
      </c>
      <c r="K13" s="51"/>
      <c r="L13" s="49" t="n">
        <v>7.71341191607929</v>
      </c>
      <c r="M13" s="50" t="n">
        <v>7.82476219316983</v>
      </c>
      <c r="O13" s="49" t="n">
        <v>7.41049617646556</v>
      </c>
      <c r="P13" s="50" t="n">
        <v>7.66856739727582</v>
      </c>
    </row>
    <row r="14" customFormat="false" ht="12.75" hidden="false" customHeight="false" outlineLevel="0" collapsed="false">
      <c r="A14" s="44"/>
      <c r="C14" s="49"/>
      <c r="D14" s="50"/>
      <c r="E14" s="51"/>
      <c r="F14" s="49"/>
      <c r="G14" s="50"/>
      <c r="H14" s="51"/>
      <c r="I14" s="49"/>
      <c r="J14" s="50"/>
      <c r="K14" s="51"/>
      <c r="L14" s="49"/>
      <c r="M14" s="50"/>
      <c r="O14" s="49"/>
      <c r="P14" s="50"/>
    </row>
    <row r="15" customFormat="false" ht="12.75" hidden="false" customHeight="false" outlineLevel="0" collapsed="false">
      <c r="A15" s="44" t="s">
        <v>190</v>
      </c>
      <c r="C15" s="49" t="n">
        <v>4.8875</v>
      </c>
      <c r="D15" s="50" t="n">
        <v>5.25</v>
      </c>
      <c r="E15" s="51"/>
      <c r="F15" s="49" t="n">
        <v>4.8875</v>
      </c>
      <c r="G15" s="50" t="n">
        <v>5.25</v>
      </c>
      <c r="H15" s="51"/>
      <c r="I15" s="49" t="n">
        <v>4.8875</v>
      </c>
      <c r="J15" s="50" t="n">
        <v>5.25</v>
      </c>
      <c r="K15" s="51"/>
      <c r="L15" s="49" t="n">
        <v>4.8875</v>
      </c>
      <c r="M15" s="50" t="n">
        <v>5.25</v>
      </c>
      <c r="O15" s="49" t="n">
        <v>4.8875</v>
      </c>
      <c r="P15" s="50" t="n">
        <v>5.25</v>
      </c>
    </row>
    <row r="16" customFormat="false" ht="12.75" hidden="false" customHeight="false" outlineLevel="0" collapsed="false">
      <c r="A16" s="44"/>
      <c r="C16" s="49"/>
      <c r="D16" s="50"/>
      <c r="E16" s="51"/>
      <c r="F16" s="49"/>
      <c r="G16" s="50"/>
      <c r="H16" s="51"/>
      <c r="I16" s="49"/>
      <c r="J16" s="50"/>
      <c r="K16" s="51"/>
      <c r="L16" s="49"/>
      <c r="M16" s="50"/>
      <c r="O16" s="49"/>
      <c r="P16" s="50"/>
    </row>
    <row r="17" customFormat="false" ht="12.75" hidden="false" customHeight="false" outlineLevel="0" collapsed="false">
      <c r="A17" s="44" t="s">
        <v>191</v>
      </c>
      <c r="C17" s="49" t="n">
        <v>12.8256934345355</v>
      </c>
      <c r="D17" s="50" t="n">
        <v>13.3628758224674</v>
      </c>
      <c r="E17" s="51"/>
      <c r="F17" s="49" t="n">
        <v>12.5227776949218</v>
      </c>
      <c r="G17" s="50" t="n">
        <v>13.2066810265734</v>
      </c>
      <c r="H17" s="51"/>
      <c r="I17" s="49" t="n">
        <v>12.903827655693</v>
      </c>
      <c r="J17" s="50" t="n">
        <v>13.2309569890638</v>
      </c>
      <c r="K17" s="51"/>
      <c r="L17" s="49" t="n">
        <v>12.6009119160793</v>
      </c>
      <c r="M17" s="50" t="n">
        <v>13.0747621931698</v>
      </c>
      <c r="O17" s="49" t="n">
        <v>12.2979961764656</v>
      </c>
      <c r="P17" s="50" t="n">
        <v>12.9185673972758</v>
      </c>
    </row>
    <row r="18" customFormat="false" ht="12.75" hidden="false" customHeight="false" outlineLevel="0" collapsed="false">
      <c r="A18" s="44"/>
      <c r="C18" s="49"/>
      <c r="D18" s="50"/>
      <c r="E18" s="51"/>
      <c r="F18" s="49"/>
      <c r="G18" s="50"/>
      <c r="H18" s="51"/>
      <c r="I18" s="49"/>
      <c r="J18" s="50"/>
      <c r="K18" s="51"/>
      <c r="L18" s="49"/>
      <c r="M18" s="50"/>
      <c r="O18" s="49"/>
      <c r="P18" s="50"/>
    </row>
    <row r="19" customFormat="false" ht="12.75" hidden="false" customHeight="false" outlineLevel="0" collapsed="false">
      <c r="A19" s="44" t="s">
        <v>192</v>
      </c>
      <c r="C19" s="53" t="n">
        <f aca="false">+'Core &amp; Non-core'!B55</f>
        <v>14.8794141004406</v>
      </c>
      <c r="D19" s="54" t="n">
        <f aca="false">+'Core &amp; Non-core'!C55</f>
        <v>15.6708751528102</v>
      </c>
      <c r="E19" s="51"/>
      <c r="F19" s="53" t="n">
        <f aca="false">+C19</f>
        <v>14.8794141004406</v>
      </c>
      <c r="G19" s="54" t="n">
        <f aca="false">+D19</f>
        <v>15.6708751528102</v>
      </c>
      <c r="H19" s="51"/>
      <c r="I19" s="53" t="n">
        <f aca="false">+F19</f>
        <v>14.8794141004406</v>
      </c>
      <c r="J19" s="54" t="n">
        <f aca="false">+G19</f>
        <v>15.6708751528102</v>
      </c>
      <c r="K19" s="51"/>
      <c r="L19" s="53" t="n">
        <f aca="false">+I19</f>
        <v>14.8794141004406</v>
      </c>
      <c r="M19" s="54" t="n">
        <f aca="false">+J19</f>
        <v>15.6708751528102</v>
      </c>
      <c r="O19" s="53" t="n">
        <f aca="false">+L19</f>
        <v>14.8794141004406</v>
      </c>
      <c r="P19" s="54" t="n">
        <f aca="false">+M19</f>
        <v>15.6708751528102</v>
      </c>
    </row>
    <row r="20" customFormat="false" ht="12.75" hidden="false" customHeight="false" outlineLevel="0" collapsed="false">
      <c r="A20" s="4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O20" s="51"/>
      <c r="P20" s="51"/>
    </row>
    <row r="21" customFormat="false" ht="12.75" hidden="false" customHeight="false" outlineLevel="0" collapsed="false">
      <c r="A21" s="44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O21" s="51"/>
      <c r="P21" s="51"/>
    </row>
    <row r="22" customFormat="false" ht="12.75" hidden="false" customHeight="false" outlineLevel="0" collapsed="false">
      <c r="A22" s="44" t="s">
        <v>193</v>
      </c>
      <c r="B22" s="55"/>
      <c r="C22" s="46" t="s">
        <v>182</v>
      </c>
      <c r="D22" s="47"/>
      <c r="E22" s="48"/>
      <c r="F22" s="46" t="s">
        <v>182</v>
      </c>
      <c r="G22" s="47"/>
      <c r="H22" s="48"/>
      <c r="I22" s="46" t="s">
        <v>182</v>
      </c>
      <c r="J22" s="47"/>
      <c r="K22" s="48"/>
      <c r="L22" s="46" t="s">
        <v>182</v>
      </c>
      <c r="M22" s="47"/>
      <c r="O22" s="46" t="s">
        <v>182</v>
      </c>
      <c r="P22" s="47"/>
    </row>
    <row r="23" customFormat="false" ht="12.75" hidden="false" customHeight="false" outlineLevel="0" collapsed="false">
      <c r="A23" s="44"/>
      <c r="C23" s="49" t="s">
        <v>183</v>
      </c>
      <c r="D23" s="50" t="s">
        <v>159</v>
      </c>
      <c r="E23" s="51"/>
      <c r="F23" s="49" t="s">
        <v>183</v>
      </c>
      <c r="G23" s="50" t="s">
        <v>159</v>
      </c>
      <c r="H23" s="51"/>
      <c r="I23" s="49" t="s">
        <v>183</v>
      </c>
      <c r="J23" s="50" t="s">
        <v>159</v>
      </c>
      <c r="K23" s="51"/>
      <c r="L23" s="49" t="s">
        <v>183</v>
      </c>
      <c r="M23" s="50" t="s">
        <v>159</v>
      </c>
      <c r="O23" s="49" t="s">
        <v>183</v>
      </c>
      <c r="P23" s="50" t="s">
        <v>159</v>
      </c>
    </row>
    <row r="24" customFormat="false" ht="12.75" hidden="false" customHeight="false" outlineLevel="0" collapsed="false">
      <c r="A24" s="44" t="s">
        <v>184</v>
      </c>
      <c r="C24" s="49" t="n">
        <v>0.992060455930208</v>
      </c>
      <c r="D24" s="50" t="n">
        <v>0.47744091668656</v>
      </c>
      <c r="E24" s="51"/>
      <c r="F24" s="49" t="n">
        <v>0.992060455930208</v>
      </c>
      <c r="G24" s="50" t="n">
        <v>0.47744091668656</v>
      </c>
      <c r="H24" s="51"/>
      <c r="I24" s="49" t="n">
        <v>0.992060455930208</v>
      </c>
      <c r="J24" s="50" t="n">
        <v>0.47744091668656</v>
      </c>
      <c r="K24" s="51"/>
      <c r="L24" s="49" t="n">
        <v>0.992060455930208</v>
      </c>
      <c r="M24" s="50" t="n">
        <v>0.47744091668656</v>
      </c>
      <c r="O24" s="49" t="n">
        <v>0.992060455930208</v>
      </c>
      <c r="P24" s="50" t="n">
        <v>0.47744091668656</v>
      </c>
    </row>
    <row r="25" customFormat="false" ht="12.75" hidden="false" customHeight="false" outlineLevel="0" collapsed="false">
      <c r="A25" s="44" t="s">
        <v>185</v>
      </c>
      <c r="C25" s="49" t="n">
        <v>10.4</v>
      </c>
      <c r="D25" s="50" t="n">
        <v>10.4</v>
      </c>
      <c r="E25" s="51"/>
      <c r="F25" s="49" t="n">
        <v>10.4</v>
      </c>
      <c r="G25" s="50" t="n">
        <v>10.4</v>
      </c>
      <c r="H25" s="51"/>
      <c r="I25" s="49" t="n">
        <v>8.275</v>
      </c>
      <c r="J25" s="50" t="n">
        <v>8.275</v>
      </c>
      <c r="K25" s="51"/>
      <c r="L25" s="49" t="n">
        <v>8.275</v>
      </c>
      <c r="M25" s="50" t="n">
        <v>8.275</v>
      </c>
      <c r="O25" s="49" t="n">
        <v>8.275</v>
      </c>
      <c r="P25" s="50" t="n">
        <v>8.275</v>
      </c>
    </row>
    <row r="26" customFormat="false" ht="12.75" hidden="false" customHeight="false" outlineLevel="0" collapsed="false">
      <c r="A26" s="44" t="s">
        <v>188</v>
      </c>
      <c r="C26" s="49" t="n">
        <v>0.605831479227459</v>
      </c>
      <c r="D26" s="50" t="n">
        <v>0.312389591788016</v>
      </c>
      <c r="E26" s="51"/>
      <c r="F26" s="49" t="n">
        <v>1.13179016209595</v>
      </c>
      <c r="G26" s="50" t="n">
        <v>0.671915488566093</v>
      </c>
      <c r="H26" s="51"/>
      <c r="I26" s="49" t="n">
        <v>0.605831479227459</v>
      </c>
      <c r="J26" s="50" t="n">
        <v>0.312389591788016</v>
      </c>
      <c r="K26" s="51"/>
      <c r="L26" s="49" t="n">
        <v>1.13179016209595</v>
      </c>
      <c r="M26" s="50" t="n">
        <v>0.671915488566093</v>
      </c>
      <c r="O26" s="49" t="n">
        <v>1.65774884496444</v>
      </c>
      <c r="P26" s="50" t="n">
        <v>1.03144138534417</v>
      </c>
    </row>
    <row r="27" customFormat="false" ht="12.75" hidden="false" customHeight="false" outlineLevel="0" collapsed="false">
      <c r="A27" s="44"/>
      <c r="C27" s="49"/>
      <c r="D27" s="50"/>
      <c r="E27" s="51"/>
      <c r="F27" s="49"/>
      <c r="G27" s="50"/>
      <c r="H27" s="51"/>
      <c r="I27" s="49"/>
      <c r="J27" s="50"/>
      <c r="K27" s="51"/>
      <c r="L27" s="49"/>
      <c r="M27" s="50"/>
      <c r="O27" s="49"/>
      <c r="P27" s="50"/>
    </row>
    <row r="28" customFormat="false" ht="12.75" hidden="false" customHeight="false" outlineLevel="0" collapsed="false">
      <c r="A28" s="44" t="s">
        <v>189</v>
      </c>
      <c r="C28" s="49" t="n">
        <v>11.9978919351577</v>
      </c>
      <c r="D28" s="50" t="n">
        <v>11.1898305084746</v>
      </c>
      <c r="E28" s="51"/>
      <c r="F28" s="49" t="n">
        <v>12.5238506180262</v>
      </c>
      <c r="G28" s="50" t="n">
        <v>11.5493564052527</v>
      </c>
      <c r="H28" s="51"/>
      <c r="I28" s="49" t="n">
        <v>9.87289193515767</v>
      </c>
      <c r="J28" s="50" t="n">
        <v>9.06483050847458</v>
      </c>
      <c r="K28" s="51"/>
      <c r="L28" s="49" t="n">
        <v>10.3988506180262</v>
      </c>
      <c r="M28" s="50" t="n">
        <v>9.42435640525265</v>
      </c>
      <c r="O28" s="49" t="n">
        <v>10.9248093008946</v>
      </c>
      <c r="P28" s="50" t="n">
        <v>9.78388230203073</v>
      </c>
    </row>
    <row r="29" customFormat="false" ht="12.75" hidden="false" customHeight="false" outlineLevel="0" collapsed="false">
      <c r="A29" s="44"/>
      <c r="C29" s="49"/>
      <c r="D29" s="50"/>
      <c r="E29" s="51"/>
      <c r="F29" s="49"/>
      <c r="G29" s="50"/>
      <c r="H29" s="51"/>
      <c r="I29" s="49"/>
      <c r="J29" s="50"/>
      <c r="K29" s="51"/>
      <c r="L29" s="49"/>
      <c r="M29" s="50"/>
      <c r="O29" s="49"/>
      <c r="P29" s="50"/>
    </row>
    <row r="30" customFormat="false" ht="12.75" hidden="false" customHeight="false" outlineLevel="0" collapsed="false">
      <c r="A30" s="44" t="s">
        <v>194</v>
      </c>
      <c r="C30" s="49" t="n">
        <v>2.21274711654288</v>
      </c>
      <c r="D30" s="50" t="n">
        <v>1.78313207904092</v>
      </c>
      <c r="E30" s="51"/>
      <c r="F30" s="49" t="n">
        <v>2.21274711654288</v>
      </c>
      <c r="G30" s="50" t="n">
        <v>1.78313207904092</v>
      </c>
      <c r="H30" s="51"/>
      <c r="I30" s="49" t="n">
        <v>2.21274711654288</v>
      </c>
      <c r="J30" s="50" t="n">
        <v>1.78313207904092</v>
      </c>
      <c r="K30" s="51"/>
      <c r="L30" s="49" t="n">
        <v>2.21274711654288</v>
      </c>
      <c r="M30" s="50" t="n">
        <v>1.78313207904092</v>
      </c>
      <c r="O30" s="49" t="n">
        <v>2.21274711654289</v>
      </c>
      <c r="P30" s="50" t="n">
        <v>1.78313207904092</v>
      </c>
    </row>
    <row r="31" customFormat="false" ht="12.75" hidden="false" customHeight="false" outlineLevel="0" collapsed="false">
      <c r="A31" s="44"/>
      <c r="C31" s="49"/>
      <c r="D31" s="50"/>
      <c r="E31" s="51"/>
      <c r="F31" s="49"/>
      <c r="G31" s="50"/>
      <c r="H31" s="51"/>
      <c r="I31" s="49"/>
      <c r="J31" s="50"/>
      <c r="K31" s="51"/>
      <c r="L31" s="49"/>
      <c r="M31" s="50"/>
      <c r="O31" s="49"/>
      <c r="P31" s="50"/>
    </row>
    <row r="32" customFormat="false" ht="12.75" hidden="false" customHeight="false" outlineLevel="0" collapsed="false">
      <c r="A32" s="44" t="s">
        <v>195</v>
      </c>
      <c r="C32" s="49" t="n">
        <v>14.2106390517006</v>
      </c>
      <c r="D32" s="50" t="n">
        <v>12.9729625875155</v>
      </c>
      <c r="E32" s="51"/>
      <c r="F32" s="49" t="n">
        <v>14.736597734569</v>
      </c>
      <c r="G32" s="50" t="n">
        <v>13.3324884842936</v>
      </c>
      <c r="H32" s="51"/>
      <c r="I32" s="49" t="n">
        <v>12.0856390517006</v>
      </c>
      <c r="J32" s="50" t="n">
        <v>10.8479625875155</v>
      </c>
      <c r="K32" s="51"/>
      <c r="L32" s="49" t="n">
        <v>12.611597734569</v>
      </c>
      <c r="M32" s="50" t="n">
        <v>11.2074884842936</v>
      </c>
      <c r="O32" s="49" t="n">
        <v>13.1375564174375</v>
      </c>
      <c r="P32" s="50" t="n">
        <v>11.5670143810716</v>
      </c>
    </row>
    <row r="33" customFormat="false" ht="12.75" hidden="false" customHeight="false" outlineLevel="0" collapsed="false">
      <c r="A33" s="44"/>
      <c r="C33" s="49"/>
      <c r="D33" s="50"/>
      <c r="E33" s="51"/>
      <c r="F33" s="49"/>
      <c r="G33" s="50"/>
      <c r="H33" s="51"/>
      <c r="I33" s="49"/>
      <c r="J33" s="50"/>
      <c r="K33" s="51"/>
      <c r="L33" s="49"/>
      <c r="M33" s="50"/>
      <c r="O33" s="49"/>
      <c r="P33" s="50"/>
    </row>
    <row r="34" customFormat="false" ht="12.75" hidden="false" customHeight="false" outlineLevel="0" collapsed="false">
      <c r="A34" s="44" t="s">
        <v>196</v>
      </c>
      <c r="C34" s="56" t="n">
        <f aca="false">+'Core &amp; Non-core'!B73</f>
        <v>12.2110115990807</v>
      </c>
      <c r="D34" s="57" t="n">
        <f aca="false">+'Core &amp; Non-core'!C73</f>
        <v>12.9832664675142</v>
      </c>
      <c r="F34" s="53" t="n">
        <f aca="false">+C34</f>
        <v>12.2110115990807</v>
      </c>
      <c r="G34" s="54" t="n">
        <f aca="false">+D34</f>
        <v>12.9832664675142</v>
      </c>
      <c r="I34" s="53" t="n">
        <f aca="false">+F34</f>
        <v>12.2110115990807</v>
      </c>
      <c r="J34" s="54" t="n">
        <f aca="false">+G34</f>
        <v>12.9832664675142</v>
      </c>
      <c r="L34" s="53" t="n">
        <f aca="false">+I34</f>
        <v>12.2110115990807</v>
      </c>
      <c r="M34" s="54" t="n">
        <f aca="false">+J34</f>
        <v>12.9832664675142</v>
      </c>
      <c r="O34" s="53" t="n">
        <f aca="false">+L34</f>
        <v>12.2110115990807</v>
      </c>
      <c r="P34" s="54" t="n">
        <f aca="false">+M34</f>
        <v>12.9832664675142</v>
      </c>
    </row>
    <row r="35" customFormat="false" ht="12.75" hidden="false" customHeight="false" outlineLevel="0" collapsed="false">
      <c r="A35" s="44"/>
    </row>
    <row r="36" customFormat="false" ht="12.75" hidden="false" customHeight="false" outlineLevel="0" collapsed="false">
      <c r="A36" s="44"/>
    </row>
    <row r="37" customFormat="false" ht="12.75" hidden="false" customHeight="false" outlineLevel="0" collapsed="false">
      <c r="A37" s="44"/>
    </row>
    <row r="38" customFormat="false" ht="12.75" hidden="false" customHeight="false" outlineLevel="0" collapsed="false">
      <c r="A38" s="44"/>
    </row>
    <row r="39" customFormat="false" ht="12.75" hidden="false" customHeight="false" outlineLevel="0" collapsed="false">
      <c r="A39" s="44"/>
    </row>
    <row r="40" customFormat="false" ht="12.75" hidden="false" customHeight="false" outlineLevel="0" collapsed="false">
      <c r="A4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0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74" activeCellId="0" sqref="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23.85"/>
  </cols>
  <sheetData>
    <row r="1" customFormat="false" ht="12.75" hidden="false" customHeight="false" outlineLevel="0" collapsed="false">
      <c r="H1" s="58" t="s">
        <v>197</v>
      </c>
      <c r="I1" s="59" t="n">
        <v>0</v>
      </c>
      <c r="J1" s="60" t="s">
        <v>198</v>
      </c>
    </row>
    <row r="2" customFormat="false" ht="12.75" hidden="false" customHeight="false" outlineLevel="0" collapsed="false">
      <c r="B2" s="61" t="n">
        <v>2001</v>
      </c>
      <c r="C2" s="61"/>
      <c r="D2" s="61"/>
      <c r="F2" s="28"/>
      <c r="G2" s="28"/>
      <c r="H2" s="62" t="s">
        <v>199</v>
      </c>
      <c r="I2" s="63"/>
      <c r="J2" s="64" t="s">
        <v>200</v>
      </c>
    </row>
    <row r="4" customFormat="false" ht="12.75" hidden="false" customHeight="false" outlineLevel="0" collapsed="false">
      <c r="A4" s="65"/>
      <c r="B4" s="66" t="s">
        <v>158</v>
      </c>
      <c r="C4" s="66" t="s">
        <v>159</v>
      </c>
      <c r="D4" s="66" t="s">
        <v>160</v>
      </c>
      <c r="E4" s="65"/>
      <c r="F4" s="66"/>
      <c r="G4" s="66"/>
      <c r="H4" s="58" t="s">
        <v>197</v>
      </c>
      <c r="I4" s="67" t="n">
        <v>0</v>
      </c>
      <c r="J4" s="68" t="s">
        <v>201</v>
      </c>
    </row>
    <row r="5" customFormat="false" ht="12.75" hidden="false" customHeight="false" outlineLevel="0" collapsed="false">
      <c r="H5" s="69" t="s">
        <v>202</v>
      </c>
      <c r="I5" s="63"/>
      <c r="J5" s="70" t="s">
        <v>203</v>
      </c>
    </row>
    <row r="6" customFormat="false" ht="12.75" hidden="false" customHeight="false" outlineLevel="0" collapsed="false">
      <c r="A6" s="0" t="s">
        <v>204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8"/>
    </row>
    <row r="7" customFormat="false" ht="12.75" hidden="false" customHeight="false" outlineLevel="0" collapsed="false">
      <c r="A7" s="0" t="s">
        <v>205</v>
      </c>
      <c r="B7" s="8" t="n">
        <f aca="false">B8-B6</f>
        <v>29963.954643</v>
      </c>
      <c r="C7" s="8" t="n">
        <f aca="false">C8-C6</f>
        <v>25374.2</v>
      </c>
      <c r="D7" s="8" t="n">
        <f aca="false">+SDGE!E105</f>
        <v>657</v>
      </c>
      <c r="E7" s="8"/>
      <c r="H7" s="58" t="s">
        <v>197</v>
      </c>
      <c r="I7" s="67" t="n">
        <v>0</v>
      </c>
      <c r="J7" s="68" t="s">
        <v>206</v>
      </c>
    </row>
    <row r="8" customFormat="false" ht="12.75" hidden="false" customHeight="false" outlineLevel="0" collapsed="false">
      <c r="A8" s="0" t="s">
        <v>207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  <c r="H8" s="69" t="s">
        <v>208</v>
      </c>
      <c r="I8" s="63"/>
      <c r="J8" s="70" t="s">
        <v>209</v>
      </c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210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</row>
    <row r="11" customFormat="false" ht="12.75" hidden="false" customHeight="false" outlineLevel="0" collapsed="false">
      <c r="B11" s="8"/>
      <c r="C11" s="8"/>
      <c r="D11" s="8"/>
      <c r="E11" s="8"/>
    </row>
    <row r="12" customFormat="false" ht="12.75" hidden="false" customHeight="false" outlineLevel="0" collapsed="false">
      <c r="A12" s="0" t="s">
        <v>211</v>
      </c>
      <c r="B12" s="8"/>
      <c r="C12" s="8"/>
      <c r="D12" s="8"/>
      <c r="E12" s="8"/>
    </row>
    <row r="13" customFormat="false" ht="12.75" hidden="false" customHeight="false" outlineLevel="0" collapsed="false">
      <c r="A13" s="0" t="s">
        <v>212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213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</row>
    <row r="15" customFormat="false" ht="12.75" hidden="false" customHeight="false" outlineLevel="0" collapsed="false">
      <c r="B15" s="43"/>
    </row>
    <row r="17" customFormat="false" ht="12.75" hidden="false" customHeight="false" outlineLevel="0" collapsed="false">
      <c r="A17" s="0" t="s">
        <v>214</v>
      </c>
    </row>
    <row r="21" customFormat="false" ht="12.75" hidden="false" customHeight="false" outlineLevel="0" collapsed="false">
      <c r="B21" s="66" t="s">
        <v>158</v>
      </c>
      <c r="C21" s="66" t="s">
        <v>159</v>
      </c>
      <c r="D21" s="66" t="s">
        <v>160</v>
      </c>
    </row>
    <row r="23" customFormat="false" ht="12.75" hidden="false" customHeight="false" outlineLevel="0" collapsed="false">
      <c r="A23" s="0" t="s">
        <v>215</v>
      </c>
      <c r="B23" s="71" t="n">
        <f aca="false">83000*0.98*0.01</f>
        <v>813.4</v>
      </c>
      <c r="C23" s="71" t="n">
        <v>400</v>
      </c>
      <c r="D23" s="71" t="n">
        <f aca="false">16000*0.96*0.012</f>
        <v>184.32</v>
      </c>
    </row>
    <row r="24" customFormat="false" ht="12.75" hidden="false" customHeight="false" outlineLevel="0" collapsed="false">
      <c r="A24" s="0" t="s">
        <v>216</v>
      </c>
      <c r="B24" s="71" t="n">
        <f aca="false">83000*0.98*0.033</f>
        <v>2684.22</v>
      </c>
      <c r="C24" s="71" t="n">
        <v>2700</v>
      </c>
      <c r="D24" s="71" t="n">
        <f aca="false">16000*0.96*0.053</f>
        <v>814.08</v>
      </c>
    </row>
    <row r="25" customFormat="false" ht="12.75" hidden="false" customHeight="false" outlineLevel="0" collapsed="false">
      <c r="A25" s="0" t="s">
        <v>217</v>
      </c>
      <c r="B25" s="71" t="n">
        <f aca="false">83000*0.98*0.007</f>
        <v>569.38</v>
      </c>
      <c r="C25" s="71" t="n">
        <v>300</v>
      </c>
      <c r="D25" s="71" t="n">
        <f aca="false">16000*0.96*0.004</f>
        <v>61.44</v>
      </c>
    </row>
    <row r="26" customFormat="false" ht="12.75" hidden="false" customHeight="false" outlineLevel="0" collapsed="false">
      <c r="A26" s="0" t="s">
        <v>218</v>
      </c>
      <c r="B26" s="71" t="n">
        <f aca="false">83000*0.98*0.043</f>
        <v>3497.62</v>
      </c>
      <c r="C26" s="71" t="n">
        <v>3900</v>
      </c>
      <c r="D26" s="71" t="n">
        <f aca="false">16000*0.96*0.024</f>
        <v>368.64</v>
      </c>
    </row>
    <row r="27" customFormat="false" ht="12.75" hidden="false" customHeight="false" outlineLevel="0" collapsed="false">
      <c r="B27" s="71"/>
      <c r="C27" s="71"/>
      <c r="D27" s="71"/>
    </row>
    <row r="28" customFormat="false" ht="12.75" hidden="false" customHeight="false" outlineLevel="0" collapsed="false">
      <c r="A28" s="0" t="s">
        <v>189</v>
      </c>
      <c r="B28" s="71" t="n">
        <f aca="false">SUM(B23:B27)</f>
        <v>7564.62</v>
      </c>
      <c r="C28" s="71" t="n">
        <f aca="false">SUM(C23:C27)</f>
        <v>7300</v>
      </c>
      <c r="D28" s="71" t="n">
        <f aca="false">SUM(D23:D27)</f>
        <v>1428.48</v>
      </c>
    </row>
    <row r="29" customFormat="false" ht="12.75" hidden="false" customHeight="false" outlineLevel="0" collapsed="false">
      <c r="B29" s="71"/>
      <c r="C29" s="71"/>
      <c r="D29" s="71"/>
    </row>
    <row r="30" customFormat="false" ht="12.75" hidden="false" customHeight="false" outlineLevel="0" collapsed="false">
      <c r="A30" s="0" t="s">
        <v>194</v>
      </c>
      <c r="B30" s="71" t="n">
        <f aca="false">+B8*B34/100</f>
        <v>3205.8469632457</v>
      </c>
      <c r="C30" s="71" t="n">
        <f aca="false">+C8*C34/100</f>
        <v>3518.76</v>
      </c>
      <c r="D30" s="71" t="n">
        <f aca="false">+D8*D34/100</f>
        <v>1071.8715</v>
      </c>
    </row>
    <row r="31" customFormat="false" ht="12.75" hidden="false" customHeight="false" outlineLevel="0" collapsed="false">
      <c r="B31" s="71"/>
      <c r="C31" s="71"/>
      <c r="D31" s="71"/>
    </row>
    <row r="32" customFormat="false" ht="12.75" hidden="false" customHeight="false" outlineLevel="0" collapsed="false">
      <c r="A32" s="0" t="s">
        <v>219</v>
      </c>
      <c r="B32" s="71" t="n">
        <f aca="false">+B28+B30</f>
        <v>10770.4669632457</v>
      </c>
      <c r="C32" s="71" t="n">
        <f aca="false">+C28+C30</f>
        <v>10818.76</v>
      </c>
      <c r="D32" s="71" t="n">
        <f aca="false">+D28+D30</f>
        <v>2500.3515</v>
      </c>
    </row>
    <row r="34" customFormat="false" ht="12.75" hidden="false" customHeight="false" outlineLevel="0" collapsed="false">
      <c r="A34" s="0" t="s">
        <v>220</v>
      </c>
      <c r="B34" s="72" t="n">
        <v>3.91</v>
      </c>
      <c r="C34" s="72" t="n">
        <v>4.2</v>
      </c>
      <c r="D34" s="72" t="n">
        <v>6.23</v>
      </c>
    </row>
    <row r="35" customFormat="false" ht="12.75" hidden="false" customHeight="false" outlineLevel="0" collapsed="false">
      <c r="A35" s="0" t="s">
        <v>221</v>
      </c>
      <c r="B35" s="73" t="n">
        <v>3.95</v>
      </c>
      <c r="C35" s="73" t="n">
        <v>4.02</v>
      </c>
      <c r="D35" s="73" t="n">
        <f aca="false">12.73-6.5</f>
        <v>6.23</v>
      </c>
    </row>
    <row r="37" customFormat="false" ht="12.75" hidden="false" customHeight="false" outlineLevel="0" collapsed="false">
      <c r="A37" s="74" t="s">
        <v>222</v>
      </c>
      <c r="B37" s="75"/>
      <c r="C37" s="75"/>
      <c r="D37" s="60"/>
      <c r="F37" s="74" t="s">
        <v>182</v>
      </c>
      <c r="G37" s="75"/>
      <c r="H37" s="60"/>
    </row>
    <row r="38" customFormat="false" ht="12.75" hidden="false" customHeight="false" outlineLevel="0" collapsed="false">
      <c r="A38" s="76"/>
      <c r="B38" s="44"/>
      <c r="C38" s="44"/>
      <c r="D38" s="77"/>
      <c r="F38" s="76"/>
      <c r="G38" s="44"/>
      <c r="H38" s="77"/>
    </row>
    <row r="39" customFormat="false" ht="12.75" hidden="false" customHeight="false" outlineLevel="0" collapsed="false">
      <c r="A39" s="76" t="s">
        <v>184</v>
      </c>
      <c r="B39" s="71" t="n">
        <f aca="false">+B6/B8*B23</f>
        <v>516.139454953934</v>
      </c>
      <c r="C39" s="71" t="n">
        <f aca="false">+C6/C8*C23</f>
        <v>278.853186918119</v>
      </c>
      <c r="D39" s="78" t="n">
        <f aca="false">+D6/D8*D23</f>
        <v>177.281450741064</v>
      </c>
      <c r="F39" s="79" t="n">
        <f aca="false">+B39/B$6*100</f>
        <v>0.992060455930207</v>
      </c>
      <c r="G39" s="9" t="n">
        <f aca="false">+C39/C$6*100</f>
        <v>0.47744091668656</v>
      </c>
      <c r="H39" s="80" t="n">
        <f aca="false">+D39/D$6*100</f>
        <v>1.07131647776809</v>
      </c>
    </row>
    <row r="40" customFormat="false" ht="12.75" hidden="false" customHeight="false" outlineLevel="0" collapsed="false">
      <c r="A40" s="76" t="s">
        <v>185</v>
      </c>
      <c r="B40" s="71" t="n">
        <f aca="false">IF(B14&lt;0,(-B14*IF($I$4=1,104,82.75))/1000,0)</f>
        <v>0</v>
      </c>
      <c r="C40" s="71" t="n">
        <f aca="false">IF(C14&lt;0,(-C14*IF($I$4=1,104,82.75))/1000,0)</f>
        <v>300.03495</v>
      </c>
      <c r="D40" s="78" t="n">
        <f aca="false">IF(D14&lt;0,(-D14*IF($I$4=1,104,82.75))/1000,0)</f>
        <v>932.427</v>
      </c>
      <c r="F40" s="79" t="n">
        <f aca="false">+B40/B$6*100</f>
        <v>0</v>
      </c>
      <c r="G40" s="9" t="n">
        <f aca="false">+C40/C$6*100</f>
        <v>0.513707457136107</v>
      </c>
      <c r="H40" s="80" t="n">
        <f aca="false">+D40/D$6*100</f>
        <v>5.63468092820885</v>
      </c>
    </row>
    <row r="41" customFormat="false" ht="12.75" hidden="false" customHeight="false" outlineLevel="0" collapsed="false">
      <c r="A41" s="81" t="s">
        <v>186</v>
      </c>
      <c r="B41" s="71" t="n">
        <f aca="false">IF(B14&gt;0,(-B14*IF($I$4=1,104,82.75))/1000,0)</f>
        <v>-158.299402499</v>
      </c>
      <c r="C41" s="71" t="n">
        <f aca="false">IF(C14&gt;0,(-C14*IF($I$4=1,104,82.75))/1000,0)</f>
        <v>0</v>
      </c>
      <c r="D41" s="78" t="n">
        <f aca="false">IF(D14&gt;0,(-D14*IF($I$4=1,104,82.75))/1000,0)</f>
        <v>0</v>
      </c>
      <c r="F41" s="79" t="n">
        <f aca="false">+B41/B$6*100</f>
        <v>-0.304263849448699</v>
      </c>
      <c r="G41" s="9" t="n">
        <f aca="false">+C41/C$6*100</f>
        <v>0</v>
      </c>
      <c r="H41" s="80" t="n">
        <f aca="false">+D41/D$6*100</f>
        <v>0</v>
      </c>
    </row>
    <row r="42" customFormat="false" ht="12.75" hidden="false" customHeight="false" outlineLevel="0" collapsed="false">
      <c r="A42" s="81" t="s">
        <v>187</v>
      </c>
      <c r="B42" s="71" t="n">
        <f aca="false">B26</f>
        <v>3497.62</v>
      </c>
      <c r="C42" s="71" t="n">
        <f aca="false">C26</f>
        <v>3900</v>
      </c>
      <c r="D42" s="78" t="n">
        <f aca="false">D26</f>
        <v>368.64</v>
      </c>
      <c r="F42" s="79" t="n">
        <f aca="false">+B42/B$6*100</f>
        <v>6.72269956998405</v>
      </c>
      <c r="G42" s="9" t="n">
        <f aca="false">+C42/C$6*100</f>
        <v>6.67741902345315</v>
      </c>
      <c r="H42" s="80" t="n">
        <f aca="false">+D42/D$6*100</f>
        <v>2.22770123277738</v>
      </c>
    </row>
    <row r="43" customFormat="false" ht="12.75" hidden="false" customHeight="false" outlineLevel="0" collapsed="false">
      <c r="A43" s="76" t="s">
        <v>223</v>
      </c>
      <c r="B43" s="71" t="n">
        <v>0</v>
      </c>
      <c r="C43" s="71" t="n">
        <v>0</v>
      </c>
      <c r="D43" s="78" t="n">
        <f aca="false">IF($I$7=1,+D$25*0.8724*(D$6/D$8),+D$25*0.8724*(D$6*0.5/D$8))</f>
        <v>25.7767229377507</v>
      </c>
      <c r="F43" s="79" t="n">
        <f aca="false">+B43/B$6*100</f>
        <v>0</v>
      </c>
      <c r="G43" s="9" t="n">
        <f aca="false">+C43/C$6*100</f>
        <v>0</v>
      </c>
      <c r="H43" s="80" t="n">
        <f aca="false">+D43/D$6*100</f>
        <v>0.15576941586748</v>
      </c>
    </row>
    <row r="44" customFormat="false" ht="12.75" hidden="false" customHeight="false" outlineLevel="0" collapsed="false">
      <c r="A44" s="76"/>
      <c r="B44" s="71"/>
      <c r="C44" s="71"/>
      <c r="D44" s="78"/>
      <c r="F44" s="82"/>
      <c r="G44" s="83"/>
      <c r="H44" s="84"/>
    </row>
    <row r="45" customFormat="false" ht="12.75" hidden="false" customHeight="false" outlineLevel="0" collapsed="false">
      <c r="A45" s="76" t="s">
        <v>189</v>
      </c>
      <c r="B45" s="71" t="n">
        <f aca="false">SUM(B39:B44)</f>
        <v>3855.46005245493</v>
      </c>
      <c r="C45" s="71" t="n">
        <f aca="false">SUM(C39:C44)</f>
        <v>4478.88813691812</v>
      </c>
      <c r="D45" s="78" t="n">
        <f aca="false">SUM(D39:D44)</f>
        <v>1504.12517367881</v>
      </c>
      <c r="F45" s="79" t="n">
        <f aca="false">+B45/B$6*100</f>
        <v>7.41049617646556</v>
      </c>
      <c r="G45" s="9" t="n">
        <f aca="false">+C45/C$6*100</f>
        <v>7.66856739727582</v>
      </c>
      <c r="H45" s="80" t="n">
        <f aca="false">+D45/D$6*100</f>
        <v>9.08946805462179</v>
      </c>
    </row>
    <row r="46" customFormat="false" ht="12.75" hidden="false" customHeight="false" outlineLevel="0" collapsed="false">
      <c r="A46" s="76"/>
      <c r="B46" s="71"/>
      <c r="C46" s="71"/>
      <c r="D46" s="78"/>
      <c r="F46" s="82"/>
      <c r="G46" s="83"/>
      <c r="H46" s="84"/>
    </row>
    <row r="47" customFormat="false" ht="12.75" hidden="false" customHeight="false" outlineLevel="0" collapsed="false">
      <c r="A47" s="76" t="s">
        <v>224</v>
      </c>
      <c r="B47" s="71" t="n">
        <f aca="false">+B6*B79/100</f>
        <v>2542.8204208805</v>
      </c>
      <c r="C47" s="71" t="n">
        <f aca="false">+C6*C79/100</f>
        <v>3066.3045</v>
      </c>
      <c r="D47" s="78" t="n">
        <f aca="false">+D6*D79/100</f>
        <v>1055.59692</v>
      </c>
      <c r="F47" s="79" t="n">
        <f aca="false">+B47/B$6*100</f>
        <v>4.8875</v>
      </c>
      <c r="G47" s="9" t="n">
        <f aca="false">+C47/C$6*100</f>
        <v>5.25</v>
      </c>
      <c r="H47" s="80" t="n">
        <f aca="false">+D47/D$6*100</f>
        <v>6.379</v>
      </c>
    </row>
    <row r="48" customFormat="false" ht="12.75" hidden="false" customHeight="false" outlineLevel="0" collapsed="false">
      <c r="A48" s="76"/>
      <c r="B48" s="71"/>
      <c r="C48" s="71"/>
      <c r="D48" s="78"/>
      <c r="F48" s="76"/>
      <c r="G48" s="44"/>
      <c r="H48" s="77"/>
    </row>
    <row r="49" customFormat="false" ht="12.75" hidden="false" customHeight="false" outlineLevel="0" collapsed="false">
      <c r="A49" s="76" t="s">
        <v>62</v>
      </c>
      <c r="B49" s="71" t="n">
        <f aca="false">SUM(B45:B47)</f>
        <v>6398.28047333543</v>
      </c>
      <c r="C49" s="71" t="n">
        <f aca="false">SUM(C45:C47)</f>
        <v>7545.19263691812</v>
      </c>
      <c r="D49" s="78" t="n">
        <f aca="false">SUM(D45:D47)</f>
        <v>2559.72209367881</v>
      </c>
      <c r="F49" s="85" t="n">
        <f aca="false">+B49/B$6*100</f>
        <v>12.2979961764656</v>
      </c>
      <c r="G49" s="86" t="n">
        <f aca="false">+C49/C$6*100</f>
        <v>12.9185673972758</v>
      </c>
      <c r="H49" s="87" t="n">
        <f aca="false">+D49/D$6*100</f>
        <v>15.4684680546218</v>
      </c>
    </row>
    <row r="50" customFormat="false" ht="12.75" hidden="false" customHeight="false" outlineLevel="0" collapsed="false">
      <c r="A50" s="76"/>
      <c r="B50" s="10"/>
      <c r="C50" s="10"/>
      <c r="D50" s="88"/>
    </row>
    <row r="51" customFormat="false" ht="12.75" hidden="false" customHeight="false" outlineLevel="0" collapsed="false">
      <c r="A51" s="76" t="s">
        <v>225</v>
      </c>
      <c r="B51" s="8" t="n">
        <f aca="false">+B6</f>
        <v>52027.016284</v>
      </c>
      <c r="C51" s="8" t="n">
        <f aca="false">+C6</f>
        <v>58405.8</v>
      </c>
      <c r="D51" s="89" t="n">
        <f aca="false">+D6</f>
        <v>16548</v>
      </c>
    </row>
    <row r="52" customFormat="false" ht="12.75" hidden="false" customHeight="false" outlineLevel="0" collapsed="false">
      <c r="A52" s="76"/>
      <c r="B52" s="10"/>
      <c r="C52" s="10"/>
      <c r="D52" s="88"/>
    </row>
    <row r="53" customFormat="false" ht="12.75" hidden="false" customHeight="false" outlineLevel="0" collapsed="false">
      <c r="A53" s="76" t="s">
        <v>226</v>
      </c>
      <c r="B53" s="9" t="n">
        <f aca="false">+B49/B51*100</f>
        <v>12.2979961764656</v>
      </c>
      <c r="C53" s="9" t="n">
        <f aca="false">+C49/C51*100</f>
        <v>12.9185673972758</v>
      </c>
      <c r="D53" s="80" t="n">
        <f aca="false">+D49/D51*100</f>
        <v>15.4684680546218</v>
      </c>
    </row>
    <row r="54" customFormat="false" ht="12.75" hidden="false" customHeight="false" outlineLevel="0" collapsed="false">
      <c r="A54" s="76"/>
      <c r="B54" s="10"/>
      <c r="C54" s="44"/>
      <c r="D54" s="77"/>
    </row>
    <row r="55" customFormat="false" ht="12.75" hidden="false" customHeight="false" outlineLevel="0" collapsed="false">
      <c r="A55" s="69" t="s">
        <v>227</v>
      </c>
      <c r="B55" s="90" t="n">
        <f aca="false">+PGE!J141</f>
        <v>14.8794141004406</v>
      </c>
      <c r="C55" s="90" t="n">
        <f aca="false">+SCE!J135</f>
        <v>15.6708751528102</v>
      </c>
      <c r="D55" s="91" t="n">
        <f aca="false">+SDGE!J104</f>
        <v>15.9233744259125</v>
      </c>
    </row>
    <row r="56" customFormat="false" ht="12.75" hidden="false" customHeight="false" outlineLevel="0" collapsed="false">
      <c r="A56" s="44"/>
      <c r="B56" s="92"/>
      <c r="C56" s="92"/>
      <c r="D56" s="92"/>
    </row>
    <row r="57" customFormat="false" ht="12.75" hidden="false" customHeight="false" outlineLevel="0" collapsed="false">
      <c r="A57" s="74" t="s">
        <v>228</v>
      </c>
      <c r="B57" s="75"/>
      <c r="C57" s="75"/>
      <c r="D57" s="60"/>
      <c r="F57" s="74" t="s">
        <v>182</v>
      </c>
      <c r="G57" s="75"/>
      <c r="H57" s="60"/>
    </row>
    <row r="58" customFormat="false" ht="12.75" hidden="false" customHeight="false" outlineLevel="0" collapsed="false">
      <c r="A58" s="76"/>
      <c r="B58" s="44"/>
      <c r="C58" s="44"/>
      <c r="D58" s="77"/>
      <c r="F58" s="76"/>
      <c r="G58" s="44"/>
      <c r="H58" s="77"/>
    </row>
    <row r="59" customFormat="false" ht="12.75" hidden="false" customHeight="false" outlineLevel="0" collapsed="false">
      <c r="A59" s="76" t="s">
        <v>184</v>
      </c>
      <c r="B59" s="71" t="n">
        <f aca="false">B23-B39</f>
        <v>297.260545046066</v>
      </c>
      <c r="C59" s="71" t="n">
        <f aca="false">C23-C39</f>
        <v>121.146813081881</v>
      </c>
      <c r="D59" s="78" t="n">
        <f aca="false">D23-D39</f>
        <v>7.03854925893637</v>
      </c>
      <c r="F59" s="82" t="n">
        <f aca="false">B59/B$67*B$71</f>
        <v>0.992060455930208</v>
      </c>
      <c r="G59" s="83" t="n">
        <f aca="false">C59/C$67*C$71</f>
        <v>0.47744091668656</v>
      </c>
      <c r="H59" s="84" t="n">
        <f aca="false">D59/D$67*D$71</f>
        <v>1.07131647776809</v>
      </c>
    </row>
    <row r="60" customFormat="false" ht="12.75" hidden="false" customHeight="false" outlineLevel="0" collapsed="false">
      <c r="A60" s="76" t="s">
        <v>185</v>
      </c>
      <c r="B60" s="71" t="n">
        <f aca="false">B7*IF($I$4=1,104,82.75)/1000</f>
        <v>2479.51724670825</v>
      </c>
      <c r="C60" s="71" t="n">
        <f aca="false">C7*IF($I$4=1,104,82.75)/1000</f>
        <v>2099.71505</v>
      </c>
      <c r="D60" s="78" t="n">
        <f aca="false">D7*IF($I$4=1,104,82.75)/1000</f>
        <v>54.36675</v>
      </c>
      <c r="F60" s="82" t="n">
        <f aca="false">B60/B$67*B$71</f>
        <v>8.275</v>
      </c>
      <c r="G60" s="83" t="n">
        <f aca="false">C60/C$67*C$71</f>
        <v>8.275</v>
      </c>
      <c r="H60" s="84" t="n">
        <f aca="false">D60/D$67*D$71</f>
        <v>8.275</v>
      </c>
    </row>
    <row r="61" customFormat="false" ht="12.75" hidden="false" customHeight="false" outlineLevel="0" collapsed="false">
      <c r="A61" s="76" t="s">
        <v>223</v>
      </c>
      <c r="B61" s="71" t="n">
        <f aca="false">0.8724*B25</f>
        <v>496.727112</v>
      </c>
      <c r="C61" s="71" t="n">
        <f aca="false">0.8724*C25</f>
        <v>261.72</v>
      </c>
      <c r="D61" s="78" t="n">
        <f aca="false">IF($I$7=1,+D$25*0.8724*(D$7/D$8),+D$25*0.8724*((D$7/D$8)+(0.5*D$6/D$8)))</f>
        <v>27.8235330622493</v>
      </c>
      <c r="F61" s="82" t="n">
        <f aca="false">B61/B$67*B$71</f>
        <v>1.65774884496444</v>
      </c>
      <c r="G61" s="83" t="n">
        <f aca="false">C61/C$67*C$71</f>
        <v>1.03144138534417</v>
      </c>
      <c r="H61" s="84" t="n">
        <f aca="false">D61/D$67*D$71</f>
        <v>4.23493653915515</v>
      </c>
    </row>
    <row r="62" customFormat="false" ht="12.75" hidden="false" customHeight="false" outlineLevel="0" collapsed="false">
      <c r="A62" s="76"/>
      <c r="B62" s="71"/>
      <c r="C62" s="71"/>
      <c r="D62" s="78"/>
      <c r="F62" s="82"/>
      <c r="G62" s="83"/>
      <c r="H62" s="84"/>
    </row>
    <row r="63" customFormat="false" ht="12.75" hidden="false" customHeight="false" outlineLevel="0" collapsed="false">
      <c r="A63" s="76" t="s">
        <v>189</v>
      </c>
      <c r="B63" s="71" t="n">
        <f aca="false">SUM(B59:B62)</f>
        <v>3273.50490375432</v>
      </c>
      <c r="C63" s="71" t="n">
        <f aca="false">SUM(C59:C62)</f>
        <v>2482.58186308188</v>
      </c>
      <c r="D63" s="78" t="n">
        <f aca="false">SUM(D59:D62)</f>
        <v>89.2288323211857</v>
      </c>
      <c r="F63" s="82" t="n">
        <f aca="false">SUM(F59:F62)</f>
        <v>10.9248093008946</v>
      </c>
      <c r="G63" s="83" t="n">
        <f aca="false">SUM(G59:G62)</f>
        <v>9.78388230203073</v>
      </c>
      <c r="H63" s="84" t="n">
        <f aca="false">SUM(H59:H62)</f>
        <v>13.5812530169232</v>
      </c>
    </row>
    <row r="64" customFormat="false" ht="12.75" hidden="false" customHeight="false" outlineLevel="0" collapsed="false">
      <c r="A64" s="76"/>
      <c r="B64" s="71"/>
      <c r="C64" s="71"/>
      <c r="D64" s="78"/>
      <c r="F64" s="82"/>
      <c r="G64" s="83"/>
      <c r="H64" s="84"/>
    </row>
    <row r="65" customFormat="false" ht="12.75" hidden="false" customHeight="false" outlineLevel="0" collapsed="false">
      <c r="A65" s="76" t="s">
        <v>194</v>
      </c>
      <c r="B65" s="71" t="n">
        <f aca="false">B30-B47</f>
        <v>663.0265423652</v>
      </c>
      <c r="C65" s="71" t="n">
        <f aca="false">C30-C47</f>
        <v>452.4555</v>
      </c>
      <c r="D65" s="78" t="n">
        <f aca="false">D30-D47</f>
        <v>16.2745800000002</v>
      </c>
      <c r="F65" s="82" t="n">
        <f aca="false">B65/B$67*B$71</f>
        <v>2.21274711654289</v>
      </c>
      <c r="G65" s="83" t="n">
        <f aca="false">C65/C$67*C$71</f>
        <v>1.78313207904092</v>
      </c>
      <c r="H65" s="84" t="n">
        <f aca="false">D65/D$67*D$71</f>
        <v>2.47710502283109</v>
      </c>
    </row>
    <row r="66" customFormat="false" ht="12.75" hidden="false" customHeight="false" outlineLevel="0" collapsed="false">
      <c r="A66" s="76"/>
      <c r="B66" s="71"/>
      <c r="C66" s="71"/>
      <c r="D66" s="78"/>
      <c r="F66" s="76"/>
      <c r="G66" s="44"/>
      <c r="H66" s="77"/>
    </row>
    <row r="67" customFormat="false" ht="12.75" hidden="false" customHeight="false" outlineLevel="0" collapsed="false">
      <c r="A67" s="76" t="s">
        <v>62</v>
      </c>
      <c r="B67" s="71" t="n">
        <f aca="false">SUM(B63:B65)</f>
        <v>3936.53144611952</v>
      </c>
      <c r="C67" s="71" t="n">
        <f aca="false">SUM(C63:C65)</f>
        <v>2935.03736308188</v>
      </c>
      <c r="D67" s="78" t="n">
        <f aca="false">SUM(D63:D65)</f>
        <v>105.503412321186</v>
      </c>
      <c r="F67" s="56" t="n">
        <f aca="false">SUM(F63:F65)</f>
        <v>13.1375564174375</v>
      </c>
      <c r="G67" s="93" t="n">
        <f aca="false">SUM(G63:G65)</f>
        <v>11.5670143810716</v>
      </c>
      <c r="H67" s="57" t="n">
        <f aca="false">SUM(H63:H65)</f>
        <v>16.0583580397543</v>
      </c>
    </row>
    <row r="68" customFormat="false" ht="12.75" hidden="false" customHeight="false" outlineLevel="0" collapsed="false">
      <c r="A68" s="76"/>
      <c r="B68" s="10"/>
      <c r="C68" s="10"/>
      <c r="D68" s="88"/>
    </row>
    <row r="69" customFormat="false" ht="12.75" hidden="false" customHeight="false" outlineLevel="0" collapsed="false">
      <c r="A69" s="76" t="s">
        <v>229</v>
      </c>
      <c r="B69" s="8" t="n">
        <f aca="false">+B7</f>
        <v>29963.954643</v>
      </c>
      <c r="C69" s="8" t="n">
        <f aca="false">+C7</f>
        <v>25374.2</v>
      </c>
      <c r="D69" s="89" t="n">
        <f aca="false">+D7</f>
        <v>657</v>
      </c>
    </row>
    <row r="70" customFormat="false" ht="12.75" hidden="false" customHeight="false" outlineLevel="0" collapsed="false">
      <c r="A70" s="76"/>
      <c r="B70" s="10"/>
      <c r="C70" s="10"/>
      <c r="D70" s="88"/>
    </row>
    <row r="71" customFormat="false" ht="12.75" hidden="false" customHeight="false" outlineLevel="0" collapsed="false">
      <c r="A71" s="76" t="s">
        <v>230</v>
      </c>
      <c r="B71" s="9" t="n">
        <f aca="false">+B67/B69*100</f>
        <v>13.1375564174375</v>
      </c>
      <c r="C71" s="9" t="n">
        <f aca="false">+C67/C69*100</f>
        <v>11.5670143810716</v>
      </c>
      <c r="D71" s="80" t="n">
        <f aca="false">+D67/D69*100</f>
        <v>16.0583580397543</v>
      </c>
    </row>
    <row r="72" customFormat="false" ht="12.75" hidden="false" customHeight="false" outlineLevel="0" collapsed="false">
      <c r="A72" s="76"/>
      <c r="B72" s="10"/>
      <c r="C72" s="44"/>
      <c r="D72" s="77"/>
    </row>
    <row r="73" customFormat="false" ht="12.75" hidden="false" customHeight="false" outlineLevel="0" collapsed="false">
      <c r="A73" s="69" t="s">
        <v>231</v>
      </c>
      <c r="B73" s="90" t="n">
        <f aca="false">+PGE!J142</f>
        <v>12.2110115990807</v>
      </c>
      <c r="C73" s="90" t="n">
        <f aca="false">+SCE!J136</f>
        <v>12.9832664675142</v>
      </c>
      <c r="D73" s="91" t="n">
        <f aca="false">+SDGE!J105</f>
        <v>11.9939117199391</v>
      </c>
    </row>
    <row r="77" customFormat="false" ht="12.75" hidden="false" customHeight="false" outlineLevel="0" collapsed="false">
      <c r="B77" s="66" t="s">
        <v>158</v>
      </c>
      <c r="C77" s="66" t="s">
        <v>159</v>
      </c>
      <c r="D77" s="66" t="s">
        <v>160</v>
      </c>
    </row>
    <row r="79" customFormat="false" ht="12.75" hidden="false" customHeight="false" outlineLevel="0" collapsed="false">
      <c r="A79" s="0" t="s">
        <v>232</v>
      </c>
      <c r="B79" s="73" t="n">
        <f aca="false">+B81*1.25</f>
        <v>4.8875</v>
      </c>
      <c r="C79" s="73" t="n">
        <f aca="false">+C81*1.25</f>
        <v>5.25</v>
      </c>
      <c r="D79" s="73" t="n">
        <v>6.379</v>
      </c>
    </row>
    <row r="80" customFormat="false" ht="12.75" hidden="false" customHeight="false" outlineLevel="0" collapsed="false">
      <c r="A80" s="0" t="s">
        <v>233</v>
      </c>
      <c r="B80" s="73" t="n">
        <f aca="false">+(B30-(B79*B6/100))/B7*100</f>
        <v>2.21274711654289</v>
      </c>
      <c r="C80" s="73" t="n">
        <f aca="false">+(C30-(C79*C6/100))/C7*100</f>
        <v>1.78313207904092</v>
      </c>
      <c r="D80" s="73" t="n">
        <f aca="false">+(D30-(D79*D6/100))/D7*100</f>
        <v>2.47710502283109</v>
      </c>
    </row>
    <row r="81" customFormat="false" ht="12.75" hidden="false" customHeight="false" outlineLevel="0" collapsed="false">
      <c r="A81" s="0" t="s">
        <v>234</v>
      </c>
      <c r="B81" s="73" t="n">
        <f aca="false">+B34</f>
        <v>3.91</v>
      </c>
      <c r="C81" s="73" t="n">
        <f aca="false">+C34</f>
        <v>4.2</v>
      </c>
      <c r="D81" s="73" t="n">
        <f aca="false">+D34</f>
        <v>6.23</v>
      </c>
    </row>
    <row r="82" customFormat="false" ht="12.75" hidden="false" customHeight="false" outlineLevel="0" collapsed="false">
      <c r="A82" s="71" t="s">
        <v>235</v>
      </c>
      <c r="B82" s="71" t="n">
        <f aca="false">+((B79*B6)+(B7*B80))/100</f>
        <v>3205.8469632457</v>
      </c>
      <c r="C82" s="71" t="n">
        <f aca="false">+((C79*C6)+(C7*C80))/100</f>
        <v>3518.76</v>
      </c>
      <c r="D82" s="71" t="n">
        <f aca="false">+((D79*D6)+(D7*D80))/100</f>
        <v>1071.8715</v>
      </c>
      <c r="E82" s="71"/>
      <c r="F82" s="71"/>
      <c r="G82" s="71"/>
      <c r="H82" s="71"/>
      <c r="I82" s="71"/>
      <c r="J82" s="71"/>
    </row>
    <row r="85" customFormat="false" ht="12.75" hidden="false" customHeight="false" outlineLevel="0" collapsed="false">
      <c r="A85" s="0" t="s">
        <v>236</v>
      </c>
      <c r="B85" s="11" t="n">
        <f aca="false">+B79/B80</f>
        <v>2.20879284553585</v>
      </c>
      <c r="C85" s="11" t="n">
        <f aca="false">+C79/C80</f>
        <v>2.94425750156645</v>
      </c>
      <c r="D85" s="11" t="n">
        <f aca="false">+D79/D80</f>
        <v>2.57518350703977</v>
      </c>
    </row>
    <row r="86" customFormat="false" ht="12.75" hidden="false" customHeight="false" outlineLevel="0" collapsed="false">
      <c r="A86" s="0" t="s">
        <v>237</v>
      </c>
      <c r="B86" s="11" t="n">
        <f aca="false">+B79/B81</f>
        <v>1.25</v>
      </c>
      <c r="C86" s="11" t="n">
        <f aca="false">+C79/C81</f>
        <v>1.25</v>
      </c>
      <c r="D86" s="11" t="n">
        <f aca="false">+D79/D81</f>
        <v>1.0239165329053</v>
      </c>
    </row>
    <row r="89" customFormat="false" ht="12.75" hidden="false" customHeight="false" outlineLevel="0" collapsed="false">
      <c r="A89" s="55" t="s">
        <v>238</v>
      </c>
      <c r="B89" s="8" t="n">
        <v>81923</v>
      </c>
      <c r="C89" s="8" t="n">
        <v>83436</v>
      </c>
      <c r="D89" s="43" t="n">
        <v>19322</v>
      </c>
    </row>
    <row r="90" customFormat="false" ht="12.75" hidden="false" customHeight="false" outlineLevel="0" collapsed="false">
      <c r="A90" s="0" t="s">
        <v>239</v>
      </c>
      <c r="B90" s="71" t="n">
        <v>6854</v>
      </c>
      <c r="C90" s="71" t="n">
        <v>7870</v>
      </c>
      <c r="D90" s="71" t="n">
        <v>2184</v>
      </c>
    </row>
    <row r="92" customFormat="false" ht="12.75" hidden="false" customHeight="false" outlineLevel="0" collapsed="false">
      <c r="A92" s="0" t="s">
        <v>240</v>
      </c>
      <c r="B92" s="9" t="n">
        <f aca="false">+B90/B89*100</f>
        <v>8.36639283229374</v>
      </c>
      <c r="C92" s="9" t="n">
        <f aca="false">+C90/C89*100</f>
        <v>9.43237930869169</v>
      </c>
      <c r="D92" s="9" t="n">
        <f aca="false">+D90/D89*100</f>
        <v>11.3031777248732</v>
      </c>
    </row>
    <row r="93" customFormat="false" ht="15" hidden="false" customHeight="false" outlineLevel="0" collapsed="false">
      <c r="A93" s="0" t="s">
        <v>241</v>
      </c>
      <c r="B93" s="94" t="n">
        <v>5.5</v>
      </c>
      <c r="C93" s="94" t="n">
        <v>6.3</v>
      </c>
      <c r="D93" s="94" t="n">
        <v>5.5</v>
      </c>
    </row>
    <row r="94" customFormat="false" ht="12.75" hidden="false" customHeight="false" outlineLevel="0" collapsed="false">
      <c r="A94" s="0" t="s">
        <v>242</v>
      </c>
      <c r="B94" s="9" t="n">
        <f aca="false">+B92-B93</f>
        <v>2.86639283229374</v>
      </c>
      <c r="C94" s="9" t="n">
        <f aca="false">+C92-C93</f>
        <v>3.13237930869169</v>
      </c>
      <c r="D94" s="9" t="n">
        <f aca="false">+D92-D93</f>
        <v>5.8031777248732</v>
      </c>
    </row>
    <row r="96" customFormat="false" ht="12.75" hidden="false" customHeight="false" outlineLevel="0" collapsed="false">
      <c r="A96" s="0" t="s">
        <v>242</v>
      </c>
      <c r="B96" s="8" t="n">
        <f aca="false">+B94*B89/100</f>
        <v>2348.235</v>
      </c>
      <c r="C96" s="8" t="n">
        <f aca="false">+C94*C89/100</f>
        <v>2613.532</v>
      </c>
      <c r="D96" s="8" t="n">
        <f aca="false">+D94*D89/100</f>
        <v>1121.29</v>
      </c>
    </row>
    <row r="100" customFormat="false" ht="12.75" hidden="false" customHeight="false" outlineLevel="0" collapsed="false">
      <c r="B100" s="95"/>
      <c r="C100" s="95"/>
      <c r="D100" s="95"/>
      <c r="E100" s="95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243</v>
      </c>
      <c r="B2" s="96"/>
      <c r="C2" s="96" t="n">
        <v>0.02</v>
      </c>
      <c r="D2" s="96" t="n">
        <v>0.02</v>
      </c>
      <c r="E2" s="96" t="n">
        <v>0.02</v>
      </c>
      <c r="F2" s="96" t="n">
        <v>0.02</v>
      </c>
      <c r="G2" s="96" t="n">
        <v>0.02</v>
      </c>
      <c r="H2" s="96" t="n">
        <v>0.02</v>
      </c>
      <c r="I2" s="96" t="n">
        <v>0.02</v>
      </c>
      <c r="J2" s="96" t="n">
        <v>0.02</v>
      </c>
      <c r="K2" s="96" t="n">
        <v>0.02</v>
      </c>
    </row>
    <row r="3" customFormat="false" ht="12.75" hidden="false" customHeight="false" outlineLevel="0" collapsed="false">
      <c r="A3" s="0" t="s">
        <v>244</v>
      </c>
      <c r="B3" s="96"/>
      <c r="C3" s="96" t="n">
        <v>0.04</v>
      </c>
      <c r="D3" s="96" t="n">
        <v>0.03</v>
      </c>
      <c r="E3" s="96" t="n">
        <v>0.02</v>
      </c>
      <c r="F3" s="96" t="n">
        <v>0.02</v>
      </c>
      <c r="G3" s="96" t="n">
        <v>0.02</v>
      </c>
      <c r="H3" s="96" t="n">
        <v>0.015</v>
      </c>
      <c r="I3" s="96" t="n">
        <v>0.01</v>
      </c>
      <c r="J3" s="96" t="n">
        <v>0</v>
      </c>
      <c r="K3" s="96" t="n">
        <v>0</v>
      </c>
    </row>
    <row r="4" customFormat="false" ht="12.75" hidden="false" customHeight="false" outlineLevel="0" collapsed="false">
      <c r="A4" s="0" t="s">
        <v>245</v>
      </c>
      <c r="B4" s="96"/>
      <c r="C4" s="96" t="n">
        <v>0.03</v>
      </c>
      <c r="D4" s="96" t="n">
        <v>0.015</v>
      </c>
      <c r="E4" s="96" t="n">
        <v>0.01</v>
      </c>
      <c r="F4" s="96" t="n">
        <v>0.005</v>
      </c>
      <c r="G4" s="96" t="n">
        <v>0</v>
      </c>
      <c r="H4" s="96" t="n">
        <v>0</v>
      </c>
      <c r="I4" s="96" t="n">
        <v>0</v>
      </c>
      <c r="J4" s="96" t="n">
        <v>0</v>
      </c>
      <c r="K4" s="96" t="n">
        <v>0</v>
      </c>
    </row>
    <row r="6" customFormat="false" ht="12.75" hidden="false" customHeight="false" outlineLevel="0" collapsed="false">
      <c r="A6" s="65"/>
      <c r="B6" s="66" t="n">
        <v>2001</v>
      </c>
      <c r="C6" s="66" t="n">
        <v>2002</v>
      </c>
      <c r="D6" s="66" t="n">
        <v>2003</v>
      </c>
      <c r="E6" s="66" t="n">
        <v>2004</v>
      </c>
      <c r="F6" s="66" t="n">
        <v>2005</v>
      </c>
      <c r="G6" s="66" t="n">
        <v>2006</v>
      </c>
      <c r="H6" s="66" t="n">
        <v>2007</v>
      </c>
      <c r="I6" s="66" t="n">
        <v>2008</v>
      </c>
      <c r="J6" s="66" t="n">
        <v>2009</v>
      </c>
      <c r="K6" s="66" t="n">
        <v>2010</v>
      </c>
    </row>
    <row r="8" customFormat="false" ht="12.75" hidden="false" customHeight="false" outlineLevel="0" collapsed="false">
      <c r="A8" s="0" t="s">
        <v>204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205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207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210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246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247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211</v>
      </c>
      <c r="B16" s="8"/>
      <c r="C16" s="8"/>
    </row>
    <row r="17" customFormat="false" ht="12.75" hidden="false" customHeight="false" outlineLevel="0" collapsed="false">
      <c r="A17" s="0" t="s">
        <v>212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213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247</v>
      </c>
      <c r="B20" s="43"/>
    </row>
    <row r="21" customFormat="false" ht="12.75" hidden="false" customHeight="false" outlineLevel="0" collapsed="false">
      <c r="A21" s="0" t="s">
        <v>212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213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248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249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250</v>
      </c>
      <c r="B26" s="97" t="e">
        <f aca="false">SUM(B24)/SUM(B13)</f>
        <v>#REF!</v>
      </c>
    </row>
    <row r="27" customFormat="false" ht="12.75" hidden="false" customHeight="false" outlineLevel="0" collapsed="false">
      <c r="A27" s="0" t="s">
        <v>251</v>
      </c>
      <c r="B27" s="71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214</v>
      </c>
    </row>
    <row r="31" customFormat="false" ht="12.75" hidden="false" customHeight="false" outlineLevel="0" collapsed="false">
      <c r="B31" s="66" t="s">
        <v>158</v>
      </c>
    </row>
    <row r="32" customFormat="false" ht="12.75" hidden="false" customHeight="false" outlineLevel="0" collapsed="false">
      <c r="B32" s="66"/>
    </row>
    <row r="33" customFormat="false" ht="12.75" hidden="false" customHeight="false" outlineLevel="0" collapsed="false">
      <c r="A33" s="0" t="s">
        <v>252</v>
      </c>
      <c r="B33" s="8" t="e">
        <f aca="false">#REF!</f>
        <v>#REF!</v>
      </c>
    </row>
    <row r="34" customFormat="false" ht="12.75" hidden="false" customHeight="false" outlineLevel="0" collapsed="false">
      <c r="A34" s="71" t="s">
        <v>253</v>
      </c>
      <c r="B34" s="8" t="e">
        <f aca="false">#REF!</f>
        <v>#REF!</v>
      </c>
      <c r="C34" s="71"/>
      <c r="D34" s="71"/>
      <c r="E34" s="71"/>
    </row>
    <row r="35" customFormat="false" ht="12.75" hidden="false" customHeight="false" outlineLevel="0" collapsed="false">
      <c r="A35" s="0" t="s">
        <v>254</v>
      </c>
      <c r="B35" s="98" t="e">
        <f aca="false">+B34/B33*100</f>
        <v>#REF!</v>
      </c>
    </row>
    <row r="36" customFormat="false" ht="12.75" hidden="false" customHeight="false" outlineLevel="0" collapsed="false">
      <c r="B36" s="99"/>
    </row>
    <row r="37" customFormat="false" ht="12.75" hidden="false" customHeight="false" outlineLevel="0" collapsed="false">
      <c r="A37" s="0" t="s">
        <v>255</v>
      </c>
      <c r="B37" s="8" t="e">
        <f aca="false">#REF!</f>
        <v>#REF!</v>
      </c>
    </row>
    <row r="38" customFormat="false" ht="12.75" hidden="false" customHeight="false" outlineLevel="0" collapsed="false">
      <c r="A38" s="71" t="s">
        <v>256</v>
      </c>
      <c r="B38" s="8" t="e">
        <f aca="false">#REF!</f>
        <v>#REF!</v>
      </c>
      <c r="C38" s="71"/>
      <c r="D38" s="71"/>
      <c r="E38" s="71"/>
    </row>
    <row r="39" customFormat="false" ht="12.75" hidden="false" customHeight="false" outlineLevel="0" collapsed="false">
      <c r="A39" s="0" t="s">
        <v>254</v>
      </c>
      <c r="B39" s="98" t="e">
        <f aca="false">+B38/B37*100</f>
        <v>#REF!</v>
      </c>
    </row>
    <row r="41" customFormat="false" ht="12.75" hidden="false" customHeight="false" outlineLevel="0" collapsed="false">
      <c r="A41" s="0" t="s">
        <v>257</v>
      </c>
      <c r="B41" s="8" t="e">
        <f aca="false">#REF!</f>
        <v>#REF!</v>
      </c>
    </row>
    <row r="42" customFormat="false" ht="12.75" hidden="false" customHeight="false" outlineLevel="0" collapsed="false">
      <c r="A42" s="71" t="s">
        <v>258</v>
      </c>
      <c r="B42" s="8" t="e">
        <f aca="false">#REF!</f>
        <v>#REF!</v>
      </c>
      <c r="C42" s="71"/>
      <c r="D42" s="71"/>
      <c r="E42" s="71"/>
    </row>
    <row r="43" customFormat="false" ht="12.75" hidden="false" customHeight="false" outlineLevel="0" collapsed="false">
      <c r="A43" s="0" t="s">
        <v>254</v>
      </c>
      <c r="B43" s="100" t="e">
        <f aca="false">+B42/B41*100</f>
        <v>#REF!</v>
      </c>
    </row>
    <row r="45" customFormat="false" ht="12.75" hidden="false" customHeight="false" outlineLevel="0" collapsed="false">
      <c r="A45" s="0" t="s">
        <v>259</v>
      </c>
      <c r="B45" s="8" t="e">
        <f aca="false">#REF!</f>
        <v>#REF!</v>
      </c>
    </row>
    <row r="46" customFormat="false" ht="12.75" hidden="false" customHeight="false" outlineLevel="0" collapsed="false">
      <c r="A46" s="71" t="s">
        <v>260</v>
      </c>
      <c r="B46" s="8" t="e">
        <f aca="false">#REF!</f>
        <v>#REF!</v>
      </c>
      <c r="C46" s="71"/>
      <c r="D46" s="71"/>
      <c r="E46" s="71"/>
    </row>
    <row r="47" customFormat="false" ht="12.75" hidden="false" customHeight="false" outlineLevel="0" collapsed="false">
      <c r="A47" s="0" t="s">
        <v>254</v>
      </c>
      <c r="B47" s="100" t="e">
        <f aca="false">+B46/B45*100</f>
        <v>#REF!</v>
      </c>
    </row>
    <row r="50" customFormat="false" ht="12.75" hidden="false" customHeight="false" outlineLevel="0" collapsed="false">
      <c r="B50" s="66" t="s">
        <v>158</v>
      </c>
    </row>
    <row r="52" customFormat="false" ht="12.75" hidden="false" customHeight="false" outlineLevel="0" collapsed="false">
      <c r="A52" s="0" t="s">
        <v>215</v>
      </c>
      <c r="B52" s="71" t="n">
        <f aca="false">83000*0.98*0.01</f>
        <v>813.4</v>
      </c>
    </row>
    <row r="53" customFormat="false" ht="12.75" hidden="false" customHeight="false" outlineLevel="0" collapsed="false">
      <c r="A53" s="0" t="s">
        <v>216</v>
      </c>
      <c r="B53" s="71" t="n">
        <f aca="false">83000*0.98*0.033</f>
        <v>2684.22</v>
      </c>
    </row>
    <row r="54" customFormat="false" ht="12.75" hidden="false" customHeight="false" outlineLevel="0" collapsed="false">
      <c r="A54" s="0" t="s">
        <v>208</v>
      </c>
      <c r="B54" s="71" t="n">
        <f aca="false">83000*0.98*0.007</f>
        <v>569.38</v>
      </c>
    </row>
    <row r="55" customFormat="false" ht="12.75" hidden="false" customHeight="false" outlineLevel="0" collapsed="false">
      <c r="A55" s="0" t="s">
        <v>218</v>
      </c>
      <c r="B55" s="71" t="n">
        <f aca="false">83000*0.98*0.043</f>
        <v>3497.62</v>
      </c>
    </row>
    <row r="56" customFormat="false" ht="12.75" hidden="false" customHeight="false" outlineLevel="0" collapsed="false">
      <c r="B56" s="71"/>
    </row>
    <row r="57" customFormat="false" ht="12.75" hidden="false" customHeight="false" outlineLevel="0" collapsed="false">
      <c r="A57" s="0" t="s">
        <v>189</v>
      </c>
      <c r="B57" s="71" t="n">
        <f aca="false">SUM(B52:B56)</f>
        <v>7564.62</v>
      </c>
    </row>
    <row r="58" customFormat="false" ht="12.75" hidden="false" customHeight="false" outlineLevel="0" collapsed="false">
      <c r="B58" s="71"/>
    </row>
    <row r="59" customFormat="false" ht="12.75" hidden="false" customHeight="false" outlineLevel="0" collapsed="false">
      <c r="A59" s="0" t="s">
        <v>261</v>
      </c>
      <c r="B59" s="71" t="e">
        <f aca="false">+B61-B57</f>
        <v>#REF!</v>
      </c>
    </row>
    <row r="60" customFormat="false" ht="12.75" hidden="false" customHeight="false" outlineLevel="0" collapsed="false">
      <c r="B60" s="71"/>
    </row>
    <row r="61" customFormat="false" ht="12.75" hidden="false" customHeight="false" outlineLevel="0" collapsed="false">
      <c r="A61" s="0" t="s">
        <v>219</v>
      </c>
      <c r="B61" s="71" t="e">
        <f aca="false">+B42+B46</f>
        <v>#REF!</v>
      </c>
    </row>
    <row r="63" customFormat="false" ht="12.75" hidden="false" customHeight="false" outlineLevel="0" collapsed="false">
      <c r="A63" s="0" t="s">
        <v>220</v>
      </c>
      <c r="B63" s="92" t="e">
        <f aca="false">+B59/B10*100</f>
        <v>#REF!</v>
      </c>
    </row>
    <row r="66" customFormat="false" ht="12.75" hidden="false" customHeight="false" outlineLevel="0" collapsed="false">
      <c r="A66" s="74" t="s">
        <v>222</v>
      </c>
      <c r="B66" s="75"/>
    </row>
    <row r="67" customFormat="false" ht="12.75" hidden="false" customHeight="false" outlineLevel="0" collapsed="false">
      <c r="A67" s="76"/>
      <c r="B67" s="10"/>
    </row>
    <row r="68" customFormat="false" ht="12.75" hidden="false" customHeight="false" outlineLevel="0" collapsed="false">
      <c r="A68" s="76" t="s">
        <v>188</v>
      </c>
      <c r="B68" s="71" t="e">
        <f aca="false">+B54*(B41/B10)</f>
        <v>#REF!</v>
      </c>
    </row>
    <row r="69" customFormat="false" ht="12.75" hidden="false" customHeight="false" outlineLevel="0" collapsed="false">
      <c r="A69" s="76" t="s">
        <v>218</v>
      </c>
      <c r="B69" s="71" t="n">
        <f aca="false">+B55</f>
        <v>3497.62</v>
      </c>
    </row>
    <row r="70" customFormat="false" ht="12.75" hidden="false" customHeight="false" outlineLevel="0" collapsed="false">
      <c r="A70" s="76" t="s">
        <v>184</v>
      </c>
      <c r="B70" s="71" t="e">
        <f aca="false">+B52*(B41/B10)</f>
        <v>#REF!</v>
      </c>
    </row>
    <row r="71" customFormat="false" ht="12.75" hidden="false" customHeight="false" outlineLevel="0" collapsed="false">
      <c r="A71" s="76" t="s">
        <v>262</v>
      </c>
      <c r="B71" s="71" t="n">
        <f aca="false">((0.08*B10)*133)/1000</f>
        <v>872.38393066328</v>
      </c>
    </row>
    <row r="72" customFormat="false" ht="12.75" hidden="false" customHeight="false" outlineLevel="0" collapsed="false">
      <c r="A72" s="76" t="s">
        <v>263</v>
      </c>
      <c r="B72" s="71" t="e">
        <f aca="false">+B59*(B41/B10)</f>
        <v>#REF!</v>
      </c>
    </row>
    <row r="73" customFormat="false" ht="12.75" hidden="false" customHeight="false" outlineLevel="0" collapsed="false">
      <c r="A73" s="76" t="s">
        <v>264</v>
      </c>
      <c r="B73" s="71" t="e">
        <f aca="false">-B27</f>
        <v>#REF!</v>
      </c>
    </row>
    <row r="74" customFormat="false" ht="12.75" hidden="false" customHeight="false" outlineLevel="0" collapsed="false">
      <c r="A74" s="76"/>
      <c r="B74" s="71"/>
    </row>
    <row r="75" customFormat="false" ht="12.75" hidden="false" customHeight="false" outlineLevel="0" collapsed="false">
      <c r="A75" s="76" t="s">
        <v>62</v>
      </c>
      <c r="B75" s="71" t="e">
        <f aca="false">SUM(B68:B74)</f>
        <v>#REF!</v>
      </c>
    </row>
    <row r="76" customFormat="false" ht="12.75" hidden="false" customHeight="false" outlineLevel="0" collapsed="false">
      <c r="A76" s="76"/>
      <c r="B76" s="10"/>
    </row>
    <row r="77" customFormat="false" ht="12.75" hidden="false" customHeight="false" outlineLevel="0" collapsed="false">
      <c r="A77" s="76" t="s">
        <v>225</v>
      </c>
      <c r="B77" s="8" t="e">
        <f aca="false">+B41</f>
        <v>#REF!</v>
      </c>
    </row>
    <row r="78" customFormat="false" ht="12.75" hidden="false" customHeight="false" outlineLevel="0" collapsed="false">
      <c r="A78" s="76"/>
      <c r="B78" s="10"/>
    </row>
    <row r="79" customFormat="false" ht="12.75" hidden="false" customHeight="false" outlineLevel="0" collapsed="false">
      <c r="A79" s="76" t="s">
        <v>226</v>
      </c>
      <c r="B79" s="9" t="e">
        <f aca="false">+B75/B77*100</f>
        <v>#REF!</v>
      </c>
    </row>
    <row r="80" customFormat="false" ht="12.75" hidden="false" customHeight="false" outlineLevel="0" collapsed="false">
      <c r="A80" s="76"/>
      <c r="B80" s="10"/>
    </row>
    <row r="81" customFormat="false" ht="12.75" hidden="false" customHeight="false" outlineLevel="0" collapsed="false">
      <c r="A81" s="69" t="s">
        <v>227</v>
      </c>
      <c r="B81" s="90" t="e">
        <f aca="false">+B43</f>
        <v>#REF!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265</v>
      </c>
      <c r="B83" s="10"/>
    </row>
    <row r="84" customFormat="false" ht="12.75" hidden="false" customHeight="false" outlineLevel="0" collapsed="false">
      <c r="A84" s="101" t="s">
        <v>266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2001-05-22T13:23:51Z</cp:lastPrinted>
  <dcterms:modified xsi:type="dcterms:W3CDTF">2001-05-22T13:24:48Z</dcterms:modified>
  <cp:revision>0</cp:revision>
  <dc:subject/>
  <dc:title/>
</cp:coreProperties>
</file>